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750" yWindow="150" windowWidth="14310" windowHeight="9120" tabRatio="948" activeTab="2"/>
  </bookViews>
  <sheets>
    <sheet name="Plant Info==&gt;" sheetId="148" r:id="rId1"/>
    <sheet name="Hydro Summary Update" sheetId="153" r:id="rId2"/>
    <sheet name="FSC" sheetId="154" r:id="rId3"/>
    <sheet name="Powerhouse" sheetId="155" r:id="rId4"/>
    <sheet name="Treas.Grant est. Update" sheetId="156" r:id="rId5"/>
    <sheet name="Adj 2.06==&gt;" sheetId="146" r:id="rId6"/>
    <sheet name="Lead Sheet" sheetId="49" r:id="rId7"/>
    <sheet name="Hydro Summary" sheetId="144" r:id="rId8"/>
    <sheet name="Baker Tax Basis" sheetId="128" r:id="rId9"/>
    <sheet name="Treas.Grant est." sheetId="147" r:id="rId10"/>
    <sheet name="Book Bal" sheetId="101" r:id="rId11"/>
    <sheet name="Dep Rate" sheetId="125" r:id="rId12"/>
    <sheet name="DFIT IRS" sheetId="100" r:id="rId13"/>
    <sheet name="#1+#2+3 Tot Baker DFIT" sheetId="99" r:id="rId14"/>
    <sheet name="#1 DFIT- FSC" sheetId="126" r:id="rId15"/>
    <sheet name="#2 DFIT- Unit 4" sheetId="129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>#N/A</definedName>
    <definedName name="_________________ex1" localSheetId="3" hidden="1">{#N/A,#N/A,FALSE,"Summ";#N/A,#N/A,FALSE,"General"}</definedName>
    <definedName name="_________________ex1" hidden="1">{#N/A,#N/A,FALSE,"Summ";#N/A,#N/A,FALSE,"General"}</definedName>
    <definedName name="_________________new1" localSheetId="3" hidden="1">{#N/A,#N/A,FALSE,"Summ";#N/A,#N/A,FALSE,"General"}</definedName>
    <definedName name="_________________new1" hidden="1">{#N/A,#N/A,FALSE,"Summ";#N/A,#N/A,FALSE,"General"}</definedName>
    <definedName name="_________________six6" localSheetId="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ex1" localSheetId="3" hidden="1">{#N/A,#N/A,FALSE,"Summ";#N/A,#N/A,FALSE,"General"}</definedName>
    <definedName name="_______________ex1" hidden="1">{#N/A,#N/A,FALSE,"Summ";#N/A,#N/A,FALSE,"General"}</definedName>
    <definedName name="_______________new1" localSheetId="3" hidden="1">{#N/A,#N/A,FALSE,"Summ";#N/A,#N/A,FALSE,"General"}</definedName>
    <definedName name="_______________new1" hidden="1">{#N/A,#N/A,FALSE,"Summ";#N/A,#N/A,FALSE,"General"}</definedName>
    <definedName name="_______________six6" localSheetId="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3" hidden="1">{#N/A,#N/A,FALSE,"Summ";#N/A,#N/A,FALSE,"General"}</definedName>
    <definedName name="______________ex1" hidden="1">{#N/A,#N/A,FALSE,"Summ";#N/A,#N/A,FALSE,"General"}</definedName>
    <definedName name="______________new1" localSheetId="3" hidden="1">{#N/A,#N/A,FALSE,"Summ";#N/A,#N/A,FALSE,"General"}</definedName>
    <definedName name="______________new1" hidden="1">{#N/A,#N/A,FALSE,"Summ";#N/A,#N/A,FALSE,"General"}</definedName>
    <definedName name="______________six6" localSheetId="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3" hidden="1">{#N/A,#N/A,FALSE,"Summ";#N/A,#N/A,FALSE,"General"}</definedName>
    <definedName name="_____________ex1" hidden="1">{#N/A,#N/A,FALSE,"Summ";#N/A,#N/A,FALSE,"General"}</definedName>
    <definedName name="_____________new1" localSheetId="3" hidden="1">{#N/A,#N/A,FALSE,"Summ";#N/A,#N/A,FALSE,"General"}</definedName>
    <definedName name="_____________new1" hidden="1">{#N/A,#N/A,FALSE,"Summ";#N/A,#N/A,FALSE,"General"}</definedName>
    <definedName name="_____________six6" localSheetId="3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3" hidden="1">{#N/A,#N/A,FALSE,"Summ";#N/A,#N/A,FALSE,"General"}</definedName>
    <definedName name="____________ex1" hidden="1">{#N/A,#N/A,FALSE,"Summ";#N/A,#N/A,FALSE,"General"}</definedName>
    <definedName name="____________new1" localSheetId="3" hidden="1">{#N/A,#N/A,FALSE,"Summ";#N/A,#N/A,FALSE,"General"}</definedName>
    <definedName name="____________new1" hidden="1">{#N/A,#N/A,FALSE,"Summ";#N/A,#N/A,FALSE,"General"}</definedName>
    <definedName name="____________six6" localSheetId="3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3" hidden="1">{#N/A,#N/A,FALSE,"Summ";#N/A,#N/A,FALSE,"General"}</definedName>
    <definedName name="___________ex1" hidden="1">{#N/A,#N/A,FALSE,"Summ";#N/A,#N/A,FALSE,"General"}</definedName>
    <definedName name="___________new1" localSheetId="3" hidden="1">{#N/A,#N/A,FALSE,"Summ";#N/A,#N/A,FALSE,"General"}</definedName>
    <definedName name="___________new1" hidden="1">{#N/A,#N/A,FALSE,"Summ";#N/A,#N/A,FALSE,"General"}</definedName>
    <definedName name="___________six6" localSheetId="3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3" hidden="1">{#N/A,#N/A,FALSE,"Summ";#N/A,#N/A,FALSE,"General"}</definedName>
    <definedName name="__________ex1" hidden="1">{#N/A,#N/A,FALSE,"Summ";#N/A,#N/A,FALSE,"General"}</definedName>
    <definedName name="__________new1" localSheetId="3" hidden="1">{#N/A,#N/A,FALSE,"Summ";#N/A,#N/A,FALSE,"General"}</definedName>
    <definedName name="__________new1" hidden="1">{#N/A,#N/A,FALSE,"Summ";#N/A,#N/A,FALSE,"General"}</definedName>
    <definedName name="__________six6" localSheetId="3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3" hidden="1">{#N/A,#N/A,FALSE,"Summ";#N/A,#N/A,FALSE,"General"}</definedName>
    <definedName name="_________ex1" hidden="1">{#N/A,#N/A,FALSE,"Summ";#N/A,#N/A,FALSE,"General"}</definedName>
    <definedName name="_________new1" localSheetId="3" hidden="1">{#N/A,#N/A,FALSE,"Summ";#N/A,#N/A,FALSE,"General"}</definedName>
    <definedName name="_________new1" hidden="1">{#N/A,#N/A,FALSE,"Summ";#N/A,#N/A,FALSE,"General"}</definedName>
    <definedName name="_________six6" localSheetId="3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3" hidden="1">{#N/A,#N/A,FALSE,"Summ";#N/A,#N/A,FALSE,"General"}</definedName>
    <definedName name="________ex1" hidden="1">{#N/A,#N/A,FALSE,"Summ";#N/A,#N/A,FALSE,"General"}</definedName>
    <definedName name="________new1" localSheetId="3" hidden="1">{#N/A,#N/A,FALSE,"Summ";#N/A,#N/A,FALSE,"General"}</definedName>
    <definedName name="________new1" hidden="1">{#N/A,#N/A,FALSE,"Summ";#N/A,#N/A,FALSE,"General"}</definedName>
    <definedName name="________six6" localSheetId="3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3" hidden="1">{#N/A,#N/A,FALSE,"Summ";#N/A,#N/A,FALSE,"General"}</definedName>
    <definedName name="_______ex1" hidden="1">{#N/A,#N/A,FALSE,"Summ";#N/A,#N/A,FALSE,"General"}</definedName>
    <definedName name="_______new1" localSheetId="3" hidden="1">{#N/A,#N/A,FALSE,"Summ";#N/A,#N/A,FALSE,"General"}</definedName>
    <definedName name="_______new1" hidden="1">{#N/A,#N/A,FALSE,"Summ";#N/A,#N/A,FALSE,"General"}</definedName>
    <definedName name="_______six6" localSheetId="3" hidden="1">{#N/A,#N/A,FALSE,"CRPT";#N/A,#N/A,FALSE,"TREND";#N/A,#N/A,FALSE,"%Curve"}</definedName>
    <definedName name="_______six6" hidden="1">{#N/A,#N/A,FALSE,"CRPT";#N/A,#N/A,FALSE,"TREND";#N/A,#N/A,FALSE,"%Curve"}</definedName>
    <definedName name="______ex1" localSheetId="3" hidden="1">{#N/A,#N/A,FALSE,"Summ";#N/A,#N/A,FALSE,"General"}</definedName>
    <definedName name="______ex1" hidden="1">{#N/A,#N/A,FALSE,"Summ";#N/A,#N/A,FALSE,"General"}</definedName>
    <definedName name="______new1" localSheetId="3" hidden="1">{#N/A,#N/A,FALSE,"Summ";#N/A,#N/A,FALSE,"General"}</definedName>
    <definedName name="______new1" hidden="1">{#N/A,#N/A,FALSE,"Summ";#N/A,#N/A,FALSE,"General"}</definedName>
    <definedName name="______six6" localSheetId="3" hidden="1">{#N/A,#N/A,FALSE,"CRPT";#N/A,#N/A,FALSE,"TREND";#N/A,#N/A,FALSE,"%Curve"}</definedName>
    <definedName name="______six6" hidden="1">{#N/A,#N/A,FALSE,"CRPT";#N/A,#N/A,FALSE,"TREND";#N/A,#N/A,FALSE,"%Curve"}</definedName>
    <definedName name="_____ex1" localSheetId="3" hidden="1">{#N/A,#N/A,FALSE,"Summ";#N/A,#N/A,FALSE,"General"}</definedName>
    <definedName name="_____ex1" hidden="1">{#N/A,#N/A,FALSE,"Summ";#N/A,#N/A,FALSE,"General"}</definedName>
    <definedName name="_____new1" localSheetId="3" hidden="1">{#N/A,#N/A,FALSE,"Summ";#N/A,#N/A,FALSE,"General"}</definedName>
    <definedName name="_____new1" hidden="1">{#N/A,#N/A,FALSE,"Summ";#N/A,#N/A,FALSE,"General"}</definedName>
    <definedName name="_____six6" localSheetId="2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hidden="1">{#N/A,#N/A,FALSE,"CRPT";#N/A,#N/A,FALSE,"TREND";#N/A,#N/A,FALSE,"%Curve"}</definedName>
    <definedName name="____ex1" localSheetId="3" hidden="1">{#N/A,#N/A,FALSE,"Summ";#N/A,#N/A,FALSE,"General"}</definedName>
    <definedName name="____ex1" hidden="1">{#N/A,#N/A,FALSE,"Summ";#N/A,#N/A,FALSE,"General"}</definedName>
    <definedName name="____new1" localSheetId="3" hidden="1">{#N/A,#N/A,FALSE,"Summ";#N/A,#N/A,FALSE,"General"}</definedName>
    <definedName name="____new1" hidden="1">{#N/A,#N/A,FALSE,"Summ";#N/A,#N/A,FALSE,"General"}</definedName>
    <definedName name="____six6" localSheetId="2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hidden="1">{#N/A,#N/A,FALSE,"CRPT";#N/A,#N/A,FALSE,"TREND";#N/A,#N/A,FALSE,"%Curve"}</definedName>
    <definedName name="___ex1" localSheetId="2" hidden="1">{#N/A,#N/A,FALSE,"Summ";#N/A,#N/A,FALSE,"General"}</definedName>
    <definedName name="___ex1" localSheetId="3" hidden="1">{#N/A,#N/A,FALSE,"Summ";#N/A,#N/A,FALSE,"General"}</definedName>
    <definedName name="___ex1" hidden="1">{#N/A,#N/A,FALSE,"Summ";#N/A,#N/A,FALSE,"General"}</definedName>
    <definedName name="___new1" localSheetId="2" hidden="1">{#N/A,#N/A,FALSE,"Summ";#N/A,#N/A,FALSE,"General"}</definedName>
    <definedName name="___new1" localSheetId="3" hidden="1">{#N/A,#N/A,FALSE,"Summ";#N/A,#N/A,FALSE,"General"}</definedName>
    <definedName name="___new1" hidden="1">{#N/A,#N/A,FALSE,"Summ";#N/A,#N/A,FALSE,"General"}</definedName>
    <definedName name="___six6" localSheetId="2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hidden="1">{#N/A,#N/A,FALSE,"CRPT";#N/A,#N/A,FALSE,"TREND";#N/A,#N/A,FALSE,"%Curve"}</definedName>
    <definedName name="___www1" hidden="1">{#N/A,#N/A,FALSE,"schA"}</definedName>
    <definedName name="__123Graph_ECURRENT" localSheetId="11" hidden="1">[1]ConsolidatingPL!#REF!</definedName>
    <definedName name="__ex1" localSheetId="2" hidden="1">{#N/A,#N/A,FALSE,"Summ";#N/A,#N/A,FALSE,"General"}</definedName>
    <definedName name="__ex1" localSheetId="3" hidden="1">{#N/A,#N/A,FALSE,"Summ";#N/A,#N/A,FALSE,"General"}</definedName>
    <definedName name="__ex1" hidden="1">{#N/A,#N/A,FALSE,"Summ";#N/A,#N/A,FALSE,"General"}</definedName>
    <definedName name="__new1" localSheetId="2" hidden="1">{#N/A,#N/A,FALSE,"Summ";#N/A,#N/A,FALSE,"General"}</definedName>
    <definedName name="__new1" localSheetId="3" hidden="1">{#N/A,#N/A,FALSE,"Summ";#N/A,#N/A,FALSE,"General"}</definedName>
    <definedName name="__new1" hidden="1">{#N/A,#N/A,FALSE,"Summ";#N/A,#N/A,FALSE,"General"}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hidden="1">{#N/A,#N/A,FALSE,"schA"}</definedName>
    <definedName name="_DAT1">'[2]009JJ'!$A$2:$A$892</definedName>
    <definedName name="_DAT2">'[2]009JJ'!$B$2:$B$892</definedName>
    <definedName name="_DAT3">'[2]009JJ'!$C$2:$C$892</definedName>
    <definedName name="_DAT4">'[2]009JJ'!$D$2:$D$892</definedName>
    <definedName name="_DAT5">'[2]009JJ'!$E$2:$E$892</definedName>
    <definedName name="_DAT6">'[2]009JJ'!$F$2:$F$892</definedName>
    <definedName name="_DAT7">'[2]009JJ'!$G$2:$G$892</definedName>
    <definedName name="_DAT8">'[2]009JJ'!$H$2:$H$892</definedName>
    <definedName name="_ex1" localSheetId="2" hidden="1">{#N/A,#N/A,FALSE,"Summ";#N/A,#N/A,FALSE,"General"}</definedName>
    <definedName name="_ex1" localSheetId="3" hidden="1">{#N/A,#N/A,FALSE,"Summ";#N/A,#N/A,FALSE,"General"}</definedName>
    <definedName name="_ex1" hidden="1">{#N/A,#N/A,FALSE,"Summ";#N/A,#N/A,FALSE,"General"}</definedName>
    <definedName name="_Fill" localSheetId="14" hidden="1">#REF!</definedName>
    <definedName name="_Fill" localSheetId="15" hidden="1">#REF!</definedName>
    <definedName name="_Fill" localSheetId="5" hidden="1">#REF!</definedName>
    <definedName name="_xlnm._FilterDatabase" localSheetId="2" hidden="1">FSC!$A$320:$CV$443</definedName>
    <definedName name="_new1" localSheetId="2" hidden="1">{#N/A,#N/A,FALSE,"Summ";#N/A,#N/A,FALSE,"General"}</definedName>
    <definedName name="_new1" localSheetId="3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a" localSheetId="11" hidden="1">{#N/A,#N/A,FALSE,"Coversheet";#N/A,#N/A,FALSE,"QA"}</definedName>
    <definedName name="AccessDatabase" hidden="1">"I:\COMTREL\FINICLE\TradeSummary.mdb"</definedName>
    <definedName name="AREA_DISCIPLINE">[3]LISTS!$D$3:$D$17</definedName>
    <definedName name="b" localSheetId="11" hidden="1">{#N/A,#N/A,FALSE,"Coversheet";#N/A,#N/A,FALSE,"QA"}</definedName>
    <definedName name="b" localSheetId="6" hidden="1">{#N/A,#N/A,FALSE,"Coversheet";#N/A,#N/A,FALSE,"QA"}</definedName>
    <definedName name="b" localSheetId="3" hidden="1">{#N/A,#N/A,FALSE,"Coversheet";#N/A,#N/A,FALSE,"QA"}</definedName>
    <definedName name="b" hidden="1">{#N/A,#N/A,FALSE,"Coversheet";#N/A,#N/A,FALSE,"QA"}</definedName>
    <definedName name="BEx0017DGUEDPCFJUPUZOOLJCS2B" localSheetId="14" hidden="1">#REF!</definedName>
    <definedName name="BEx0017DGUEDPCFJUPUZOOLJCS2B" localSheetId="15" hidden="1">#REF!</definedName>
    <definedName name="BEx0017DGUEDPCFJUPUZOOLJCS2B" localSheetId="5" hidden="1">#REF!</definedName>
    <definedName name="BEx001CNWHJ5RULCSFM36ZCGJ1UH" localSheetId="14" hidden="1">#REF!</definedName>
    <definedName name="BEx001CNWHJ5RULCSFM36ZCGJ1UH" localSheetId="15" hidden="1">#REF!</definedName>
    <definedName name="BEx001CNWHJ5RULCSFM36ZCGJ1UH" localSheetId="5" hidden="1">#REF!</definedName>
    <definedName name="BEx004791UAJIJSN57OT7YBLNP82" localSheetId="14" hidden="1">#REF!</definedName>
    <definedName name="BEx004791UAJIJSN57OT7YBLNP82" localSheetId="15" hidden="1">#REF!</definedName>
    <definedName name="BEx004791UAJIJSN57OT7YBLNP82" localSheetId="5" hidden="1">#REF!</definedName>
    <definedName name="BEx008P2NVFDLBHL7IZ5WTMVOQ1F" localSheetId="14" hidden="1">#REF!</definedName>
    <definedName name="BEx008P2NVFDLBHL7IZ5WTMVOQ1F" localSheetId="15" hidden="1">#REF!</definedName>
    <definedName name="BEx008P2NVFDLBHL7IZ5WTMVOQ1F" localSheetId="5" hidden="1">#REF!</definedName>
    <definedName name="BEx009G00IN0JUIAQ4WE9NHTMQE2" localSheetId="14" hidden="1">#REF!</definedName>
    <definedName name="BEx009G00IN0JUIAQ4WE9NHTMQE2" localSheetId="15" hidden="1">#REF!</definedName>
    <definedName name="BEx009G00IN0JUIAQ4WE9NHTMQE2" localSheetId="5" hidden="1">#REF!</definedName>
    <definedName name="BEx00DXTY2JDVGWQKV8H7FG4SV30" localSheetId="14" hidden="1">#REF!</definedName>
    <definedName name="BEx00DXTY2JDVGWQKV8H7FG4SV30" localSheetId="15" hidden="1">#REF!</definedName>
    <definedName name="BEx00DXTY2JDVGWQKV8H7FG4SV30" localSheetId="5" hidden="1">#REF!</definedName>
    <definedName name="BEx00GHLTYRH5N2S6P78YW1CD30N" localSheetId="14" hidden="1">#REF!</definedName>
    <definedName name="BEx00GHLTYRH5N2S6P78YW1CD30N" localSheetId="15" hidden="1">#REF!</definedName>
    <definedName name="BEx00GHLTYRH5N2S6P78YW1CD30N" localSheetId="5" hidden="1">#REF!</definedName>
    <definedName name="BEx00JC31DY11L45SEU4B10BIN6W" localSheetId="14" hidden="1">#REF!</definedName>
    <definedName name="BEx00JC31DY11L45SEU4B10BIN6W" localSheetId="15" hidden="1">#REF!</definedName>
    <definedName name="BEx00JC31DY11L45SEU4B10BIN6W" localSheetId="5" hidden="1">#REF!</definedName>
    <definedName name="BEx00KZHZBHP3TDV1YMX4B19B95O" localSheetId="14" hidden="1">#REF!</definedName>
    <definedName name="BEx00KZHZBHP3TDV1YMX4B19B95O" localSheetId="15" hidden="1">#REF!</definedName>
    <definedName name="BEx00KZHZBHP3TDV1YMX4B19B95O" localSheetId="5" hidden="1">#REF!</definedName>
    <definedName name="BEx00P11V7HA4MS6XYY3P4BPVXML" localSheetId="14" hidden="1">#REF!</definedName>
    <definedName name="BEx00P11V7HA4MS6XYY3P4BPVXML" localSheetId="15" hidden="1">#REF!</definedName>
    <definedName name="BEx00P11V7HA4MS6XYY3P4BPVXML" localSheetId="5" hidden="1">#REF!</definedName>
    <definedName name="BEx00PBV7V99V7M3LDYUTF31MUFJ" localSheetId="14" hidden="1">#REF!</definedName>
    <definedName name="BEx00PBV7V99V7M3LDYUTF31MUFJ" localSheetId="15" hidden="1">#REF!</definedName>
    <definedName name="BEx00PBV7V99V7M3LDYUTF31MUFJ" localSheetId="5" hidden="1">#REF!</definedName>
    <definedName name="BEx00SMIQJ55EVB7T24CORX0JWQO" localSheetId="14" hidden="1">#REF!</definedName>
    <definedName name="BEx00SMIQJ55EVB7T24CORX0JWQO" localSheetId="15" hidden="1">#REF!</definedName>
    <definedName name="BEx00SMIQJ55EVB7T24CORX0JWQO" localSheetId="5" hidden="1">#REF!</definedName>
    <definedName name="BEx010V7DB7O7Z9NHSX27HZK4H76" localSheetId="14" hidden="1">#REF!</definedName>
    <definedName name="BEx010V7DB7O7Z9NHSX27HZK4H76" localSheetId="15" hidden="1">#REF!</definedName>
    <definedName name="BEx010V7DB7O7Z9NHSX27HZK4H76" localSheetId="5" hidden="1">#REF!</definedName>
    <definedName name="BEx012IKS6YVHG9KTG2FAKRSMYLU" localSheetId="14" hidden="1">#REF!</definedName>
    <definedName name="BEx012IKS6YVHG9KTG2FAKRSMYLU" localSheetId="15" hidden="1">#REF!</definedName>
    <definedName name="BEx012IKS6YVHG9KTG2FAKRSMYLU" localSheetId="5" hidden="1">#REF!</definedName>
    <definedName name="BEx01HY6E3GJ66ABU5ABN26V6Q13" localSheetId="14" hidden="1">#REF!</definedName>
    <definedName name="BEx01HY6E3GJ66ABU5ABN26V6Q13" localSheetId="15" hidden="1">#REF!</definedName>
    <definedName name="BEx01HY6E3GJ66ABU5ABN26V6Q13" localSheetId="5" hidden="1">#REF!</definedName>
    <definedName name="BEx01PW5YQKEGAR8JDDI5OARYXDF" localSheetId="14" hidden="1">#REF!</definedName>
    <definedName name="BEx01PW5YQKEGAR8JDDI5OARYXDF" localSheetId="15" hidden="1">#REF!</definedName>
    <definedName name="BEx01PW5YQKEGAR8JDDI5OARYXDF" localSheetId="5" hidden="1">#REF!</definedName>
    <definedName name="BEx01QCB2ERCAYYOFDP3OQRWUU60" localSheetId="14" hidden="1">#REF!</definedName>
    <definedName name="BEx01QCB2ERCAYYOFDP3OQRWUU60" localSheetId="15" hidden="1">#REF!</definedName>
    <definedName name="BEx01QCB2ERCAYYOFDP3OQRWUU60" localSheetId="5" hidden="1">#REF!</definedName>
    <definedName name="BEx01U37NQSMTGJRU8EGTJORBJ6H" localSheetId="14" hidden="1">#REF!</definedName>
    <definedName name="BEx01U37NQSMTGJRU8EGTJORBJ6H" localSheetId="15" hidden="1">#REF!</definedName>
    <definedName name="BEx01U37NQSMTGJRU8EGTJORBJ6H" localSheetId="5" hidden="1">#REF!</definedName>
    <definedName name="BEx01XJ94SHJ1YQ7ORPW0RQGKI2H" localSheetId="14" hidden="1">#REF!</definedName>
    <definedName name="BEx01XJ94SHJ1YQ7ORPW0RQGKI2H" localSheetId="15" hidden="1">#REF!</definedName>
    <definedName name="BEx01XJ94SHJ1YQ7ORPW0RQGKI2H" localSheetId="5" hidden="1">#REF!</definedName>
    <definedName name="BEx028BOZCS2MQO9MODVS6F7NCA3" localSheetId="14" hidden="1">#REF!</definedName>
    <definedName name="BEx028BOZCS2MQO9MODVS6F7NCA3" localSheetId="15" hidden="1">#REF!</definedName>
    <definedName name="BEx028BOZCS2MQO9MODVS6F7NCA3" localSheetId="5" hidden="1">#REF!</definedName>
    <definedName name="BEx02DPUYNH76938V8GVORY8LRY1" localSheetId="14" hidden="1">#REF!</definedName>
    <definedName name="BEx02DPUYNH76938V8GVORY8LRY1" localSheetId="15" hidden="1">#REF!</definedName>
    <definedName name="BEx02DPUYNH76938V8GVORY8LRY1" localSheetId="5" hidden="1">#REF!</definedName>
    <definedName name="BEx02PEP6DY4K1JGB0HHS3B6QOGZ" localSheetId="14" hidden="1">#REF!</definedName>
    <definedName name="BEx02PEP6DY4K1JGB0HHS3B6QOGZ" localSheetId="15" hidden="1">#REF!</definedName>
    <definedName name="BEx02PEP6DY4K1JGB0HHS3B6QOGZ" localSheetId="5" hidden="1">#REF!</definedName>
    <definedName name="BEx02Q08R9G839Q4RFGG9026C7PX" localSheetId="14" hidden="1">#REF!</definedName>
    <definedName name="BEx02Q08R9G839Q4RFGG9026C7PX" localSheetId="15" hidden="1">#REF!</definedName>
    <definedName name="BEx02Q08R9G839Q4RFGG9026C7PX" localSheetId="5" hidden="1">#REF!</definedName>
    <definedName name="BEx02SEL3Z1QWGAHXDPUA9WLTTPS" localSheetId="14" hidden="1">#REF!</definedName>
    <definedName name="BEx02SEL3Z1QWGAHXDPUA9WLTTPS" localSheetId="15" hidden="1">#REF!</definedName>
    <definedName name="BEx02SEL3Z1QWGAHXDPUA9WLTTPS" localSheetId="5" hidden="1">#REF!</definedName>
    <definedName name="BEx02Y3KJZH5BGDM9QEZ1PVVI114" localSheetId="14" hidden="1">#REF!</definedName>
    <definedName name="BEx02Y3KJZH5BGDM9QEZ1PVVI114" localSheetId="15" hidden="1">#REF!</definedName>
    <definedName name="BEx02Y3KJZH5BGDM9QEZ1PVVI114" localSheetId="5" hidden="1">#REF!</definedName>
    <definedName name="BEx0313GRLLASDTVPW5DHTXHE74M" localSheetId="14" hidden="1">#REF!</definedName>
    <definedName name="BEx0313GRLLASDTVPW5DHTXHE74M" localSheetId="15" hidden="1">#REF!</definedName>
    <definedName name="BEx0313GRLLASDTVPW5DHTXHE74M" localSheetId="5" hidden="1">#REF!</definedName>
    <definedName name="BEx1F0SOZ3H5XUHXD7O01TCR8T6J" localSheetId="14" hidden="1">#REF!</definedName>
    <definedName name="BEx1F0SOZ3H5XUHXD7O01TCR8T6J" localSheetId="15" hidden="1">#REF!</definedName>
    <definedName name="BEx1F0SOZ3H5XUHXD7O01TCR8T6J" localSheetId="5" hidden="1">#REF!</definedName>
    <definedName name="BEx1F9HL824UCNCVZ2U62J4KZCX8" localSheetId="14" hidden="1">#REF!</definedName>
    <definedName name="BEx1F9HL824UCNCVZ2U62J4KZCX8" localSheetId="15" hidden="1">#REF!</definedName>
    <definedName name="BEx1F9HL824UCNCVZ2U62J4KZCX8" localSheetId="5" hidden="1">#REF!</definedName>
    <definedName name="BEx1FEVSJKTI1Q1Z874QZVFSJSVA" localSheetId="14" hidden="1">#REF!</definedName>
    <definedName name="BEx1FEVSJKTI1Q1Z874QZVFSJSVA" localSheetId="15" hidden="1">#REF!</definedName>
    <definedName name="BEx1FEVSJKTI1Q1Z874QZVFSJSVA" localSheetId="5" hidden="1">#REF!</definedName>
    <definedName name="BEx1FGDRUHHLI1GBHELT4PK0LY4V" localSheetId="14" hidden="1">#REF!</definedName>
    <definedName name="BEx1FGDRUHHLI1GBHELT4PK0LY4V" localSheetId="15" hidden="1">#REF!</definedName>
    <definedName name="BEx1FGDRUHHLI1GBHELT4PK0LY4V" localSheetId="5" hidden="1">#REF!</definedName>
    <definedName name="BEx1FJZ7GKO99IYTP6GGGF7EUL3Z" localSheetId="14" hidden="1">#REF!</definedName>
    <definedName name="BEx1FJZ7GKO99IYTP6GGGF7EUL3Z" localSheetId="15" hidden="1">#REF!</definedName>
    <definedName name="BEx1FJZ7GKO99IYTP6GGGF7EUL3Z" localSheetId="5" hidden="1">#REF!</definedName>
    <definedName name="BEx1FPDH0YKYQXDHUTFIQLIF34J8" localSheetId="14" hidden="1">#REF!</definedName>
    <definedName name="BEx1FPDH0YKYQXDHUTFIQLIF34J8" localSheetId="15" hidden="1">#REF!</definedName>
    <definedName name="BEx1FPDH0YKYQXDHUTFIQLIF34J8" localSheetId="5" hidden="1">#REF!</definedName>
    <definedName name="BEx1FQ9SZAGL2HEKRB046EOQDWOX" localSheetId="14" hidden="1">#REF!</definedName>
    <definedName name="BEx1FQ9SZAGL2HEKRB046EOQDWOX" localSheetId="15" hidden="1">#REF!</definedName>
    <definedName name="BEx1FQ9SZAGL2HEKRB046EOQDWOX" localSheetId="5" hidden="1">#REF!</definedName>
    <definedName name="BEx1FZV2CM77TBH1R6YYV9P06KA2" localSheetId="14" hidden="1">#REF!</definedName>
    <definedName name="BEx1FZV2CM77TBH1R6YYV9P06KA2" localSheetId="15" hidden="1">#REF!</definedName>
    <definedName name="BEx1FZV2CM77TBH1R6YYV9P06KA2" localSheetId="5" hidden="1">#REF!</definedName>
    <definedName name="BEx1G59AY8195JTUM6P18VXUFJ3E" localSheetId="14" hidden="1">#REF!</definedName>
    <definedName name="BEx1G59AY8195JTUM6P18VXUFJ3E" localSheetId="15" hidden="1">#REF!</definedName>
    <definedName name="BEx1G59AY8195JTUM6P18VXUFJ3E" localSheetId="5" hidden="1">#REF!</definedName>
    <definedName name="BEx1GKUDMCV60BOZT0SENCT0MD8L" localSheetId="14" hidden="1">#REF!</definedName>
    <definedName name="BEx1GKUDMCV60BOZT0SENCT0MD8L" localSheetId="15" hidden="1">#REF!</definedName>
    <definedName name="BEx1GKUDMCV60BOZT0SENCT0MD8L" localSheetId="5" hidden="1">#REF!</definedName>
    <definedName name="BEx1GUVQ5L0JCX3E4SROI4WBYVTO" localSheetId="14" hidden="1">#REF!</definedName>
    <definedName name="BEx1GUVQ5L0JCX3E4SROI4WBYVTO" localSheetId="15" hidden="1">#REF!</definedName>
    <definedName name="BEx1GUVQ5L0JCX3E4SROI4WBYVTO" localSheetId="5" hidden="1">#REF!</definedName>
    <definedName name="BEx1GVMRHFXUP6XYYY9NR12PV5TF" localSheetId="14" hidden="1">#REF!</definedName>
    <definedName name="BEx1GVMRHFXUP6XYYY9NR12PV5TF" localSheetId="15" hidden="1">#REF!</definedName>
    <definedName name="BEx1GVMRHFXUP6XYYY9NR12PV5TF" localSheetId="5" hidden="1">#REF!</definedName>
    <definedName name="BEx1H6KIT7BHUH6MDDWC935V9N47" localSheetId="14" hidden="1">#REF!</definedName>
    <definedName name="BEx1H6KIT7BHUH6MDDWC935V9N47" localSheetId="15" hidden="1">#REF!</definedName>
    <definedName name="BEx1H6KIT7BHUH6MDDWC935V9N47" localSheetId="5" hidden="1">#REF!</definedName>
    <definedName name="BEx1HA60AI3STEJQZAQ0RA3Q3AZV" localSheetId="14" hidden="1">#REF!</definedName>
    <definedName name="BEx1HA60AI3STEJQZAQ0RA3Q3AZV" localSheetId="15" hidden="1">#REF!</definedName>
    <definedName name="BEx1HA60AI3STEJQZAQ0RA3Q3AZV" localSheetId="5" hidden="1">#REF!</definedName>
    <definedName name="BEx1HB2DBVO5N6V2WX7BEHUFYTFU" localSheetId="14" hidden="1">#REF!</definedName>
    <definedName name="BEx1HB2DBVO5N6V2WX7BEHUFYTFU" localSheetId="15" hidden="1">#REF!</definedName>
    <definedName name="BEx1HB2DBVO5N6V2WX7BEHUFYTFU" localSheetId="5" hidden="1">#REF!</definedName>
    <definedName name="BEx1HDGOOJ3SKHYMWUZJ1P0RQZ9N" localSheetId="14" hidden="1">#REF!</definedName>
    <definedName name="BEx1HDGOOJ3SKHYMWUZJ1P0RQZ9N" localSheetId="15" hidden="1">#REF!</definedName>
    <definedName name="BEx1HDGOOJ3SKHYMWUZJ1P0RQZ9N" localSheetId="5" hidden="1">#REF!</definedName>
    <definedName name="BEx1HDM5ZXSJG6JQEMSFV52PZ10V" localSheetId="14" hidden="1">#REF!</definedName>
    <definedName name="BEx1HDM5ZXSJG6JQEMSFV52PZ10V" localSheetId="15" hidden="1">#REF!</definedName>
    <definedName name="BEx1HDM5ZXSJG6JQEMSFV52PZ10V" localSheetId="5" hidden="1">#REF!</definedName>
    <definedName name="BEx1HETBBZVN5F43LKOFMC4QB0CR" localSheetId="14" hidden="1">#REF!</definedName>
    <definedName name="BEx1HETBBZVN5F43LKOFMC4QB0CR" localSheetId="15" hidden="1">#REF!</definedName>
    <definedName name="BEx1HETBBZVN5F43LKOFMC4QB0CR" localSheetId="5" hidden="1">#REF!</definedName>
    <definedName name="BEx1HGWNWPLNXICOTP90TKQVVE4E" localSheetId="14" hidden="1">#REF!</definedName>
    <definedName name="BEx1HGWNWPLNXICOTP90TKQVVE4E" localSheetId="15" hidden="1">#REF!</definedName>
    <definedName name="BEx1HGWNWPLNXICOTP90TKQVVE4E" localSheetId="5" hidden="1">#REF!</definedName>
    <definedName name="BEx1HIPLJZABY0EMUOTZN0EQMDPU" localSheetId="14" hidden="1">#REF!</definedName>
    <definedName name="BEx1HIPLJZABY0EMUOTZN0EQMDPU" localSheetId="15" hidden="1">#REF!</definedName>
    <definedName name="BEx1HIPLJZABY0EMUOTZN0EQMDPU" localSheetId="5" hidden="1">#REF!</definedName>
    <definedName name="BEx1HO94JIRX219MPWMB5E5XZ04X" localSheetId="14" hidden="1">#REF!</definedName>
    <definedName name="BEx1HO94JIRX219MPWMB5E5XZ04X" localSheetId="15" hidden="1">#REF!</definedName>
    <definedName name="BEx1HO94JIRX219MPWMB5E5XZ04X" localSheetId="5" hidden="1">#REF!</definedName>
    <definedName name="BEx1HQNF6KHM21E3XLW0NMSSEI9S" localSheetId="14" hidden="1">#REF!</definedName>
    <definedName name="BEx1HQNF6KHM21E3XLW0NMSSEI9S" localSheetId="15" hidden="1">#REF!</definedName>
    <definedName name="BEx1HQNF6KHM21E3XLW0NMSSEI9S" localSheetId="5" hidden="1">#REF!</definedName>
    <definedName name="BEx1HSLNWIW4S97ZBYY7I7M5YVH4" localSheetId="14" hidden="1">#REF!</definedName>
    <definedName name="BEx1HSLNWIW4S97ZBYY7I7M5YVH4" localSheetId="15" hidden="1">#REF!</definedName>
    <definedName name="BEx1HSLNWIW4S97ZBYY7I7M5YVH4" localSheetId="5" hidden="1">#REF!</definedName>
    <definedName name="BEx1HZCBBWLB2BTNOXP319ZDEVOJ" localSheetId="14" hidden="1">#REF!</definedName>
    <definedName name="BEx1HZCBBWLB2BTNOXP319ZDEVOJ" localSheetId="15" hidden="1">#REF!</definedName>
    <definedName name="BEx1HZCBBWLB2BTNOXP319ZDEVOJ" localSheetId="5" hidden="1">#REF!</definedName>
    <definedName name="BEx1I4QKTILCKZUSOJCVZN7SNHL5" localSheetId="14" hidden="1">#REF!</definedName>
    <definedName name="BEx1I4QKTILCKZUSOJCVZN7SNHL5" localSheetId="15" hidden="1">#REF!</definedName>
    <definedName name="BEx1I4QKTILCKZUSOJCVZN7SNHL5" localSheetId="5" hidden="1">#REF!</definedName>
    <definedName name="BEx1IE0ZP7RIFM9FI24S9I6AAJ14" localSheetId="14" hidden="1">#REF!</definedName>
    <definedName name="BEx1IE0ZP7RIFM9FI24S9I6AAJ14" localSheetId="15" hidden="1">#REF!</definedName>
    <definedName name="BEx1IE0ZP7RIFM9FI24S9I6AAJ14" localSheetId="5" hidden="1">#REF!</definedName>
    <definedName name="BEx1IGQ5B697MNDOE06MVSR0H58E" localSheetId="14" hidden="1">#REF!</definedName>
    <definedName name="BEx1IGQ5B697MNDOE06MVSR0H58E" localSheetId="15" hidden="1">#REF!</definedName>
    <definedName name="BEx1IGQ5B697MNDOE06MVSR0H58E" localSheetId="5" hidden="1">#REF!</definedName>
    <definedName name="BEx1IKRPW8MLB9Y485M1TL2IT9SH" localSheetId="14" hidden="1">#REF!</definedName>
    <definedName name="BEx1IKRPW8MLB9Y485M1TL2IT9SH" localSheetId="15" hidden="1">#REF!</definedName>
    <definedName name="BEx1IKRPW8MLB9Y485M1TL2IT9SH" localSheetId="5" hidden="1">#REF!</definedName>
    <definedName name="BEx1IPKCFCT3TL9MSO1LSYJ2VJ2X" localSheetId="14" hidden="1">#REF!</definedName>
    <definedName name="BEx1IPKCFCT3TL9MSO1LSYJ2VJ2X" localSheetId="15" hidden="1">#REF!</definedName>
    <definedName name="BEx1IPKCFCT3TL9MSO1LSYJ2VJ2X" localSheetId="5" hidden="1">#REF!</definedName>
    <definedName name="BEx1IW5PQTTMD62XZ287XF2O3FBQ" localSheetId="14" hidden="1">#REF!</definedName>
    <definedName name="BEx1IW5PQTTMD62XZ287XF2O3FBQ" localSheetId="15" hidden="1">#REF!</definedName>
    <definedName name="BEx1IW5PQTTMD62XZ287XF2O3FBQ" localSheetId="5" hidden="1">#REF!</definedName>
    <definedName name="BEx1J0CSSHDJGBJUHVOEMCF2P4DL" localSheetId="14" hidden="1">#REF!</definedName>
    <definedName name="BEx1J0CSSHDJGBJUHVOEMCF2P4DL" localSheetId="15" hidden="1">#REF!</definedName>
    <definedName name="BEx1J0CSSHDJGBJUHVOEMCF2P4DL" localSheetId="5" hidden="1">#REF!</definedName>
    <definedName name="BEx1J0NL6D3ILC18B48AL0VNEN9A" localSheetId="14" hidden="1">#REF!</definedName>
    <definedName name="BEx1J0NL6D3ILC18B48AL0VNEN9A" localSheetId="15" hidden="1">#REF!</definedName>
    <definedName name="BEx1J0NL6D3ILC18B48AL0VNEN9A" localSheetId="5" hidden="1">#REF!</definedName>
    <definedName name="BEx1J7E8VCGLPYU82QXVUG5N3ZAI" localSheetId="14" hidden="1">#REF!</definedName>
    <definedName name="BEx1J7E8VCGLPYU82QXVUG5N3ZAI" localSheetId="15" hidden="1">#REF!</definedName>
    <definedName name="BEx1J7E8VCGLPYU82QXVUG5N3ZAI" localSheetId="5" hidden="1">#REF!</definedName>
    <definedName name="BEx1JGE2YQWH8S25USOY08XVGO0D" localSheetId="14" hidden="1">#REF!</definedName>
    <definedName name="BEx1JGE2YQWH8S25USOY08XVGO0D" localSheetId="15" hidden="1">#REF!</definedName>
    <definedName name="BEx1JGE2YQWH8S25USOY08XVGO0D" localSheetId="5" hidden="1">#REF!</definedName>
    <definedName name="BEx1JJJC9T1W7HY4V7HP1S1W4JO1" localSheetId="14" hidden="1">#REF!</definedName>
    <definedName name="BEx1JJJC9T1W7HY4V7HP1S1W4JO1" localSheetId="15" hidden="1">#REF!</definedName>
    <definedName name="BEx1JJJC9T1W7HY4V7HP1S1W4JO1" localSheetId="5" hidden="1">#REF!</definedName>
    <definedName name="BEx1JKKZSJ7DI4PTFVI9VVFMB1X2" localSheetId="14" hidden="1">#REF!</definedName>
    <definedName name="BEx1JKKZSJ7DI4PTFVI9VVFMB1X2" localSheetId="15" hidden="1">#REF!</definedName>
    <definedName name="BEx1JKKZSJ7DI4PTFVI9VVFMB1X2" localSheetId="5" hidden="1">#REF!</definedName>
    <definedName name="BEx1JUBQFRVMASSFK4B3V0AD7YP9" localSheetId="14" hidden="1">#REF!</definedName>
    <definedName name="BEx1JUBQFRVMASSFK4B3V0AD7YP9" localSheetId="15" hidden="1">#REF!</definedName>
    <definedName name="BEx1JUBQFRVMASSFK4B3V0AD7YP9" localSheetId="5" hidden="1">#REF!</definedName>
    <definedName name="BEx1JVTOATZGRJFXGXPJJLC4DOBE" localSheetId="14" hidden="1">#REF!</definedName>
    <definedName name="BEx1JVTOATZGRJFXGXPJJLC4DOBE" localSheetId="15" hidden="1">#REF!</definedName>
    <definedName name="BEx1JVTOATZGRJFXGXPJJLC4DOBE" localSheetId="5" hidden="1">#REF!</definedName>
    <definedName name="BEx1JXBM5W4YRWNQ0P95QQS6JWD6" localSheetId="14" hidden="1">#REF!</definedName>
    <definedName name="BEx1JXBM5W4YRWNQ0P95QQS6JWD6" localSheetId="15" hidden="1">#REF!</definedName>
    <definedName name="BEx1JXBM5W4YRWNQ0P95QQS6JWD6" localSheetId="5" hidden="1">#REF!</definedName>
    <definedName name="BEx1KGY9QEHZ9QSARMQUTQKRK4UX" localSheetId="14" hidden="1">#REF!</definedName>
    <definedName name="BEx1KGY9QEHZ9QSARMQUTQKRK4UX" localSheetId="15" hidden="1">#REF!</definedName>
    <definedName name="BEx1KGY9QEHZ9QSARMQUTQKRK4UX" localSheetId="5" hidden="1">#REF!</definedName>
    <definedName name="BEx1KIWH5MOLR00SBECT39NS3AJ1" localSheetId="14" hidden="1">#REF!</definedName>
    <definedName name="BEx1KIWH5MOLR00SBECT39NS3AJ1" localSheetId="15" hidden="1">#REF!</definedName>
    <definedName name="BEx1KIWH5MOLR00SBECT39NS3AJ1" localSheetId="5" hidden="1">#REF!</definedName>
    <definedName name="BEx1KKP1ELIF2UII2FWVGL7M1X7J" localSheetId="14" hidden="1">#REF!</definedName>
    <definedName name="BEx1KKP1ELIF2UII2FWVGL7M1X7J" localSheetId="15" hidden="1">#REF!</definedName>
    <definedName name="BEx1KKP1ELIF2UII2FWVGL7M1X7J" localSheetId="5" hidden="1">#REF!</definedName>
    <definedName name="BEx1KQJKIAPZKE9YDYH5HKXX52FM" localSheetId="14" hidden="1">#REF!</definedName>
    <definedName name="BEx1KQJKIAPZKE9YDYH5HKXX52FM" localSheetId="15" hidden="1">#REF!</definedName>
    <definedName name="BEx1KQJKIAPZKE9YDYH5HKXX52FM" localSheetId="5" hidden="1">#REF!</definedName>
    <definedName name="BEx1KUVWMB0QCWA3RBE4CADFVRIS" localSheetId="14" hidden="1">#REF!</definedName>
    <definedName name="BEx1KUVWMB0QCWA3RBE4CADFVRIS" localSheetId="15" hidden="1">#REF!</definedName>
    <definedName name="BEx1KUVWMB0QCWA3RBE4CADFVRIS" localSheetId="5" hidden="1">#REF!</definedName>
    <definedName name="BEx1L0AAH7PV8PPQQDBP5AI4TLYP" localSheetId="14" hidden="1">#REF!</definedName>
    <definedName name="BEx1L0AAH7PV8PPQQDBP5AI4TLYP" localSheetId="15" hidden="1">#REF!</definedName>
    <definedName name="BEx1L0AAH7PV8PPQQDBP5AI4TLYP" localSheetId="5" hidden="1">#REF!</definedName>
    <definedName name="BEx1L2OG1SDFK2TPXELJ77YP4NI2" localSheetId="14" hidden="1">#REF!</definedName>
    <definedName name="BEx1L2OG1SDFK2TPXELJ77YP4NI2" localSheetId="15" hidden="1">#REF!</definedName>
    <definedName name="BEx1L2OG1SDFK2TPXELJ77YP4NI2" localSheetId="5" hidden="1">#REF!</definedName>
    <definedName name="BEx1L6Q60MWRDJB4L20LK0XPA0Z2" localSheetId="14" hidden="1">#REF!</definedName>
    <definedName name="BEx1L6Q60MWRDJB4L20LK0XPA0Z2" localSheetId="15" hidden="1">#REF!</definedName>
    <definedName name="BEx1L6Q60MWRDJB4L20LK0XPA0Z2" localSheetId="5" hidden="1">#REF!</definedName>
    <definedName name="BEx1L7BSEFOLQDNZWMLUNBRO08T4" localSheetId="14" hidden="1">#REF!</definedName>
    <definedName name="BEx1L7BSEFOLQDNZWMLUNBRO08T4" localSheetId="15" hidden="1">#REF!</definedName>
    <definedName name="BEx1L7BSEFOLQDNZWMLUNBRO08T4" localSheetId="5" hidden="1">#REF!</definedName>
    <definedName name="BEx1LD63FP2Z4BR9TKSHOZW9KKZ5" localSheetId="14" hidden="1">#REF!</definedName>
    <definedName name="BEx1LD63FP2Z4BR9TKSHOZW9KKZ5" localSheetId="15" hidden="1">#REF!</definedName>
    <definedName name="BEx1LD63FP2Z4BR9TKSHOZW9KKZ5" localSheetId="5" hidden="1">#REF!</definedName>
    <definedName name="BEx1LDMB9RW982DUILM2WPT5VWQ3" localSheetId="14" hidden="1">#REF!</definedName>
    <definedName name="BEx1LDMB9RW982DUILM2WPT5VWQ3" localSheetId="15" hidden="1">#REF!</definedName>
    <definedName name="BEx1LDMB9RW982DUILM2WPT5VWQ3" localSheetId="5" hidden="1">#REF!</definedName>
    <definedName name="BEx1LFF2UQ13XL4X1I2WBD73NZ21" localSheetId="14" hidden="1">#REF!</definedName>
    <definedName name="BEx1LFF2UQ13XL4X1I2WBD73NZ21" localSheetId="15" hidden="1">#REF!</definedName>
    <definedName name="BEx1LFF2UQ13XL4X1I2WBD73NZ21" localSheetId="5" hidden="1">#REF!</definedName>
    <definedName name="BEx1LKTB33LO23ACTADIVRY7ZNFC" localSheetId="14" hidden="1">#REF!</definedName>
    <definedName name="BEx1LKTB33LO23ACTADIVRY7ZNFC" localSheetId="15" hidden="1">#REF!</definedName>
    <definedName name="BEx1LKTB33LO23ACTADIVRY7ZNFC" localSheetId="5" hidden="1">#REF!</definedName>
    <definedName name="BEx1LQNKVZAXGSEPDAM8AWU2FHHJ" localSheetId="14" hidden="1">#REF!</definedName>
    <definedName name="BEx1LQNKVZAXGSEPDAM8AWU2FHHJ" localSheetId="15" hidden="1">#REF!</definedName>
    <definedName name="BEx1LQNKVZAXGSEPDAM8AWU2FHHJ" localSheetId="5" hidden="1">#REF!</definedName>
    <definedName name="BEx1LRPGDQCOEMW8YT80J1XCDCIV" localSheetId="14" hidden="1">#REF!</definedName>
    <definedName name="BEx1LRPGDQCOEMW8YT80J1XCDCIV" localSheetId="15" hidden="1">#REF!</definedName>
    <definedName name="BEx1LRPGDQCOEMW8YT80J1XCDCIV" localSheetId="5" hidden="1">#REF!</definedName>
    <definedName name="BEx1LRUSJW4JG54X07QWD9R27WV9" localSheetId="14" hidden="1">#REF!</definedName>
    <definedName name="BEx1LRUSJW4JG54X07QWD9R27WV9" localSheetId="15" hidden="1">#REF!</definedName>
    <definedName name="BEx1LRUSJW4JG54X07QWD9R27WV9" localSheetId="5" hidden="1">#REF!</definedName>
    <definedName name="BEx1M1WBK5T0LP1AK2JYV6W87ID6" localSheetId="14" hidden="1">#REF!</definedName>
    <definedName name="BEx1M1WBK5T0LP1AK2JYV6W87ID6" localSheetId="15" hidden="1">#REF!</definedName>
    <definedName name="BEx1M1WBK5T0LP1AK2JYV6W87ID6" localSheetId="5" hidden="1">#REF!</definedName>
    <definedName name="BEx1M51HHDYGIT8PON7U8ICL2S95" localSheetId="14" hidden="1">#REF!</definedName>
    <definedName name="BEx1M51HHDYGIT8PON7U8ICL2S95" localSheetId="15" hidden="1">#REF!</definedName>
    <definedName name="BEx1M51HHDYGIT8PON7U8ICL2S95" localSheetId="5" hidden="1">#REF!</definedName>
    <definedName name="BEx1MP4FWKV0QYXE13PX9JSNA270" localSheetId="14" hidden="1">#REF!</definedName>
    <definedName name="BEx1MP4FWKV0QYXE13PX9JSNA270" localSheetId="15" hidden="1">#REF!</definedName>
    <definedName name="BEx1MP4FWKV0QYXE13PX9JSNA270" localSheetId="5" hidden="1">#REF!</definedName>
    <definedName name="BEx1MSV791FSS4CZQKG04NHT3F79" localSheetId="14" hidden="1">#REF!</definedName>
    <definedName name="BEx1MSV791FSS4CZQKG04NHT3F79" localSheetId="15" hidden="1">#REF!</definedName>
    <definedName name="BEx1MSV791FSS4CZQKG04NHT3F79" localSheetId="5" hidden="1">#REF!</definedName>
    <definedName name="BEx1MTRKKVCHOZ0YGID6HZ49LJTO" localSheetId="14" hidden="1">#REF!</definedName>
    <definedName name="BEx1MTRKKVCHOZ0YGID6HZ49LJTO" localSheetId="15" hidden="1">#REF!</definedName>
    <definedName name="BEx1MTRKKVCHOZ0YGID6HZ49LJTO" localSheetId="5" hidden="1">#REF!</definedName>
    <definedName name="BEx1N3CUJ3UX61X38ZAJVPEN4KMC" localSheetId="14" hidden="1">#REF!</definedName>
    <definedName name="BEx1N3CUJ3UX61X38ZAJVPEN4KMC" localSheetId="15" hidden="1">#REF!</definedName>
    <definedName name="BEx1N3CUJ3UX61X38ZAJVPEN4KMC" localSheetId="5" hidden="1">#REF!</definedName>
    <definedName name="BEx1N5R5IJ3CG6CL344F5KWPINEO" localSheetId="14" hidden="1">#REF!</definedName>
    <definedName name="BEx1N5R5IJ3CG6CL344F5KWPINEO" localSheetId="15" hidden="1">#REF!</definedName>
    <definedName name="BEx1N5R5IJ3CG6CL344F5KWPINEO" localSheetId="5" hidden="1">#REF!</definedName>
    <definedName name="BEx1NFCFVPBS7XURQ8Y0BZEGPBVP" localSheetId="14" hidden="1">#REF!</definedName>
    <definedName name="BEx1NFCFVPBS7XURQ8Y0BZEGPBVP" localSheetId="15" hidden="1">#REF!</definedName>
    <definedName name="BEx1NFCFVPBS7XURQ8Y0BZEGPBVP" localSheetId="5" hidden="1">#REF!</definedName>
    <definedName name="BEx1NM34KQTO1LDNSAFD1L82UZFG" localSheetId="14" hidden="1">#REF!</definedName>
    <definedName name="BEx1NM34KQTO1LDNSAFD1L82UZFG" localSheetId="15" hidden="1">#REF!</definedName>
    <definedName name="BEx1NM34KQTO1LDNSAFD1L82UZFG" localSheetId="5" hidden="1">#REF!</definedName>
    <definedName name="BEx1NO6TXZVOGCUWCCRTXRXWW0XL" localSheetId="14" hidden="1">#REF!</definedName>
    <definedName name="BEx1NO6TXZVOGCUWCCRTXRXWW0XL" localSheetId="15" hidden="1">#REF!</definedName>
    <definedName name="BEx1NO6TXZVOGCUWCCRTXRXWW0XL" localSheetId="5" hidden="1">#REF!</definedName>
    <definedName name="BEx1NS8EU5P9FQV3S0WRTXI5L361" localSheetId="14" hidden="1">#REF!</definedName>
    <definedName name="BEx1NS8EU5P9FQV3S0WRTXI5L361" localSheetId="15" hidden="1">#REF!</definedName>
    <definedName name="BEx1NS8EU5P9FQV3S0WRTXI5L361" localSheetId="5" hidden="1">#REF!</definedName>
    <definedName name="BEx1NUBX5VUYZFKQH69FN6BTLWCR" localSheetId="14" hidden="1">#REF!</definedName>
    <definedName name="BEx1NUBX5VUYZFKQH69FN6BTLWCR" localSheetId="15" hidden="1">#REF!</definedName>
    <definedName name="BEx1NUBX5VUYZFKQH69FN6BTLWCR" localSheetId="5" hidden="1">#REF!</definedName>
    <definedName name="BEx1NZ4K1L8UON80Y2A4RASKWGNP" localSheetId="14" hidden="1">#REF!</definedName>
    <definedName name="BEx1NZ4K1L8UON80Y2A4RASKWGNP" localSheetId="15" hidden="1">#REF!</definedName>
    <definedName name="BEx1NZ4K1L8UON80Y2A4RASKWGNP" localSheetId="5" hidden="1">#REF!</definedName>
    <definedName name="BEx1O24FB2CPATAGE3T7L1NBQQO1" localSheetId="14" hidden="1">#REF!</definedName>
    <definedName name="BEx1O24FB2CPATAGE3T7L1NBQQO1" localSheetId="15" hidden="1">#REF!</definedName>
    <definedName name="BEx1O24FB2CPATAGE3T7L1NBQQO1" localSheetId="5" hidden="1">#REF!</definedName>
    <definedName name="BEx1OLAZ915OGYWP0QP1QQWDLCRX" localSheetId="14" hidden="1">#REF!</definedName>
    <definedName name="BEx1OLAZ915OGYWP0QP1QQWDLCRX" localSheetId="15" hidden="1">#REF!</definedName>
    <definedName name="BEx1OLAZ915OGYWP0QP1QQWDLCRX" localSheetId="5" hidden="1">#REF!</definedName>
    <definedName name="BEx1OO5ER042IS6IC4TLDI75JNVH" localSheetId="14" hidden="1">#REF!</definedName>
    <definedName name="BEx1OO5ER042IS6IC4TLDI75JNVH" localSheetId="15" hidden="1">#REF!</definedName>
    <definedName name="BEx1OO5ER042IS6IC4TLDI75JNVH" localSheetId="5" hidden="1">#REF!</definedName>
    <definedName name="BEx1OTE54CBSUT8FWKRALEDCUWN4" localSheetId="14" hidden="1">#REF!</definedName>
    <definedName name="BEx1OTE54CBSUT8FWKRALEDCUWN4" localSheetId="15" hidden="1">#REF!</definedName>
    <definedName name="BEx1OTE54CBSUT8FWKRALEDCUWN4" localSheetId="5" hidden="1">#REF!</definedName>
    <definedName name="BEx1OVSMPADTX95QUOX34KZQ8EDY" localSheetId="14" hidden="1">#REF!</definedName>
    <definedName name="BEx1OVSMPADTX95QUOX34KZQ8EDY" localSheetId="15" hidden="1">#REF!</definedName>
    <definedName name="BEx1OVSMPADTX95QUOX34KZQ8EDY" localSheetId="5" hidden="1">#REF!</definedName>
    <definedName name="BEx1OWJJ0DP4628GCVVRQ9X0DRHQ" localSheetId="14" hidden="1">#REF!</definedName>
    <definedName name="BEx1OWJJ0DP4628GCVVRQ9X0DRHQ" localSheetId="15" hidden="1">#REF!</definedName>
    <definedName name="BEx1OWJJ0DP4628GCVVRQ9X0DRHQ" localSheetId="5" hidden="1">#REF!</definedName>
    <definedName name="BEx1OX544IO9FQJI7YYQGZCEHB3O" localSheetId="14" hidden="1">#REF!</definedName>
    <definedName name="BEx1OX544IO9FQJI7YYQGZCEHB3O" localSheetId="15" hidden="1">#REF!</definedName>
    <definedName name="BEx1OX544IO9FQJI7YYQGZCEHB3O" localSheetId="5" hidden="1">#REF!</definedName>
    <definedName name="BEx1OY6SVEUT2EQ26P7EKEND342G" localSheetId="14" hidden="1">#REF!</definedName>
    <definedName name="BEx1OY6SVEUT2EQ26P7EKEND342G" localSheetId="15" hidden="1">#REF!</definedName>
    <definedName name="BEx1OY6SVEUT2EQ26P7EKEND342G" localSheetId="5" hidden="1">#REF!</definedName>
    <definedName name="BEx1OYN1LPIPI12O9G6F7QAOS9T4" localSheetId="14" hidden="1">#REF!</definedName>
    <definedName name="BEx1OYN1LPIPI12O9G6F7QAOS9T4" localSheetId="15" hidden="1">#REF!</definedName>
    <definedName name="BEx1OYN1LPIPI12O9G6F7QAOS9T4" localSheetId="5" hidden="1">#REF!</definedName>
    <definedName name="BEx1P1HHKJA799O3YZXQAX6KFH58" localSheetId="14" hidden="1">#REF!</definedName>
    <definedName name="BEx1P1HHKJA799O3YZXQAX6KFH58" localSheetId="15" hidden="1">#REF!</definedName>
    <definedName name="BEx1P1HHKJA799O3YZXQAX6KFH58" localSheetId="5" hidden="1">#REF!</definedName>
    <definedName name="BEx1P34W467WGPOXPK292QFJIPHJ" localSheetId="14" hidden="1">#REF!</definedName>
    <definedName name="BEx1P34W467WGPOXPK292QFJIPHJ" localSheetId="15" hidden="1">#REF!</definedName>
    <definedName name="BEx1P34W467WGPOXPK292QFJIPHJ" localSheetId="5" hidden="1">#REF!</definedName>
    <definedName name="BEx1P76FRYAB1BWA5RJS4KOB3G9I" localSheetId="14" hidden="1">#REF!</definedName>
    <definedName name="BEx1P76FRYAB1BWA5RJS4KOB3G9I" localSheetId="15" hidden="1">#REF!</definedName>
    <definedName name="BEx1P76FRYAB1BWA5RJS4KOB3G9I" localSheetId="5" hidden="1">#REF!</definedName>
    <definedName name="BEx1P7S1J4TKGVJ43C2Q2R3M9WRB" localSheetId="14" hidden="1">#REF!</definedName>
    <definedName name="BEx1P7S1J4TKGVJ43C2Q2R3M9WRB" localSheetId="15" hidden="1">#REF!</definedName>
    <definedName name="BEx1P7S1J4TKGVJ43C2Q2R3M9WRB" localSheetId="5" hidden="1">#REF!</definedName>
    <definedName name="BEx1P8OF6WY3IH8SO71KQOU83V3Y" localSheetId="14" hidden="1">#REF!</definedName>
    <definedName name="BEx1P8OF6WY3IH8SO71KQOU83V3Y" localSheetId="15" hidden="1">#REF!</definedName>
    <definedName name="BEx1P8OF6WY3IH8SO71KQOU83V3Y" localSheetId="5" hidden="1">#REF!</definedName>
    <definedName name="BEx1PA11BLPVZM8RC5BL46WX8YB5" localSheetId="14" hidden="1">#REF!</definedName>
    <definedName name="BEx1PA11BLPVZM8RC5BL46WX8YB5" localSheetId="15" hidden="1">#REF!</definedName>
    <definedName name="BEx1PA11BLPVZM8RC5BL46WX8YB5" localSheetId="5" hidden="1">#REF!</definedName>
    <definedName name="BEx1PAMMMZTO2BTR6YLZ9ASMPS4N" localSheetId="14" hidden="1">#REF!</definedName>
    <definedName name="BEx1PAMMMZTO2BTR6YLZ9ASMPS4N" localSheetId="15" hidden="1">#REF!</definedName>
    <definedName name="BEx1PAMMMZTO2BTR6YLZ9ASMPS4N" localSheetId="5" hidden="1">#REF!</definedName>
    <definedName name="BEx1PBZ4BEFIPGMQXT9T8S4PZ2IM" localSheetId="14" hidden="1">#REF!</definedName>
    <definedName name="BEx1PBZ4BEFIPGMQXT9T8S4PZ2IM" localSheetId="15" hidden="1">#REF!</definedName>
    <definedName name="BEx1PBZ4BEFIPGMQXT9T8S4PZ2IM" localSheetId="5" hidden="1">#REF!</definedName>
    <definedName name="BEx1PJMAAUI73DAR3XUON2UMXTBS" localSheetId="14" hidden="1">#REF!</definedName>
    <definedName name="BEx1PJMAAUI73DAR3XUON2UMXTBS" localSheetId="15" hidden="1">#REF!</definedName>
    <definedName name="BEx1PJMAAUI73DAR3XUON2UMXTBS" localSheetId="5" hidden="1">#REF!</definedName>
    <definedName name="BEx1PLF2CFSXBZPVI6CJ534EIJDN" localSheetId="14" hidden="1">#REF!</definedName>
    <definedName name="BEx1PLF2CFSXBZPVI6CJ534EIJDN" localSheetId="15" hidden="1">#REF!</definedName>
    <definedName name="BEx1PLF2CFSXBZPVI6CJ534EIJDN" localSheetId="5" hidden="1">#REF!</definedName>
    <definedName name="BEx1PMWZB2DO6EM9BKLUICZJ65HD" localSheetId="14" hidden="1">#REF!</definedName>
    <definedName name="BEx1PMWZB2DO6EM9BKLUICZJ65HD" localSheetId="15" hidden="1">#REF!</definedName>
    <definedName name="BEx1PMWZB2DO6EM9BKLUICZJ65HD" localSheetId="5" hidden="1">#REF!</definedName>
    <definedName name="BEx1PU3X6U0EVLY9569KVBPAH7XU" localSheetId="14" hidden="1">#REF!</definedName>
    <definedName name="BEx1PU3X6U0EVLY9569KVBPAH7XU" localSheetId="15" hidden="1">#REF!</definedName>
    <definedName name="BEx1PU3X6U0EVLY9569KVBPAH7XU" localSheetId="5" hidden="1">#REF!</definedName>
    <definedName name="BEx1Q9OV5AOW28OUGRFCD3ZFVWC3" localSheetId="14" hidden="1">#REF!</definedName>
    <definedName name="BEx1Q9OV5AOW28OUGRFCD3ZFVWC3" localSheetId="15" hidden="1">#REF!</definedName>
    <definedName name="BEx1Q9OV5AOW28OUGRFCD3ZFVWC3" localSheetId="5" hidden="1">#REF!</definedName>
    <definedName name="BEx1QA54J2A4I7IBQR19BTY28ZMR" localSheetId="14" hidden="1">#REF!</definedName>
    <definedName name="BEx1QA54J2A4I7IBQR19BTY28ZMR" localSheetId="15" hidden="1">#REF!</definedName>
    <definedName name="BEx1QA54J2A4I7IBQR19BTY28ZMR" localSheetId="5" hidden="1">#REF!</definedName>
    <definedName name="BEx1QD50TNYYZ6YO943BWHPB9UD9" localSheetId="14" hidden="1">#REF!</definedName>
    <definedName name="BEx1QD50TNYYZ6YO943BWHPB9UD9" localSheetId="15" hidden="1">#REF!</definedName>
    <definedName name="BEx1QD50TNYYZ6YO943BWHPB9UD9" localSheetId="5" hidden="1">#REF!</definedName>
    <definedName name="BEx1QMQAHG3KQUK59DVM68SWKZIZ" localSheetId="14" hidden="1">#REF!</definedName>
    <definedName name="BEx1QMQAHG3KQUK59DVM68SWKZIZ" localSheetId="15" hidden="1">#REF!</definedName>
    <definedName name="BEx1QMQAHG3KQUK59DVM68SWKZIZ" localSheetId="5" hidden="1">#REF!</definedName>
    <definedName name="BEx1R9YFKJCMSEST8OVCAO5E47FO" localSheetId="14" hidden="1">#REF!</definedName>
    <definedName name="BEx1R9YFKJCMSEST8OVCAO5E47FO" localSheetId="15" hidden="1">#REF!</definedName>
    <definedName name="BEx1R9YFKJCMSEST8OVCAO5E47FO" localSheetId="5" hidden="1">#REF!</definedName>
    <definedName name="BEx1RBGC06B3T52OIC0EQ1KGVP1I" localSheetId="14" hidden="1">#REF!</definedName>
    <definedName name="BEx1RBGC06B3T52OIC0EQ1KGVP1I" localSheetId="15" hidden="1">#REF!</definedName>
    <definedName name="BEx1RBGC06B3T52OIC0EQ1KGVP1I" localSheetId="5" hidden="1">#REF!</definedName>
    <definedName name="BEx1RRC7X4NI1CU4EO5XYE2GVARJ" localSheetId="14" hidden="1">#REF!</definedName>
    <definedName name="BEx1RRC7X4NI1CU4EO5XYE2GVARJ" localSheetId="15" hidden="1">#REF!</definedName>
    <definedName name="BEx1RRC7X4NI1CU4EO5XYE2GVARJ" localSheetId="5" hidden="1">#REF!</definedName>
    <definedName name="BEx1RZA1NCGT832L7EMR7GMF588W" localSheetId="14" hidden="1">#REF!</definedName>
    <definedName name="BEx1RZA1NCGT832L7EMR7GMF588W" localSheetId="15" hidden="1">#REF!</definedName>
    <definedName name="BEx1RZA1NCGT832L7EMR7GMF588W" localSheetId="5" hidden="1">#REF!</definedName>
    <definedName name="BEx1S0XGIPUSZQUCSGWSK10GKW7Y" localSheetId="14" hidden="1">#REF!</definedName>
    <definedName name="BEx1S0XGIPUSZQUCSGWSK10GKW7Y" localSheetId="15" hidden="1">#REF!</definedName>
    <definedName name="BEx1S0XGIPUSZQUCSGWSK10GKW7Y" localSheetId="5" hidden="1">#REF!</definedName>
    <definedName name="BEx1S5VFNKIXHTTCWSV60UC50EZ8" localSheetId="14" hidden="1">#REF!</definedName>
    <definedName name="BEx1S5VFNKIXHTTCWSV60UC50EZ8" localSheetId="15" hidden="1">#REF!</definedName>
    <definedName name="BEx1S5VFNKIXHTTCWSV60UC50EZ8" localSheetId="5" hidden="1">#REF!</definedName>
    <definedName name="BEx1SK3U02H0RGKEYXW7ZMCEOF3V" localSheetId="14" hidden="1">#REF!</definedName>
    <definedName name="BEx1SK3U02H0RGKEYXW7ZMCEOF3V" localSheetId="15" hidden="1">#REF!</definedName>
    <definedName name="BEx1SK3U02H0RGKEYXW7ZMCEOF3V" localSheetId="5" hidden="1">#REF!</definedName>
    <definedName name="BEx1SSNEZINBJT29QVS62VS1THT4" localSheetId="14" hidden="1">#REF!</definedName>
    <definedName name="BEx1SSNEZINBJT29QVS62VS1THT4" localSheetId="15" hidden="1">#REF!</definedName>
    <definedName name="BEx1SSNEZINBJT29QVS62VS1THT4" localSheetId="5" hidden="1">#REF!</definedName>
    <definedName name="BEx1SVNCHNANBJIDIQVB8AFK4HAN" localSheetId="14" hidden="1">#REF!</definedName>
    <definedName name="BEx1SVNCHNANBJIDIQVB8AFK4HAN" localSheetId="15" hidden="1">#REF!</definedName>
    <definedName name="BEx1SVNCHNANBJIDIQVB8AFK4HAN" localSheetId="5" hidden="1">#REF!</definedName>
    <definedName name="BEx1SY74DYVEPAQ9TGGGXKJA025O" localSheetId="14" hidden="1">#REF!</definedName>
    <definedName name="BEx1SY74DYVEPAQ9TGGGXKJA025O" localSheetId="15" hidden="1">#REF!</definedName>
    <definedName name="BEx1SY74DYVEPAQ9TGGGXKJA025O" localSheetId="5" hidden="1">#REF!</definedName>
    <definedName name="BEx1TJ0WLS9O7KNSGIPWTYHDYI1D" localSheetId="14" hidden="1">#REF!</definedName>
    <definedName name="BEx1TJ0WLS9O7KNSGIPWTYHDYI1D" localSheetId="15" hidden="1">#REF!</definedName>
    <definedName name="BEx1TJ0WLS9O7KNSGIPWTYHDYI1D" localSheetId="5" hidden="1">#REF!</definedName>
    <definedName name="BEx1TUPQAYGAI13ZC7FU1FJXFAPM" localSheetId="14" hidden="1">#REF!</definedName>
    <definedName name="BEx1TUPQAYGAI13ZC7FU1FJXFAPM" localSheetId="15" hidden="1">#REF!</definedName>
    <definedName name="BEx1TUPQAYGAI13ZC7FU1FJXFAPM" localSheetId="5" hidden="1">#REF!</definedName>
    <definedName name="BEx1TY0F9W7EOF31FZXITWEYBSRT" localSheetId="14" hidden="1">#REF!</definedName>
    <definedName name="BEx1TY0F9W7EOF31FZXITWEYBSRT" localSheetId="15" hidden="1">#REF!</definedName>
    <definedName name="BEx1TY0F9W7EOF31FZXITWEYBSRT" localSheetId="5" hidden="1">#REF!</definedName>
    <definedName name="BEx1U7WFO8OZKB1EBF4H386JW91L" localSheetId="14" hidden="1">#REF!</definedName>
    <definedName name="BEx1U7WFO8OZKB1EBF4H386JW91L" localSheetId="15" hidden="1">#REF!</definedName>
    <definedName name="BEx1U7WFO8OZKB1EBF4H386JW91L" localSheetId="5" hidden="1">#REF!</definedName>
    <definedName name="BEx1U87938YR9N6HYI24KVBKLOS3" localSheetId="14" hidden="1">#REF!</definedName>
    <definedName name="BEx1U87938YR9N6HYI24KVBKLOS3" localSheetId="15" hidden="1">#REF!</definedName>
    <definedName name="BEx1U87938YR9N6HYI24KVBKLOS3" localSheetId="5" hidden="1">#REF!</definedName>
    <definedName name="BEx1U9P6VQWSVRICLZR9DYRMN61U" localSheetId="14" hidden="1">#REF!</definedName>
    <definedName name="BEx1U9P6VQWSVRICLZR9DYRMN61U" localSheetId="15" hidden="1">#REF!</definedName>
    <definedName name="BEx1U9P6VQWSVRICLZR9DYRMN61U" localSheetId="5" hidden="1">#REF!</definedName>
    <definedName name="BEx1UESH4KDWHYESQU2IE55RS3LI" localSheetId="14" hidden="1">#REF!</definedName>
    <definedName name="BEx1UESH4KDWHYESQU2IE55RS3LI" localSheetId="15" hidden="1">#REF!</definedName>
    <definedName name="BEx1UESH4KDWHYESQU2IE55RS3LI" localSheetId="5" hidden="1">#REF!</definedName>
    <definedName name="BEx1UI8N9KTCPSOJ7RDW0T8UEBNP" localSheetId="14" hidden="1">#REF!</definedName>
    <definedName name="BEx1UI8N9KTCPSOJ7RDW0T8UEBNP" localSheetId="15" hidden="1">#REF!</definedName>
    <definedName name="BEx1UI8N9KTCPSOJ7RDW0T8UEBNP" localSheetId="5" hidden="1">#REF!</definedName>
    <definedName name="BEx1UML0HHJFHA5TBOYQ24I3RV1W" localSheetId="14" hidden="1">#REF!</definedName>
    <definedName name="BEx1UML0HHJFHA5TBOYQ24I3RV1W" localSheetId="15" hidden="1">#REF!</definedName>
    <definedName name="BEx1UML0HHJFHA5TBOYQ24I3RV1W" localSheetId="5" hidden="1">#REF!</definedName>
    <definedName name="BEx1UO8ENOJNYCNX5Z95TBIJ3MKP" localSheetId="14" hidden="1">#REF!</definedName>
    <definedName name="BEx1UO8ENOJNYCNX5Z95TBIJ3MKP" localSheetId="15" hidden="1">#REF!</definedName>
    <definedName name="BEx1UO8ENOJNYCNX5Z95TBIJ3MKP" localSheetId="5" hidden="1">#REF!</definedName>
    <definedName name="BEx1UUDIQPZ23XQ79GUL0RAWRSCK" localSheetId="14" hidden="1">#REF!</definedName>
    <definedName name="BEx1UUDIQPZ23XQ79GUL0RAWRSCK" localSheetId="15" hidden="1">#REF!</definedName>
    <definedName name="BEx1UUDIQPZ23XQ79GUL0RAWRSCK" localSheetId="5" hidden="1">#REF!</definedName>
    <definedName name="BEx1V67SEV778NVW68J8W5SND1J7" localSheetId="14" hidden="1">#REF!</definedName>
    <definedName name="BEx1V67SEV778NVW68J8W5SND1J7" localSheetId="15" hidden="1">#REF!</definedName>
    <definedName name="BEx1V67SEV778NVW68J8W5SND1J7" localSheetId="5" hidden="1">#REF!</definedName>
    <definedName name="BEx1VIY9SQLRESD11CC4PHYT0XSG" localSheetId="14" hidden="1">#REF!</definedName>
    <definedName name="BEx1VIY9SQLRESD11CC4PHYT0XSG" localSheetId="15" hidden="1">#REF!</definedName>
    <definedName name="BEx1VIY9SQLRESD11CC4PHYT0XSG" localSheetId="5" hidden="1">#REF!</definedName>
    <definedName name="BEx1W3170EJU6QEJR4F8E2ULUU2U" localSheetId="14" hidden="1">#REF!</definedName>
    <definedName name="BEx1W3170EJU6QEJR4F8E2ULUU2U" localSheetId="15" hidden="1">#REF!</definedName>
    <definedName name="BEx1W3170EJU6QEJR4F8E2ULUU2U" localSheetId="5" hidden="1">#REF!</definedName>
    <definedName name="BEx1WC67EH10SC38QWX3WEA5KH3A" localSheetId="14" hidden="1">#REF!</definedName>
    <definedName name="BEx1WC67EH10SC38QWX3WEA5KH3A" localSheetId="15" hidden="1">#REF!</definedName>
    <definedName name="BEx1WC67EH10SC38QWX3WEA5KH3A" localSheetId="5" hidden="1">#REF!</definedName>
    <definedName name="BEx1WDTMC6W73PJPTY0JYLKOA883" localSheetId="14" hidden="1">#REF!</definedName>
    <definedName name="BEx1WDTMC6W73PJPTY0JYLKOA883" localSheetId="15" hidden="1">#REF!</definedName>
    <definedName name="BEx1WDTMC6W73PJPTY0JYLKOA883" localSheetId="5" hidden="1">#REF!</definedName>
    <definedName name="BEx1WGYTKZZIPM1577W5FEYKFH3V" localSheetId="14" hidden="1">#REF!</definedName>
    <definedName name="BEx1WGYTKZZIPM1577W5FEYKFH3V" localSheetId="15" hidden="1">#REF!</definedName>
    <definedName name="BEx1WGYTKZZIPM1577W5FEYKFH3V" localSheetId="5" hidden="1">#REF!</definedName>
    <definedName name="BEx1WHPURIV3D3PTJJ359H1OP7ZV" localSheetId="14" hidden="1">#REF!</definedName>
    <definedName name="BEx1WHPURIV3D3PTJJ359H1OP7ZV" localSheetId="15" hidden="1">#REF!</definedName>
    <definedName name="BEx1WHPURIV3D3PTJJ359H1OP7ZV" localSheetId="5" hidden="1">#REF!</definedName>
    <definedName name="BEx1WLBBR45RLDQX9FCLJWUUQX5R" localSheetId="14" hidden="1">#REF!</definedName>
    <definedName name="BEx1WLBBR45RLDQX9FCLJWUUQX5R" localSheetId="15" hidden="1">#REF!</definedName>
    <definedName name="BEx1WLBBR45RLDQX9FCLJWUUQX5R" localSheetId="5" hidden="1">#REF!</definedName>
    <definedName name="BEx1WLWY2CR1WRD694JJSWSDFAIR" localSheetId="14" hidden="1">#REF!</definedName>
    <definedName name="BEx1WLWY2CR1WRD694JJSWSDFAIR" localSheetId="15" hidden="1">#REF!</definedName>
    <definedName name="BEx1WLWY2CR1WRD694JJSWSDFAIR" localSheetId="5" hidden="1">#REF!</definedName>
    <definedName name="BEx1WMD1LWPWRIK6GGAJRJAHJM8I" localSheetId="14" hidden="1">#REF!</definedName>
    <definedName name="BEx1WMD1LWPWRIK6GGAJRJAHJM8I" localSheetId="15" hidden="1">#REF!</definedName>
    <definedName name="BEx1WMD1LWPWRIK6GGAJRJAHJM8I" localSheetId="5" hidden="1">#REF!</definedName>
    <definedName name="BEx1WR0D41MR174LBF3P9E3K0J51" localSheetId="14" hidden="1">#REF!</definedName>
    <definedName name="BEx1WR0D41MR174LBF3P9E3K0J51" localSheetId="15" hidden="1">#REF!</definedName>
    <definedName name="BEx1WR0D41MR174LBF3P9E3K0J51" localSheetId="5" hidden="1">#REF!</definedName>
    <definedName name="BEx1WT3VU2F7OSUQZHBIV4KTTFJ4" localSheetId="14" hidden="1">#REF!</definedName>
    <definedName name="BEx1WT3VU2F7OSUQZHBIV4KTTFJ4" localSheetId="15" hidden="1">#REF!</definedName>
    <definedName name="BEx1WT3VU2F7OSUQZHBIV4KTTFJ4" localSheetId="5" hidden="1">#REF!</definedName>
    <definedName name="BEx1WUB1FAS5PHU33TJ60SUHR618" localSheetId="14" hidden="1">#REF!</definedName>
    <definedName name="BEx1WUB1FAS5PHU33TJ60SUHR618" localSheetId="15" hidden="1">#REF!</definedName>
    <definedName name="BEx1WUB1FAS5PHU33TJ60SUHR618" localSheetId="5" hidden="1">#REF!</definedName>
    <definedName name="BEx1WX04G0INSPPG9NTNR3DYR6PZ" localSheetId="14" hidden="1">#REF!</definedName>
    <definedName name="BEx1WX04G0INSPPG9NTNR3DYR6PZ" localSheetId="15" hidden="1">#REF!</definedName>
    <definedName name="BEx1WX04G0INSPPG9NTNR3DYR6PZ" localSheetId="5" hidden="1">#REF!</definedName>
    <definedName name="BEx1X3LHU9DPG01VWX2IF65TRATF" localSheetId="14" hidden="1">#REF!</definedName>
    <definedName name="BEx1X3LHU9DPG01VWX2IF65TRATF" localSheetId="15" hidden="1">#REF!</definedName>
    <definedName name="BEx1X3LHU9DPG01VWX2IF65TRATF" localSheetId="5" hidden="1">#REF!</definedName>
    <definedName name="BEx1XFL3ISYW3FU1DQ3US0DYA8NQ" localSheetId="14" hidden="1">#REF!</definedName>
    <definedName name="BEx1XFL3ISYW3FU1DQ3US0DYA8NQ" localSheetId="15" hidden="1">#REF!</definedName>
    <definedName name="BEx1XFL3ISYW3FU1DQ3US0DYA8NQ" localSheetId="5" hidden="1">#REF!</definedName>
    <definedName name="BEx1XK8AAMO0AH0Z1OUKW30CA7EQ" localSheetId="14" hidden="1">#REF!</definedName>
    <definedName name="BEx1XK8AAMO0AH0Z1OUKW30CA7EQ" localSheetId="15" hidden="1">#REF!</definedName>
    <definedName name="BEx1XK8AAMO0AH0Z1OUKW30CA7EQ" localSheetId="5" hidden="1">#REF!</definedName>
    <definedName name="BEx1XL4MZ7C80495GHQRWOBS16PQ" localSheetId="14" hidden="1">#REF!</definedName>
    <definedName name="BEx1XL4MZ7C80495GHQRWOBS16PQ" localSheetId="15" hidden="1">#REF!</definedName>
    <definedName name="BEx1XL4MZ7C80495GHQRWOBS16PQ" localSheetId="5" hidden="1">#REF!</definedName>
    <definedName name="BEx1Y2IGS2K95E1M51PEF9KJZ0KB" localSheetId="14" hidden="1">#REF!</definedName>
    <definedName name="BEx1Y2IGS2K95E1M51PEF9KJZ0KB" localSheetId="15" hidden="1">#REF!</definedName>
    <definedName name="BEx1Y2IGS2K95E1M51PEF9KJZ0KB" localSheetId="5" hidden="1">#REF!</definedName>
    <definedName name="BEx1Y3PKK83X2FN9SAALFHOWKMRQ" localSheetId="14" hidden="1">#REF!</definedName>
    <definedName name="BEx1Y3PKK83X2FN9SAALFHOWKMRQ" localSheetId="15" hidden="1">#REF!</definedName>
    <definedName name="BEx1Y3PKK83X2FN9SAALFHOWKMRQ" localSheetId="5" hidden="1">#REF!</definedName>
    <definedName name="BEx1YL3DJ7Y4AZ01ERCOGW0FJ26T" localSheetId="14" hidden="1">#REF!</definedName>
    <definedName name="BEx1YL3DJ7Y4AZ01ERCOGW0FJ26T" localSheetId="15" hidden="1">#REF!</definedName>
    <definedName name="BEx1YL3DJ7Y4AZ01ERCOGW0FJ26T" localSheetId="5" hidden="1">#REF!</definedName>
    <definedName name="BEx1Z2RYHSVD1H37817SN93VMURZ" localSheetId="14" hidden="1">#REF!</definedName>
    <definedName name="BEx1Z2RYHSVD1H37817SN93VMURZ" localSheetId="15" hidden="1">#REF!</definedName>
    <definedName name="BEx1Z2RYHSVD1H37817SN93VMURZ" localSheetId="5" hidden="1">#REF!</definedName>
    <definedName name="BEx3AMAKWI6458B67VKZO56MCNJW" localSheetId="14" hidden="1">#REF!</definedName>
    <definedName name="BEx3AMAKWI6458B67VKZO56MCNJW" localSheetId="15" hidden="1">#REF!</definedName>
    <definedName name="BEx3AMAKWI6458B67VKZO56MCNJW" localSheetId="5" hidden="1">#REF!</definedName>
    <definedName name="BEx3AOOVM42G82TNF53W0EKXLUSI" localSheetId="14" hidden="1">#REF!</definedName>
    <definedName name="BEx3AOOVM42G82TNF53W0EKXLUSI" localSheetId="15" hidden="1">#REF!</definedName>
    <definedName name="BEx3AOOVM42G82TNF53W0EKXLUSI" localSheetId="5" hidden="1">#REF!</definedName>
    <definedName name="BEx3AZH9W4SUFCAHNDOQ728R9V4L" localSheetId="14" hidden="1">#REF!</definedName>
    <definedName name="BEx3AZH9W4SUFCAHNDOQ728R9V4L" localSheetId="15" hidden="1">#REF!</definedName>
    <definedName name="BEx3AZH9W4SUFCAHNDOQ728R9V4L" localSheetId="5" hidden="1">#REF!</definedName>
    <definedName name="BEx3BNR9ES4KY7Q1DK83KC5NDGL8" localSheetId="14" hidden="1">#REF!</definedName>
    <definedName name="BEx3BNR9ES4KY7Q1DK83KC5NDGL8" localSheetId="15" hidden="1">#REF!</definedName>
    <definedName name="BEx3BNR9ES4KY7Q1DK83KC5NDGL8" localSheetId="5" hidden="1">#REF!</definedName>
    <definedName name="BEx3BQR5VZXNQ4H949ORM8ESU3B3" localSheetId="14" hidden="1">#REF!</definedName>
    <definedName name="BEx3BQR5VZXNQ4H949ORM8ESU3B3" localSheetId="15" hidden="1">#REF!</definedName>
    <definedName name="BEx3BQR5VZXNQ4H949ORM8ESU3B3" localSheetId="5" hidden="1">#REF!</definedName>
    <definedName name="BEx3BTLL3ASJN134DLEQTQM70VZM" localSheetId="14" hidden="1">#REF!</definedName>
    <definedName name="BEx3BTLL3ASJN134DLEQTQM70VZM" localSheetId="15" hidden="1">#REF!</definedName>
    <definedName name="BEx3BTLL3ASJN134DLEQTQM70VZM" localSheetId="5" hidden="1">#REF!</definedName>
    <definedName name="BEx3BW5CTV0DJU5AQS3ZQFK2VLF3" localSheetId="14" hidden="1">#REF!</definedName>
    <definedName name="BEx3BW5CTV0DJU5AQS3ZQFK2VLF3" localSheetId="15" hidden="1">#REF!</definedName>
    <definedName name="BEx3BW5CTV0DJU5AQS3ZQFK2VLF3" localSheetId="5" hidden="1">#REF!</definedName>
    <definedName name="BEx3BYP0FG369M7G3JEFLMMXAKTS" localSheetId="14" hidden="1">#REF!</definedName>
    <definedName name="BEx3BYP0FG369M7G3JEFLMMXAKTS" localSheetId="15" hidden="1">#REF!</definedName>
    <definedName name="BEx3BYP0FG369M7G3JEFLMMXAKTS" localSheetId="5" hidden="1">#REF!</definedName>
    <definedName name="BEx3C2QR0WUD19QSVO8EMIPNQJKH" localSheetId="14" hidden="1">#REF!</definedName>
    <definedName name="BEx3C2QR0WUD19QSVO8EMIPNQJKH" localSheetId="15" hidden="1">#REF!</definedName>
    <definedName name="BEx3C2QR0WUD19QSVO8EMIPNQJKH" localSheetId="5" hidden="1">#REF!</definedName>
    <definedName name="BEx3CKFCCPZZ6ROLAT5C1DZNIC1U" localSheetId="14" hidden="1">#REF!</definedName>
    <definedName name="BEx3CKFCCPZZ6ROLAT5C1DZNIC1U" localSheetId="15" hidden="1">#REF!</definedName>
    <definedName name="BEx3CKFCCPZZ6ROLAT5C1DZNIC1U" localSheetId="5" hidden="1">#REF!</definedName>
    <definedName name="BEx3CO0SVO4WLH0DO43DCHYDTH1P" localSheetId="14" hidden="1">#REF!</definedName>
    <definedName name="BEx3CO0SVO4WLH0DO43DCHYDTH1P" localSheetId="15" hidden="1">#REF!</definedName>
    <definedName name="BEx3CO0SVO4WLH0DO43DCHYDTH1P" localSheetId="5" hidden="1">#REF!</definedName>
    <definedName name="BEx3CPDAEBC12450MVHX6S78ILBS" localSheetId="14" hidden="1">#REF!</definedName>
    <definedName name="BEx3CPDAEBC12450MVHX6S78ILBS" localSheetId="15" hidden="1">#REF!</definedName>
    <definedName name="BEx3CPDAEBC12450MVHX6S78ILBS" localSheetId="5" hidden="1">#REF!</definedName>
    <definedName name="BEx3CQ9OQ7E1YH93NADGWWEH0HD5" localSheetId="14" hidden="1">#REF!</definedName>
    <definedName name="BEx3CQ9OQ7E1YH93NADGWWEH0HD5" localSheetId="15" hidden="1">#REF!</definedName>
    <definedName name="BEx3CQ9OQ7E1YH93NADGWWEH0HD5" localSheetId="5" hidden="1">#REF!</definedName>
    <definedName name="BEx3D9G6QTSPF9UYI4X0XY0VE896" localSheetId="14" hidden="1">#REF!</definedName>
    <definedName name="BEx3D9G6QTSPF9UYI4X0XY0VE896" localSheetId="15" hidden="1">#REF!</definedName>
    <definedName name="BEx3D9G6QTSPF9UYI4X0XY0VE896" localSheetId="5" hidden="1">#REF!</definedName>
    <definedName name="BEx3DCQU9PBRXIMLO62KS5RLH447" localSheetId="14" hidden="1">#REF!</definedName>
    <definedName name="BEx3DCQU9PBRXIMLO62KS5RLH447" localSheetId="15" hidden="1">#REF!</definedName>
    <definedName name="BEx3DCQU9PBRXIMLO62KS5RLH447" localSheetId="5" hidden="1">#REF!</definedName>
    <definedName name="BEx3DQ8EH7C7L4XQAOL3NRRVRRT3" localSheetId="14" hidden="1">#REF!</definedName>
    <definedName name="BEx3DQ8EH7C7L4XQAOL3NRRVRRT3" localSheetId="15" hidden="1">#REF!</definedName>
    <definedName name="BEx3DQ8EH7C7L4XQAOL3NRRVRRT3" localSheetId="5" hidden="1">#REF!</definedName>
    <definedName name="BEx3EF99FD6QNNCNOKDEE67JHTUJ" localSheetId="14" hidden="1">#REF!</definedName>
    <definedName name="BEx3EF99FD6QNNCNOKDEE67JHTUJ" localSheetId="15" hidden="1">#REF!</definedName>
    <definedName name="BEx3EF99FD6QNNCNOKDEE67JHTUJ" localSheetId="5" hidden="1">#REF!</definedName>
    <definedName name="BEx3EGLXG4AU8GXIFP26DZ61E6EP" localSheetId="14" hidden="1">#REF!</definedName>
    <definedName name="BEx3EGLXG4AU8GXIFP26DZ61E6EP" localSheetId="15" hidden="1">#REF!</definedName>
    <definedName name="BEx3EGLXG4AU8GXIFP26DZ61E6EP" localSheetId="5" hidden="1">#REF!</definedName>
    <definedName name="BEx3EHCSERZ2O2OAG8Y95UPG2IY9" localSheetId="14" hidden="1">#REF!</definedName>
    <definedName name="BEx3EHCSERZ2O2OAG8Y95UPG2IY9" localSheetId="15" hidden="1">#REF!</definedName>
    <definedName name="BEx3EHCSERZ2O2OAG8Y95UPG2IY9" localSheetId="5" hidden="1">#REF!</definedName>
    <definedName name="BEx3EJR3TCJDYS7ZXNDS5N9KTGIK" localSheetId="14" hidden="1">#REF!</definedName>
    <definedName name="BEx3EJR3TCJDYS7ZXNDS5N9KTGIK" localSheetId="15" hidden="1">#REF!</definedName>
    <definedName name="BEx3EJR3TCJDYS7ZXNDS5N9KTGIK" localSheetId="5" hidden="1">#REF!</definedName>
    <definedName name="BEx3ELJTTBS6P05CNISMGOJOA60V" localSheetId="14" hidden="1">#REF!</definedName>
    <definedName name="BEx3ELJTTBS6P05CNISMGOJOA60V" localSheetId="15" hidden="1">#REF!</definedName>
    <definedName name="BEx3ELJTTBS6P05CNISMGOJOA60V" localSheetId="5" hidden="1">#REF!</definedName>
    <definedName name="BEx3EQSLJBDDJRHNX19PBFCKNY2I" localSheetId="14" hidden="1">#REF!</definedName>
    <definedName name="BEx3EQSLJBDDJRHNX19PBFCKNY2I" localSheetId="15" hidden="1">#REF!</definedName>
    <definedName name="BEx3EQSLJBDDJRHNX19PBFCKNY2I" localSheetId="5" hidden="1">#REF!</definedName>
    <definedName name="BEx3EUUAX947Q5N6MY6W0KSNY78Y" localSheetId="14" hidden="1">#REF!</definedName>
    <definedName name="BEx3EUUAX947Q5N6MY6W0KSNY78Y" localSheetId="15" hidden="1">#REF!</definedName>
    <definedName name="BEx3EUUAX947Q5N6MY6W0KSNY78Y" localSheetId="5" hidden="1">#REF!</definedName>
    <definedName name="BEx3F3OJYKFH63TY4TBS69H5CI8M" localSheetId="14" hidden="1">#REF!</definedName>
    <definedName name="BEx3F3OJYKFH63TY4TBS69H5CI8M" localSheetId="15" hidden="1">#REF!</definedName>
    <definedName name="BEx3F3OJYKFH63TY4TBS69H5CI8M" localSheetId="5" hidden="1">#REF!</definedName>
    <definedName name="BEx3FHMD1P5XBCH23ZKIFO6ZTCNB" localSheetId="14" hidden="1">#REF!</definedName>
    <definedName name="BEx3FHMD1P5XBCH23ZKIFO6ZTCNB" localSheetId="15" hidden="1">#REF!</definedName>
    <definedName name="BEx3FHMD1P5XBCH23ZKIFO6ZTCNB" localSheetId="5" hidden="1">#REF!</definedName>
    <definedName name="BEx3FI2G3YYIACQHXNXEA15M8ZK5" localSheetId="14" hidden="1">#REF!</definedName>
    <definedName name="BEx3FI2G3YYIACQHXNXEA15M8ZK5" localSheetId="15" hidden="1">#REF!</definedName>
    <definedName name="BEx3FI2G3YYIACQHXNXEA15M8ZK5" localSheetId="5" hidden="1">#REF!</definedName>
    <definedName name="BEx3FJ9MHSLDK8W91GO85FX1GX57" localSheetId="14" hidden="1">#REF!</definedName>
    <definedName name="BEx3FJ9MHSLDK8W91GO85FX1GX57" localSheetId="15" hidden="1">#REF!</definedName>
    <definedName name="BEx3FJ9MHSLDK8W91GO85FX1GX57" localSheetId="5" hidden="1">#REF!</definedName>
    <definedName name="BEx3FR251HFU7A33PU01SJUENL2B" localSheetId="14" hidden="1">#REF!</definedName>
    <definedName name="BEx3FR251HFU7A33PU01SJUENL2B" localSheetId="15" hidden="1">#REF!</definedName>
    <definedName name="BEx3FR251HFU7A33PU01SJUENL2B" localSheetId="5" hidden="1">#REF!</definedName>
    <definedName name="BEx3FX7EJL47JSLSWP3EOC265WAE" localSheetId="14" hidden="1">#REF!</definedName>
    <definedName name="BEx3FX7EJL47JSLSWP3EOC265WAE" localSheetId="15" hidden="1">#REF!</definedName>
    <definedName name="BEx3FX7EJL47JSLSWP3EOC265WAE" localSheetId="5" hidden="1">#REF!</definedName>
    <definedName name="BEx3G201R8NLJ6FIHO2QS0SW9QVV" localSheetId="14" hidden="1">#REF!</definedName>
    <definedName name="BEx3G201R8NLJ6FIHO2QS0SW9QVV" localSheetId="15" hidden="1">#REF!</definedName>
    <definedName name="BEx3G201R8NLJ6FIHO2QS0SW9QVV" localSheetId="5" hidden="1">#REF!</definedName>
    <definedName name="BEx3G2LL2II66XY5YCDPG4JE13A3" localSheetId="14" hidden="1">#REF!</definedName>
    <definedName name="BEx3G2LL2II66XY5YCDPG4JE13A3" localSheetId="15" hidden="1">#REF!</definedName>
    <definedName name="BEx3G2LL2II66XY5YCDPG4JE13A3" localSheetId="5" hidden="1">#REF!</definedName>
    <definedName name="BEx3G2WA0DTYY9D8AGHHOBTPE2B2" localSheetId="14" hidden="1">#REF!</definedName>
    <definedName name="BEx3G2WA0DTYY9D8AGHHOBTPE2B2" localSheetId="15" hidden="1">#REF!</definedName>
    <definedName name="BEx3G2WA0DTYY9D8AGHHOBTPE2B2" localSheetId="5" hidden="1">#REF!</definedName>
    <definedName name="BEx3GCXR6IAS0B6WJ03GJVH7CO52" localSheetId="14" hidden="1">#REF!</definedName>
    <definedName name="BEx3GCXR6IAS0B6WJ03GJVH7CO52" localSheetId="15" hidden="1">#REF!</definedName>
    <definedName name="BEx3GCXR6IAS0B6WJ03GJVH7CO52" localSheetId="5" hidden="1">#REF!</definedName>
    <definedName name="BEx3GEVV18SEQDI1JGY7EN6D1GT1" localSheetId="14" hidden="1">#REF!</definedName>
    <definedName name="BEx3GEVV18SEQDI1JGY7EN6D1GT1" localSheetId="15" hidden="1">#REF!</definedName>
    <definedName name="BEx3GEVV18SEQDI1JGY7EN6D1GT1" localSheetId="5" hidden="1">#REF!</definedName>
    <definedName name="BEx3GKFH64MKQX61S7DYTZ15JCPY" localSheetId="14" hidden="1">#REF!</definedName>
    <definedName name="BEx3GKFH64MKQX61S7DYTZ15JCPY" localSheetId="15" hidden="1">#REF!</definedName>
    <definedName name="BEx3GKFH64MKQX61S7DYTZ15JCPY" localSheetId="5" hidden="1">#REF!</definedName>
    <definedName name="BEx3GMJ1Y6UU02DLRL0QXCEKDA6C" localSheetId="14" hidden="1">#REF!</definedName>
    <definedName name="BEx3GMJ1Y6UU02DLRL0QXCEKDA6C" localSheetId="15" hidden="1">#REF!</definedName>
    <definedName name="BEx3GMJ1Y6UU02DLRL0QXCEKDA6C" localSheetId="5" hidden="1">#REF!</definedName>
    <definedName name="BEx3GN4LY0135CBDIN1TU2UEODGF" localSheetId="14" hidden="1">#REF!</definedName>
    <definedName name="BEx3GN4LY0135CBDIN1TU2UEODGF" localSheetId="15" hidden="1">#REF!</definedName>
    <definedName name="BEx3GN4LY0135CBDIN1TU2UEODGF" localSheetId="5" hidden="1">#REF!</definedName>
    <definedName name="BEx3GPDH2AH4QKT4OOSN563XUHBD" localSheetId="14" hidden="1">#REF!</definedName>
    <definedName name="BEx3GPDH2AH4QKT4OOSN563XUHBD" localSheetId="15" hidden="1">#REF!</definedName>
    <definedName name="BEx3GPDH2AH4QKT4OOSN563XUHBD" localSheetId="5" hidden="1">#REF!</definedName>
    <definedName name="BEx3GRGZOH1A62SHC133FKNN9K23" localSheetId="14" hidden="1">#REF!</definedName>
    <definedName name="BEx3GRGZOH1A62SHC133FKNN9K23" localSheetId="15" hidden="1">#REF!</definedName>
    <definedName name="BEx3GRGZOH1A62SHC133FKNN9K23" localSheetId="5" hidden="1">#REF!</definedName>
    <definedName name="BEx3GS2LABKJSRV8GPZLJZVX7NMJ" localSheetId="14" hidden="1">#REF!</definedName>
    <definedName name="BEx3GS2LABKJSRV8GPZLJZVX7NMJ" localSheetId="15" hidden="1">#REF!</definedName>
    <definedName name="BEx3GS2LABKJSRV8GPZLJZVX7NMJ" localSheetId="5" hidden="1">#REF!</definedName>
    <definedName name="BEx3H05W7OEBR6W6YJKGD6W5M3I1" localSheetId="14" hidden="1">#REF!</definedName>
    <definedName name="BEx3H05W7OEBR6W6YJKGD6W5M3I1" localSheetId="15" hidden="1">#REF!</definedName>
    <definedName name="BEx3H05W7OEBR6W6YJKGD6W5M3I1" localSheetId="5" hidden="1">#REF!</definedName>
    <definedName name="BEx3H244GCME7ZDNAXG6ZSJ64ZRE" localSheetId="14" hidden="1">#REF!</definedName>
    <definedName name="BEx3H244GCME7ZDNAXG6ZSJ64ZRE" localSheetId="15" hidden="1">#REF!</definedName>
    <definedName name="BEx3H244GCME7ZDNAXG6ZSJ64ZRE" localSheetId="5" hidden="1">#REF!</definedName>
    <definedName name="BEx3H5UX2GZFZZT657YR76RHW5I6" localSheetId="14" hidden="1">#REF!</definedName>
    <definedName name="BEx3H5UX2GZFZZT657YR76RHW5I6" localSheetId="15" hidden="1">#REF!</definedName>
    <definedName name="BEx3H5UX2GZFZZT657YR76RHW5I6" localSheetId="5" hidden="1">#REF!</definedName>
    <definedName name="BEx3HACPKDZVUOS9WBDCCFJB46DK" localSheetId="14" hidden="1">#REF!</definedName>
    <definedName name="BEx3HACPKDZVUOS9WBDCCFJB46DK" localSheetId="15" hidden="1">#REF!</definedName>
    <definedName name="BEx3HACPKDZVUOS9WBDCCFJB46DK" localSheetId="5" hidden="1">#REF!</definedName>
    <definedName name="BEx3HMSEFOP6DBM4R97XA6B7NFG6" localSheetId="14" hidden="1">#REF!</definedName>
    <definedName name="BEx3HMSEFOP6DBM4R97XA6B7NFG6" localSheetId="15" hidden="1">#REF!</definedName>
    <definedName name="BEx3HMSEFOP6DBM4R97XA6B7NFG6" localSheetId="5" hidden="1">#REF!</definedName>
    <definedName name="BEx3HWJ5SQSD2CVCQNR183X44FR8" localSheetId="14" hidden="1">#REF!</definedName>
    <definedName name="BEx3HWJ5SQSD2CVCQNR183X44FR8" localSheetId="15" hidden="1">#REF!</definedName>
    <definedName name="BEx3HWJ5SQSD2CVCQNR183X44FR8" localSheetId="5" hidden="1">#REF!</definedName>
    <definedName name="BEx3I09YVXO0G4X7KGSA4WGORM35" localSheetId="14" hidden="1">#REF!</definedName>
    <definedName name="BEx3I09YVXO0G4X7KGSA4WGORM35" localSheetId="15" hidden="1">#REF!</definedName>
    <definedName name="BEx3I09YVXO0G4X7KGSA4WGORM35" localSheetId="5" hidden="1">#REF!</definedName>
    <definedName name="BEx3I3KN8WAL54AYYACGCUM43J9W" localSheetId="14" hidden="1">#REF!</definedName>
    <definedName name="BEx3I3KN8WAL54AYYACGCUM43J9W" localSheetId="15" hidden="1">#REF!</definedName>
    <definedName name="BEx3I3KN8WAL54AYYACGCUM43J9W" localSheetId="5" hidden="1">#REF!</definedName>
    <definedName name="BEx3ICF1GY8HQEBIU9S43PDJ90BX" localSheetId="14" hidden="1">#REF!</definedName>
    <definedName name="BEx3ICF1GY8HQEBIU9S43PDJ90BX" localSheetId="15" hidden="1">#REF!</definedName>
    <definedName name="BEx3ICF1GY8HQEBIU9S43PDJ90BX" localSheetId="5" hidden="1">#REF!</definedName>
    <definedName name="BEx3IYAH2DEBFWO8F94H4MXE3RLY" localSheetId="14" hidden="1">#REF!</definedName>
    <definedName name="BEx3IYAH2DEBFWO8F94H4MXE3RLY" localSheetId="15" hidden="1">#REF!</definedName>
    <definedName name="BEx3IYAH2DEBFWO8F94H4MXE3RLY" localSheetId="5" hidden="1">#REF!</definedName>
    <definedName name="BEx3IZSG3932LSWHR5YV78IVRPCK" localSheetId="14" hidden="1">#REF!</definedName>
    <definedName name="BEx3IZSG3932LSWHR5YV78IVRPCK" localSheetId="15" hidden="1">#REF!</definedName>
    <definedName name="BEx3IZSG3932LSWHR5YV78IVRPCK" localSheetId="5" hidden="1">#REF!</definedName>
    <definedName name="BEx3IZXXSYEW50379N2EAFWO8DZV" localSheetId="14" hidden="1">#REF!</definedName>
    <definedName name="BEx3IZXXSYEW50379N2EAFWO8DZV" localSheetId="15" hidden="1">#REF!</definedName>
    <definedName name="BEx3IZXXSYEW50379N2EAFWO8DZV" localSheetId="5" hidden="1">#REF!</definedName>
    <definedName name="BEx3J1VZVGTKT4ATPO9O5JCSFTTR" localSheetId="14" hidden="1">#REF!</definedName>
    <definedName name="BEx3J1VZVGTKT4ATPO9O5JCSFTTR" localSheetId="15" hidden="1">#REF!</definedName>
    <definedName name="BEx3J1VZVGTKT4ATPO9O5JCSFTTR" localSheetId="5" hidden="1">#REF!</definedName>
    <definedName name="BEx3JC2TY7JNAAC3L7QHVPQXLGQ8" localSheetId="14" hidden="1">#REF!</definedName>
    <definedName name="BEx3JC2TY7JNAAC3L7QHVPQXLGQ8" localSheetId="15" hidden="1">#REF!</definedName>
    <definedName name="BEx3JC2TY7JNAAC3L7QHVPQXLGQ8" localSheetId="5" hidden="1">#REF!</definedName>
    <definedName name="BEx3JMF5D7ODCJ7THAJTC1GFSG95" localSheetId="14" hidden="1">#REF!</definedName>
    <definedName name="BEx3JMF5D7ODCJ7THAJTC1GFSG95" localSheetId="15" hidden="1">#REF!</definedName>
    <definedName name="BEx3JMF5D7ODCJ7THAJTC1GFSG95" localSheetId="5" hidden="1">#REF!</definedName>
    <definedName name="BEx3JX23SYDIGOGM4Y0CQFBW8ZBV" localSheetId="14" hidden="1">#REF!</definedName>
    <definedName name="BEx3JX23SYDIGOGM4Y0CQFBW8ZBV" localSheetId="15" hidden="1">#REF!</definedName>
    <definedName name="BEx3JX23SYDIGOGM4Y0CQFBW8ZBV" localSheetId="5" hidden="1">#REF!</definedName>
    <definedName name="BEx3JXCXCVBZJGV5VEG9MJEI01AL" localSheetId="14" hidden="1">#REF!</definedName>
    <definedName name="BEx3JXCXCVBZJGV5VEG9MJEI01AL" localSheetId="15" hidden="1">#REF!</definedName>
    <definedName name="BEx3JXCXCVBZJGV5VEG9MJEI01AL" localSheetId="5" hidden="1">#REF!</definedName>
    <definedName name="BEx3JYK2N7X59TPJSKYZ77ENY8SS" localSheetId="14" hidden="1">#REF!</definedName>
    <definedName name="BEx3JYK2N7X59TPJSKYZ77ENY8SS" localSheetId="15" hidden="1">#REF!</definedName>
    <definedName name="BEx3JYK2N7X59TPJSKYZ77ENY8SS" localSheetId="5" hidden="1">#REF!</definedName>
    <definedName name="BEx3K13PSDK50JLCLD0GX8L4TWAH" localSheetId="14" hidden="1">#REF!</definedName>
    <definedName name="BEx3K13PSDK50JLCLD0GX8L4TWAH" localSheetId="15" hidden="1">#REF!</definedName>
    <definedName name="BEx3K13PSDK50JLCLD0GX8L4TWAH" localSheetId="5" hidden="1">#REF!</definedName>
    <definedName name="BEx3K4EII7GU1CG0BN7UL15M6J8Z" localSheetId="14" hidden="1">#REF!</definedName>
    <definedName name="BEx3K4EII7GU1CG0BN7UL15M6J8Z" localSheetId="15" hidden="1">#REF!</definedName>
    <definedName name="BEx3K4EII7GU1CG0BN7UL15M6J8Z" localSheetId="5" hidden="1">#REF!</definedName>
    <definedName name="BEx3K4ZXQUQ2KYZF74B84SO48XMW" localSheetId="14" hidden="1">#REF!</definedName>
    <definedName name="BEx3K4ZXQUQ2KYZF74B84SO48XMW" localSheetId="15" hidden="1">#REF!</definedName>
    <definedName name="BEx3K4ZXQUQ2KYZF74B84SO48XMW" localSheetId="5" hidden="1">#REF!</definedName>
    <definedName name="BEx3KEFXUCVNVPH7KSEGAZYX13B5" localSheetId="14" hidden="1">#REF!</definedName>
    <definedName name="BEx3KEFXUCVNVPH7KSEGAZYX13B5" localSheetId="15" hidden="1">#REF!</definedName>
    <definedName name="BEx3KEFXUCVNVPH7KSEGAZYX13B5" localSheetId="5" hidden="1">#REF!</definedName>
    <definedName name="BEx3KFXUAF6YXAA47B7Q6X9B3VGB" localSheetId="14" hidden="1">#REF!</definedName>
    <definedName name="BEx3KFXUAF6YXAA47B7Q6X9B3VGB" localSheetId="15" hidden="1">#REF!</definedName>
    <definedName name="BEx3KFXUAF6YXAA47B7Q6X9B3VGB" localSheetId="5" hidden="1">#REF!</definedName>
    <definedName name="BEx3KIXQYOGMPK4WJJAVBRX4NR28" localSheetId="14" hidden="1">#REF!</definedName>
    <definedName name="BEx3KIXQYOGMPK4WJJAVBRX4NR28" localSheetId="15" hidden="1">#REF!</definedName>
    <definedName name="BEx3KIXQYOGMPK4WJJAVBRX4NR28" localSheetId="5" hidden="1">#REF!</definedName>
    <definedName name="BEx3KJOMVOSFZVJUL3GKCNP6DQDS" localSheetId="14" hidden="1">#REF!</definedName>
    <definedName name="BEx3KJOMVOSFZVJUL3GKCNP6DQDS" localSheetId="15" hidden="1">#REF!</definedName>
    <definedName name="BEx3KJOMVOSFZVJUL3GKCNP6DQDS" localSheetId="5" hidden="1">#REF!</definedName>
    <definedName name="BEx3KP2VRBMORK0QEAZUYCXL3DHJ" localSheetId="14" hidden="1">#REF!</definedName>
    <definedName name="BEx3KP2VRBMORK0QEAZUYCXL3DHJ" localSheetId="15" hidden="1">#REF!</definedName>
    <definedName name="BEx3KP2VRBMORK0QEAZUYCXL3DHJ" localSheetId="5" hidden="1">#REF!</definedName>
    <definedName name="BEx3L4IN3LI4C26SITKTGAH27CDU" localSheetId="14" hidden="1">#REF!</definedName>
    <definedName name="BEx3L4IN3LI4C26SITKTGAH27CDU" localSheetId="15" hidden="1">#REF!</definedName>
    <definedName name="BEx3L4IN3LI4C26SITKTGAH27CDU" localSheetId="5" hidden="1">#REF!</definedName>
    <definedName name="BEx3L4YQ0J7ZU0M5QM6YIPCEYC9K" localSheetId="14" hidden="1">#REF!</definedName>
    <definedName name="BEx3L4YQ0J7ZU0M5QM6YIPCEYC9K" localSheetId="15" hidden="1">#REF!</definedName>
    <definedName name="BEx3L4YQ0J7ZU0M5QM6YIPCEYC9K" localSheetId="5" hidden="1">#REF!</definedName>
    <definedName name="BEx3L60DJOR7NQN42G7YSAODP1EX" localSheetId="14" hidden="1">#REF!</definedName>
    <definedName name="BEx3L60DJOR7NQN42G7YSAODP1EX" localSheetId="15" hidden="1">#REF!</definedName>
    <definedName name="BEx3L60DJOR7NQN42G7YSAODP1EX" localSheetId="5" hidden="1">#REF!</definedName>
    <definedName name="BEx3L7D0PI38HWZ7VADU16C9E33D" localSheetId="14" hidden="1">#REF!</definedName>
    <definedName name="BEx3L7D0PI38HWZ7VADU16C9E33D" localSheetId="15" hidden="1">#REF!</definedName>
    <definedName name="BEx3L7D0PI38HWZ7VADU16C9E33D" localSheetId="5" hidden="1">#REF!</definedName>
    <definedName name="BEx3LM1PR4Y7KINKMTMKR984GX8Q" localSheetId="14" hidden="1">#REF!</definedName>
    <definedName name="BEx3LM1PR4Y7KINKMTMKR984GX8Q" localSheetId="15" hidden="1">#REF!</definedName>
    <definedName name="BEx3LM1PR4Y7KINKMTMKR984GX8Q" localSheetId="5" hidden="1">#REF!</definedName>
    <definedName name="BEx3LM1PWWC9WH0R5TX5K06V559U" localSheetId="14" hidden="1">#REF!</definedName>
    <definedName name="BEx3LM1PWWC9WH0R5TX5K06V559U" localSheetId="15" hidden="1">#REF!</definedName>
    <definedName name="BEx3LM1PWWC9WH0R5TX5K06V559U" localSheetId="5" hidden="1">#REF!</definedName>
    <definedName name="BEx3LPCEZ1C0XEKNCM3YT09JWCUO" localSheetId="14" hidden="1">#REF!</definedName>
    <definedName name="BEx3LPCEZ1C0XEKNCM3YT09JWCUO" localSheetId="15" hidden="1">#REF!</definedName>
    <definedName name="BEx3LPCEZ1C0XEKNCM3YT09JWCUO" localSheetId="5" hidden="1">#REF!</definedName>
    <definedName name="BEx3LSXW33WR1ECIMRYUPFBJXGGH" localSheetId="14" hidden="1">#REF!</definedName>
    <definedName name="BEx3LSXW33WR1ECIMRYUPFBJXGGH" localSheetId="15" hidden="1">#REF!</definedName>
    <definedName name="BEx3LSXW33WR1ECIMRYUPFBJXGGH" localSheetId="5" hidden="1">#REF!</definedName>
    <definedName name="BEx3M1MR1K1NQD03H74BFWOK4MWQ" localSheetId="14" hidden="1">#REF!</definedName>
    <definedName name="BEx3M1MR1K1NQD03H74BFWOK4MWQ" localSheetId="15" hidden="1">#REF!</definedName>
    <definedName name="BEx3M1MR1K1NQD03H74BFWOK4MWQ" localSheetId="5" hidden="1">#REF!</definedName>
    <definedName name="BEx3M4H77MYUKOOD31H9F80NMVK8" localSheetId="14" hidden="1">#REF!</definedName>
    <definedName name="BEx3M4H77MYUKOOD31H9F80NMVK8" localSheetId="15" hidden="1">#REF!</definedName>
    <definedName name="BEx3M4H77MYUKOOD31H9F80NMVK8" localSheetId="5" hidden="1">#REF!</definedName>
    <definedName name="BEx3M9VFX329PZWYC4DMZ6P3W9R2" localSheetId="14" hidden="1">#REF!</definedName>
    <definedName name="BEx3M9VFX329PZWYC4DMZ6P3W9R2" localSheetId="15" hidden="1">#REF!</definedName>
    <definedName name="BEx3M9VFX329PZWYC4DMZ6P3W9R2" localSheetId="5" hidden="1">#REF!</definedName>
    <definedName name="BEx3MCQ0VEBV0CZXDS505L38EQ8N" localSheetId="14" hidden="1">#REF!</definedName>
    <definedName name="BEx3MCQ0VEBV0CZXDS505L38EQ8N" localSheetId="15" hidden="1">#REF!</definedName>
    <definedName name="BEx3MCQ0VEBV0CZXDS505L38EQ8N" localSheetId="5" hidden="1">#REF!</definedName>
    <definedName name="BEx3MEYV5LQY0BAL7V3CFAFVOM3T" localSheetId="14" hidden="1">#REF!</definedName>
    <definedName name="BEx3MEYV5LQY0BAL7V3CFAFVOM3T" localSheetId="15" hidden="1">#REF!</definedName>
    <definedName name="BEx3MEYV5LQY0BAL7V3CFAFVOM3T" localSheetId="5" hidden="1">#REF!</definedName>
    <definedName name="BEx3MF9LX8G8DXGARRYNTDH542WG" localSheetId="14" hidden="1">#REF!</definedName>
    <definedName name="BEx3MF9LX8G8DXGARRYNTDH542WG" localSheetId="15" hidden="1">#REF!</definedName>
    <definedName name="BEx3MF9LX8G8DXGARRYNTDH542WG" localSheetId="5" hidden="1">#REF!</definedName>
    <definedName name="BEx3MREOFWJQEYMCMBL7ZE06NBN6" localSheetId="14" hidden="1">#REF!</definedName>
    <definedName name="BEx3MREOFWJQEYMCMBL7ZE06NBN6" localSheetId="15" hidden="1">#REF!</definedName>
    <definedName name="BEx3MREOFWJQEYMCMBL7ZE06NBN6" localSheetId="5" hidden="1">#REF!</definedName>
    <definedName name="BEx3MSGD8I6KBFD4XFWYGH3DKUK3" localSheetId="14" hidden="1">#REF!</definedName>
    <definedName name="BEx3MSGD8I6KBFD4XFWYGH3DKUK3" localSheetId="15" hidden="1">#REF!</definedName>
    <definedName name="BEx3MSGD8I6KBFD4XFWYGH3DKUK3" localSheetId="5" hidden="1">#REF!</definedName>
    <definedName name="BEx3NDQFYEWZAUGWFMGT2R7E7RBT" localSheetId="14" hidden="1">#REF!</definedName>
    <definedName name="BEx3NDQFYEWZAUGWFMGT2R7E7RBT" localSheetId="15" hidden="1">#REF!</definedName>
    <definedName name="BEx3NDQFYEWZAUGWFMGT2R7E7RBT" localSheetId="5" hidden="1">#REF!</definedName>
    <definedName name="BEx3NGQBX2HEDKOCDX0TX1TGBB3P" localSheetId="14" hidden="1">#REF!</definedName>
    <definedName name="BEx3NGQBX2HEDKOCDX0TX1TGBB3P" localSheetId="15" hidden="1">#REF!</definedName>
    <definedName name="BEx3NGQBX2HEDKOCDX0TX1TGBB3P" localSheetId="5" hidden="1">#REF!</definedName>
    <definedName name="BEx3NLIZ7PHF2XE59ECZ3MD04ZG1" localSheetId="14" hidden="1">#REF!</definedName>
    <definedName name="BEx3NLIZ7PHF2XE59ECZ3MD04ZG1" localSheetId="15" hidden="1">#REF!</definedName>
    <definedName name="BEx3NLIZ7PHF2XE59ECZ3MD04ZG1" localSheetId="5" hidden="1">#REF!</definedName>
    <definedName name="BEx3NMQ4BVC94728AUM7CCX7UHTU" localSheetId="14" hidden="1">#REF!</definedName>
    <definedName name="BEx3NMQ4BVC94728AUM7CCX7UHTU" localSheetId="15" hidden="1">#REF!</definedName>
    <definedName name="BEx3NMQ4BVC94728AUM7CCX7UHTU" localSheetId="5" hidden="1">#REF!</definedName>
    <definedName name="BEx3NR2I4OUFP3Z2QZEDU2PIFIDI" localSheetId="14" hidden="1">#REF!</definedName>
    <definedName name="BEx3NR2I4OUFP3Z2QZEDU2PIFIDI" localSheetId="15" hidden="1">#REF!</definedName>
    <definedName name="BEx3NR2I4OUFP3Z2QZEDU2PIFIDI" localSheetId="5" hidden="1">#REF!</definedName>
    <definedName name="BEx3O19B8FTTAPVT5DZXQGQXWFR8" localSheetId="14" hidden="1">#REF!</definedName>
    <definedName name="BEx3O19B8FTTAPVT5DZXQGQXWFR8" localSheetId="15" hidden="1">#REF!</definedName>
    <definedName name="BEx3O19B8FTTAPVT5DZXQGQXWFR8" localSheetId="5" hidden="1">#REF!</definedName>
    <definedName name="BEx3O85IKWARA6NCJOLRBRJFMEWW" localSheetId="14" hidden="1">#REF!</definedName>
    <definedName name="BEx3O85IKWARA6NCJOLRBRJFMEWW" localSheetId="15" hidden="1">#REF!</definedName>
    <definedName name="BEx3O85IKWARA6NCJOLRBRJFMEWW" localSheetId="5" hidden="1">#REF!</definedName>
    <definedName name="BEx3OJZSCGFRW7SVGBFI0X9DNVMM" localSheetId="14" hidden="1">#REF!</definedName>
    <definedName name="BEx3OJZSCGFRW7SVGBFI0X9DNVMM" localSheetId="15" hidden="1">#REF!</definedName>
    <definedName name="BEx3OJZSCGFRW7SVGBFI0X9DNVMM" localSheetId="5" hidden="1">#REF!</definedName>
    <definedName name="BEx3ORSBUXAF21MKEY90YJV9AY9A" localSheetId="14" hidden="1">#REF!</definedName>
    <definedName name="BEx3ORSBUXAF21MKEY90YJV9AY9A" localSheetId="15" hidden="1">#REF!</definedName>
    <definedName name="BEx3ORSBUXAF21MKEY90YJV9AY9A" localSheetId="5" hidden="1">#REF!</definedName>
    <definedName name="BEx3OUS0N576NJN078Y1BWUWQK6B" localSheetId="14" hidden="1">#REF!</definedName>
    <definedName name="BEx3OUS0N576NJN078Y1BWUWQK6B" localSheetId="15" hidden="1">#REF!</definedName>
    <definedName name="BEx3OUS0N576NJN078Y1BWUWQK6B" localSheetId="5" hidden="1">#REF!</definedName>
    <definedName name="BEx3OV8BH6PYNZT7C246LOAU9SVX" localSheetId="14" hidden="1">#REF!</definedName>
    <definedName name="BEx3OV8BH6PYNZT7C246LOAU9SVX" localSheetId="15" hidden="1">#REF!</definedName>
    <definedName name="BEx3OV8BH6PYNZT7C246LOAU9SVX" localSheetId="5" hidden="1">#REF!</definedName>
    <definedName name="BEx3OXRYJZUEY6E72UJU0PHLMYAR" localSheetId="14" hidden="1">#REF!</definedName>
    <definedName name="BEx3OXRYJZUEY6E72UJU0PHLMYAR" localSheetId="15" hidden="1">#REF!</definedName>
    <definedName name="BEx3OXRYJZUEY6E72UJU0PHLMYAR" localSheetId="5" hidden="1">#REF!</definedName>
    <definedName name="BEx3P3RP5PYI4BJVYGNU1V7KT5EH" localSheetId="14" hidden="1">#REF!</definedName>
    <definedName name="BEx3P3RP5PYI4BJVYGNU1V7KT5EH" localSheetId="15" hidden="1">#REF!</definedName>
    <definedName name="BEx3P3RP5PYI4BJVYGNU1V7KT5EH" localSheetId="5" hidden="1">#REF!</definedName>
    <definedName name="BEx3P59TTRSGQY888P5C1O7M2PQT" localSheetId="14" hidden="1">#REF!</definedName>
    <definedName name="BEx3P59TTRSGQY888P5C1O7M2PQT" localSheetId="15" hidden="1">#REF!</definedName>
    <definedName name="BEx3P59TTRSGQY888P5C1O7M2PQT" localSheetId="5" hidden="1">#REF!</definedName>
    <definedName name="BEx3PDNRRNKD5GOUBUQFXAHIXLD9" localSheetId="14" hidden="1">#REF!</definedName>
    <definedName name="BEx3PDNRRNKD5GOUBUQFXAHIXLD9" localSheetId="15" hidden="1">#REF!</definedName>
    <definedName name="BEx3PDNRRNKD5GOUBUQFXAHIXLD9" localSheetId="5" hidden="1">#REF!</definedName>
    <definedName name="BEx3PDT8GNPWLLN02IH1XPV90XYK" localSheetId="14" hidden="1">#REF!</definedName>
    <definedName name="BEx3PDT8GNPWLLN02IH1XPV90XYK" localSheetId="15" hidden="1">#REF!</definedName>
    <definedName name="BEx3PDT8GNPWLLN02IH1XPV90XYK" localSheetId="5" hidden="1">#REF!</definedName>
    <definedName name="BEx3PKEMDW8KZEP11IL927C5O7I2" localSheetId="14" hidden="1">#REF!</definedName>
    <definedName name="BEx3PKEMDW8KZEP11IL927C5O7I2" localSheetId="15" hidden="1">#REF!</definedName>
    <definedName name="BEx3PKEMDW8KZEP11IL927C5O7I2" localSheetId="5" hidden="1">#REF!</definedName>
    <definedName name="BEx3PKJZ1Z7L9S6KV8KXVS6B2FX4" localSheetId="14" hidden="1">#REF!</definedName>
    <definedName name="BEx3PKJZ1Z7L9S6KV8KXVS6B2FX4" localSheetId="15" hidden="1">#REF!</definedName>
    <definedName name="BEx3PKJZ1Z7L9S6KV8KXVS6B2FX4" localSheetId="5" hidden="1">#REF!</definedName>
    <definedName name="BEx3PMNG53Z5HY138H99QOMTX8W3" localSheetId="14" hidden="1">#REF!</definedName>
    <definedName name="BEx3PMNG53Z5HY138H99QOMTX8W3" localSheetId="15" hidden="1">#REF!</definedName>
    <definedName name="BEx3PMNG53Z5HY138H99QOMTX8W3" localSheetId="5" hidden="1">#REF!</definedName>
    <definedName name="BEx3PP1RRSFZ8UC0JC9R91W6LNKW" localSheetId="14" hidden="1">#REF!</definedName>
    <definedName name="BEx3PP1RRSFZ8UC0JC9R91W6LNKW" localSheetId="15" hidden="1">#REF!</definedName>
    <definedName name="BEx3PP1RRSFZ8UC0JC9R91W6LNKW" localSheetId="5" hidden="1">#REF!</definedName>
    <definedName name="BEx3PRQW017D7T1X732WDV7L1KP8" localSheetId="14" hidden="1">#REF!</definedName>
    <definedName name="BEx3PRQW017D7T1X732WDV7L1KP8" localSheetId="15" hidden="1">#REF!</definedName>
    <definedName name="BEx3PRQW017D7T1X732WDV7L1KP8" localSheetId="5" hidden="1">#REF!</definedName>
    <definedName name="BEx3PVXYZC8WB9ZJE7OCKUXZ46EA" localSheetId="14" hidden="1">#REF!</definedName>
    <definedName name="BEx3PVXYZC8WB9ZJE7OCKUXZ46EA" localSheetId="15" hidden="1">#REF!</definedName>
    <definedName name="BEx3PVXYZC8WB9ZJE7OCKUXZ46EA" localSheetId="5" hidden="1">#REF!</definedName>
    <definedName name="BEx3Q0VWPU5EQECK7MQ47TYJ3SWW" localSheetId="14" hidden="1">#REF!</definedName>
    <definedName name="BEx3Q0VWPU5EQECK7MQ47TYJ3SWW" localSheetId="15" hidden="1">#REF!</definedName>
    <definedName name="BEx3Q0VWPU5EQECK7MQ47TYJ3SWW" localSheetId="5" hidden="1">#REF!</definedName>
    <definedName name="BEx3Q7BZ9PUXK2RLIOFSIS9AHU1B" localSheetId="14" hidden="1">#REF!</definedName>
    <definedName name="BEx3Q7BZ9PUXK2RLIOFSIS9AHU1B" localSheetId="15" hidden="1">#REF!</definedName>
    <definedName name="BEx3Q7BZ9PUXK2RLIOFSIS9AHU1B" localSheetId="5" hidden="1">#REF!</definedName>
    <definedName name="BEx3Q8J42S9VU6EAN2Y28MR6DF88" localSheetId="14" hidden="1">#REF!</definedName>
    <definedName name="BEx3Q8J42S9VU6EAN2Y28MR6DF88" localSheetId="15" hidden="1">#REF!</definedName>
    <definedName name="BEx3Q8J42S9VU6EAN2Y28MR6DF88" localSheetId="5" hidden="1">#REF!</definedName>
    <definedName name="BEx3QCFD2TBUF95ZN83Q7JPV97FK" localSheetId="14" hidden="1">#REF!</definedName>
    <definedName name="BEx3QCFD2TBUF95ZN83Q7JPV97FK" localSheetId="15" hidden="1">#REF!</definedName>
    <definedName name="BEx3QCFD2TBUF95ZN83Q7JPV97FK" localSheetId="5" hidden="1">#REF!</definedName>
    <definedName name="BEx3QEDFOYFY5NBTININ5W4RLD4Q" localSheetId="14" hidden="1">#REF!</definedName>
    <definedName name="BEx3QEDFOYFY5NBTININ5W4RLD4Q" localSheetId="15" hidden="1">#REF!</definedName>
    <definedName name="BEx3QEDFOYFY5NBTININ5W4RLD4Q" localSheetId="5" hidden="1">#REF!</definedName>
    <definedName name="BEx3QIKJ3U962US1Q564NZDLU8LD" localSheetId="14" hidden="1">#REF!</definedName>
    <definedName name="BEx3QIKJ3U962US1Q564NZDLU8LD" localSheetId="15" hidden="1">#REF!</definedName>
    <definedName name="BEx3QIKJ3U962US1Q564NZDLU8LD" localSheetId="5" hidden="1">#REF!</definedName>
    <definedName name="BEx3QLF3RHHBNUFLUWEROBZDF1U4" localSheetId="14" hidden="1">#REF!</definedName>
    <definedName name="BEx3QLF3RHHBNUFLUWEROBZDF1U4" localSheetId="15" hidden="1">#REF!</definedName>
    <definedName name="BEx3QLF3RHHBNUFLUWEROBZDF1U4" localSheetId="5" hidden="1">#REF!</definedName>
    <definedName name="BEx3QR9D45DHW50VQ7Y3Q1AXPOB9" localSheetId="14" hidden="1">#REF!</definedName>
    <definedName name="BEx3QR9D45DHW50VQ7Y3Q1AXPOB9" localSheetId="15" hidden="1">#REF!</definedName>
    <definedName name="BEx3QR9D45DHW50VQ7Y3Q1AXPOB9" localSheetId="5" hidden="1">#REF!</definedName>
    <definedName name="BEx3QSWT2S5KWG6U2V9711IYDQBM" localSheetId="14" hidden="1">#REF!</definedName>
    <definedName name="BEx3QSWT2S5KWG6U2V9711IYDQBM" localSheetId="15" hidden="1">#REF!</definedName>
    <definedName name="BEx3QSWT2S5KWG6U2V9711IYDQBM" localSheetId="5" hidden="1">#REF!</definedName>
    <definedName name="BEx3QVGG7Q2X4HZHJAM35A8T3VR7" localSheetId="14" hidden="1">#REF!</definedName>
    <definedName name="BEx3QVGG7Q2X4HZHJAM35A8T3VR7" localSheetId="15" hidden="1">#REF!</definedName>
    <definedName name="BEx3QVGG7Q2X4HZHJAM35A8T3VR7" localSheetId="5" hidden="1">#REF!</definedName>
    <definedName name="BEx3R0JUB9YN8PHPPQTAMIT1IHWK" localSheetId="14" hidden="1">#REF!</definedName>
    <definedName name="BEx3R0JUB9YN8PHPPQTAMIT1IHWK" localSheetId="15" hidden="1">#REF!</definedName>
    <definedName name="BEx3R0JUB9YN8PHPPQTAMIT1IHWK" localSheetId="5" hidden="1">#REF!</definedName>
    <definedName name="BEx3R81NFRO7M81VHVKOBFT0QBIL" localSheetId="14" hidden="1">#REF!</definedName>
    <definedName name="BEx3R81NFRO7M81VHVKOBFT0QBIL" localSheetId="15" hidden="1">#REF!</definedName>
    <definedName name="BEx3R81NFRO7M81VHVKOBFT0QBIL" localSheetId="5" hidden="1">#REF!</definedName>
    <definedName name="BEx3RHC2ZD5UFS6QD4OPFCNNMWH1" localSheetId="14" hidden="1">#REF!</definedName>
    <definedName name="BEx3RHC2ZD5UFS6QD4OPFCNNMWH1" localSheetId="15" hidden="1">#REF!</definedName>
    <definedName name="BEx3RHC2ZD5UFS6QD4OPFCNNMWH1" localSheetId="5" hidden="1">#REF!</definedName>
    <definedName name="BEx3RQ10QIWBAPHALAA91BUUCM2X" localSheetId="14" hidden="1">#REF!</definedName>
    <definedName name="BEx3RQ10QIWBAPHALAA91BUUCM2X" localSheetId="15" hidden="1">#REF!</definedName>
    <definedName name="BEx3RQ10QIWBAPHALAA91BUUCM2X" localSheetId="5" hidden="1">#REF!</definedName>
    <definedName name="BEx3RV4E1WT43SZBUN09RTB8EK1O" localSheetId="14" hidden="1">#REF!</definedName>
    <definedName name="BEx3RV4E1WT43SZBUN09RTB8EK1O" localSheetId="15" hidden="1">#REF!</definedName>
    <definedName name="BEx3RV4E1WT43SZBUN09RTB8EK1O" localSheetId="5" hidden="1">#REF!</definedName>
    <definedName name="BEx3RXYU0QLFXSFTM5EB20GD03W5" localSheetId="14" hidden="1">#REF!</definedName>
    <definedName name="BEx3RXYU0QLFXSFTM5EB20GD03W5" localSheetId="15" hidden="1">#REF!</definedName>
    <definedName name="BEx3RXYU0QLFXSFTM5EB20GD03W5" localSheetId="5" hidden="1">#REF!</definedName>
    <definedName name="BEx3RYKLC3QQO3XTUN7BEW2AQL98" localSheetId="14" hidden="1">#REF!</definedName>
    <definedName name="BEx3RYKLC3QQO3XTUN7BEW2AQL98" localSheetId="15" hidden="1">#REF!</definedName>
    <definedName name="BEx3RYKLC3QQO3XTUN7BEW2AQL98" localSheetId="5" hidden="1">#REF!</definedName>
    <definedName name="BEx3S37QNFSKW3DGRH5YVVEZLJI7" localSheetId="14" hidden="1">#REF!</definedName>
    <definedName name="BEx3S37QNFSKW3DGRH5YVVEZLJI7" localSheetId="15" hidden="1">#REF!</definedName>
    <definedName name="BEx3S37QNFSKW3DGRH5YVVEZLJI7" localSheetId="5" hidden="1">#REF!</definedName>
    <definedName name="BEx3SICJ45BYT6FHBER86PJT25FC" localSheetId="14" hidden="1">#REF!</definedName>
    <definedName name="BEx3SICJ45BYT6FHBER86PJT25FC" localSheetId="15" hidden="1">#REF!</definedName>
    <definedName name="BEx3SICJ45BYT6FHBER86PJT25FC" localSheetId="5" hidden="1">#REF!</definedName>
    <definedName name="BEx3SMUCMJVGQ2H4EHQI5ZFHEF0P" localSheetId="14" hidden="1">#REF!</definedName>
    <definedName name="BEx3SMUCMJVGQ2H4EHQI5ZFHEF0P" localSheetId="15" hidden="1">#REF!</definedName>
    <definedName name="BEx3SMUCMJVGQ2H4EHQI5ZFHEF0P" localSheetId="5" hidden="1">#REF!</definedName>
    <definedName name="BEx3SN56F03CPDRDA7LZ763V0N4I" localSheetId="14" hidden="1">#REF!</definedName>
    <definedName name="BEx3SN56F03CPDRDA7LZ763V0N4I" localSheetId="15" hidden="1">#REF!</definedName>
    <definedName name="BEx3SN56F03CPDRDA7LZ763V0N4I" localSheetId="5" hidden="1">#REF!</definedName>
    <definedName name="BEx3SPE6N1ORXPRCDL3JPZD73Z9F" localSheetId="14" hidden="1">#REF!</definedName>
    <definedName name="BEx3SPE6N1ORXPRCDL3JPZD73Z9F" localSheetId="15" hidden="1">#REF!</definedName>
    <definedName name="BEx3SPE6N1ORXPRCDL3JPZD73Z9F" localSheetId="5" hidden="1">#REF!</definedName>
    <definedName name="BEx3T29ZTULQE0OMSMWUMZDU9ZZ0" localSheetId="14" hidden="1">#REF!</definedName>
    <definedName name="BEx3T29ZTULQE0OMSMWUMZDU9ZZ0" localSheetId="15" hidden="1">#REF!</definedName>
    <definedName name="BEx3T29ZTULQE0OMSMWUMZDU9ZZ0" localSheetId="5" hidden="1">#REF!</definedName>
    <definedName name="BEx3T6MJ1QDJ929WMUDVZ0O3UW0Y" localSheetId="14" hidden="1">#REF!</definedName>
    <definedName name="BEx3T6MJ1QDJ929WMUDVZ0O3UW0Y" localSheetId="15" hidden="1">#REF!</definedName>
    <definedName name="BEx3T6MJ1QDJ929WMUDVZ0O3UW0Y" localSheetId="5" hidden="1">#REF!</definedName>
    <definedName name="BEx3TD7WH1NN1OH0MRS4T8ENRU32" localSheetId="14" hidden="1">#REF!</definedName>
    <definedName name="BEx3TD7WH1NN1OH0MRS4T8ENRU32" localSheetId="15" hidden="1">#REF!</definedName>
    <definedName name="BEx3TD7WH1NN1OH0MRS4T8ENRU32" localSheetId="5" hidden="1">#REF!</definedName>
    <definedName name="BEx3TPCSI16OAB2L9M9IULQMQ9J9" localSheetId="14" hidden="1">#REF!</definedName>
    <definedName name="BEx3TPCSI16OAB2L9M9IULQMQ9J9" localSheetId="15" hidden="1">#REF!</definedName>
    <definedName name="BEx3TPCSI16OAB2L9M9IULQMQ9J9" localSheetId="5" hidden="1">#REF!</definedName>
    <definedName name="BEx3TQ3SFJB2WTCV0OXDE56FB46K" localSheetId="14" hidden="1">#REF!</definedName>
    <definedName name="BEx3TQ3SFJB2WTCV0OXDE56FB46K" localSheetId="15" hidden="1">#REF!</definedName>
    <definedName name="BEx3TQ3SFJB2WTCV0OXDE56FB46K" localSheetId="5" hidden="1">#REF!</definedName>
    <definedName name="BEx3TX59M3456DDBXWFJ8X2TU37A" localSheetId="14" hidden="1">#REF!</definedName>
    <definedName name="BEx3TX59M3456DDBXWFJ8X2TU37A" localSheetId="15" hidden="1">#REF!</definedName>
    <definedName name="BEx3TX59M3456DDBXWFJ8X2TU37A" localSheetId="5" hidden="1">#REF!</definedName>
    <definedName name="BEx3U2UBY80GPGSTYFGI6F8TPKCV" localSheetId="14" hidden="1">#REF!</definedName>
    <definedName name="BEx3U2UBY80GPGSTYFGI6F8TPKCV" localSheetId="15" hidden="1">#REF!</definedName>
    <definedName name="BEx3U2UBY80GPGSTYFGI6F8TPKCV" localSheetId="5" hidden="1">#REF!</definedName>
    <definedName name="BEx3U64YUOZ419BAJS2W78UMATAW" localSheetId="14" hidden="1">#REF!</definedName>
    <definedName name="BEx3U64YUOZ419BAJS2W78UMATAW" localSheetId="15" hidden="1">#REF!</definedName>
    <definedName name="BEx3U64YUOZ419BAJS2W78UMATAW" localSheetId="5" hidden="1">#REF!</definedName>
    <definedName name="BEx3U94WCEA5DKMWBEX1GU0LKYG2" localSheetId="14" hidden="1">#REF!</definedName>
    <definedName name="BEx3U94WCEA5DKMWBEX1GU0LKYG2" localSheetId="15" hidden="1">#REF!</definedName>
    <definedName name="BEx3U94WCEA5DKMWBEX1GU0LKYG2" localSheetId="5" hidden="1">#REF!</definedName>
    <definedName name="BEx3U9VZ8SQVYS6ZA038J7AP7ZGW" localSheetId="14" hidden="1">#REF!</definedName>
    <definedName name="BEx3U9VZ8SQVYS6ZA038J7AP7ZGW" localSheetId="15" hidden="1">#REF!</definedName>
    <definedName name="BEx3U9VZ8SQVYS6ZA038J7AP7ZGW" localSheetId="5" hidden="1">#REF!</definedName>
    <definedName name="BEx3UIQ5WRJBGNTFCCLOR4N7B1OQ" localSheetId="14" hidden="1">#REF!</definedName>
    <definedName name="BEx3UIQ5WRJBGNTFCCLOR4N7B1OQ" localSheetId="15" hidden="1">#REF!</definedName>
    <definedName name="BEx3UIQ5WRJBGNTFCCLOR4N7B1OQ" localSheetId="5" hidden="1">#REF!</definedName>
    <definedName name="BEx3UJMIX2NUSSWGMSI25A5DM4CH" localSheetId="14" hidden="1">#REF!</definedName>
    <definedName name="BEx3UJMIX2NUSSWGMSI25A5DM4CH" localSheetId="15" hidden="1">#REF!</definedName>
    <definedName name="BEx3UJMIX2NUSSWGMSI25A5DM4CH" localSheetId="5" hidden="1">#REF!</definedName>
    <definedName name="BEx3UKIX0UULWP3BZA8VT2SQ8WI7" localSheetId="14" hidden="1">#REF!</definedName>
    <definedName name="BEx3UKIX0UULWP3BZA8VT2SQ8WI7" localSheetId="15" hidden="1">#REF!</definedName>
    <definedName name="BEx3UKIX0UULWP3BZA8VT2SQ8WI7" localSheetId="5" hidden="1">#REF!</definedName>
    <definedName name="BEx3UKOCOQG7S1YQ436S997K1KWV" localSheetId="14" hidden="1">#REF!</definedName>
    <definedName name="BEx3UKOCOQG7S1YQ436S997K1KWV" localSheetId="15" hidden="1">#REF!</definedName>
    <definedName name="BEx3UKOCOQG7S1YQ436S997K1KWV" localSheetId="5" hidden="1">#REF!</definedName>
    <definedName name="BEx3UYM19VIXLA0EU7LB9NHA77PB" localSheetId="14" hidden="1">#REF!</definedName>
    <definedName name="BEx3UYM19VIXLA0EU7LB9NHA77PB" localSheetId="15" hidden="1">#REF!</definedName>
    <definedName name="BEx3UYM19VIXLA0EU7LB9NHA77PB" localSheetId="5" hidden="1">#REF!</definedName>
    <definedName name="BEx3VML7CG70HPISMVYIUEN3711Q" localSheetId="14" hidden="1">#REF!</definedName>
    <definedName name="BEx3VML7CG70HPISMVYIUEN3711Q" localSheetId="15" hidden="1">#REF!</definedName>
    <definedName name="BEx3VML7CG70HPISMVYIUEN3711Q" localSheetId="5" hidden="1">#REF!</definedName>
    <definedName name="BEx56ZID5H04P9AIYLP1OASFGV56" localSheetId="14" hidden="1">#REF!</definedName>
    <definedName name="BEx56ZID5H04P9AIYLP1OASFGV56" localSheetId="15" hidden="1">#REF!</definedName>
    <definedName name="BEx56ZID5H04P9AIYLP1OASFGV56" localSheetId="5" hidden="1">#REF!</definedName>
    <definedName name="BEx57ROM8UIFKV5C1BOZWSQQLESO" localSheetId="14" hidden="1">#REF!</definedName>
    <definedName name="BEx57ROM8UIFKV5C1BOZWSQQLESO" localSheetId="15" hidden="1">#REF!</definedName>
    <definedName name="BEx57ROM8UIFKV5C1BOZWSQQLESO" localSheetId="5" hidden="1">#REF!</definedName>
    <definedName name="BEx587EYSS57E3PI8DT973HLJM9E" localSheetId="14" hidden="1">#REF!</definedName>
    <definedName name="BEx587EYSS57E3PI8DT973HLJM9E" localSheetId="15" hidden="1">#REF!</definedName>
    <definedName name="BEx587EYSS57E3PI8DT973HLJM9E" localSheetId="5" hidden="1">#REF!</definedName>
    <definedName name="BEx587KFQ3VKCOCY1SA5F24PQGUI" localSheetId="14" hidden="1">#REF!</definedName>
    <definedName name="BEx587KFQ3VKCOCY1SA5F24PQGUI" localSheetId="15" hidden="1">#REF!</definedName>
    <definedName name="BEx587KFQ3VKCOCY1SA5F24PQGUI" localSheetId="5" hidden="1">#REF!</definedName>
    <definedName name="BEx58O780PQ05NF0Z1SKKRB3N099" localSheetId="14" hidden="1">#REF!</definedName>
    <definedName name="BEx58O780PQ05NF0Z1SKKRB3N099" localSheetId="15" hidden="1">#REF!</definedName>
    <definedName name="BEx58O780PQ05NF0Z1SKKRB3N099" localSheetId="5" hidden="1">#REF!</definedName>
    <definedName name="BEx58W57CTL8HFK3U7ZRFYZR6MXE" localSheetId="14" hidden="1">#REF!</definedName>
    <definedName name="BEx58W57CTL8HFK3U7ZRFYZR6MXE" localSheetId="15" hidden="1">#REF!</definedName>
    <definedName name="BEx58W57CTL8HFK3U7ZRFYZR6MXE" localSheetId="5" hidden="1">#REF!</definedName>
    <definedName name="BEx58XHO7ZULLF2EUD7YIS0MGQJ5" localSheetId="14" hidden="1">#REF!</definedName>
    <definedName name="BEx58XHO7ZULLF2EUD7YIS0MGQJ5" localSheetId="15" hidden="1">#REF!</definedName>
    <definedName name="BEx58XHO7ZULLF2EUD7YIS0MGQJ5" localSheetId="5" hidden="1">#REF!</definedName>
    <definedName name="BEx58ZAFNTMGBNDH52VUYXLRJO7P" localSheetId="14" hidden="1">#REF!</definedName>
    <definedName name="BEx58ZAFNTMGBNDH52VUYXLRJO7P" localSheetId="15" hidden="1">#REF!</definedName>
    <definedName name="BEx58ZAFNTMGBNDH52VUYXLRJO7P" localSheetId="5" hidden="1">#REF!</definedName>
    <definedName name="BEx58ZW0HAIGIPEX9CVA1PQQTR6X" localSheetId="14" hidden="1">#REF!</definedName>
    <definedName name="BEx58ZW0HAIGIPEX9CVA1PQQTR6X" localSheetId="15" hidden="1">#REF!</definedName>
    <definedName name="BEx58ZW0HAIGIPEX9CVA1PQQTR6X" localSheetId="5" hidden="1">#REF!</definedName>
    <definedName name="BEx593SAFVYKW7V61D9COEZJXDA7" localSheetId="14" hidden="1">#REF!</definedName>
    <definedName name="BEx593SAFVYKW7V61D9COEZJXDA7" localSheetId="15" hidden="1">#REF!</definedName>
    <definedName name="BEx593SAFVYKW7V61D9COEZJXDA7" localSheetId="5" hidden="1">#REF!</definedName>
    <definedName name="BEx59BA1KH3RG6K1LHL7YS2VB79N" localSheetId="14" hidden="1">#REF!</definedName>
    <definedName name="BEx59BA1KH3RG6K1LHL7YS2VB79N" localSheetId="15" hidden="1">#REF!</definedName>
    <definedName name="BEx59BA1KH3RG6K1LHL7YS2VB79N" localSheetId="5" hidden="1">#REF!</definedName>
    <definedName name="BEx59DDIU0AMFOY94NSP1ULST8JD" localSheetId="14" hidden="1">#REF!</definedName>
    <definedName name="BEx59DDIU0AMFOY94NSP1ULST8JD" localSheetId="15" hidden="1">#REF!</definedName>
    <definedName name="BEx59DDIU0AMFOY94NSP1ULST8JD" localSheetId="5" hidden="1">#REF!</definedName>
    <definedName name="BEx59E9WABJP2TN71QAIKK79HPK9" localSheetId="14" hidden="1">#REF!</definedName>
    <definedName name="BEx59E9WABJP2TN71QAIKK79HPK9" localSheetId="15" hidden="1">#REF!</definedName>
    <definedName name="BEx59E9WABJP2TN71QAIKK79HPK9" localSheetId="5" hidden="1">#REF!</definedName>
    <definedName name="BEx59F0T17A80RNLNSZNFX8NAO8Y" localSheetId="14" hidden="1">#REF!</definedName>
    <definedName name="BEx59F0T17A80RNLNSZNFX8NAO8Y" localSheetId="15" hidden="1">#REF!</definedName>
    <definedName name="BEx59F0T17A80RNLNSZNFX8NAO8Y" localSheetId="5" hidden="1">#REF!</definedName>
    <definedName name="BEx59P7MAPNU129ZTC5H3EH892G1" localSheetId="14" hidden="1">#REF!</definedName>
    <definedName name="BEx59P7MAPNU129ZTC5H3EH892G1" localSheetId="15" hidden="1">#REF!</definedName>
    <definedName name="BEx59P7MAPNU129ZTC5H3EH892G1" localSheetId="5" hidden="1">#REF!</definedName>
    <definedName name="BEx5A11WZRQSIE089QE119AOX9ZG" localSheetId="14" hidden="1">#REF!</definedName>
    <definedName name="BEx5A11WZRQSIE089QE119AOX9ZG" localSheetId="15" hidden="1">#REF!</definedName>
    <definedName name="BEx5A11WZRQSIE089QE119AOX9ZG" localSheetId="5" hidden="1">#REF!</definedName>
    <definedName name="BEx5A7CIGCOTHJKHGUBDZG91JGPZ" localSheetId="14" hidden="1">#REF!</definedName>
    <definedName name="BEx5A7CIGCOTHJKHGUBDZG91JGPZ" localSheetId="15" hidden="1">#REF!</definedName>
    <definedName name="BEx5A7CIGCOTHJKHGUBDZG91JGPZ" localSheetId="5" hidden="1">#REF!</definedName>
    <definedName name="BEx5A8UFLT2SWVSG5COFA9B8P376" localSheetId="14" hidden="1">#REF!</definedName>
    <definedName name="BEx5A8UFLT2SWVSG5COFA9B8P376" localSheetId="15" hidden="1">#REF!</definedName>
    <definedName name="BEx5A8UFLT2SWVSG5COFA9B8P376" localSheetId="5" hidden="1">#REF!</definedName>
    <definedName name="BEx5ABUBK8WJV1WILGYU9A7CO0KI" localSheetId="14" hidden="1">#REF!</definedName>
    <definedName name="BEx5ABUBK8WJV1WILGYU9A7CO0KI" localSheetId="15" hidden="1">#REF!</definedName>
    <definedName name="BEx5ABUBK8WJV1WILGYU9A7CO0KI" localSheetId="5" hidden="1">#REF!</definedName>
    <definedName name="BEx5AFFTN3IXIBHDKM0FYC4OFL1S" localSheetId="14" hidden="1">#REF!</definedName>
    <definedName name="BEx5AFFTN3IXIBHDKM0FYC4OFL1S" localSheetId="15" hidden="1">#REF!</definedName>
    <definedName name="BEx5AFFTN3IXIBHDKM0FYC4OFL1S" localSheetId="5" hidden="1">#REF!</definedName>
    <definedName name="BEx5AOFIO8KVRHIZ1RII337AA8ML" localSheetId="14" hidden="1">#REF!</definedName>
    <definedName name="BEx5AOFIO8KVRHIZ1RII337AA8ML" localSheetId="15" hidden="1">#REF!</definedName>
    <definedName name="BEx5AOFIO8KVRHIZ1RII337AA8ML" localSheetId="5" hidden="1">#REF!</definedName>
    <definedName name="BEx5APRZ66L5BWHFE8E4YYNEDTI4" localSheetId="14" hidden="1">#REF!</definedName>
    <definedName name="BEx5APRZ66L5BWHFE8E4YYNEDTI4" localSheetId="15" hidden="1">#REF!</definedName>
    <definedName name="BEx5APRZ66L5BWHFE8E4YYNEDTI4" localSheetId="5" hidden="1">#REF!</definedName>
    <definedName name="BEx5AQJ1Z64KY10P8ZF1JKJUFEGN" localSheetId="14" hidden="1">#REF!</definedName>
    <definedName name="BEx5AQJ1Z64KY10P8ZF1JKJUFEGN" localSheetId="15" hidden="1">#REF!</definedName>
    <definedName name="BEx5AQJ1Z64KY10P8ZF1JKJUFEGN" localSheetId="5" hidden="1">#REF!</definedName>
    <definedName name="BEx5AY62R0TL82VHXE37SCZCINQC" localSheetId="14" hidden="1">#REF!</definedName>
    <definedName name="BEx5AY62R0TL82VHXE37SCZCINQC" localSheetId="15" hidden="1">#REF!</definedName>
    <definedName name="BEx5AY62R0TL82VHXE37SCZCINQC" localSheetId="5" hidden="1">#REF!</definedName>
    <definedName name="BEx5B0PV1FCOUSHWQTY94AO0B8P0" localSheetId="14" hidden="1">#REF!</definedName>
    <definedName name="BEx5B0PV1FCOUSHWQTY94AO0B8P0" localSheetId="15" hidden="1">#REF!</definedName>
    <definedName name="BEx5B0PV1FCOUSHWQTY94AO0B8P0" localSheetId="5" hidden="1">#REF!</definedName>
    <definedName name="BEx5B4RHHX0J1BF2FZKEA0SPP29O" localSheetId="14" hidden="1">#REF!</definedName>
    <definedName name="BEx5B4RHHX0J1BF2FZKEA0SPP29O" localSheetId="15" hidden="1">#REF!</definedName>
    <definedName name="BEx5B4RHHX0J1BF2FZKEA0SPP29O" localSheetId="5" hidden="1">#REF!</definedName>
    <definedName name="BEx5B5YMSWP0OVI5CIQRP5V18D0C" localSheetId="14" hidden="1">#REF!</definedName>
    <definedName name="BEx5B5YMSWP0OVI5CIQRP5V18D0C" localSheetId="15" hidden="1">#REF!</definedName>
    <definedName name="BEx5B5YMSWP0OVI5CIQRP5V18D0C" localSheetId="5" hidden="1">#REF!</definedName>
    <definedName name="BEx5B825RW35M5H0UB2IZGGRS4ER" localSheetId="14" hidden="1">#REF!</definedName>
    <definedName name="BEx5B825RW35M5H0UB2IZGGRS4ER" localSheetId="15" hidden="1">#REF!</definedName>
    <definedName name="BEx5B825RW35M5H0UB2IZGGRS4ER" localSheetId="5" hidden="1">#REF!</definedName>
    <definedName name="BEx5BAWPMY0TL684WDXX6KKJLRCN" localSheetId="14" hidden="1">#REF!</definedName>
    <definedName name="BEx5BAWPMY0TL684WDXX6KKJLRCN" localSheetId="15" hidden="1">#REF!</definedName>
    <definedName name="BEx5BAWPMY0TL684WDXX6KKJLRCN" localSheetId="5" hidden="1">#REF!</definedName>
    <definedName name="BEx5BBCUOWR6J9MZS2ML5XB0X7MW" localSheetId="14" hidden="1">#REF!</definedName>
    <definedName name="BEx5BBCUOWR6J9MZS2ML5XB0X7MW" localSheetId="15" hidden="1">#REF!</definedName>
    <definedName name="BEx5BBCUOWR6J9MZS2ML5XB0X7MW" localSheetId="5" hidden="1">#REF!</definedName>
    <definedName name="BEx5BBI61U4Y65GD0ARMTALPP7SJ" localSheetId="14" hidden="1">#REF!</definedName>
    <definedName name="BEx5BBI61U4Y65GD0ARMTALPP7SJ" localSheetId="15" hidden="1">#REF!</definedName>
    <definedName name="BEx5BBI61U4Y65GD0ARMTALPP7SJ" localSheetId="5" hidden="1">#REF!</definedName>
    <definedName name="BEx5BDR56MEV4IHY6CIH2SVNG1UB" localSheetId="14" hidden="1">#REF!</definedName>
    <definedName name="BEx5BDR56MEV4IHY6CIH2SVNG1UB" localSheetId="15" hidden="1">#REF!</definedName>
    <definedName name="BEx5BDR56MEV4IHY6CIH2SVNG1UB" localSheetId="5" hidden="1">#REF!</definedName>
    <definedName name="BEx5BESZC5H329SKHGJOHZFILYJJ" localSheetId="14" hidden="1">#REF!</definedName>
    <definedName name="BEx5BESZC5H329SKHGJOHZFILYJJ" localSheetId="15" hidden="1">#REF!</definedName>
    <definedName name="BEx5BESZC5H329SKHGJOHZFILYJJ" localSheetId="5" hidden="1">#REF!</definedName>
    <definedName name="BEx5BHSQ42B50IU1TEQFUXFX9XQD" localSheetId="14" hidden="1">#REF!</definedName>
    <definedName name="BEx5BHSQ42B50IU1TEQFUXFX9XQD" localSheetId="15" hidden="1">#REF!</definedName>
    <definedName name="BEx5BHSQ42B50IU1TEQFUXFX9XQD" localSheetId="5" hidden="1">#REF!</definedName>
    <definedName name="BEx5BKSM4UN4C1DM3EYKM79MRC5K" localSheetId="14" hidden="1">#REF!</definedName>
    <definedName name="BEx5BKSM4UN4C1DM3EYKM79MRC5K" localSheetId="15" hidden="1">#REF!</definedName>
    <definedName name="BEx5BKSM4UN4C1DM3EYKM79MRC5K" localSheetId="5" hidden="1">#REF!</definedName>
    <definedName name="BEx5BNN8NPH9KVOBARB9CDD9WLB6" localSheetId="14" hidden="1">#REF!</definedName>
    <definedName name="BEx5BNN8NPH9KVOBARB9CDD9WLB6" localSheetId="15" hidden="1">#REF!</definedName>
    <definedName name="BEx5BNN8NPH9KVOBARB9CDD9WLB6" localSheetId="5" hidden="1">#REF!</definedName>
    <definedName name="BEx5BPLEZ8XY6S89R7AZQSKLT4HK" localSheetId="14" hidden="1">#REF!</definedName>
    <definedName name="BEx5BPLEZ8XY6S89R7AZQSKLT4HK" localSheetId="15" hidden="1">#REF!</definedName>
    <definedName name="BEx5BPLEZ8XY6S89R7AZQSKLT4HK" localSheetId="5" hidden="1">#REF!</definedName>
    <definedName name="BEx5BYFMZ80TDDN2EZO8CF39AIAC" localSheetId="14" hidden="1">#REF!</definedName>
    <definedName name="BEx5BYFMZ80TDDN2EZO8CF39AIAC" localSheetId="15" hidden="1">#REF!</definedName>
    <definedName name="BEx5BYFMZ80TDDN2EZO8CF39AIAC" localSheetId="5" hidden="1">#REF!</definedName>
    <definedName name="BEx5C2BWFW6SHZBFDEISKGXHZCQW" localSheetId="14" hidden="1">#REF!</definedName>
    <definedName name="BEx5C2BWFW6SHZBFDEISKGXHZCQW" localSheetId="15" hidden="1">#REF!</definedName>
    <definedName name="BEx5C2BWFW6SHZBFDEISKGXHZCQW" localSheetId="5" hidden="1">#REF!</definedName>
    <definedName name="BEx5C44NK782B81CBGQUDS6Z8MV9" localSheetId="14" hidden="1">#REF!</definedName>
    <definedName name="BEx5C44NK782B81CBGQUDS6Z8MV9" localSheetId="15" hidden="1">#REF!</definedName>
    <definedName name="BEx5C44NK782B81CBGQUDS6Z8MV9" localSheetId="5" hidden="1">#REF!</definedName>
    <definedName name="BEx5C49ZFH8TO9ZU55729C3F7XG7" localSheetId="14" hidden="1">#REF!</definedName>
    <definedName name="BEx5C49ZFH8TO9ZU55729C3F7XG7" localSheetId="15" hidden="1">#REF!</definedName>
    <definedName name="BEx5C49ZFH8TO9ZU55729C3F7XG7" localSheetId="5" hidden="1">#REF!</definedName>
    <definedName name="BEx5C8GZQK13G60ZM70P63I5OS0L" localSheetId="14" hidden="1">#REF!</definedName>
    <definedName name="BEx5C8GZQK13G60ZM70P63I5OS0L" localSheetId="15" hidden="1">#REF!</definedName>
    <definedName name="BEx5C8GZQK13G60ZM70P63I5OS0L" localSheetId="5" hidden="1">#REF!</definedName>
    <definedName name="BEx5CAPTVN2NBT3UOMA1UFAL1C2R" localSheetId="14" hidden="1">#REF!</definedName>
    <definedName name="BEx5CAPTVN2NBT3UOMA1UFAL1C2R" localSheetId="15" hidden="1">#REF!</definedName>
    <definedName name="BEx5CAPTVN2NBT3UOMA1UFAL1C2R" localSheetId="5" hidden="1">#REF!</definedName>
    <definedName name="BEx5CEM3SYF9XP0ZZVE0GEPCLV3F" localSheetId="14" hidden="1">#REF!</definedName>
    <definedName name="BEx5CEM3SYF9XP0ZZVE0GEPCLV3F" localSheetId="15" hidden="1">#REF!</definedName>
    <definedName name="BEx5CEM3SYF9XP0ZZVE0GEPCLV3F" localSheetId="5" hidden="1">#REF!</definedName>
    <definedName name="BEx5CFYQ0F1Z6P8SCVJ0I3UPVFE4" localSheetId="14" hidden="1">#REF!</definedName>
    <definedName name="BEx5CFYQ0F1Z6P8SCVJ0I3UPVFE4" localSheetId="15" hidden="1">#REF!</definedName>
    <definedName name="BEx5CFYQ0F1Z6P8SCVJ0I3UPVFE4" localSheetId="5" hidden="1">#REF!</definedName>
    <definedName name="BEx5CPEKNSJORIPFQC2E1LTRYY8L" localSheetId="14" hidden="1">#REF!</definedName>
    <definedName name="BEx5CPEKNSJORIPFQC2E1LTRYY8L" localSheetId="15" hidden="1">#REF!</definedName>
    <definedName name="BEx5CPEKNSJORIPFQC2E1LTRYY8L" localSheetId="5" hidden="1">#REF!</definedName>
    <definedName name="BEx5CSUOL05D8PAM2TRDA9VRJT1O" localSheetId="14" hidden="1">#REF!</definedName>
    <definedName name="BEx5CSUOL05D8PAM2TRDA9VRJT1O" localSheetId="15" hidden="1">#REF!</definedName>
    <definedName name="BEx5CSUOL05D8PAM2TRDA9VRJT1O" localSheetId="5" hidden="1">#REF!</definedName>
    <definedName name="BEx5CUNFOO4YDFJ22HCMI2QKIGKM" localSheetId="14" hidden="1">#REF!</definedName>
    <definedName name="BEx5CUNFOO4YDFJ22HCMI2QKIGKM" localSheetId="15" hidden="1">#REF!</definedName>
    <definedName name="BEx5CUNFOO4YDFJ22HCMI2QKIGKM" localSheetId="5" hidden="1">#REF!</definedName>
    <definedName name="BEx5D01O3G6BXWXT7MZEVS1F4TE9" localSheetId="14" hidden="1">#REF!</definedName>
    <definedName name="BEx5D01O3G6BXWXT7MZEVS1F4TE9" localSheetId="15" hidden="1">#REF!</definedName>
    <definedName name="BEx5D01O3G6BXWXT7MZEVS1F4TE9" localSheetId="5" hidden="1">#REF!</definedName>
    <definedName name="BEx5D3HO5XE85AN0NGALZ4K4GE8J" localSheetId="14" hidden="1">#REF!</definedName>
    <definedName name="BEx5D3HO5XE85AN0NGALZ4K4GE8J" localSheetId="15" hidden="1">#REF!</definedName>
    <definedName name="BEx5D3HO5XE85AN0NGALZ4K4GE8J" localSheetId="5" hidden="1">#REF!</definedName>
    <definedName name="BEx5D8L47OF0WHBPFWXGZINZWUBZ" localSheetId="14" hidden="1">#REF!</definedName>
    <definedName name="BEx5D8L47OF0WHBPFWXGZINZWUBZ" localSheetId="15" hidden="1">#REF!</definedName>
    <definedName name="BEx5D8L47OF0WHBPFWXGZINZWUBZ" localSheetId="5" hidden="1">#REF!</definedName>
    <definedName name="BEx5DAJAHQ2SKUPCKSCR3PYML67L" localSheetId="14" hidden="1">#REF!</definedName>
    <definedName name="BEx5DAJAHQ2SKUPCKSCR3PYML67L" localSheetId="15" hidden="1">#REF!</definedName>
    <definedName name="BEx5DAJAHQ2SKUPCKSCR3PYML67L" localSheetId="5" hidden="1">#REF!</definedName>
    <definedName name="BEx5DC18JM1KJCV44PF18E0LNRKA" localSheetId="14" hidden="1">#REF!</definedName>
    <definedName name="BEx5DC18JM1KJCV44PF18E0LNRKA" localSheetId="15" hidden="1">#REF!</definedName>
    <definedName name="BEx5DC18JM1KJCV44PF18E0LNRKA" localSheetId="5" hidden="1">#REF!</definedName>
    <definedName name="BEx5DFH8EU3RCPUOTFY8S9G8SBCG" localSheetId="14" hidden="1">#REF!</definedName>
    <definedName name="BEx5DFH8EU3RCPUOTFY8S9G8SBCG" localSheetId="15" hidden="1">#REF!</definedName>
    <definedName name="BEx5DFH8EU3RCPUOTFY8S9G8SBCG" localSheetId="5" hidden="1">#REF!</definedName>
    <definedName name="BEx5DJIZBTNS011R9IIG2OQ2L6ZX" localSheetId="14" hidden="1">#REF!</definedName>
    <definedName name="BEx5DJIZBTNS011R9IIG2OQ2L6ZX" localSheetId="15" hidden="1">#REF!</definedName>
    <definedName name="BEx5DJIZBTNS011R9IIG2OQ2L6ZX" localSheetId="5" hidden="1">#REF!</definedName>
    <definedName name="BEx5DS2EKWFPC2UWI1W1QESX9QP5" localSheetId="14" hidden="1">#REF!</definedName>
    <definedName name="BEx5DS2EKWFPC2UWI1W1QESX9QP5" localSheetId="15" hidden="1">#REF!</definedName>
    <definedName name="BEx5DS2EKWFPC2UWI1W1QESX9QP5" localSheetId="5" hidden="1">#REF!</definedName>
    <definedName name="BEx5E123OLO9WQUOIRIDJ967KAGK" localSheetId="14" hidden="1">#REF!</definedName>
    <definedName name="BEx5E123OLO9WQUOIRIDJ967KAGK" localSheetId="15" hidden="1">#REF!</definedName>
    <definedName name="BEx5E123OLO9WQUOIRIDJ967KAGK" localSheetId="5" hidden="1">#REF!</definedName>
    <definedName name="BEx5E2UU5NES6W779W2OZTZOB4O7" localSheetId="14" hidden="1">#REF!</definedName>
    <definedName name="BEx5E2UU5NES6W779W2OZTZOB4O7" localSheetId="15" hidden="1">#REF!</definedName>
    <definedName name="BEx5E2UU5NES6W779W2OZTZOB4O7" localSheetId="5" hidden="1">#REF!</definedName>
    <definedName name="BEx5ELFT92WAQN3NW8COIMQHUL91" localSheetId="14" hidden="1">#REF!</definedName>
    <definedName name="BEx5ELFT92WAQN3NW8COIMQHUL91" localSheetId="15" hidden="1">#REF!</definedName>
    <definedName name="BEx5ELFT92WAQN3NW8COIMQHUL91" localSheetId="5" hidden="1">#REF!</definedName>
    <definedName name="BEx5ELQL9B0VR6UT18KP11DHOTFX" localSheetId="14" hidden="1">#REF!</definedName>
    <definedName name="BEx5ELQL9B0VR6UT18KP11DHOTFX" localSheetId="15" hidden="1">#REF!</definedName>
    <definedName name="BEx5ELQL9B0VR6UT18KP11DHOTFX" localSheetId="5" hidden="1">#REF!</definedName>
    <definedName name="BEx5ER4TJTFPN7IB1MNEB1ZFR5M6" localSheetId="14" hidden="1">#REF!</definedName>
    <definedName name="BEx5ER4TJTFPN7IB1MNEB1ZFR5M6" localSheetId="15" hidden="1">#REF!</definedName>
    <definedName name="BEx5ER4TJTFPN7IB1MNEB1ZFR5M6" localSheetId="5" hidden="1">#REF!</definedName>
    <definedName name="BEx5EYXB2LDMI4FLC3QFAOXC0FZ3" localSheetId="14" hidden="1">#REF!</definedName>
    <definedName name="BEx5EYXB2LDMI4FLC3QFAOXC0FZ3" localSheetId="15" hidden="1">#REF!</definedName>
    <definedName name="BEx5EYXB2LDMI4FLC3QFAOXC0FZ3" localSheetId="5" hidden="1">#REF!</definedName>
    <definedName name="BEx5F6V72QTCK7O39Y59R0EVM6CW" localSheetId="14" hidden="1">#REF!</definedName>
    <definedName name="BEx5F6V72QTCK7O39Y59R0EVM6CW" localSheetId="15" hidden="1">#REF!</definedName>
    <definedName name="BEx5F6V72QTCK7O39Y59R0EVM6CW" localSheetId="5" hidden="1">#REF!</definedName>
    <definedName name="BEx5FGLQVACD5F5YZG4DGSCHCGO2" localSheetId="14" hidden="1">#REF!</definedName>
    <definedName name="BEx5FGLQVACD5F5YZG4DGSCHCGO2" localSheetId="15" hidden="1">#REF!</definedName>
    <definedName name="BEx5FGLQVACD5F5YZG4DGSCHCGO2" localSheetId="5" hidden="1">#REF!</definedName>
    <definedName name="BEx5FHCTE8VTJEF7IK189AVLNYSY" localSheetId="14" hidden="1">#REF!</definedName>
    <definedName name="BEx5FHCTE8VTJEF7IK189AVLNYSY" localSheetId="15" hidden="1">#REF!</definedName>
    <definedName name="BEx5FHCTE8VTJEF7IK189AVLNYSY" localSheetId="5" hidden="1">#REF!</definedName>
    <definedName name="BEx5FLJWHLW3BTZILDPN5NMA449V" localSheetId="14" hidden="1">#REF!</definedName>
    <definedName name="BEx5FLJWHLW3BTZILDPN5NMA449V" localSheetId="15" hidden="1">#REF!</definedName>
    <definedName name="BEx5FLJWHLW3BTZILDPN5NMA449V" localSheetId="5" hidden="1">#REF!</definedName>
    <definedName name="BEx5FNI2O10YN2SI1NO4X5GP3GTF" localSheetId="14" hidden="1">#REF!</definedName>
    <definedName name="BEx5FNI2O10YN2SI1NO4X5GP3GTF" localSheetId="15" hidden="1">#REF!</definedName>
    <definedName name="BEx5FNI2O10YN2SI1NO4X5GP3GTF" localSheetId="5" hidden="1">#REF!</definedName>
    <definedName name="BEx5FO8YRFSZCG3L608EHIHIHFY4" localSheetId="14" hidden="1">#REF!</definedName>
    <definedName name="BEx5FO8YRFSZCG3L608EHIHIHFY4" localSheetId="15" hidden="1">#REF!</definedName>
    <definedName name="BEx5FO8YRFSZCG3L608EHIHIHFY4" localSheetId="5" hidden="1">#REF!</definedName>
    <definedName name="BEx5FQNA6V4CNYSH013K45RI4BCV" localSheetId="14" hidden="1">#REF!</definedName>
    <definedName name="BEx5FQNA6V4CNYSH013K45RI4BCV" localSheetId="15" hidden="1">#REF!</definedName>
    <definedName name="BEx5FQNA6V4CNYSH013K45RI4BCV" localSheetId="5" hidden="1">#REF!</definedName>
    <definedName name="BEx5FVQPPEU32CPNV9RRQ9MNLLVE" localSheetId="14" hidden="1">#REF!</definedName>
    <definedName name="BEx5FVQPPEU32CPNV9RRQ9MNLLVE" localSheetId="15" hidden="1">#REF!</definedName>
    <definedName name="BEx5FVQPPEU32CPNV9RRQ9MNLLVE" localSheetId="5" hidden="1">#REF!</definedName>
    <definedName name="BEx5G08KGMG5X2AQKDGPFYG5GH94" localSheetId="14" hidden="1">#REF!</definedName>
    <definedName name="BEx5G08KGMG5X2AQKDGPFYG5GH94" localSheetId="15" hidden="1">#REF!</definedName>
    <definedName name="BEx5G08KGMG5X2AQKDGPFYG5GH94" localSheetId="5" hidden="1">#REF!</definedName>
    <definedName name="BEx5G1A8TFN4C4QII35U9DKYNIS8" localSheetId="14" hidden="1">#REF!</definedName>
    <definedName name="BEx5G1A8TFN4C4QII35U9DKYNIS8" localSheetId="15" hidden="1">#REF!</definedName>
    <definedName name="BEx5G1A8TFN4C4QII35U9DKYNIS8" localSheetId="5" hidden="1">#REF!</definedName>
    <definedName name="BEx5G1L0QO91KEPDMV1D8OT4BT73" localSheetId="14" hidden="1">#REF!</definedName>
    <definedName name="BEx5G1L0QO91KEPDMV1D8OT4BT73" localSheetId="15" hidden="1">#REF!</definedName>
    <definedName name="BEx5G1L0QO91KEPDMV1D8OT4BT73" localSheetId="5" hidden="1">#REF!</definedName>
    <definedName name="BEx5G1QHX69GFUYHUZA5X74MTDMR" localSheetId="14" hidden="1">#REF!</definedName>
    <definedName name="BEx5G1QHX69GFUYHUZA5X74MTDMR" localSheetId="15" hidden="1">#REF!</definedName>
    <definedName name="BEx5G1QHX69GFUYHUZA5X74MTDMR" localSheetId="5" hidden="1">#REF!</definedName>
    <definedName name="BEx5G5S2C9JRD28ZQMMQLCBHWOHB" localSheetId="14" hidden="1">#REF!</definedName>
    <definedName name="BEx5G5S2C9JRD28ZQMMQLCBHWOHB" localSheetId="15" hidden="1">#REF!</definedName>
    <definedName name="BEx5G5S2C9JRD28ZQMMQLCBHWOHB" localSheetId="5" hidden="1">#REF!</definedName>
    <definedName name="BEx5G7KU3EGZQSYN2YNML8EW8NDC" localSheetId="14" hidden="1">#REF!</definedName>
    <definedName name="BEx5G7KU3EGZQSYN2YNML8EW8NDC" localSheetId="15" hidden="1">#REF!</definedName>
    <definedName name="BEx5G7KU3EGZQSYN2YNML8EW8NDC" localSheetId="5" hidden="1">#REF!</definedName>
    <definedName name="BEx5G86DZL1VYUX6KWODAP3WFAWP" localSheetId="14" hidden="1">#REF!</definedName>
    <definedName name="BEx5G86DZL1VYUX6KWODAP3WFAWP" localSheetId="15" hidden="1">#REF!</definedName>
    <definedName name="BEx5G86DZL1VYUX6KWODAP3WFAWP" localSheetId="5" hidden="1">#REF!</definedName>
    <definedName name="BEx5G8BV2GIOCM3C7IUFK8L04A6M" localSheetId="14" hidden="1">#REF!</definedName>
    <definedName name="BEx5G8BV2GIOCM3C7IUFK8L04A6M" localSheetId="15" hidden="1">#REF!</definedName>
    <definedName name="BEx5G8BV2GIOCM3C7IUFK8L04A6M" localSheetId="5" hidden="1">#REF!</definedName>
    <definedName name="BEx5GID9MVBUPFFT9M8K8B5MO9NV" localSheetId="14" hidden="1">#REF!</definedName>
    <definedName name="BEx5GID9MVBUPFFT9M8K8B5MO9NV" localSheetId="15" hidden="1">#REF!</definedName>
    <definedName name="BEx5GID9MVBUPFFT9M8K8B5MO9NV" localSheetId="5" hidden="1">#REF!</definedName>
    <definedName name="BEx5GN0EWA9SCQDPQ7NTUQH82QVK" localSheetId="14" hidden="1">#REF!</definedName>
    <definedName name="BEx5GN0EWA9SCQDPQ7NTUQH82QVK" localSheetId="15" hidden="1">#REF!</definedName>
    <definedName name="BEx5GN0EWA9SCQDPQ7NTUQH82QVK" localSheetId="5" hidden="1">#REF!</definedName>
    <definedName name="BEx5GNBCU4WZ74I0UXFL9ZG2XSGJ" localSheetId="14" hidden="1">#REF!</definedName>
    <definedName name="BEx5GNBCU4WZ74I0UXFL9ZG2XSGJ" localSheetId="15" hidden="1">#REF!</definedName>
    <definedName name="BEx5GNBCU4WZ74I0UXFL9ZG2XSGJ" localSheetId="5" hidden="1">#REF!</definedName>
    <definedName name="BEx5GUCTYC7QCWGWU5BTO7Y7HDZX" localSheetId="14" hidden="1">#REF!</definedName>
    <definedName name="BEx5GUCTYC7QCWGWU5BTO7Y7HDZX" localSheetId="15" hidden="1">#REF!</definedName>
    <definedName name="BEx5GUCTYC7QCWGWU5BTO7Y7HDZX" localSheetId="5" hidden="1">#REF!</definedName>
    <definedName name="BEx5GYUPJULJQ624TEESYFG1NFOH" localSheetId="14" hidden="1">#REF!</definedName>
    <definedName name="BEx5GYUPJULJQ624TEESYFG1NFOH" localSheetId="15" hidden="1">#REF!</definedName>
    <definedName name="BEx5GYUPJULJQ624TEESYFG1NFOH" localSheetId="5" hidden="1">#REF!</definedName>
    <definedName name="BEx5H0NEE0AIN5E2UHJ9J9ISU9N1" localSheetId="14" hidden="1">#REF!</definedName>
    <definedName name="BEx5H0NEE0AIN5E2UHJ9J9ISU9N1" localSheetId="15" hidden="1">#REF!</definedName>
    <definedName name="BEx5H0NEE0AIN5E2UHJ9J9ISU9N1" localSheetId="5" hidden="1">#REF!</definedName>
    <definedName name="BEx5H1UJSEUQM2K8QHQXO5THVHSO" localSheetId="14" hidden="1">#REF!</definedName>
    <definedName name="BEx5H1UJSEUQM2K8QHQXO5THVHSO" localSheetId="15" hidden="1">#REF!</definedName>
    <definedName name="BEx5H1UJSEUQM2K8QHQXO5THVHSO" localSheetId="5" hidden="1">#REF!</definedName>
    <definedName name="BEx5HAOT9XWUF7XIFRZZS8B9F5TZ" localSheetId="14" hidden="1">#REF!</definedName>
    <definedName name="BEx5HAOT9XWUF7XIFRZZS8B9F5TZ" localSheetId="15" hidden="1">#REF!</definedName>
    <definedName name="BEx5HAOT9XWUF7XIFRZZS8B9F5TZ" localSheetId="5" hidden="1">#REF!</definedName>
    <definedName name="BEx5HB534CO7TBSALKMD27WHMAQJ" localSheetId="14" hidden="1">#REF!</definedName>
    <definedName name="BEx5HB534CO7TBSALKMD27WHMAQJ" localSheetId="15" hidden="1">#REF!</definedName>
    <definedName name="BEx5HB534CO7TBSALKMD27WHMAQJ" localSheetId="5" hidden="1">#REF!</definedName>
    <definedName name="BEx5HE4XRF9BUY04MENWY9CHHN5H" localSheetId="14" hidden="1">#REF!</definedName>
    <definedName name="BEx5HE4XRF9BUY04MENWY9CHHN5H" localSheetId="15" hidden="1">#REF!</definedName>
    <definedName name="BEx5HE4XRF9BUY04MENWY9CHHN5H" localSheetId="5" hidden="1">#REF!</definedName>
    <definedName name="BEx5HFHMABAT0H9KKS754X4T304E" localSheetId="14" hidden="1">#REF!</definedName>
    <definedName name="BEx5HFHMABAT0H9KKS754X4T304E" localSheetId="15" hidden="1">#REF!</definedName>
    <definedName name="BEx5HFHMABAT0H9KKS754X4T304E" localSheetId="5" hidden="1">#REF!</definedName>
    <definedName name="BEx5HGDZ7MX1S3KNXLRL9WU565V4" localSheetId="14" hidden="1">#REF!</definedName>
    <definedName name="BEx5HGDZ7MX1S3KNXLRL9WU565V4" localSheetId="15" hidden="1">#REF!</definedName>
    <definedName name="BEx5HGDZ7MX1S3KNXLRL9WU565V4" localSheetId="5" hidden="1">#REF!</definedName>
    <definedName name="BEx5HJZ9FAVNZSSBTAYRPZDYM9NU" localSheetId="14" hidden="1">#REF!</definedName>
    <definedName name="BEx5HJZ9FAVNZSSBTAYRPZDYM9NU" localSheetId="15" hidden="1">#REF!</definedName>
    <definedName name="BEx5HJZ9FAVNZSSBTAYRPZDYM9NU" localSheetId="5" hidden="1">#REF!</definedName>
    <definedName name="BEx5HZ9JMKHNLFWLVUB1WP5B39BL" localSheetId="14" hidden="1">#REF!</definedName>
    <definedName name="BEx5HZ9JMKHNLFWLVUB1WP5B39BL" localSheetId="15" hidden="1">#REF!</definedName>
    <definedName name="BEx5HZ9JMKHNLFWLVUB1WP5B39BL" localSheetId="5" hidden="1">#REF!</definedName>
    <definedName name="BEx5I17QJ0PQ1OG1IMH69HMQWNEA" localSheetId="14" hidden="1">#REF!</definedName>
    <definedName name="BEx5I17QJ0PQ1OG1IMH69HMQWNEA" localSheetId="15" hidden="1">#REF!</definedName>
    <definedName name="BEx5I17QJ0PQ1OG1IMH69HMQWNEA" localSheetId="5" hidden="1">#REF!</definedName>
    <definedName name="BEx5I244LQHZTF3XI66J8705R9XX" localSheetId="14" hidden="1">#REF!</definedName>
    <definedName name="BEx5I244LQHZTF3XI66J8705R9XX" localSheetId="15" hidden="1">#REF!</definedName>
    <definedName name="BEx5I244LQHZTF3XI66J8705R9XX" localSheetId="5" hidden="1">#REF!</definedName>
    <definedName name="BEx5I8PBP4LIXDGID5BP0THLO0AQ" localSheetId="14" hidden="1">#REF!</definedName>
    <definedName name="BEx5I8PBP4LIXDGID5BP0THLO0AQ" localSheetId="15" hidden="1">#REF!</definedName>
    <definedName name="BEx5I8PBP4LIXDGID5BP0THLO0AQ" localSheetId="5" hidden="1">#REF!</definedName>
    <definedName name="BEx5I8USVUB3JP4S9OXGMZVMOQXR" localSheetId="14" hidden="1">#REF!</definedName>
    <definedName name="BEx5I8USVUB3JP4S9OXGMZVMOQXR" localSheetId="15" hidden="1">#REF!</definedName>
    <definedName name="BEx5I8USVUB3JP4S9OXGMZVMOQXR" localSheetId="5" hidden="1">#REF!</definedName>
    <definedName name="BEx5I9GDQSYIAL65UQNDMNFQCS9Y" localSheetId="14" hidden="1">#REF!</definedName>
    <definedName name="BEx5I9GDQSYIAL65UQNDMNFQCS9Y" localSheetId="15" hidden="1">#REF!</definedName>
    <definedName name="BEx5I9GDQSYIAL65UQNDMNFQCS9Y" localSheetId="5" hidden="1">#REF!</definedName>
    <definedName name="BEx5IBUPG9AWNW5PK7JGRGEJ4OLM" localSheetId="14" hidden="1">#REF!</definedName>
    <definedName name="BEx5IBUPG9AWNW5PK7JGRGEJ4OLM" localSheetId="15" hidden="1">#REF!</definedName>
    <definedName name="BEx5IBUPG9AWNW5PK7JGRGEJ4OLM" localSheetId="5" hidden="1">#REF!</definedName>
    <definedName name="BEx5IC06RVN8BSAEPREVKHKLCJ2L" localSheetId="14" hidden="1">#REF!</definedName>
    <definedName name="BEx5IC06RVN8BSAEPREVKHKLCJ2L" localSheetId="15" hidden="1">#REF!</definedName>
    <definedName name="BEx5IC06RVN8BSAEPREVKHKLCJ2L" localSheetId="5" hidden="1">#REF!</definedName>
    <definedName name="BEx5IGY4M04BPXSQF2J4GQYXF85O" localSheetId="14" hidden="1">#REF!</definedName>
    <definedName name="BEx5IGY4M04BPXSQF2J4GQYXF85O" localSheetId="15" hidden="1">#REF!</definedName>
    <definedName name="BEx5IGY4M04BPXSQF2J4GQYXF85O" localSheetId="5" hidden="1">#REF!</definedName>
    <definedName name="BEx5IWTZDCLZ5CCDG108STY04SAJ" localSheetId="14" hidden="1">#REF!</definedName>
    <definedName name="BEx5IWTZDCLZ5CCDG108STY04SAJ" localSheetId="15" hidden="1">#REF!</definedName>
    <definedName name="BEx5IWTZDCLZ5CCDG108STY04SAJ" localSheetId="5" hidden="1">#REF!</definedName>
    <definedName name="BEx5J0FFP1KS4NGY20AEJI8VREEA" localSheetId="14" hidden="1">#REF!</definedName>
    <definedName name="BEx5J0FFP1KS4NGY20AEJI8VREEA" localSheetId="15" hidden="1">#REF!</definedName>
    <definedName name="BEx5J0FFP1KS4NGY20AEJI8VREEA" localSheetId="5" hidden="1">#REF!</definedName>
    <definedName name="BEx5J1XE5FVWL6IJV6CWKPN24UBK" localSheetId="14" hidden="1">#REF!</definedName>
    <definedName name="BEx5J1XE5FVWL6IJV6CWKPN24UBK" localSheetId="15" hidden="1">#REF!</definedName>
    <definedName name="BEx5J1XE5FVWL6IJV6CWKPN24UBK" localSheetId="5" hidden="1">#REF!</definedName>
    <definedName name="BEx5JF3ZXLDIS8VNKDCY7ZI7H1CI" localSheetId="14" hidden="1">#REF!</definedName>
    <definedName name="BEx5JF3ZXLDIS8VNKDCY7ZI7H1CI" localSheetId="15" hidden="1">#REF!</definedName>
    <definedName name="BEx5JF3ZXLDIS8VNKDCY7ZI7H1CI" localSheetId="5" hidden="1">#REF!</definedName>
    <definedName name="BEx5JHCZJ8G6OOOW6EF3GABXKH6F" localSheetId="14" hidden="1">#REF!</definedName>
    <definedName name="BEx5JHCZJ8G6OOOW6EF3GABXKH6F" localSheetId="15" hidden="1">#REF!</definedName>
    <definedName name="BEx5JHCZJ8G6OOOW6EF3GABXKH6F" localSheetId="5" hidden="1">#REF!</definedName>
    <definedName name="BEx5JJB6W446THXQCRUKD3I7RKLP" localSheetId="14" hidden="1">#REF!</definedName>
    <definedName name="BEx5JJB6W446THXQCRUKD3I7RKLP" localSheetId="15" hidden="1">#REF!</definedName>
    <definedName name="BEx5JJB6W446THXQCRUKD3I7RKLP" localSheetId="5" hidden="1">#REF!</definedName>
    <definedName name="BEx5JNCT8Z7XSSPD5EMNAJELCU2V" localSheetId="14" hidden="1">#REF!</definedName>
    <definedName name="BEx5JNCT8Z7XSSPD5EMNAJELCU2V" localSheetId="15" hidden="1">#REF!</definedName>
    <definedName name="BEx5JNCT8Z7XSSPD5EMNAJELCU2V" localSheetId="5" hidden="1">#REF!</definedName>
    <definedName name="BEx5JQCNT9Y4RM306CHC8IPY3HBZ" localSheetId="14" hidden="1">#REF!</definedName>
    <definedName name="BEx5JQCNT9Y4RM306CHC8IPY3HBZ" localSheetId="15" hidden="1">#REF!</definedName>
    <definedName name="BEx5JQCNT9Y4RM306CHC8IPY3HBZ" localSheetId="5" hidden="1">#REF!</definedName>
    <definedName name="BEx5K08PYKE6JOKBYIB006TX619P" localSheetId="14" hidden="1">#REF!</definedName>
    <definedName name="BEx5K08PYKE6JOKBYIB006TX619P" localSheetId="15" hidden="1">#REF!</definedName>
    <definedName name="BEx5K08PYKE6JOKBYIB006TX619P" localSheetId="5" hidden="1">#REF!</definedName>
    <definedName name="BEx5K4W2S2K7M9V2M304KW93LK8Q" localSheetId="14" hidden="1">#REF!</definedName>
    <definedName name="BEx5K4W2S2K7M9V2M304KW93LK8Q" localSheetId="15" hidden="1">#REF!</definedName>
    <definedName name="BEx5K4W2S2K7M9V2M304KW93LK8Q" localSheetId="5" hidden="1">#REF!</definedName>
    <definedName name="BEx5K51DSERT1TR7B4A29R41W4NX" localSheetId="14" hidden="1">#REF!</definedName>
    <definedName name="BEx5K51DSERT1TR7B4A29R41W4NX" localSheetId="15" hidden="1">#REF!</definedName>
    <definedName name="BEx5K51DSERT1TR7B4A29R41W4NX" localSheetId="5" hidden="1">#REF!</definedName>
    <definedName name="BEx5KBBZ8KCEQK36ARG4ERYOFD4G" localSheetId="14" hidden="1">#REF!</definedName>
    <definedName name="BEx5KBBZ8KCEQK36ARG4ERYOFD4G" localSheetId="15" hidden="1">#REF!</definedName>
    <definedName name="BEx5KBBZ8KCEQK36ARG4ERYOFD4G" localSheetId="5" hidden="1">#REF!</definedName>
    <definedName name="BEx5KCOET0DYMY4VILOLGVBX7E3C" localSheetId="14" hidden="1">#REF!</definedName>
    <definedName name="BEx5KCOET0DYMY4VILOLGVBX7E3C" localSheetId="15" hidden="1">#REF!</definedName>
    <definedName name="BEx5KCOET0DYMY4VILOLGVBX7E3C" localSheetId="5" hidden="1">#REF!</definedName>
    <definedName name="BEx5KYER580I4T7WTLMUN7NLNP5K" localSheetId="14" hidden="1">#REF!</definedName>
    <definedName name="BEx5KYER580I4T7WTLMUN7NLNP5K" localSheetId="15" hidden="1">#REF!</definedName>
    <definedName name="BEx5KYER580I4T7WTLMUN7NLNP5K" localSheetId="5" hidden="1">#REF!</definedName>
    <definedName name="BEx5LHLB3M6K4ZKY2F42QBZT30ZH" localSheetId="14" hidden="1">#REF!</definedName>
    <definedName name="BEx5LHLB3M6K4ZKY2F42QBZT30ZH" localSheetId="15" hidden="1">#REF!</definedName>
    <definedName name="BEx5LHLB3M6K4ZKY2F42QBZT30ZH" localSheetId="5" hidden="1">#REF!</definedName>
    <definedName name="BEx5LKQJG40DO2JR1ZF6KD3PON9K" localSheetId="14" hidden="1">#REF!</definedName>
    <definedName name="BEx5LKQJG40DO2JR1ZF6KD3PON9K" localSheetId="15" hidden="1">#REF!</definedName>
    <definedName name="BEx5LKQJG40DO2JR1ZF6KD3PON9K" localSheetId="5" hidden="1">#REF!</definedName>
    <definedName name="BEx5LQA84QRPGAR4FLC7MCT3H9EN" localSheetId="14" hidden="1">#REF!</definedName>
    <definedName name="BEx5LQA84QRPGAR4FLC7MCT3H9EN" localSheetId="15" hidden="1">#REF!</definedName>
    <definedName name="BEx5LQA84QRPGAR4FLC7MCT3H9EN" localSheetId="5" hidden="1">#REF!</definedName>
    <definedName name="BEx5LRMNU3HXIE1BUMDHRU31F7JJ" localSheetId="14" hidden="1">#REF!</definedName>
    <definedName name="BEx5LRMNU3HXIE1BUMDHRU31F7JJ" localSheetId="15" hidden="1">#REF!</definedName>
    <definedName name="BEx5LRMNU3HXIE1BUMDHRU31F7JJ" localSheetId="5" hidden="1">#REF!</definedName>
    <definedName name="BEx5LSJ1LPUAX3ENSPECWPG4J7D1" localSheetId="14" hidden="1">#REF!</definedName>
    <definedName name="BEx5LSJ1LPUAX3ENSPECWPG4J7D1" localSheetId="15" hidden="1">#REF!</definedName>
    <definedName name="BEx5LSJ1LPUAX3ENSPECWPG4J7D1" localSheetId="5" hidden="1">#REF!</definedName>
    <definedName name="BEx5LTKQ8RQWJE4BC88OP928893U" localSheetId="14" hidden="1">#REF!</definedName>
    <definedName name="BEx5LTKQ8RQWJE4BC88OP928893U" localSheetId="15" hidden="1">#REF!</definedName>
    <definedName name="BEx5LTKQ8RQWJE4BC88OP928893U" localSheetId="5" hidden="1">#REF!</definedName>
    <definedName name="BEx5M4D4KHXU4JXKDEHZZNRG7NRA" localSheetId="14" hidden="1">#REF!</definedName>
    <definedName name="BEx5M4D4KHXU4JXKDEHZZNRG7NRA" localSheetId="15" hidden="1">#REF!</definedName>
    <definedName name="BEx5M4D4KHXU4JXKDEHZZNRG7NRA" localSheetId="5" hidden="1">#REF!</definedName>
    <definedName name="BEx5MB9BR71LZDG7XXQ2EO58JC5F" localSheetId="14" hidden="1">#REF!</definedName>
    <definedName name="BEx5MB9BR71LZDG7XXQ2EO58JC5F" localSheetId="15" hidden="1">#REF!</definedName>
    <definedName name="BEx5MB9BR71LZDG7XXQ2EO58JC5F" localSheetId="5" hidden="1">#REF!</definedName>
    <definedName name="BEx5MHEF05EVRV5DPTG4KMPWZSUS" localSheetId="14" hidden="1">#REF!</definedName>
    <definedName name="BEx5MHEF05EVRV5DPTG4KMPWZSUS" localSheetId="15" hidden="1">#REF!</definedName>
    <definedName name="BEx5MHEF05EVRV5DPTG4KMPWZSUS" localSheetId="5" hidden="1">#REF!</definedName>
    <definedName name="BEx5MLQZM68YQSKARVWTTPINFQ2C" localSheetId="14" hidden="1">#REF!</definedName>
    <definedName name="BEx5MLQZM68YQSKARVWTTPINFQ2C" localSheetId="15" hidden="1">#REF!</definedName>
    <definedName name="BEx5MLQZM68YQSKARVWTTPINFQ2C" localSheetId="5" hidden="1">#REF!</definedName>
    <definedName name="BEx5MMCJMU7FOOWUCW9EA13B7V5F" localSheetId="14" hidden="1">#REF!</definedName>
    <definedName name="BEx5MMCJMU7FOOWUCW9EA13B7V5F" localSheetId="15" hidden="1">#REF!</definedName>
    <definedName name="BEx5MMCJMU7FOOWUCW9EA13B7V5F" localSheetId="5" hidden="1">#REF!</definedName>
    <definedName name="BEx5MVXTKNBXHNWTL43C670E4KXC" localSheetId="14" hidden="1">#REF!</definedName>
    <definedName name="BEx5MVXTKNBXHNWTL43C670E4KXC" localSheetId="15" hidden="1">#REF!</definedName>
    <definedName name="BEx5MVXTKNBXHNWTL43C670E4KXC" localSheetId="5" hidden="1">#REF!</definedName>
    <definedName name="BEx5MWZGZ3VRB5418C2RNF9H17BQ" localSheetId="14" hidden="1">#REF!</definedName>
    <definedName name="BEx5MWZGZ3VRB5418C2RNF9H17BQ" localSheetId="15" hidden="1">#REF!</definedName>
    <definedName name="BEx5MWZGZ3VRB5418C2RNF9H17BQ" localSheetId="5" hidden="1">#REF!</definedName>
    <definedName name="BEx5MX4YD2QV39W04QH9C6AOA0FB" localSheetId="14" hidden="1">#REF!</definedName>
    <definedName name="BEx5MX4YD2QV39W04QH9C6AOA0FB" localSheetId="15" hidden="1">#REF!</definedName>
    <definedName name="BEx5MX4YD2QV39W04QH9C6AOA0FB" localSheetId="5" hidden="1">#REF!</definedName>
    <definedName name="BEx5N3A8LULD7YBJH5J83X27PZSW" localSheetId="14" hidden="1">#REF!</definedName>
    <definedName name="BEx5N3A8LULD7YBJH5J83X27PZSW" localSheetId="15" hidden="1">#REF!</definedName>
    <definedName name="BEx5N3A8LULD7YBJH5J83X27PZSW" localSheetId="5" hidden="1">#REF!</definedName>
    <definedName name="BEx5N4XI4PWB1W9PMZ4O5R0HWTYD" localSheetId="14" hidden="1">#REF!</definedName>
    <definedName name="BEx5N4XI4PWB1W9PMZ4O5R0HWTYD" localSheetId="15" hidden="1">#REF!</definedName>
    <definedName name="BEx5N4XI4PWB1W9PMZ4O5R0HWTYD" localSheetId="5" hidden="1">#REF!</definedName>
    <definedName name="BEx5N8DH1SY888WI2GZ2D6E9XCXB" localSheetId="14" hidden="1">#REF!</definedName>
    <definedName name="BEx5N8DH1SY888WI2GZ2D6E9XCXB" localSheetId="15" hidden="1">#REF!</definedName>
    <definedName name="BEx5N8DH1SY888WI2GZ2D6E9XCXB" localSheetId="5" hidden="1">#REF!</definedName>
    <definedName name="BEx5NA68N6FJFX9UJXK4M14U487F" localSheetId="14" hidden="1">#REF!</definedName>
    <definedName name="BEx5NA68N6FJFX9UJXK4M14U487F" localSheetId="15" hidden="1">#REF!</definedName>
    <definedName name="BEx5NA68N6FJFX9UJXK4M14U487F" localSheetId="5" hidden="1">#REF!</definedName>
    <definedName name="BEx5NIKBG2GDJOYGE3WCXKU7YY51" localSheetId="14" hidden="1">#REF!</definedName>
    <definedName name="BEx5NIKBG2GDJOYGE3WCXKU7YY51" localSheetId="15" hidden="1">#REF!</definedName>
    <definedName name="BEx5NIKBG2GDJOYGE3WCXKU7YY51" localSheetId="5" hidden="1">#REF!</definedName>
    <definedName name="BEx5NV06L5J5IMKGOMGKGJ4PBZCD" localSheetId="14" hidden="1">#REF!</definedName>
    <definedName name="BEx5NV06L5J5IMKGOMGKGJ4PBZCD" localSheetId="15" hidden="1">#REF!</definedName>
    <definedName name="BEx5NV06L5J5IMKGOMGKGJ4PBZCD" localSheetId="5" hidden="1">#REF!</definedName>
    <definedName name="BEx5NW1V6AB25NEEX9VPHRXWJDSS" localSheetId="14" hidden="1">#REF!</definedName>
    <definedName name="BEx5NW1V6AB25NEEX9VPHRXWJDSS" localSheetId="15" hidden="1">#REF!</definedName>
    <definedName name="BEx5NW1V6AB25NEEX9VPHRXWJDSS" localSheetId="5" hidden="1">#REF!</definedName>
    <definedName name="BEx5NWSXWACAUHWVZAI57DGZ8OCQ" localSheetId="14" hidden="1">#REF!</definedName>
    <definedName name="BEx5NWSXWACAUHWVZAI57DGZ8OCQ" localSheetId="15" hidden="1">#REF!</definedName>
    <definedName name="BEx5NWSXWACAUHWVZAI57DGZ8OCQ" localSheetId="5" hidden="1">#REF!</definedName>
    <definedName name="BEx5NZSSQ6PY99ZX2D7Q9IGOR34W" localSheetId="14" hidden="1">#REF!</definedName>
    <definedName name="BEx5NZSSQ6PY99ZX2D7Q9IGOR34W" localSheetId="15" hidden="1">#REF!</definedName>
    <definedName name="BEx5NZSSQ6PY99ZX2D7Q9IGOR34W" localSheetId="5" hidden="1">#REF!</definedName>
    <definedName name="BEx5O2N9HTGG4OJHR62PKFMNZTTW" localSheetId="14" hidden="1">#REF!</definedName>
    <definedName name="BEx5O2N9HTGG4OJHR62PKFMNZTTW" localSheetId="15" hidden="1">#REF!</definedName>
    <definedName name="BEx5O2N9HTGG4OJHR62PKFMNZTTW" localSheetId="5" hidden="1">#REF!</definedName>
    <definedName name="BEx5O3ZUQ2OARA1CDOZ3NC4UE5AA" localSheetId="14" hidden="1">#REF!</definedName>
    <definedName name="BEx5O3ZUQ2OARA1CDOZ3NC4UE5AA" localSheetId="15" hidden="1">#REF!</definedName>
    <definedName name="BEx5O3ZUQ2OARA1CDOZ3NC4UE5AA" localSheetId="5" hidden="1">#REF!</definedName>
    <definedName name="BEx5OAFS0NJ2CB86A02E1JYHMLQ1" localSheetId="14" hidden="1">#REF!</definedName>
    <definedName name="BEx5OAFS0NJ2CB86A02E1JYHMLQ1" localSheetId="15" hidden="1">#REF!</definedName>
    <definedName name="BEx5OAFS0NJ2CB86A02E1JYHMLQ1" localSheetId="5" hidden="1">#REF!</definedName>
    <definedName name="BEx5OG4RPU8W1ETWDWM234NYYYEN" localSheetId="14" hidden="1">#REF!</definedName>
    <definedName name="BEx5OG4RPU8W1ETWDWM234NYYYEN" localSheetId="15" hidden="1">#REF!</definedName>
    <definedName name="BEx5OG4RPU8W1ETWDWM234NYYYEN" localSheetId="5" hidden="1">#REF!</definedName>
    <definedName name="BEx5OP9Y43F99O2IT69MKCCXGL61" localSheetId="14" hidden="1">#REF!</definedName>
    <definedName name="BEx5OP9Y43F99O2IT69MKCCXGL61" localSheetId="15" hidden="1">#REF!</definedName>
    <definedName name="BEx5OP9Y43F99O2IT69MKCCXGL61" localSheetId="5" hidden="1">#REF!</definedName>
    <definedName name="BEx5P9Y9RDXNUAJ6CZ2LHMM8IM7T" localSheetId="14" hidden="1">#REF!</definedName>
    <definedName name="BEx5P9Y9RDXNUAJ6CZ2LHMM8IM7T" localSheetId="15" hidden="1">#REF!</definedName>
    <definedName name="BEx5P9Y9RDXNUAJ6CZ2LHMM8IM7T" localSheetId="5" hidden="1">#REF!</definedName>
    <definedName name="BEx5PHWB2C0D5QLP3BZIP3UO7DIZ" localSheetId="14" hidden="1">#REF!</definedName>
    <definedName name="BEx5PHWB2C0D5QLP3BZIP3UO7DIZ" localSheetId="15" hidden="1">#REF!</definedName>
    <definedName name="BEx5PHWB2C0D5QLP3BZIP3UO7DIZ" localSheetId="5" hidden="1">#REF!</definedName>
    <definedName name="BEx5PJP02W68K2E46L5C5YBSNU6T" localSheetId="14" hidden="1">#REF!</definedName>
    <definedName name="BEx5PJP02W68K2E46L5C5YBSNU6T" localSheetId="15" hidden="1">#REF!</definedName>
    <definedName name="BEx5PJP02W68K2E46L5C5YBSNU6T" localSheetId="5" hidden="1">#REF!</definedName>
    <definedName name="BEx5PLCA8DOMAU315YCS5275L2HS" localSheetId="14" hidden="1">#REF!</definedName>
    <definedName name="BEx5PLCA8DOMAU315YCS5275L2HS" localSheetId="15" hidden="1">#REF!</definedName>
    <definedName name="BEx5PLCA8DOMAU315YCS5275L2HS" localSheetId="5" hidden="1">#REF!</definedName>
    <definedName name="BEx5PRXMZ5M65Z732WNNGV564C2J" localSheetId="14" hidden="1">#REF!</definedName>
    <definedName name="BEx5PRXMZ5M65Z732WNNGV564C2J" localSheetId="15" hidden="1">#REF!</definedName>
    <definedName name="BEx5PRXMZ5M65Z732WNNGV564C2J" localSheetId="5" hidden="1">#REF!</definedName>
    <definedName name="BEx5Q29Y91E64DPE0YY53A6YHF3Y" localSheetId="14" hidden="1">#REF!</definedName>
    <definedName name="BEx5Q29Y91E64DPE0YY53A6YHF3Y" localSheetId="15" hidden="1">#REF!</definedName>
    <definedName name="BEx5Q29Y91E64DPE0YY53A6YHF3Y" localSheetId="5" hidden="1">#REF!</definedName>
    <definedName name="BEx5QPSW4IPLH50WSR87HRER05RF" localSheetId="14" hidden="1">#REF!</definedName>
    <definedName name="BEx5QPSW4IPLH50WSR87HRER05RF" localSheetId="15" hidden="1">#REF!</definedName>
    <definedName name="BEx5QPSW4IPLH50WSR87HRER05RF" localSheetId="5" hidden="1">#REF!</definedName>
    <definedName name="BEx73V0EP8EMNRC3EZJJKKVKWQVB" localSheetId="14" hidden="1">#REF!</definedName>
    <definedName name="BEx73V0EP8EMNRC3EZJJKKVKWQVB" localSheetId="15" hidden="1">#REF!</definedName>
    <definedName name="BEx73V0EP8EMNRC3EZJJKKVKWQVB" localSheetId="5" hidden="1">#REF!</definedName>
    <definedName name="BEx741WJHIJVXUX131SBXTVW8D71" localSheetId="14" hidden="1">#REF!</definedName>
    <definedName name="BEx741WJHIJVXUX131SBXTVW8D71" localSheetId="15" hidden="1">#REF!</definedName>
    <definedName name="BEx741WJHIJVXUX131SBXTVW8D71" localSheetId="5" hidden="1">#REF!</definedName>
    <definedName name="BEx74Q6H3O7133AWQXWC21MI2UFT" localSheetId="14" hidden="1">#REF!</definedName>
    <definedName name="BEx74Q6H3O7133AWQXWC21MI2UFT" localSheetId="15" hidden="1">#REF!</definedName>
    <definedName name="BEx74Q6H3O7133AWQXWC21MI2UFT" localSheetId="5" hidden="1">#REF!</definedName>
    <definedName name="BEx74R2VQ8BSMKPX25262AU3VZF7" localSheetId="14" hidden="1">#REF!</definedName>
    <definedName name="BEx74R2VQ8BSMKPX25262AU3VZF7" localSheetId="15" hidden="1">#REF!</definedName>
    <definedName name="BEx74R2VQ8BSMKPX25262AU3VZF7" localSheetId="5" hidden="1">#REF!</definedName>
    <definedName name="BEx74W6BJ8ENO3J25WNM5H5APKA3" localSheetId="14" hidden="1">#REF!</definedName>
    <definedName name="BEx74W6BJ8ENO3J25WNM5H5APKA3" localSheetId="15" hidden="1">#REF!</definedName>
    <definedName name="BEx74W6BJ8ENO3J25WNM5H5APKA3" localSheetId="5" hidden="1">#REF!</definedName>
    <definedName name="BEx74YKLW1FKLWC3DJ2ELZBZBY1M" localSheetId="14" hidden="1">#REF!</definedName>
    <definedName name="BEx74YKLW1FKLWC3DJ2ELZBZBY1M" localSheetId="15" hidden="1">#REF!</definedName>
    <definedName name="BEx74YKLW1FKLWC3DJ2ELZBZBY1M" localSheetId="5" hidden="1">#REF!</definedName>
    <definedName name="BEx755GRRD9BL27YHLH5QWIYLWB7" localSheetId="14" hidden="1">#REF!</definedName>
    <definedName name="BEx755GRRD9BL27YHLH5QWIYLWB7" localSheetId="15" hidden="1">#REF!</definedName>
    <definedName name="BEx755GRRD9BL27YHLH5QWIYLWB7" localSheetId="5" hidden="1">#REF!</definedName>
    <definedName name="BEx759D1D5SXS5ELLZVBI0SXYUNF" localSheetId="14" hidden="1">#REF!</definedName>
    <definedName name="BEx759D1D5SXS5ELLZVBI0SXYUNF" localSheetId="15" hidden="1">#REF!</definedName>
    <definedName name="BEx759D1D5SXS5ELLZVBI0SXYUNF" localSheetId="5" hidden="1">#REF!</definedName>
    <definedName name="BEx75DPEQTX055IZ2L8UVLJOT1DD" localSheetId="14" hidden="1">#REF!</definedName>
    <definedName name="BEx75DPEQTX055IZ2L8UVLJOT1DD" localSheetId="15" hidden="1">#REF!</definedName>
    <definedName name="BEx75DPEQTX055IZ2L8UVLJOT1DD" localSheetId="5" hidden="1">#REF!</definedName>
    <definedName name="BEx75GJZSZHUDN6OOAGQYFUDA2LP" localSheetId="14" hidden="1">#REF!</definedName>
    <definedName name="BEx75GJZSZHUDN6OOAGQYFUDA2LP" localSheetId="15" hidden="1">#REF!</definedName>
    <definedName name="BEx75GJZSZHUDN6OOAGQYFUDA2LP" localSheetId="5" hidden="1">#REF!</definedName>
    <definedName name="BEx75HGCCV5K4UCJWYV8EV9AG5YT" localSheetId="14" hidden="1">#REF!</definedName>
    <definedName name="BEx75HGCCV5K4UCJWYV8EV9AG5YT" localSheetId="15" hidden="1">#REF!</definedName>
    <definedName name="BEx75HGCCV5K4UCJWYV8EV9AG5YT" localSheetId="5" hidden="1">#REF!</definedName>
    <definedName name="BEx75PZT8TY5P13U978NVBUXKHT4" localSheetId="14" hidden="1">#REF!</definedName>
    <definedName name="BEx75PZT8TY5P13U978NVBUXKHT4" localSheetId="15" hidden="1">#REF!</definedName>
    <definedName name="BEx75PZT8TY5P13U978NVBUXKHT4" localSheetId="5" hidden="1">#REF!</definedName>
    <definedName name="BEx75T55F7GML8V1DMWL26WRT006" localSheetId="14" hidden="1">#REF!</definedName>
    <definedName name="BEx75T55F7GML8V1DMWL26WRT006" localSheetId="15" hidden="1">#REF!</definedName>
    <definedName name="BEx75T55F7GML8V1DMWL26WRT006" localSheetId="5" hidden="1">#REF!</definedName>
    <definedName name="BEx75VJGR07JY6UUWURQ4PJ29UKC" localSheetId="14" hidden="1">#REF!</definedName>
    <definedName name="BEx75VJGR07JY6UUWURQ4PJ29UKC" localSheetId="15" hidden="1">#REF!</definedName>
    <definedName name="BEx75VJGR07JY6UUWURQ4PJ29UKC" localSheetId="5" hidden="1">#REF!</definedName>
    <definedName name="BEx7696AZUPB1PK30JJQUWUELQPJ" localSheetId="14" hidden="1">#REF!</definedName>
    <definedName name="BEx7696AZUPB1PK30JJQUWUELQPJ" localSheetId="15" hidden="1">#REF!</definedName>
    <definedName name="BEx7696AZUPB1PK30JJQUWUELQPJ" localSheetId="5" hidden="1">#REF!</definedName>
    <definedName name="BEx76PNR8S4T4VUQS0KU58SEX0VN" localSheetId="14" hidden="1">#REF!</definedName>
    <definedName name="BEx76PNR8S4T4VUQS0KU58SEX0VN" localSheetId="15" hidden="1">#REF!</definedName>
    <definedName name="BEx76PNR8S4T4VUQS0KU58SEX0VN" localSheetId="5" hidden="1">#REF!</definedName>
    <definedName name="BEx76YY7ODSIKDD9VDF9TLTDM18I" localSheetId="14" hidden="1">#REF!</definedName>
    <definedName name="BEx76YY7ODSIKDD9VDF9TLTDM18I" localSheetId="15" hidden="1">#REF!</definedName>
    <definedName name="BEx76YY7ODSIKDD9VDF9TLTDM18I" localSheetId="5" hidden="1">#REF!</definedName>
    <definedName name="BEx7705E86I9B7DTKMMJMAFSYMUL" localSheetId="14" hidden="1">#REF!</definedName>
    <definedName name="BEx7705E86I9B7DTKMMJMAFSYMUL" localSheetId="15" hidden="1">#REF!</definedName>
    <definedName name="BEx7705E86I9B7DTKMMJMAFSYMUL" localSheetId="5" hidden="1">#REF!</definedName>
    <definedName name="BEx7741OUGLA0WJQLQRUJSL4DE00" localSheetId="14" hidden="1">#REF!</definedName>
    <definedName name="BEx7741OUGLA0WJQLQRUJSL4DE00" localSheetId="15" hidden="1">#REF!</definedName>
    <definedName name="BEx7741OUGLA0WJQLQRUJSL4DE00" localSheetId="5" hidden="1">#REF!</definedName>
    <definedName name="BEx774N83DXLJZ54Q42PWIJZ2DN1" localSheetId="14" hidden="1">#REF!</definedName>
    <definedName name="BEx774N83DXLJZ54Q42PWIJZ2DN1" localSheetId="15" hidden="1">#REF!</definedName>
    <definedName name="BEx774N83DXLJZ54Q42PWIJZ2DN1" localSheetId="5" hidden="1">#REF!</definedName>
    <definedName name="BEx779QNIY3061ZV9BR462WKEGRW" localSheetId="14" hidden="1">#REF!</definedName>
    <definedName name="BEx779QNIY3061ZV9BR462WKEGRW" localSheetId="15" hidden="1">#REF!</definedName>
    <definedName name="BEx779QNIY3061ZV9BR462WKEGRW" localSheetId="5" hidden="1">#REF!</definedName>
    <definedName name="BEx77G19QU9A95CNHE6QMVSQR2T3" localSheetId="14" hidden="1">#REF!</definedName>
    <definedName name="BEx77G19QU9A95CNHE6QMVSQR2T3" localSheetId="15" hidden="1">#REF!</definedName>
    <definedName name="BEx77G19QU9A95CNHE6QMVSQR2T3" localSheetId="5" hidden="1">#REF!</definedName>
    <definedName name="BEx77P0S3GVMS7BJUL9OWUGJ1B02" localSheetId="14" hidden="1">#REF!</definedName>
    <definedName name="BEx77P0S3GVMS7BJUL9OWUGJ1B02" localSheetId="15" hidden="1">#REF!</definedName>
    <definedName name="BEx77P0S3GVMS7BJUL9OWUGJ1B02" localSheetId="5" hidden="1">#REF!</definedName>
    <definedName name="BEx77QDESURI6WW5582YXSK3A972" localSheetId="14" hidden="1">#REF!</definedName>
    <definedName name="BEx77QDESURI6WW5582YXSK3A972" localSheetId="15" hidden="1">#REF!</definedName>
    <definedName name="BEx77QDESURI6WW5582YXSK3A972" localSheetId="5" hidden="1">#REF!</definedName>
    <definedName name="BEx77VBI9XOPFHKEWU5EHQ9J675Y" localSheetId="14" hidden="1">#REF!</definedName>
    <definedName name="BEx77VBI9XOPFHKEWU5EHQ9J675Y" localSheetId="15" hidden="1">#REF!</definedName>
    <definedName name="BEx77VBI9XOPFHKEWU5EHQ9J675Y" localSheetId="5" hidden="1">#REF!</definedName>
    <definedName name="BEx7809GQOCLHSNH95VOYIX7P1TV" localSheetId="14" hidden="1">#REF!</definedName>
    <definedName name="BEx7809GQOCLHSNH95VOYIX7P1TV" localSheetId="15" hidden="1">#REF!</definedName>
    <definedName name="BEx7809GQOCLHSNH95VOYIX7P1TV" localSheetId="5" hidden="1">#REF!</definedName>
    <definedName name="BEx780K8XAXUHGVZGZWQ74DK4CI3" localSheetId="14" hidden="1">#REF!</definedName>
    <definedName name="BEx780K8XAXUHGVZGZWQ74DK4CI3" localSheetId="15" hidden="1">#REF!</definedName>
    <definedName name="BEx780K8XAXUHGVZGZWQ74DK4CI3" localSheetId="5" hidden="1">#REF!</definedName>
    <definedName name="BEx78226TN58UE0CTY98YEDU0LSL" localSheetId="14" hidden="1">#REF!</definedName>
    <definedName name="BEx78226TN58UE0CTY98YEDU0LSL" localSheetId="15" hidden="1">#REF!</definedName>
    <definedName name="BEx78226TN58UE0CTY98YEDU0LSL" localSheetId="5" hidden="1">#REF!</definedName>
    <definedName name="BEx7881ZZBWHRAX6W2GY19J8MGEQ" localSheetId="14" hidden="1">#REF!</definedName>
    <definedName name="BEx7881ZZBWHRAX6W2GY19J8MGEQ" localSheetId="15" hidden="1">#REF!</definedName>
    <definedName name="BEx7881ZZBWHRAX6W2GY19J8MGEQ" localSheetId="5" hidden="1">#REF!</definedName>
    <definedName name="BEx78BSYINF85GYNSCIRD95PH86Q" localSheetId="14" hidden="1">#REF!</definedName>
    <definedName name="BEx78BSYINF85GYNSCIRD95PH86Q" localSheetId="15" hidden="1">#REF!</definedName>
    <definedName name="BEx78BSYINF85GYNSCIRD95PH86Q" localSheetId="5" hidden="1">#REF!</definedName>
    <definedName name="BEx78HHRIWDLHQX2LG0HWFRYEL1T" localSheetId="14" hidden="1">#REF!</definedName>
    <definedName name="BEx78HHRIWDLHQX2LG0HWFRYEL1T" localSheetId="15" hidden="1">#REF!</definedName>
    <definedName name="BEx78HHRIWDLHQX2LG0HWFRYEL1T" localSheetId="5" hidden="1">#REF!</definedName>
    <definedName name="BEx78QC4X2YVM9K6MQRB2WJG36N3" localSheetId="14" hidden="1">#REF!</definedName>
    <definedName name="BEx78QC4X2YVM9K6MQRB2WJG36N3" localSheetId="15" hidden="1">#REF!</definedName>
    <definedName name="BEx78QC4X2YVM9K6MQRB2WJG36N3" localSheetId="5" hidden="1">#REF!</definedName>
    <definedName name="BEx78QMXZ2P1ZB3HJ9O50DWHCMXR" localSheetId="14" hidden="1">#REF!</definedName>
    <definedName name="BEx78QMXZ2P1ZB3HJ9O50DWHCMXR" localSheetId="15" hidden="1">#REF!</definedName>
    <definedName name="BEx78QMXZ2P1ZB3HJ9O50DWHCMXR" localSheetId="5" hidden="1">#REF!</definedName>
    <definedName name="BEx78SFO5VR28677DWZEMDN7G86X" localSheetId="14" hidden="1">#REF!</definedName>
    <definedName name="BEx78SFO5VR28677DWZEMDN7G86X" localSheetId="15" hidden="1">#REF!</definedName>
    <definedName name="BEx78SFO5VR28677DWZEMDN7G86X" localSheetId="5" hidden="1">#REF!</definedName>
    <definedName name="BEx78SFOYH1Z0ZDTO47W2M60TW6K" localSheetId="14" hidden="1">#REF!</definedName>
    <definedName name="BEx78SFOYH1Z0ZDTO47W2M60TW6K" localSheetId="15" hidden="1">#REF!</definedName>
    <definedName name="BEx78SFOYH1Z0ZDTO47W2M60TW6K" localSheetId="5" hidden="1">#REF!</definedName>
    <definedName name="BEx7974EARYYX2ICWU0YC50VO5D8" localSheetId="14" hidden="1">#REF!</definedName>
    <definedName name="BEx7974EARYYX2ICWU0YC50VO5D8" localSheetId="15" hidden="1">#REF!</definedName>
    <definedName name="BEx7974EARYYX2ICWU0YC50VO5D8" localSheetId="5" hidden="1">#REF!</definedName>
    <definedName name="BEx79JK3E6JO8MX4O35A5G8NZCC8" localSheetId="14" hidden="1">#REF!</definedName>
    <definedName name="BEx79JK3E6JO8MX4O35A5G8NZCC8" localSheetId="15" hidden="1">#REF!</definedName>
    <definedName name="BEx79JK3E6JO8MX4O35A5G8NZCC8" localSheetId="5" hidden="1">#REF!</definedName>
    <definedName name="BEx79OCP4HQ6XP8EWNGEUDLOZBBS" localSheetId="14" hidden="1">#REF!</definedName>
    <definedName name="BEx79OCP4HQ6XP8EWNGEUDLOZBBS" localSheetId="15" hidden="1">#REF!</definedName>
    <definedName name="BEx79OCP4HQ6XP8EWNGEUDLOZBBS" localSheetId="5" hidden="1">#REF!</definedName>
    <definedName name="BEx79SEAYKUZB0H4LYBCD6WWJBG2" localSheetId="14" hidden="1">#REF!</definedName>
    <definedName name="BEx79SEAYKUZB0H4LYBCD6WWJBG2" localSheetId="15" hidden="1">#REF!</definedName>
    <definedName name="BEx79SEAYKUZB0H4LYBCD6WWJBG2" localSheetId="5" hidden="1">#REF!</definedName>
    <definedName name="BEx79SJRHTLS9PYM69O9BWW1FMJK" localSheetId="14" hidden="1">#REF!</definedName>
    <definedName name="BEx79SJRHTLS9PYM69O9BWW1FMJK" localSheetId="15" hidden="1">#REF!</definedName>
    <definedName name="BEx79SJRHTLS9PYM69O9BWW1FMJK" localSheetId="5" hidden="1">#REF!</definedName>
    <definedName name="BEx79YJJLBELICW9F9FRYSCQ101L" localSheetId="14" hidden="1">#REF!</definedName>
    <definedName name="BEx79YJJLBELICW9F9FRYSCQ101L" localSheetId="15" hidden="1">#REF!</definedName>
    <definedName name="BEx79YJJLBELICW9F9FRYSCQ101L" localSheetId="5" hidden="1">#REF!</definedName>
    <definedName name="BEx79YUC7B0V77FSBGIRCY1BR4VK" localSheetId="14" hidden="1">#REF!</definedName>
    <definedName name="BEx79YUC7B0V77FSBGIRCY1BR4VK" localSheetId="15" hidden="1">#REF!</definedName>
    <definedName name="BEx79YUC7B0V77FSBGIRCY1BR4VK" localSheetId="5" hidden="1">#REF!</definedName>
    <definedName name="BEx7A06T3RC2891FUX05G3QPRAUE" localSheetId="14" hidden="1">#REF!</definedName>
    <definedName name="BEx7A06T3RC2891FUX05G3QPRAUE" localSheetId="15" hidden="1">#REF!</definedName>
    <definedName name="BEx7A06T3RC2891FUX05G3QPRAUE" localSheetId="5" hidden="1">#REF!</definedName>
    <definedName name="BEx7A9S3JA1X7FH4CFSQLTZC4691" localSheetId="14" hidden="1">#REF!</definedName>
    <definedName name="BEx7A9S3JA1X7FH4CFSQLTZC4691" localSheetId="15" hidden="1">#REF!</definedName>
    <definedName name="BEx7A9S3JA1X7FH4CFSQLTZC4691" localSheetId="5" hidden="1">#REF!</definedName>
    <definedName name="BEx7ABA2C9IWH5VSLVLLLCY62161" localSheetId="14" hidden="1">#REF!</definedName>
    <definedName name="BEx7ABA2C9IWH5VSLVLLLCY62161" localSheetId="15" hidden="1">#REF!</definedName>
    <definedName name="BEx7ABA2C9IWH5VSLVLLLCY62161" localSheetId="5" hidden="1">#REF!</definedName>
    <definedName name="BEx7AE4LPLX8N85BYB0WCO5S7ZPV" localSheetId="14" hidden="1">#REF!</definedName>
    <definedName name="BEx7AE4LPLX8N85BYB0WCO5S7ZPV" localSheetId="15" hidden="1">#REF!</definedName>
    <definedName name="BEx7AE4LPLX8N85BYB0WCO5S7ZPV" localSheetId="5" hidden="1">#REF!</definedName>
    <definedName name="BEx7AR0EEP9O5JPPEKQWG1TC860T" localSheetId="14" hidden="1">#REF!</definedName>
    <definedName name="BEx7AR0EEP9O5JPPEKQWG1TC860T" localSheetId="15" hidden="1">#REF!</definedName>
    <definedName name="BEx7AR0EEP9O5JPPEKQWG1TC860T" localSheetId="5" hidden="1">#REF!</definedName>
    <definedName name="BEx7ASD1I654MEDCO6GGWA95PXSC" localSheetId="14" hidden="1">#REF!</definedName>
    <definedName name="BEx7ASD1I654MEDCO6GGWA95PXSC" localSheetId="15" hidden="1">#REF!</definedName>
    <definedName name="BEx7ASD1I654MEDCO6GGWA95PXSC" localSheetId="5" hidden="1">#REF!</definedName>
    <definedName name="BEx7AURD3S7JGN4D3YK1QAG6TAFA" localSheetId="14" hidden="1">#REF!</definedName>
    <definedName name="BEx7AURD3S7JGN4D3YK1QAG6TAFA" localSheetId="15" hidden="1">#REF!</definedName>
    <definedName name="BEx7AURD3S7JGN4D3YK1QAG6TAFA" localSheetId="5" hidden="1">#REF!</definedName>
    <definedName name="BEx7AVCX9S5RJP3NSZ4QM4E6ERDT" localSheetId="14" hidden="1">#REF!</definedName>
    <definedName name="BEx7AVCX9S5RJP3NSZ4QM4E6ERDT" localSheetId="15" hidden="1">#REF!</definedName>
    <definedName name="BEx7AVCX9S5RJP3NSZ4QM4E6ERDT" localSheetId="5" hidden="1">#REF!</definedName>
    <definedName name="BEx7AVYIGP0930MV5JEBWRYCJN68" localSheetId="14" hidden="1">#REF!</definedName>
    <definedName name="BEx7AVYIGP0930MV5JEBWRYCJN68" localSheetId="15" hidden="1">#REF!</definedName>
    <definedName name="BEx7AVYIGP0930MV5JEBWRYCJN68" localSheetId="5" hidden="1">#REF!</definedName>
    <definedName name="BEx7B6LH6917TXOSAAQ6U7HVF018" localSheetId="14" hidden="1">#REF!</definedName>
    <definedName name="BEx7B6LH6917TXOSAAQ6U7HVF018" localSheetId="15" hidden="1">#REF!</definedName>
    <definedName name="BEx7B6LH6917TXOSAAQ6U7HVF018" localSheetId="5" hidden="1">#REF!</definedName>
    <definedName name="BEx7BN8E88JR3K1BSLAZRPSFPQ9L" localSheetId="14" hidden="1">#REF!</definedName>
    <definedName name="BEx7BN8E88JR3K1BSLAZRPSFPQ9L" localSheetId="15" hidden="1">#REF!</definedName>
    <definedName name="BEx7BN8E88JR3K1BSLAZRPSFPQ9L" localSheetId="5" hidden="1">#REF!</definedName>
    <definedName name="BEx7BP14RMS3638K85OM4NCYLRHG" localSheetId="14" hidden="1">#REF!</definedName>
    <definedName name="BEx7BP14RMS3638K85OM4NCYLRHG" localSheetId="15" hidden="1">#REF!</definedName>
    <definedName name="BEx7BP14RMS3638K85OM4NCYLRHG" localSheetId="5" hidden="1">#REF!</definedName>
    <definedName name="BEx7BPXFZXJ79FQ0E8AQE21PGVHA" localSheetId="14" hidden="1">#REF!</definedName>
    <definedName name="BEx7BPXFZXJ79FQ0E8AQE21PGVHA" localSheetId="15" hidden="1">#REF!</definedName>
    <definedName name="BEx7BPXFZXJ79FQ0E8AQE21PGVHA" localSheetId="5" hidden="1">#REF!</definedName>
    <definedName name="BEx7C04AM39DQMC1TIX7CFZ2ADHX" localSheetId="14" hidden="1">#REF!</definedName>
    <definedName name="BEx7C04AM39DQMC1TIX7CFZ2ADHX" localSheetId="15" hidden="1">#REF!</definedName>
    <definedName name="BEx7C04AM39DQMC1TIX7CFZ2ADHX" localSheetId="5" hidden="1">#REF!</definedName>
    <definedName name="BEx7C346X4AX2J1QPM4NBC7JL5W9" localSheetId="14" hidden="1">#REF!</definedName>
    <definedName name="BEx7C346X4AX2J1QPM4NBC7JL5W9" localSheetId="15" hidden="1">#REF!</definedName>
    <definedName name="BEx7C346X4AX2J1QPM4NBC7JL5W9" localSheetId="5" hidden="1">#REF!</definedName>
    <definedName name="BEx7C40F0PQURHPI6YQ39NFIR86Z" localSheetId="14" hidden="1">#REF!</definedName>
    <definedName name="BEx7C40F0PQURHPI6YQ39NFIR86Z" localSheetId="15" hidden="1">#REF!</definedName>
    <definedName name="BEx7C40F0PQURHPI6YQ39NFIR86Z" localSheetId="5" hidden="1">#REF!</definedName>
    <definedName name="BEx7C7B9VCY7N0H7N1NH6HNNH724" localSheetId="14" hidden="1">#REF!</definedName>
    <definedName name="BEx7C7B9VCY7N0H7N1NH6HNNH724" localSheetId="15" hidden="1">#REF!</definedName>
    <definedName name="BEx7C7B9VCY7N0H7N1NH6HNNH724" localSheetId="5" hidden="1">#REF!</definedName>
    <definedName name="BEx7C93VR7SYRIJS1JO8YZKSFAW9" localSheetId="14" hidden="1">#REF!</definedName>
    <definedName name="BEx7C93VR7SYRIJS1JO8YZKSFAW9" localSheetId="15" hidden="1">#REF!</definedName>
    <definedName name="BEx7C93VR7SYRIJS1JO8YZKSFAW9" localSheetId="5" hidden="1">#REF!</definedName>
    <definedName name="BEx7CCPC6R1KQQZ2JQU6EFI1G0RM" localSheetId="14" hidden="1">#REF!</definedName>
    <definedName name="BEx7CCPC6R1KQQZ2JQU6EFI1G0RM" localSheetId="15" hidden="1">#REF!</definedName>
    <definedName name="BEx7CCPC6R1KQQZ2JQU6EFI1G0RM" localSheetId="5" hidden="1">#REF!</definedName>
    <definedName name="BEx7CIJST9GLS2QD383UK7VUDTGL" localSheetId="14" hidden="1">#REF!</definedName>
    <definedName name="BEx7CIJST9GLS2QD383UK7VUDTGL" localSheetId="15" hidden="1">#REF!</definedName>
    <definedName name="BEx7CIJST9GLS2QD383UK7VUDTGL" localSheetId="5" hidden="1">#REF!</definedName>
    <definedName name="BEx7CO8T2XKC7GHDSYNAWTZ9L7YR" localSheetId="14" hidden="1">#REF!</definedName>
    <definedName name="BEx7CO8T2XKC7GHDSYNAWTZ9L7YR" localSheetId="15" hidden="1">#REF!</definedName>
    <definedName name="BEx7CO8T2XKC7GHDSYNAWTZ9L7YR" localSheetId="5" hidden="1">#REF!</definedName>
    <definedName name="BEx7CW1CF00DO8A36UNC2X7K65C2" localSheetId="14" hidden="1">#REF!</definedName>
    <definedName name="BEx7CW1CF00DO8A36UNC2X7K65C2" localSheetId="15" hidden="1">#REF!</definedName>
    <definedName name="BEx7CW1CF00DO8A36UNC2X7K65C2" localSheetId="5" hidden="1">#REF!</definedName>
    <definedName name="BEx7CW6NFRL2P4XWP0MWHIYA97KF" localSheetId="14" hidden="1">#REF!</definedName>
    <definedName name="BEx7CW6NFRL2P4XWP0MWHIYA97KF" localSheetId="15" hidden="1">#REF!</definedName>
    <definedName name="BEx7CW6NFRL2P4XWP0MWHIYA97KF" localSheetId="5" hidden="1">#REF!</definedName>
    <definedName name="BEx7CZXN83U7XFVGG1P1N6ZCQK7U" localSheetId="14" hidden="1">#REF!</definedName>
    <definedName name="BEx7CZXN83U7XFVGG1P1N6ZCQK7U" localSheetId="15" hidden="1">#REF!</definedName>
    <definedName name="BEx7CZXN83U7XFVGG1P1N6ZCQK7U" localSheetId="5" hidden="1">#REF!</definedName>
    <definedName name="BEx7D14R4J25CLH301NHMGU8FSWM" localSheetId="14" hidden="1">#REF!</definedName>
    <definedName name="BEx7D14R4J25CLH301NHMGU8FSWM" localSheetId="15" hidden="1">#REF!</definedName>
    <definedName name="BEx7D14R4J25CLH301NHMGU8FSWM" localSheetId="5" hidden="1">#REF!</definedName>
    <definedName name="BEx7D38BE0Z9QLQBDMGARM9USFPM" localSheetId="14" hidden="1">#REF!</definedName>
    <definedName name="BEx7D38BE0Z9QLQBDMGARM9USFPM" localSheetId="15" hidden="1">#REF!</definedName>
    <definedName name="BEx7D38BE0Z9QLQBDMGARM9USFPM" localSheetId="5" hidden="1">#REF!</definedName>
    <definedName name="BEx7D5RWKRS4W71J4NZ6ZSFHPKFT" localSheetId="14" hidden="1">#REF!</definedName>
    <definedName name="BEx7D5RWKRS4W71J4NZ6ZSFHPKFT" localSheetId="15" hidden="1">#REF!</definedName>
    <definedName name="BEx7D5RWKRS4W71J4NZ6ZSFHPKFT" localSheetId="5" hidden="1">#REF!</definedName>
    <definedName name="BEx7D8H1TPOX1UN17QZYEV7Q58GA" localSheetId="14" hidden="1">#REF!</definedName>
    <definedName name="BEx7D8H1TPOX1UN17QZYEV7Q58GA" localSheetId="15" hidden="1">#REF!</definedName>
    <definedName name="BEx7D8H1TPOX1UN17QZYEV7Q58GA" localSheetId="5" hidden="1">#REF!</definedName>
    <definedName name="BEx7DGF13H2074LRWFZQ45PZ6JPX" localSheetId="14" hidden="1">#REF!</definedName>
    <definedName name="BEx7DGF13H2074LRWFZQ45PZ6JPX" localSheetId="15" hidden="1">#REF!</definedName>
    <definedName name="BEx7DGF13H2074LRWFZQ45PZ6JPX" localSheetId="5" hidden="1">#REF!</definedName>
    <definedName name="BEx7DHBE0SOC5KXWWQ73WUDBRX8J" localSheetId="14" hidden="1">#REF!</definedName>
    <definedName name="BEx7DHBE0SOC5KXWWQ73WUDBRX8J" localSheetId="15" hidden="1">#REF!</definedName>
    <definedName name="BEx7DHBE0SOC5KXWWQ73WUDBRX8J" localSheetId="5" hidden="1">#REF!</definedName>
    <definedName name="BEx7DKWUXEDIISSX4GDD4YYT887F" localSheetId="14" hidden="1">#REF!</definedName>
    <definedName name="BEx7DKWUXEDIISSX4GDD4YYT887F" localSheetId="15" hidden="1">#REF!</definedName>
    <definedName name="BEx7DKWUXEDIISSX4GDD4YYT887F" localSheetId="5" hidden="1">#REF!</definedName>
    <definedName name="BEx7DMUYR2HC26WW7AOB1TULERMB" localSheetId="14" hidden="1">#REF!</definedName>
    <definedName name="BEx7DMUYR2HC26WW7AOB1TULERMB" localSheetId="15" hidden="1">#REF!</definedName>
    <definedName name="BEx7DMUYR2HC26WW7AOB1TULERMB" localSheetId="5" hidden="1">#REF!</definedName>
    <definedName name="BEx7DVJTRV44IMJIBFXELE67SZ7S" localSheetId="14" hidden="1">#REF!</definedName>
    <definedName name="BEx7DVJTRV44IMJIBFXELE67SZ7S" localSheetId="15" hidden="1">#REF!</definedName>
    <definedName name="BEx7DVJTRV44IMJIBFXELE67SZ7S" localSheetId="5" hidden="1">#REF!</definedName>
    <definedName name="BEx7DVUMFCI5INHMVFIJ44RTTSTT" localSheetId="14" hidden="1">#REF!</definedName>
    <definedName name="BEx7DVUMFCI5INHMVFIJ44RTTSTT" localSheetId="15" hidden="1">#REF!</definedName>
    <definedName name="BEx7DVUMFCI5INHMVFIJ44RTTSTT" localSheetId="5" hidden="1">#REF!</definedName>
    <definedName name="BEx7E2QT2U8THYOKBPXONB1B47WH" localSheetId="14" hidden="1">#REF!</definedName>
    <definedName name="BEx7E2QT2U8THYOKBPXONB1B47WH" localSheetId="15" hidden="1">#REF!</definedName>
    <definedName name="BEx7E2QT2U8THYOKBPXONB1B47WH" localSheetId="5" hidden="1">#REF!</definedName>
    <definedName name="BEx7E5QP7W6UKO74F5Y0VJ741HS5" localSheetId="14" hidden="1">#REF!</definedName>
    <definedName name="BEx7E5QP7W6UKO74F5Y0VJ741HS5" localSheetId="15" hidden="1">#REF!</definedName>
    <definedName name="BEx7E5QP7W6UKO74F5Y0VJ741HS5" localSheetId="5" hidden="1">#REF!</definedName>
    <definedName name="BEx7E6N29HGH3I47AFB2DCS6MVS6" localSheetId="14" hidden="1">#REF!</definedName>
    <definedName name="BEx7E6N29HGH3I47AFB2DCS6MVS6" localSheetId="15" hidden="1">#REF!</definedName>
    <definedName name="BEx7E6N29HGH3I47AFB2DCS6MVS6" localSheetId="5" hidden="1">#REF!</definedName>
    <definedName name="BEx7EBA8IYHQKT7IQAOAML660SYA" localSheetId="14" hidden="1">#REF!</definedName>
    <definedName name="BEx7EBA8IYHQKT7IQAOAML660SYA" localSheetId="15" hidden="1">#REF!</definedName>
    <definedName name="BEx7EBA8IYHQKT7IQAOAML660SYA" localSheetId="5" hidden="1">#REF!</definedName>
    <definedName name="BEx7EI6C8MCRZFEQYUBE5FSUTIHK" localSheetId="14" hidden="1">#REF!</definedName>
    <definedName name="BEx7EI6C8MCRZFEQYUBE5FSUTIHK" localSheetId="15" hidden="1">#REF!</definedName>
    <definedName name="BEx7EI6C8MCRZFEQYUBE5FSUTIHK" localSheetId="5" hidden="1">#REF!</definedName>
    <definedName name="BEx7EI6DL1Z6UWLFBXAKVGZTKHWJ" localSheetId="14" hidden="1">#REF!</definedName>
    <definedName name="BEx7EI6DL1Z6UWLFBXAKVGZTKHWJ" localSheetId="15" hidden="1">#REF!</definedName>
    <definedName name="BEx7EI6DL1Z6UWLFBXAKVGZTKHWJ" localSheetId="5" hidden="1">#REF!</definedName>
    <definedName name="BEx7EQKHX7GZYOLXRDU534TT4H64" localSheetId="14" hidden="1">#REF!</definedName>
    <definedName name="BEx7EQKHX7GZYOLXRDU534TT4H64" localSheetId="15" hidden="1">#REF!</definedName>
    <definedName name="BEx7EQKHX7GZYOLXRDU534TT4H64" localSheetId="5" hidden="1">#REF!</definedName>
    <definedName name="BEx7ETV6L1TM7JSXJIGK3FC6RVZW" localSheetId="14" hidden="1">#REF!</definedName>
    <definedName name="BEx7ETV6L1TM7JSXJIGK3FC6RVZW" localSheetId="15" hidden="1">#REF!</definedName>
    <definedName name="BEx7ETV6L1TM7JSXJIGK3FC6RVZW" localSheetId="5" hidden="1">#REF!</definedName>
    <definedName name="BEx7EYYLHMBYQTH6I377FCQS7CSX" localSheetId="14" hidden="1">#REF!</definedName>
    <definedName name="BEx7EYYLHMBYQTH6I377FCQS7CSX" localSheetId="15" hidden="1">#REF!</definedName>
    <definedName name="BEx7EYYLHMBYQTH6I377FCQS7CSX" localSheetId="5" hidden="1">#REF!</definedName>
    <definedName name="BEx7FCLG1RYI2SNOU1Y2GQZNZSWA" localSheetId="14" hidden="1">#REF!</definedName>
    <definedName name="BEx7FCLG1RYI2SNOU1Y2GQZNZSWA" localSheetId="15" hidden="1">#REF!</definedName>
    <definedName name="BEx7FCLG1RYI2SNOU1Y2GQZNZSWA" localSheetId="5" hidden="1">#REF!</definedName>
    <definedName name="BEx7FN32ZGWOAA4TTH79KINTDWR9" localSheetId="14" hidden="1">#REF!</definedName>
    <definedName name="BEx7FN32ZGWOAA4TTH79KINTDWR9" localSheetId="15" hidden="1">#REF!</definedName>
    <definedName name="BEx7FN32ZGWOAA4TTH79KINTDWR9" localSheetId="5" hidden="1">#REF!</definedName>
    <definedName name="BEx7FV0WJHXL6X5JNQ2ZX45PX49P" localSheetId="14" hidden="1">#REF!</definedName>
    <definedName name="BEx7FV0WJHXL6X5JNQ2ZX45PX49P" localSheetId="15" hidden="1">#REF!</definedName>
    <definedName name="BEx7FV0WJHXL6X5JNQ2ZX45PX49P" localSheetId="5" hidden="1">#REF!</definedName>
    <definedName name="BEx7G82CKM3NIY1PHNFK28M09PCH" localSheetId="14" hidden="1">#REF!</definedName>
    <definedName name="BEx7G82CKM3NIY1PHNFK28M09PCH" localSheetId="15" hidden="1">#REF!</definedName>
    <definedName name="BEx7G82CKM3NIY1PHNFK28M09PCH" localSheetId="5" hidden="1">#REF!</definedName>
    <definedName name="BEx7GR3ENYWRXXS5IT0UMEGOLGUH" localSheetId="14" hidden="1">#REF!</definedName>
    <definedName name="BEx7GR3ENYWRXXS5IT0UMEGOLGUH" localSheetId="15" hidden="1">#REF!</definedName>
    <definedName name="BEx7GR3ENYWRXXS5IT0UMEGOLGUH" localSheetId="5" hidden="1">#REF!</definedName>
    <definedName name="BEx7GSAL6P7TASL8MB63RFST1LJL" localSheetId="14" hidden="1">#REF!</definedName>
    <definedName name="BEx7GSAL6P7TASL8MB63RFST1LJL" localSheetId="15" hidden="1">#REF!</definedName>
    <definedName name="BEx7GSAL6P7TASL8MB63RFST1LJL" localSheetId="5" hidden="1">#REF!</definedName>
    <definedName name="BEx7H0JD6I5I8WQLLWOYWY5YWPQE" localSheetId="14" hidden="1">#REF!</definedName>
    <definedName name="BEx7H0JD6I5I8WQLLWOYWY5YWPQE" localSheetId="15" hidden="1">#REF!</definedName>
    <definedName name="BEx7H0JD6I5I8WQLLWOYWY5YWPQE" localSheetId="5" hidden="1">#REF!</definedName>
    <definedName name="BEx7H14XCXH7WEXEY1HVO53A6AGH" localSheetId="14" hidden="1">#REF!</definedName>
    <definedName name="BEx7H14XCXH7WEXEY1HVO53A6AGH" localSheetId="15" hidden="1">#REF!</definedName>
    <definedName name="BEx7H14XCXH7WEXEY1HVO53A6AGH" localSheetId="5" hidden="1">#REF!</definedName>
    <definedName name="BEx7HGVBEF4LEIF6RC14N3PSU461" localSheetId="14" hidden="1">#REF!</definedName>
    <definedName name="BEx7HGVBEF4LEIF6RC14N3PSU461" localSheetId="15" hidden="1">#REF!</definedName>
    <definedName name="BEx7HGVBEF4LEIF6RC14N3PSU461" localSheetId="5" hidden="1">#REF!</definedName>
    <definedName name="BEx7HQ5T9FZ42QWS09UO4DT42Y0R" localSheetId="14" hidden="1">#REF!</definedName>
    <definedName name="BEx7HQ5T9FZ42QWS09UO4DT42Y0R" localSheetId="15" hidden="1">#REF!</definedName>
    <definedName name="BEx7HQ5T9FZ42QWS09UO4DT42Y0R" localSheetId="5" hidden="1">#REF!</definedName>
    <definedName name="BEx7HRCZE3CVGON1HV07MT5MNDZ3" localSheetId="14" hidden="1">#REF!</definedName>
    <definedName name="BEx7HRCZE3CVGON1HV07MT5MNDZ3" localSheetId="15" hidden="1">#REF!</definedName>
    <definedName name="BEx7HRCZE3CVGON1HV07MT5MNDZ3" localSheetId="5" hidden="1">#REF!</definedName>
    <definedName name="BEx7HWGE2CANG5M17X4C8YNC3N8F" localSheetId="14" hidden="1">#REF!</definedName>
    <definedName name="BEx7HWGE2CANG5M17X4C8YNC3N8F" localSheetId="15" hidden="1">#REF!</definedName>
    <definedName name="BEx7HWGE2CANG5M17X4C8YNC3N8F" localSheetId="5" hidden="1">#REF!</definedName>
    <definedName name="BEx7IB54GU5UCTJS549UBDW43EJL" localSheetId="14" hidden="1">#REF!</definedName>
    <definedName name="BEx7IB54GU5UCTJS549UBDW43EJL" localSheetId="15" hidden="1">#REF!</definedName>
    <definedName name="BEx7IB54GU5UCTJS549UBDW43EJL" localSheetId="5" hidden="1">#REF!</definedName>
    <definedName name="BEx7IBVYN47SFZIA0K4MDKQZNN9V" localSheetId="14" hidden="1">#REF!</definedName>
    <definedName name="BEx7IBVYN47SFZIA0K4MDKQZNN9V" localSheetId="15" hidden="1">#REF!</definedName>
    <definedName name="BEx7IBVYN47SFZIA0K4MDKQZNN9V" localSheetId="5" hidden="1">#REF!</definedName>
    <definedName name="BEx7IGOMJB39HUONENRXTK1MFHGE" localSheetId="14" hidden="1">#REF!</definedName>
    <definedName name="BEx7IGOMJB39HUONENRXTK1MFHGE" localSheetId="15" hidden="1">#REF!</definedName>
    <definedName name="BEx7IGOMJB39HUONENRXTK1MFHGE" localSheetId="5" hidden="1">#REF!</definedName>
    <definedName name="BEx7ISO6LTCYYDK0J6IN4PG2P6SW" localSheetId="14" hidden="1">#REF!</definedName>
    <definedName name="BEx7ISO6LTCYYDK0J6IN4PG2P6SW" localSheetId="15" hidden="1">#REF!</definedName>
    <definedName name="BEx7ISO6LTCYYDK0J6IN4PG2P6SW" localSheetId="5" hidden="1">#REF!</definedName>
    <definedName name="BEx7IV2IJ5WT7UC0UG7WP0WF2JZI" localSheetId="14" hidden="1">#REF!</definedName>
    <definedName name="BEx7IV2IJ5WT7UC0UG7WP0WF2JZI" localSheetId="15" hidden="1">#REF!</definedName>
    <definedName name="BEx7IV2IJ5WT7UC0UG7WP0WF2JZI" localSheetId="5" hidden="1">#REF!</definedName>
    <definedName name="BEx7IXGU74GE5E4S6W4Z13AR092Y" localSheetId="14" hidden="1">#REF!</definedName>
    <definedName name="BEx7IXGU74GE5E4S6W4Z13AR092Y" localSheetId="15" hidden="1">#REF!</definedName>
    <definedName name="BEx7IXGU74GE5E4S6W4Z13AR092Y" localSheetId="5" hidden="1">#REF!</definedName>
    <definedName name="BEx7J4YL8Q3BI1MLH16YYQ18IJRD" localSheetId="14" hidden="1">#REF!</definedName>
    <definedName name="BEx7J4YL8Q3BI1MLH16YYQ18IJRD" localSheetId="15" hidden="1">#REF!</definedName>
    <definedName name="BEx7J4YL8Q3BI1MLH16YYQ18IJRD" localSheetId="5" hidden="1">#REF!</definedName>
    <definedName name="BEx7J5K5QVUOXI6A663KUWL6PO3O" localSheetId="14" hidden="1">#REF!</definedName>
    <definedName name="BEx7J5K5QVUOXI6A663KUWL6PO3O" localSheetId="15" hidden="1">#REF!</definedName>
    <definedName name="BEx7J5K5QVUOXI6A663KUWL6PO3O" localSheetId="5" hidden="1">#REF!</definedName>
    <definedName name="BEx7JH3HGBPI07OHZ5LFYK0UFZQR" localSheetId="14" hidden="1">#REF!</definedName>
    <definedName name="BEx7JH3HGBPI07OHZ5LFYK0UFZQR" localSheetId="15" hidden="1">#REF!</definedName>
    <definedName name="BEx7JH3HGBPI07OHZ5LFYK0UFZQR" localSheetId="5" hidden="1">#REF!</definedName>
    <definedName name="BEx7JRL3MHRMVLQF3EN15MXRPN68" localSheetId="14" hidden="1">#REF!</definedName>
    <definedName name="BEx7JRL3MHRMVLQF3EN15MXRPN68" localSheetId="15" hidden="1">#REF!</definedName>
    <definedName name="BEx7JRL3MHRMVLQF3EN15MXRPN68" localSheetId="5" hidden="1">#REF!</definedName>
    <definedName name="BEx7JV194190CNM6WWGQ3UBJ3CHH" localSheetId="14" hidden="1">#REF!</definedName>
    <definedName name="BEx7JV194190CNM6WWGQ3UBJ3CHH" localSheetId="15" hidden="1">#REF!</definedName>
    <definedName name="BEx7JV194190CNM6WWGQ3UBJ3CHH" localSheetId="5" hidden="1">#REF!</definedName>
    <definedName name="BEx7JZJ4AE8AGMWPK3XPBTBUBZ48" localSheetId="14" hidden="1">#REF!</definedName>
    <definedName name="BEx7JZJ4AE8AGMWPK3XPBTBUBZ48" localSheetId="15" hidden="1">#REF!</definedName>
    <definedName name="BEx7JZJ4AE8AGMWPK3XPBTBUBZ48" localSheetId="5" hidden="1">#REF!</definedName>
    <definedName name="BEx7K7GZ607XQOGB81A1HINBTGOZ" localSheetId="14" hidden="1">#REF!</definedName>
    <definedName name="BEx7K7GZ607XQOGB81A1HINBTGOZ" localSheetId="15" hidden="1">#REF!</definedName>
    <definedName name="BEx7K7GZ607XQOGB81A1HINBTGOZ" localSheetId="5" hidden="1">#REF!</definedName>
    <definedName name="BEx7KEYPBDXSNROH8M6CDCBN6B50" localSheetId="14" hidden="1">#REF!</definedName>
    <definedName name="BEx7KEYPBDXSNROH8M6CDCBN6B50" localSheetId="15" hidden="1">#REF!</definedName>
    <definedName name="BEx7KEYPBDXSNROH8M6CDCBN6B50" localSheetId="5" hidden="1">#REF!</definedName>
    <definedName name="BEx7KH7PZ0A6FSWA4LAN2CMZ0WSF" localSheetId="14" hidden="1">#REF!</definedName>
    <definedName name="BEx7KH7PZ0A6FSWA4LAN2CMZ0WSF" localSheetId="15" hidden="1">#REF!</definedName>
    <definedName name="BEx7KH7PZ0A6FSWA4LAN2CMZ0WSF" localSheetId="5" hidden="1">#REF!</definedName>
    <definedName name="BEx7KNCTL6VMNQP4MFMHOMV1WI1Y" localSheetId="14" hidden="1">#REF!</definedName>
    <definedName name="BEx7KNCTL6VMNQP4MFMHOMV1WI1Y" localSheetId="15" hidden="1">#REF!</definedName>
    <definedName name="BEx7KNCTL6VMNQP4MFMHOMV1WI1Y" localSheetId="5" hidden="1">#REF!</definedName>
    <definedName name="BEx7KSAS8BZT6H8OQCZ5DNSTMO07" localSheetId="14" hidden="1">#REF!</definedName>
    <definedName name="BEx7KSAS8BZT6H8OQCZ5DNSTMO07" localSheetId="15" hidden="1">#REF!</definedName>
    <definedName name="BEx7KSAS8BZT6H8OQCZ5DNSTMO07" localSheetId="5" hidden="1">#REF!</definedName>
    <definedName name="BEx7KWHTBD21COXVI4HNEQH0Z3L8" localSheetId="14" hidden="1">#REF!</definedName>
    <definedName name="BEx7KWHTBD21COXVI4HNEQH0Z3L8" localSheetId="15" hidden="1">#REF!</definedName>
    <definedName name="BEx7KWHTBD21COXVI4HNEQH0Z3L8" localSheetId="5" hidden="1">#REF!</definedName>
    <definedName name="BEx7KXUGRMRSUXCM97Z7VRZQ9JH2" localSheetId="14" hidden="1">#REF!</definedName>
    <definedName name="BEx7KXUGRMRSUXCM97Z7VRZQ9JH2" localSheetId="15" hidden="1">#REF!</definedName>
    <definedName name="BEx7KXUGRMRSUXCM97Z7VRZQ9JH2" localSheetId="5" hidden="1">#REF!</definedName>
    <definedName name="BEx7L5C6U8MP6IZ67BD649WQYJEK" localSheetId="14" hidden="1">#REF!</definedName>
    <definedName name="BEx7L5C6U8MP6IZ67BD649WQYJEK" localSheetId="15" hidden="1">#REF!</definedName>
    <definedName name="BEx7L5C6U8MP6IZ67BD649WQYJEK" localSheetId="5" hidden="1">#REF!</definedName>
    <definedName name="BEx7L8HEYEVTATR0OG5JJO647KNI" localSheetId="14" hidden="1">#REF!</definedName>
    <definedName name="BEx7L8HEYEVTATR0OG5JJO647KNI" localSheetId="15" hidden="1">#REF!</definedName>
    <definedName name="BEx7L8HEYEVTATR0OG5JJO647KNI" localSheetId="5" hidden="1">#REF!</definedName>
    <definedName name="BEx7L8XOV64OMS15ZFURFEUXLMWF" localSheetId="14" hidden="1">#REF!</definedName>
    <definedName name="BEx7L8XOV64OMS15ZFURFEUXLMWF" localSheetId="15" hidden="1">#REF!</definedName>
    <definedName name="BEx7L8XOV64OMS15ZFURFEUXLMWF" localSheetId="5" hidden="1">#REF!</definedName>
    <definedName name="BEx7LPF478MRAYB9TQ6LDML6O3BY" localSheetId="14" hidden="1">#REF!</definedName>
    <definedName name="BEx7LPF478MRAYB9TQ6LDML6O3BY" localSheetId="15" hidden="1">#REF!</definedName>
    <definedName name="BEx7LPF478MRAYB9TQ6LDML6O3BY" localSheetId="5" hidden="1">#REF!</definedName>
    <definedName name="BEx7LPV780NFCG1VX4EKJ29YXOLZ" localSheetId="14" hidden="1">#REF!</definedName>
    <definedName name="BEx7LPV780NFCG1VX4EKJ29YXOLZ" localSheetId="15" hidden="1">#REF!</definedName>
    <definedName name="BEx7LPV780NFCG1VX4EKJ29YXOLZ" localSheetId="5" hidden="1">#REF!</definedName>
    <definedName name="BEx7LQ0PD30NJWOAYKPEYHM9J83B" localSheetId="14" hidden="1">#REF!</definedName>
    <definedName name="BEx7LQ0PD30NJWOAYKPEYHM9J83B" localSheetId="15" hidden="1">#REF!</definedName>
    <definedName name="BEx7LQ0PD30NJWOAYKPEYHM9J83B" localSheetId="5" hidden="1">#REF!</definedName>
    <definedName name="BEx7M4EKEDHZ1ZZ91NDLSUNPUFPZ" localSheetId="14" hidden="1">#REF!</definedName>
    <definedName name="BEx7M4EKEDHZ1ZZ91NDLSUNPUFPZ" localSheetId="15" hidden="1">#REF!</definedName>
    <definedName name="BEx7M4EKEDHZ1ZZ91NDLSUNPUFPZ" localSheetId="5" hidden="1">#REF!</definedName>
    <definedName name="BEx7MAUI1JJFDIJGDW4RWY5384LY" localSheetId="14" hidden="1">#REF!</definedName>
    <definedName name="BEx7MAUI1JJFDIJGDW4RWY5384LY" localSheetId="15" hidden="1">#REF!</definedName>
    <definedName name="BEx7MAUI1JJFDIJGDW4RWY5384LY" localSheetId="5" hidden="1">#REF!</definedName>
    <definedName name="BEx7MI1EW6N7FOBHWJLYC02TZSKR" localSheetId="14" hidden="1">#REF!</definedName>
    <definedName name="BEx7MI1EW6N7FOBHWJLYC02TZSKR" localSheetId="15" hidden="1">#REF!</definedName>
    <definedName name="BEx7MI1EW6N7FOBHWJLYC02TZSKR" localSheetId="5" hidden="1">#REF!</definedName>
    <definedName name="BEx7MJZO3UKAMJ53UWOJ5ZD4GGMQ" localSheetId="14" hidden="1">#REF!</definedName>
    <definedName name="BEx7MJZO3UKAMJ53UWOJ5ZD4GGMQ" localSheetId="15" hidden="1">#REF!</definedName>
    <definedName name="BEx7MJZO3UKAMJ53UWOJ5ZD4GGMQ" localSheetId="5" hidden="1">#REF!</definedName>
    <definedName name="BEx7MO17TZ6L4457Q12FYYLUUZAZ" localSheetId="14" hidden="1">#REF!</definedName>
    <definedName name="BEx7MO17TZ6L4457Q12FYYLUUZAZ" localSheetId="15" hidden="1">#REF!</definedName>
    <definedName name="BEx7MO17TZ6L4457Q12FYYLUUZAZ" localSheetId="5" hidden="1">#REF!</definedName>
    <definedName name="BEx7MT4MFNXIVQGAT6D971GZW7CA" localSheetId="14" hidden="1">#REF!</definedName>
    <definedName name="BEx7MT4MFNXIVQGAT6D971GZW7CA" localSheetId="15" hidden="1">#REF!</definedName>
    <definedName name="BEx7MT4MFNXIVQGAT6D971GZW7CA" localSheetId="5" hidden="1">#REF!</definedName>
    <definedName name="BEx7MUMLPPX92MX7SA8S1PLONDL8" localSheetId="14" hidden="1">#REF!</definedName>
    <definedName name="BEx7MUMLPPX92MX7SA8S1PLONDL8" localSheetId="15" hidden="1">#REF!</definedName>
    <definedName name="BEx7MUMLPPX92MX7SA8S1PLONDL8" localSheetId="5" hidden="1">#REF!</definedName>
    <definedName name="BEx7MX0W532Q7CB4V6KFVC9WAOUI" localSheetId="14" hidden="1">#REF!</definedName>
    <definedName name="BEx7MX0W532Q7CB4V6KFVC9WAOUI" localSheetId="15" hidden="1">#REF!</definedName>
    <definedName name="BEx7MX0W532Q7CB4V6KFVC9WAOUI" localSheetId="5" hidden="1">#REF!</definedName>
    <definedName name="BEx7NB403NE748IF75RXMWOFQ986" localSheetId="14" hidden="1">#REF!</definedName>
    <definedName name="BEx7NB403NE748IF75RXMWOFQ986" localSheetId="15" hidden="1">#REF!</definedName>
    <definedName name="BEx7NB403NE748IF75RXMWOFQ986" localSheetId="5" hidden="1">#REF!</definedName>
    <definedName name="BEx7NI062THZAM6I8AJWTFJL91CS" localSheetId="14" hidden="1">#REF!</definedName>
    <definedName name="BEx7NI062THZAM6I8AJWTFJL91CS" localSheetId="15" hidden="1">#REF!</definedName>
    <definedName name="BEx7NI062THZAM6I8AJWTFJL91CS" localSheetId="5" hidden="1">#REF!</definedName>
    <definedName name="BEx904S75BPRYMHF0083JF7ES4NG" localSheetId="14" hidden="1">#REF!</definedName>
    <definedName name="BEx904S75BPRYMHF0083JF7ES4NG" localSheetId="15" hidden="1">#REF!</definedName>
    <definedName name="BEx904S75BPRYMHF0083JF7ES4NG" localSheetId="5" hidden="1">#REF!</definedName>
    <definedName name="BEx90HDD4RWF7JZGA8GCGG7D63MG" localSheetId="14" hidden="1">#REF!</definedName>
    <definedName name="BEx90HDD4RWF7JZGA8GCGG7D63MG" localSheetId="15" hidden="1">#REF!</definedName>
    <definedName name="BEx90HDD4RWF7JZGA8GCGG7D63MG" localSheetId="5" hidden="1">#REF!</definedName>
    <definedName name="BEx90HO6UVMFVSV8U0YBZFHNCL38" localSheetId="14" hidden="1">#REF!</definedName>
    <definedName name="BEx90HO6UVMFVSV8U0YBZFHNCL38" localSheetId="15" hidden="1">#REF!</definedName>
    <definedName name="BEx90HO6UVMFVSV8U0YBZFHNCL38" localSheetId="5" hidden="1">#REF!</definedName>
    <definedName name="BEx90VGH5H09ON2QXYC9WIIEU98T" localSheetId="14" hidden="1">#REF!</definedName>
    <definedName name="BEx90VGH5H09ON2QXYC9WIIEU98T" localSheetId="15" hidden="1">#REF!</definedName>
    <definedName name="BEx90VGH5H09ON2QXYC9WIIEU98T" localSheetId="5" hidden="1">#REF!</definedName>
    <definedName name="BEx9157279000SVN5XNWQ99JY0WU" localSheetId="14" hidden="1">#REF!</definedName>
    <definedName name="BEx9157279000SVN5XNWQ99JY0WU" localSheetId="15" hidden="1">#REF!</definedName>
    <definedName name="BEx9157279000SVN5XNWQ99JY0WU" localSheetId="5" hidden="1">#REF!</definedName>
    <definedName name="BEx9175B70QXYAU5A8DJPGZQ46L9" localSheetId="14" hidden="1">#REF!</definedName>
    <definedName name="BEx9175B70QXYAU5A8DJPGZQ46L9" localSheetId="15" hidden="1">#REF!</definedName>
    <definedName name="BEx9175B70QXYAU5A8DJPGZQ46L9" localSheetId="5" hidden="1">#REF!</definedName>
    <definedName name="BEx91AQQRTV87AO27VWHSFZAD4ZR" localSheetId="14" hidden="1">#REF!</definedName>
    <definedName name="BEx91AQQRTV87AO27VWHSFZAD4ZR" localSheetId="15" hidden="1">#REF!</definedName>
    <definedName name="BEx91AQQRTV87AO27VWHSFZAD4ZR" localSheetId="5" hidden="1">#REF!</definedName>
    <definedName name="BEx91L8FLL5CWLA2CDHKCOMGVDZN" localSheetId="14" hidden="1">#REF!</definedName>
    <definedName name="BEx91L8FLL5CWLA2CDHKCOMGVDZN" localSheetId="15" hidden="1">#REF!</definedName>
    <definedName name="BEx91L8FLL5CWLA2CDHKCOMGVDZN" localSheetId="5" hidden="1">#REF!</definedName>
    <definedName name="BEx91OTVH9ZDBC3QTORU8RZX4EOC" localSheetId="14" hidden="1">#REF!</definedName>
    <definedName name="BEx91OTVH9ZDBC3QTORU8RZX4EOC" localSheetId="15" hidden="1">#REF!</definedName>
    <definedName name="BEx91OTVH9ZDBC3QTORU8RZX4EOC" localSheetId="5" hidden="1">#REF!</definedName>
    <definedName name="BEx91QH5JRZKQP1GPN2SQMR3CKAG" localSheetId="14" hidden="1">#REF!</definedName>
    <definedName name="BEx91QH5JRZKQP1GPN2SQMR3CKAG" localSheetId="15" hidden="1">#REF!</definedName>
    <definedName name="BEx91QH5JRZKQP1GPN2SQMR3CKAG" localSheetId="5" hidden="1">#REF!</definedName>
    <definedName name="BEx91ROALDNHO7FI4X8L61RH4UJE" localSheetId="14" hidden="1">#REF!</definedName>
    <definedName name="BEx91ROALDNHO7FI4X8L61RH4UJE" localSheetId="15" hidden="1">#REF!</definedName>
    <definedName name="BEx91ROALDNHO7FI4X8L61RH4UJE" localSheetId="5" hidden="1">#REF!</definedName>
    <definedName name="BEx91TMID71GVYH0U16QM1RV3PX0" localSheetId="14" hidden="1">#REF!</definedName>
    <definedName name="BEx91TMID71GVYH0U16QM1RV3PX0" localSheetId="15" hidden="1">#REF!</definedName>
    <definedName name="BEx91TMID71GVYH0U16QM1RV3PX0" localSheetId="5" hidden="1">#REF!</definedName>
    <definedName name="BEx91VF2D78PAF337E3L2L81K9W2" localSheetId="14" hidden="1">#REF!</definedName>
    <definedName name="BEx91VF2D78PAF337E3L2L81K9W2" localSheetId="15" hidden="1">#REF!</definedName>
    <definedName name="BEx91VF2D78PAF337E3L2L81K9W2" localSheetId="5" hidden="1">#REF!</definedName>
    <definedName name="BEx921PNZ46VORG2VRMWREWIC0SE" localSheetId="14" hidden="1">#REF!</definedName>
    <definedName name="BEx921PNZ46VORG2VRMWREWIC0SE" localSheetId="15" hidden="1">#REF!</definedName>
    <definedName name="BEx921PNZ46VORG2VRMWREWIC0SE" localSheetId="5" hidden="1">#REF!</definedName>
    <definedName name="BEx929CVDCG5CFUQWNDLOSNRQ1FN" localSheetId="14" hidden="1">#REF!</definedName>
    <definedName name="BEx929CVDCG5CFUQWNDLOSNRQ1FN" localSheetId="15" hidden="1">#REF!</definedName>
    <definedName name="BEx929CVDCG5CFUQWNDLOSNRQ1FN" localSheetId="5" hidden="1">#REF!</definedName>
    <definedName name="BEx92DPEKL5WM5A3CN8674JI0PR3" localSheetId="14" hidden="1">#REF!</definedName>
    <definedName name="BEx92DPEKL5WM5A3CN8674JI0PR3" localSheetId="15" hidden="1">#REF!</definedName>
    <definedName name="BEx92DPEKL5WM5A3CN8674JI0PR3" localSheetId="5" hidden="1">#REF!</definedName>
    <definedName name="BEx92ER2RMY93TZK0D9L9T3H0GI5" localSheetId="14" hidden="1">#REF!</definedName>
    <definedName name="BEx92ER2RMY93TZK0D9L9T3H0GI5" localSheetId="15" hidden="1">#REF!</definedName>
    <definedName name="BEx92ER2RMY93TZK0D9L9T3H0GI5" localSheetId="5" hidden="1">#REF!</definedName>
    <definedName name="BEx92FI04PJT4LI23KKIHRXWJDTT" localSheetId="14" hidden="1">#REF!</definedName>
    <definedName name="BEx92FI04PJT4LI23KKIHRXWJDTT" localSheetId="15" hidden="1">#REF!</definedName>
    <definedName name="BEx92FI04PJT4LI23KKIHRXWJDTT" localSheetId="5" hidden="1">#REF!</definedName>
    <definedName name="BEx92HR14HQ9D5JXCSPA4SS4RT62" localSheetId="14" hidden="1">#REF!</definedName>
    <definedName name="BEx92HR14HQ9D5JXCSPA4SS4RT62" localSheetId="15" hidden="1">#REF!</definedName>
    <definedName name="BEx92HR14HQ9D5JXCSPA4SS4RT62" localSheetId="5" hidden="1">#REF!</definedName>
    <definedName name="BEx92HWA2D6A5EX9MFG68G0NOMSN" localSheetId="14" hidden="1">#REF!</definedName>
    <definedName name="BEx92HWA2D6A5EX9MFG68G0NOMSN" localSheetId="15" hidden="1">#REF!</definedName>
    <definedName name="BEx92HWA2D6A5EX9MFG68G0NOMSN" localSheetId="5" hidden="1">#REF!</definedName>
    <definedName name="BEx92I1SQUKW2W7S22E82HLJXRGK" localSheetId="14" hidden="1">#REF!</definedName>
    <definedName name="BEx92I1SQUKW2W7S22E82HLJXRGK" localSheetId="15" hidden="1">#REF!</definedName>
    <definedName name="BEx92I1SQUKW2W7S22E82HLJXRGK" localSheetId="5" hidden="1">#REF!</definedName>
    <definedName name="BEx92PUBDIXAU1FW5ZAXECMAU0LN" localSheetId="14" hidden="1">#REF!</definedName>
    <definedName name="BEx92PUBDIXAU1FW5ZAXECMAU0LN" localSheetId="15" hidden="1">#REF!</definedName>
    <definedName name="BEx92PUBDIXAU1FW5ZAXECMAU0LN" localSheetId="5" hidden="1">#REF!</definedName>
    <definedName name="BEx92S8MHFFIVRQ2YSHZNQGOFUHD" localSheetId="14" hidden="1">#REF!</definedName>
    <definedName name="BEx92S8MHFFIVRQ2YSHZNQGOFUHD" localSheetId="15" hidden="1">#REF!</definedName>
    <definedName name="BEx92S8MHFFIVRQ2YSHZNQGOFUHD" localSheetId="5" hidden="1">#REF!</definedName>
    <definedName name="BEx92VJ5FJGXISSSMOUAESCSIWFV" localSheetId="14" hidden="1">#REF!</definedName>
    <definedName name="BEx92VJ5FJGXISSSMOUAESCSIWFV" localSheetId="15" hidden="1">#REF!</definedName>
    <definedName name="BEx92VJ5FJGXISSSMOUAESCSIWFV" localSheetId="5" hidden="1">#REF!</definedName>
    <definedName name="BEx93B9OULL2YGC896XXYAAJSTRK" localSheetId="14" hidden="1">#REF!</definedName>
    <definedName name="BEx93B9OULL2YGC896XXYAAJSTRK" localSheetId="15" hidden="1">#REF!</definedName>
    <definedName name="BEx93B9OULL2YGC896XXYAAJSTRK" localSheetId="5" hidden="1">#REF!</definedName>
    <definedName name="BEx93FRKF99NRT3LH99UTIH7AAYF" localSheetId="14" hidden="1">#REF!</definedName>
    <definedName name="BEx93FRKF99NRT3LH99UTIH7AAYF" localSheetId="15" hidden="1">#REF!</definedName>
    <definedName name="BEx93FRKF99NRT3LH99UTIH7AAYF" localSheetId="5" hidden="1">#REF!</definedName>
    <definedName name="BEx93M7FSHP50OG34A4W8W8DF12U" localSheetId="14" hidden="1">#REF!</definedName>
    <definedName name="BEx93M7FSHP50OG34A4W8W8DF12U" localSheetId="15" hidden="1">#REF!</definedName>
    <definedName name="BEx93M7FSHP50OG34A4W8W8DF12U" localSheetId="5" hidden="1">#REF!</definedName>
    <definedName name="BEx93OLWY2O3PRA74U41VG5RXT4Q" localSheetId="14" hidden="1">#REF!</definedName>
    <definedName name="BEx93OLWY2O3PRA74U41VG5RXT4Q" localSheetId="15" hidden="1">#REF!</definedName>
    <definedName name="BEx93OLWY2O3PRA74U41VG5RXT4Q" localSheetId="5" hidden="1">#REF!</definedName>
    <definedName name="BEx93RWFAF6YJGYUTITVM445C02U" localSheetId="14" hidden="1">#REF!</definedName>
    <definedName name="BEx93RWFAF6YJGYUTITVM445C02U" localSheetId="15" hidden="1">#REF!</definedName>
    <definedName name="BEx93RWFAF6YJGYUTITVM445C02U" localSheetId="5" hidden="1">#REF!</definedName>
    <definedName name="BEx93SY9RWG3HUV4YXQKXJH9FH14" localSheetId="14" hidden="1">#REF!</definedName>
    <definedName name="BEx93SY9RWG3HUV4YXQKXJH9FH14" localSheetId="15" hidden="1">#REF!</definedName>
    <definedName name="BEx93SY9RWG3HUV4YXQKXJH9FH14" localSheetId="5" hidden="1">#REF!</definedName>
    <definedName name="BEx93TJUX3U0FJDBG6DDSNQ91R5J" localSheetId="14" hidden="1">#REF!</definedName>
    <definedName name="BEx93TJUX3U0FJDBG6DDSNQ91R5J" localSheetId="15" hidden="1">#REF!</definedName>
    <definedName name="BEx93TJUX3U0FJDBG6DDSNQ91R5J" localSheetId="5" hidden="1">#REF!</definedName>
    <definedName name="BEx942UCRHMI4B0US31HO95GSC2X" localSheetId="14" hidden="1">#REF!</definedName>
    <definedName name="BEx942UCRHMI4B0US31HO95GSC2X" localSheetId="15" hidden="1">#REF!</definedName>
    <definedName name="BEx942UCRHMI4B0US31HO95GSC2X" localSheetId="5" hidden="1">#REF!</definedName>
    <definedName name="BEx942ZND3V7XSHKTD0UH9X85N5E" localSheetId="14" hidden="1">#REF!</definedName>
    <definedName name="BEx942ZND3V7XSHKTD0UH9X85N5E" localSheetId="15" hidden="1">#REF!</definedName>
    <definedName name="BEx942ZND3V7XSHKTD0UH9X85N5E" localSheetId="5" hidden="1">#REF!</definedName>
    <definedName name="BEx947HHLR6UU6NYPNDZRF79V52K" localSheetId="14" hidden="1">#REF!</definedName>
    <definedName name="BEx947HHLR6UU6NYPNDZRF79V52K" localSheetId="15" hidden="1">#REF!</definedName>
    <definedName name="BEx947HHLR6UU6NYPNDZRF79V52K" localSheetId="5" hidden="1">#REF!</definedName>
    <definedName name="BEx948ZFFQWVIDNG4AZAUGGGEB5U" localSheetId="14" hidden="1">#REF!</definedName>
    <definedName name="BEx948ZFFQWVIDNG4AZAUGGGEB5U" localSheetId="15" hidden="1">#REF!</definedName>
    <definedName name="BEx948ZFFQWVIDNG4AZAUGGGEB5U" localSheetId="5" hidden="1">#REF!</definedName>
    <definedName name="BEx94CKXG92OMURH41SNU6IOHK4J" localSheetId="14" hidden="1">#REF!</definedName>
    <definedName name="BEx94CKXG92OMURH41SNU6IOHK4J" localSheetId="15" hidden="1">#REF!</definedName>
    <definedName name="BEx94CKXG92OMURH41SNU6IOHK4J" localSheetId="5" hidden="1">#REF!</definedName>
    <definedName name="BEx94GXG30CIVB6ZQN3X3IK6BZXQ" localSheetId="14" hidden="1">#REF!</definedName>
    <definedName name="BEx94GXG30CIVB6ZQN3X3IK6BZXQ" localSheetId="15" hidden="1">#REF!</definedName>
    <definedName name="BEx94GXG30CIVB6ZQN3X3IK6BZXQ" localSheetId="5" hidden="1">#REF!</definedName>
    <definedName name="BEx94HJ0DWZHE39X4BLCQCJ3M1MC" localSheetId="14" hidden="1">#REF!</definedName>
    <definedName name="BEx94HJ0DWZHE39X4BLCQCJ3M1MC" localSheetId="15" hidden="1">#REF!</definedName>
    <definedName name="BEx94HJ0DWZHE39X4BLCQCJ3M1MC" localSheetId="5" hidden="1">#REF!</definedName>
    <definedName name="BEx94HZ5LURYM9ST744ALV6ZCKYP" localSheetId="14" hidden="1">#REF!</definedName>
    <definedName name="BEx94HZ5LURYM9ST744ALV6ZCKYP" localSheetId="15" hidden="1">#REF!</definedName>
    <definedName name="BEx94HZ5LURYM9ST744ALV6ZCKYP" localSheetId="5" hidden="1">#REF!</definedName>
    <definedName name="BEx94IQ75E90YUMWJ9N591LR7DQQ" localSheetId="14" hidden="1">#REF!</definedName>
    <definedName name="BEx94IQ75E90YUMWJ9N591LR7DQQ" localSheetId="15" hidden="1">#REF!</definedName>
    <definedName name="BEx94IQ75E90YUMWJ9N591LR7DQQ" localSheetId="5" hidden="1">#REF!</definedName>
    <definedName name="BEx94N7W5T3U7UOE97D6OVIBUCXS" localSheetId="14" hidden="1">#REF!</definedName>
    <definedName name="BEx94N7W5T3U7UOE97D6OVIBUCXS" localSheetId="15" hidden="1">#REF!</definedName>
    <definedName name="BEx94N7W5T3U7UOE97D6OVIBUCXS" localSheetId="5" hidden="1">#REF!</definedName>
    <definedName name="BEx955NIAWX5OLAHMTV6QFUZPR30" localSheetId="14" hidden="1">#REF!</definedName>
    <definedName name="BEx955NIAWX5OLAHMTV6QFUZPR30" localSheetId="15" hidden="1">#REF!</definedName>
    <definedName name="BEx955NIAWX5OLAHMTV6QFUZPR30" localSheetId="5" hidden="1">#REF!</definedName>
    <definedName name="BEx9581TYVI2M5TT4ISDAJV4W7Z6" localSheetId="14" hidden="1">#REF!</definedName>
    <definedName name="BEx9581TYVI2M5TT4ISDAJV4W7Z6" localSheetId="15" hidden="1">#REF!</definedName>
    <definedName name="BEx9581TYVI2M5TT4ISDAJV4W7Z6" localSheetId="5" hidden="1">#REF!</definedName>
    <definedName name="BEx95G55NR99FDSE95CXDI4DKWSV" localSheetId="14" hidden="1">#REF!</definedName>
    <definedName name="BEx95G55NR99FDSE95CXDI4DKWSV" localSheetId="15" hidden="1">#REF!</definedName>
    <definedName name="BEx95G55NR99FDSE95CXDI4DKWSV" localSheetId="5" hidden="1">#REF!</definedName>
    <definedName name="BEx95NHF4RVUE0YDOAFZEIVBYJXD" localSheetId="14" hidden="1">#REF!</definedName>
    <definedName name="BEx95NHF4RVUE0YDOAFZEIVBYJXD" localSheetId="15" hidden="1">#REF!</definedName>
    <definedName name="BEx95NHF4RVUE0YDOAFZEIVBYJXD" localSheetId="5" hidden="1">#REF!</definedName>
    <definedName name="BEx95QBZMG0E2KQ9BERJ861QLYN3" localSheetId="14" hidden="1">#REF!</definedName>
    <definedName name="BEx95QBZMG0E2KQ9BERJ861QLYN3" localSheetId="15" hidden="1">#REF!</definedName>
    <definedName name="BEx95QBZMG0E2KQ9BERJ861QLYN3" localSheetId="5" hidden="1">#REF!</definedName>
    <definedName name="BEx95QHBVDN795UNQJLRXG3RDU49" localSheetId="14" hidden="1">#REF!</definedName>
    <definedName name="BEx95QHBVDN795UNQJLRXG3RDU49" localSheetId="15" hidden="1">#REF!</definedName>
    <definedName name="BEx95QHBVDN795UNQJLRXG3RDU49" localSheetId="5" hidden="1">#REF!</definedName>
    <definedName name="BEx95TBVUWV7L7OMFMZDQEXGVHU6" localSheetId="14" hidden="1">#REF!</definedName>
    <definedName name="BEx95TBVUWV7L7OMFMZDQEXGVHU6" localSheetId="15" hidden="1">#REF!</definedName>
    <definedName name="BEx95TBVUWV7L7OMFMZDQEXGVHU6" localSheetId="5" hidden="1">#REF!</definedName>
    <definedName name="BEx95U89DZZSVO39TGS62CX8G9N4" localSheetId="14" hidden="1">#REF!</definedName>
    <definedName name="BEx95U89DZZSVO39TGS62CX8G9N4" localSheetId="15" hidden="1">#REF!</definedName>
    <definedName name="BEx95U89DZZSVO39TGS62CX8G9N4" localSheetId="5" hidden="1">#REF!</definedName>
    <definedName name="BEx95XTPKKKJG67C45LRX0T25I06" localSheetId="14" hidden="1">#REF!</definedName>
    <definedName name="BEx95XTPKKKJG67C45LRX0T25I06" localSheetId="15" hidden="1">#REF!</definedName>
    <definedName name="BEx95XTPKKKJG67C45LRX0T25I06" localSheetId="5" hidden="1">#REF!</definedName>
    <definedName name="BEx9602K2GHNBUEUVT9ONRQU1GMD" localSheetId="14" hidden="1">#REF!</definedName>
    <definedName name="BEx9602K2GHNBUEUVT9ONRQU1GMD" localSheetId="15" hidden="1">#REF!</definedName>
    <definedName name="BEx9602K2GHNBUEUVT9ONRQU1GMD" localSheetId="5" hidden="1">#REF!</definedName>
    <definedName name="BEx9602LTEI8BPC79BGMRK6S0RP8" localSheetId="14" hidden="1">#REF!</definedName>
    <definedName name="BEx9602LTEI8BPC79BGMRK6S0RP8" localSheetId="15" hidden="1">#REF!</definedName>
    <definedName name="BEx9602LTEI8BPC79BGMRK6S0RP8" localSheetId="5" hidden="1">#REF!</definedName>
    <definedName name="BEx962BL3Y4LA53EBYI64ZYMZE8U" localSheetId="14" hidden="1">#REF!</definedName>
    <definedName name="BEx962BL3Y4LA53EBYI64ZYMZE8U" localSheetId="15" hidden="1">#REF!</definedName>
    <definedName name="BEx962BL3Y4LA53EBYI64ZYMZE8U" localSheetId="5" hidden="1">#REF!</definedName>
    <definedName name="BEx96HAWZ2EMMI7VJ5NQXGK044OO" localSheetId="14" hidden="1">#REF!</definedName>
    <definedName name="BEx96HAWZ2EMMI7VJ5NQXGK044OO" localSheetId="15" hidden="1">#REF!</definedName>
    <definedName name="BEx96HAWZ2EMMI7VJ5NQXGK044OO" localSheetId="5" hidden="1">#REF!</definedName>
    <definedName name="BEx96KR21O7H9R29TN0S45Y3QPUK" localSheetId="14" hidden="1">#REF!</definedName>
    <definedName name="BEx96KR21O7H9R29TN0S45Y3QPUK" localSheetId="15" hidden="1">#REF!</definedName>
    <definedName name="BEx96KR21O7H9R29TN0S45Y3QPUK" localSheetId="5" hidden="1">#REF!</definedName>
    <definedName name="BEx96SUFKHHFE8XQ6UUO6ILDOXHO" localSheetId="14" hidden="1">#REF!</definedName>
    <definedName name="BEx96SUFKHHFE8XQ6UUO6ILDOXHO" localSheetId="15" hidden="1">#REF!</definedName>
    <definedName name="BEx96SUFKHHFE8XQ6UUO6ILDOXHO" localSheetId="5" hidden="1">#REF!</definedName>
    <definedName name="BEx96UN4YWXBDEZ1U1ZUIPP41Z7I" localSheetId="14" hidden="1">#REF!</definedName>
    <definedName name="BEx96UN4YWXBDEZ1U1ZUIPP41Z7I" localSheetId="15" hidden="1">#REF!</definedName>
    <definedName name="BEx96UN4YWXBDEZ1U1ZUIPP41Z7I" localSheetId="5" hidden="1">#REF!</definedName>
    <definedName name="BEx978KSD61YJH3S9DGO050R2EHA" localSheetId="14" hidden="1">#REF!</definedName>
    <definedName name="BEx978KSD61YJH3S9DGO050R2EHA" localSheetId="15" hidden="1">#REF!</definedName>
    <definedName name="BEx978KSD61YJH3S9DGO050R2EHA" localSheetId="5" hidden="1">#REF!</definedName>
    <definedName name="BEx97H9O1NAKAPK4MX4PKO34ICL5" localSheetId="14" hidden="1">#REF!</definedName>
    <definedName name="BEx97H9O1NAKAPK4MX4PKO34ICL5" localSheetId="15" hidden="1">#REF!</definedName>
    <definedName name="BEx97H9O1NAKAPK4MX4PKO34ICL5" localSheetId="5" hidden="1">#REF!</definedName>
    <definedName name="BEx97MNUZQ1Z0AO2FL7XQYVNCPR7" localSheetId="14" hidden="1">#REF!</definedName>
    <definedName name="BEx97MNUZQ1Z0AO2FL7XQYVNCPR7" localSheetId="15" hidden="1">#REF!</definedName>
    <definedName name="BEx97MNUZQ1Z0AO2FL7XQYVNCPR7" localSheetId="5" hidden="1">#REF!</definedName>
    <definedName name="BEx97NPQBACJVD9K1YXI08RTW9E2" localSheetId="14" hidden="1">#REF!</definedName>
    <definedName name="BEx97NPQBACJVD9K1YXI08RTW9E2" localSheetId="15" hidden="1">#REF!</definedName>
    <definedName name="BEx97NPQBACJVD9K1YXI08RTW9E2" localSheetId="5" hidden="1">#REF!</definedName>
    <definedName name="BEx97RWQLXS0OORDCN69IGA58CWU" localSheetId="14" hidden="1">#REF!</definedName>
    <definedName name="BEx97RWQLXS0OORDCN69IGA58CWU" localSheetId="15" hidden="1">#REF!</definedName>
    <definedName name="BEx97RWQLXS0OORDCN69IGA58CWU" localSheetId="5" hidden="1">#REF!</definedName>
    <definedName name="BEx97YNGGDFIXHTMGFL2IHAQX9MI" localSheetId="14" hidden="1">#REF!</definedName>
    <definedName name="BEx97YNGGDFIXHTMGFL2IHAQX9MI" localSheetId="15" hidden="1">#REF!</definedName>
    <definedName name="BEx97YNGGDFIXHTMGFL2IHAQX9MI" localSheetId="5" hidden="1">#REF!</definedName>
    <definedName name="BEx9805E16VCDEWPM3404WTQS6ZK" localSheetId="14" hidden="1">#REF!</definedName>
    <definedName name="BEx9805E16VCDEWPM3404WTQS6ZK" localSheetId="15" hidden="1">#REF!</definedName>
    <definedName name="BEx9805E16VCDEWPM3404WTQS6ZK" localSheetId="5" hidden="1">#REF!</definedName>
    <definedName name="BEx981HW73BUZWT14TBTZHC0ZTJ4" localSheetId="14" hidden="1">#REF!</definedName>
    <definedName name="BEx981HW73BUZWT14TBTZHC0ZTJ4" localSheetId="15" hidden="1">#REF!</definedName>
    <definedName name="BEx981HW73BUZWT14TBTZHC0ZTJ4" localSheetId="5" hidden="1">#REF!</definedName>
    <definedName name="BEx9871KU0N99P0900EAK69VFYT2" localSheetId="14" hidden="1">#REF!</definedName>
    <definedName name="BEx9871KU0N99P0900EAK69VFYT2" localSheetId="15" hidden="1">#REF!</definedName>
    <definedName name="BEx9871KU0N99P0900EAK69VFYT2" localSheetId="5" hidden="1">#REF!</definedName>
    <definedName name="BEx98IFKNJFGZFLID1YTRFEG1SXY" localSheetId="14" hidden="1">#REF!</definedName>
    <definedName name="BEx98IFKNJFGZFLID1YTRFEG1SXY" localSheetId="15" hidden="1">#REF!</definedName>
    <definedName name="BEx98IFKNJFGZFLID1YTRFEG1SXY" localSheetId="5" hidden="1">#REF!</definedName>
    <definedName name="BEx98T7ZEF0HKRFLBVK3BNKCG3CJ" localSheetId="14" hidden="1">#REF!</definedName>
    <definedName name="BEx98T7ZEF0HKRFLBVK3BNKCG3CJ" localSheetId="15" hidden="1">#REF!</definedName>
    <definedName name="BEx98T7ZEF0HKRFLBVK3BNKCG3CJ" localSheetId="5" hidden="1">#REF!</definedName>
    <definedName name="BEx98WYSAS39FWGYTMQ8QGIT81TF" localSheetId="14" hidden="1">#REF!</definedName>
    <definedName name="BEx98WYSAS39FWGYTMQ8QGIT81TF" localSheetId="15" hidden="1">#REF!</definedName>
    <definedName name="BEx98WYSAS39FWGYTMQ8QGIT81TF" localSheetId="5" hidden="1">#REF!</definedName>
    <definedName name="BEx990461P2YAJ7BRK25INFYZ7RQ" localSheetId="14" hidden="1">#REF!</definedName>
    <definedName name="BEx990461P2YAJ7BRK25INFYZ7RQ" localSheetId="15" hidden="1">#REF!</definedName>
    <definedName name="BEx990461P2YAJ7BRK25INFYZ7RQ" localSheetId="5" hidden="1">#REF!</definedName>
    <definedName name="BEx9915UVD4G7RA3IMLFZ0LG3UA2" localSheetId="14" hidden="1">#REF!</definedName>
    <definedName name="BEx9915UVD4G7RA3IMLFZ0LG3UA2" localSheetId="15" hidden="1">#REF!</definedName>
    <definedName name="BEx9915UVD4G7RA3IMLFZ0LG3UA2" localSheetId="5" hidden="1">#REF!</definedName>
    <definedName name="BEx991M410V3S2PKCJGQ30O6JT6H" localSheetId="14" hidden="1">#REF!</definedName>
    <definedName name="BEx991M410V3S2PKCJGQ30O6JT6H" localSheetId="15" hidden="1">#REF!</definedName>
    <definedName name="BEx991M410V3S2PKCJGQ30O6JT6H" localSheetId="5" hidden="1">#REF!</definedName>
    <definedName name="BEx992CZON8AO7U7V88VN1JBO0MG" localSheetId="14" hidden="1">#REF!</definedName>
    <definedName name="BEx992CZON8AO7U7V88VN1JBO0MG" localSheetId="15" hidden="1">#REF!</definedName>
    <definedName name="BEx992CZON8AO7U7V88VN1JBO0MG" localSheetId="5" hidden="1">#REF!</definedName>
    <definedName name="BEx9952469XMFGSPXL7CMXHPJF90" localSheetId="14" hidden="1">#REF!</definedName>
    <definedName name="BEx9952469XMFGSPXL7CMXHPJF90" localSheetId="15" hidden="1">#REF!</definedName>
    <definedName name="BEx9952469XMFGSPXL7CMXHPJF90" localSheetId="5" hidden="1">#REF!</definedName>
    <definedName name="BEx99B77I7TUSHRR4HIZ9FU2EIUT" localSheetId="14" hidden="1">#REF!</definedName>
    <definedName name="BEx99B77I7TUSHRR4HIZ9FU2EIUT" localSheetId="15" hidden="1">#REF!</definedName>
    <definedName name="BEx99B77I7TUSHRR4HIZ9FU2EIUT" localSheetId="5" hidden="1">#REF!</definedName>
    <definedName name="BEx99EHWKKHZB66Q30C7QIXU3BVM" localSheetId="14" hidden="1">#REF!</definedName>
    <definedName name="BEx99EHWKKHZB66Q30C7QIXU3BVM" localSheetId="15" hidden="1">#REF!</definedName>
    <definedName name="BEx99EHWKKHZB66Q30C7QIXU3BVM" localSheetId="5" hidden="1">#REF!</definedName>
    <definedName name="BEx99IE6TEODZ443HP0AYCXVTNOV" localSheetId="14" hidden="1">#REF!</definedName>
    <definedName name="BEx99IE6TEODZ443HP0AYCXVTNOV" localSheetId="15" hidden="1">#REF!</definedName>
    <definedName name="BEx99IE6TEODZ443HP0AYCXVTNOV" localSheetId="5" hidden="1">#REF!</definedName>
    <definedName name="BEx99Q6PH5F3OQKCCAAO75PYDEFN" localSheetId="14" hidden="1">#REF!</definedName>
    <definedName name="BEx99Q6PH5F3OQKCCAAO75PYDEFN" localSheetId="15" hidden="1">#REF!</definedName>
    <definedName name="BEx99Q6PH5F3OQKCCAAO75PYDEFN" localSheetId="5" hidden="1">#REF!</definedName>
    <definedName name="BEx99RU5I4O0109P2FW9DN4IU3QX" localSheetId="14" hidden="1">#REF!</definedName>
    <definedName name="BEx99RU5I4O0109P2FW9DN4IU3QX" localSheetId="15" hidden="1">#REF!</definedName>
    <definedName name="BEx99RU5I4O0109P2FW9DN4IU3QX" localSheetId="5" hidden="1">#REF!</definedName>
    <definedName name="BEx99WBYT2D6UUC1PT7A40ENYID4" localSheetId="14" hidden="1">#REF!</definedName>
    <definedName name="BEx99WBYT2D6UUC1PT7A40ENYID4" localSheetId="15" hidden="1">#REF!</definedName>
    <definedName name="BEx99WBYT2D6UUC1PT7A40ENYID4" localSheetId="5" hidden="1">#REF!</definedName>
    <definedName name="BEx99WS2X3RTQE9O764SS5G2FPE6" localSheetId="14" hidden="1">#REF!</definedName>
    <definedName name="BEx99WS2X3RTQE9O764SS5G2FPE6" localSheetId="15" hidden="1">#REF!</definedName>
    <definedName name="BEx99WS2X3RTQE9O764SS5G2FPE6" localSheetId="5" hidden="1">#REF!</definedName>
    <definedName name="BEx99ZRZ4I7FHDPGRAT5VW7NVBPU" localSheetId="14" hidden="1">#REF!</definedName>
    <definedName name="BEx99ZRZ4I7FHDPGRAT5VW7NVBPU" localSheetId="15" hidden="1">#REF!</definedName>
    <definedName name="BEx99ZRZ4I7FHDPGRAT5VW7NVBPU" localSheetId="5" hidden="1">#REF!</definedName>
    <definedName name="BEx9AT5E3ZSHKSOL35O38L8HF9TH" localSheetId="14" hidden="1">#REF!</definedName>
    <definedName name="BEx9AT5E3ZSHKSOL35O38L8HF9TH" localSheetId="15" hidden="1">#REF!</definedName>
    <definedName name="BEx9AT5E3ZSHKSOL35O38L8HF9TH" localSheetId="5" hidden="1">#REF!</definedName>
    <definedName name="BEx9ATW9WB5CNKQR5HKK7Y2GHYGR" localSheetId="14" hidden="1">#REF!</definedName>
    <definedName name="BEx9ATW9WB5CNKQR5HKK7Y2GHYGR" localSheetId="15" hidden="1">#REF!</definedName>
    <definedName name="BEx9ATW9WB5CNKQR5HKK7Y2GHYGR" localSheetId="5" hidden="1">#REF!</definedName>
    <definedName name="BEx9AV8W1FAWF5BHATYEN47X12JN" localSheetId="14" hidden="1">#REF!</definedName>
    <definedName name="BEx9AV8W1FAWF5BHATYEN47X12JN" localSheetId="15" hidden="1">#REF!</definedName>
    <definedName name="BEx9AV8W1FAWF5BHATYEN47X12JN" localSheetId="5" hidden="1">#REF!</definedName>
    <definedName name="BEx9B8A5186FNTQQNLIO5LK02ABI" localSheetId="14" hidden="1">#REF!</definedName>
    <definedName name="BEx9B8A5186FNTQQNLIO5LK02ABI" localSheetId="15" hidden="1">#REF!</definedName>
    <definedName name="BEx9B8A5186FNTQQNLIO5LK02ABI" localSheetId="5" hidden="1">#REF!</definedName>
    <definedName name="BEx9B8VR20E2CILU4CDQUQQ9ONXK" localSheetId="14" hidden="1">#REF!</definedName>
    <definedName name="BEx9B8VR20E2CILU4CDQUQQ9ONXK" localSheetId="15" hidden="1">#REF!</definedName>
    <definedName name="BEx9B8VR20E2CILU4CDQUQQ9ONXK" localSheetId="5" hidden="1">#REF!</definedName>
    <definedName name="BEx9B917EUP13X6FQ3NPQL76XM5V" localSheetId="14" hidden="1">#REF!</definedName>
    <definedName name="BEx9B917EUP13X6FQ3NPQL76XM5V" localSheetId="15" hidden="1">#REF!</definedName>
    <definedName name="BEx9B917EUP13X6FQ3NPQL76XM5V" localSheetId="5" hidden="1">#REF!</definedName>
    <definedName name="BEx9BAJ5WYEQ623HUT9NNCMP3RUG" localSheetId="14" hidden="1">#REF!</definedName>
    <definedName name="BEx9BAJ5WYEQ623HUT9NNCMP3RUG" localSheetId="15" hidden="1">#REF!</definedName>
    <definedName name="BEx9BAJ5WYEQ623HUT9NNCMP3RUG" localSheetId="5" hidden="1">#REF!</definedName>
    <definedName name="BEx9BE9Z7EFJCFDYJJOY5KFTGDF4" localSheetId="14" hidden="1">#REF!</definedName>
    <definedName name="BEx9BE9Z7EFJCFDYJJOY5KFTGDF4" localSheetId="15" hidden="1">#REF!</definedName>
    <definedName name="BEx9BE9Z7EFJCFDYJJOY5KFTGDF4" localSheetId="5" hidden="1">#REF!</definedName>
    <definedName name="BEx9BSIJN2O0MG8CXAMCAOADEMTO" localSheetId="14" hidden="1">#REF!</definedName>
    <definedName name="BEx9BSIJN2O0MG8CXAMCAOADEMTO" localSheetId="15" hidden="1">#REF!</definedName>
    <definedName name="BEx9BSIJN2O0MG8CXAMCAOADEMTO" localSheetId="5" hidden="1">#REF!</definedName>
    <definedName name="BEx9BU0BBJO3ITPCO4T9FIVEVJY7" localSheetId="14" hidden="1">#REF!</definedName>
    <definedName name="BEx9BU0BBJO3ITPCO4T9FIVEVJY7" localSheetId="15" hidden="1">#REF!</definedName>
    <definedName name="BEx9BU0BBJO3ITPCO4T9FIVEVJY7" localSheetId="5" hidden="1">#REF!</definedName>
    <definedName name="BEx9BYSYW7QCPXS2NAVLFAU5Y2Z2" localSheetId="14" hidden="1">#REF!</definedName>
    <definedName name="BEx9BYSYW7QCPXS2NAVLFAU5Y2Z2" localSheetId="15" hidden="1">#REF!</definedName>
    <definedName name="BEx9BYSYW7QCPXS2NAVLFAU5Y2Z2" localSheetId="5" hidden="1">#REF!</definedName>
    <definedName name="BEx9C590HJ2O31IWJB73C1HR74AI" localSheetId="14" hidden="1">#REF!</definedName>
    <definedName name="BEx9C590HJ2O31IWJB73C1HR74AI" localSheetId="15" hidden="1">#REF!</definedName>
    <definedName name="BEx9C590HJ2O31IWJB73C1HR74AI" localSheetId="5" hidden="1">#REF!</definedName>
    <definedName name="BEx9CCQRMYYOGIOYTOM73VKDIPS1" localSheetId="14" hidden="1">#REF!</definedName>
    <definedName name="BEx9CCQRMYYOGIOYTOM73VKDIPS1" localSheetId="15" hidden="1">#REF!</definedName>
    <definedName name="BEx9CCQRMYYOGIOYTOM73VKDIPS1" localSheetId="5" hidden="1">#REF!</definedName>
    <definedName name="BEx9CM6JVXIG9S6EAZMR899UW190" localSheetId="14" hidden="1">#REF!</definedName>
    <definedName name="BEx9CM6JVXIG9S6EAZMR899UW190" localSheetId="15" hidden="1">#REF!</definedName>
    <definedName name="BEx9CM6JVXIG9S6EAZMR899UW190" localSheetId="5" hidden="1">#REF!</definedName>
    <definedName name="BEx9D160NRGTDVT2ML4H9A7UKR4T" localSheetId="14" hidden="1">#REF!</definedName>
    <definedName name="BEx9D160NRGTDVT2ML4H9A7UKR4T" localSheetId="15" hidden="1">#REF!</definedName>
    <definedName name="BEx9D160NRGTDVT2ML4H9A7UKR4T" localSheetId="5" hidden="1">#REF!</definedName>
    <definedName name="BEx9D1BC9FT19KY0INAABNDBAMR1" localSheetId="14" hidden="1">#REF!</definedName>
    <definedName name="BEx9D1BC9FT19KY0INAABNDBAMR1" localSheetId="15" hidden="1">#REF!</definedName>
    <definedName name="BEx9D1BC9FT19KY0INAABNDBAMR1" localSheetId="5" hidden="1">#REF!</definedName>
    <definedName name="BEx9D1MB15VSARB7IKBMZYU0JJBI" localSheetId="14" hidden="1">#REF!</definedName>
    <definedName name="BEx9D1MB15VSARB7IKBMZYU0JJBI" localSheetId="15" hidden="1">#REF!</definedName>
    <definedName name="BEx9D1MB15VSARB7IKBMZYU0JJBI" localSheetId="5" hidden="1">#REF!</definedName>
    <definedName name="BEx9DN6ZMF18Q39MPMXSDJTZQNJ3" localSheetId="14" hidden="1">#REF!</definedName>
    <definedName name="BEx9DN6ZMF18Q39MPMXSDJTZQNJ3" localSheetId="15" hidden="1">#REF!</definedName>
    <definedName name="BEx9DN6ZMF18Q39MPMXSDJTZQNJ3" localSheetId="5" hidden="1">#REF!</definedName>
    <definedName name="BEx9DZXN85O544CD9O60K126YYAU" localSheetId="14" hidden="1">#REF!</definedName>
    <definedName name="BEx9DZXN85O544CD9O60K126YYAU" localSheetId="15" hidden="1">#REF!</definedName>
    <definedName name="BEx9DZXN85O544CD9O60K126YYAU" localSheetId="5" hidden="1">#REF!</definedName>
    <definedName name="BEx9E14TDNSEMI784W0OTIEQMWN6" localSheetId="14" hidden="1">#REF!</definedName>
    <definedName name="BEx9E14TDNSEMI784W0OTIEQMWN6" localSheetId="15" hidden="1">#REF!</definedName>
    <definedName name="BEx9E14TDNSEMI784W0OTIEQMWN6" localSheetId="5" hidden="1">#REF!</definedName>
    <definedName name="BEx9E14TGNBYGMDDG9NETDK4SYAW" localSheetId="14" hidden="1">#REF!</definedName>
    <definedName name="BEx9E14TGNBYGMDDG9NETDK4SYAW" localSheetId="15" hidden="1">#REF!</definedName>
    <definedName name="BEx9E14TGNBYGMDDG9NETDK4SYAW" localSheetId="5" hidden="1">#REF!</definedName>
    <definedName name="BEx9E2BZ2B1R41FMGJCJ7JLGLUAJ" localSheetId="14" hidden="1">#REF!</definedName>
    <definedName name="BEx9E2BZ2B1R41FMGJCJ7JLGLUAJ" localSheetId="15" hidden="1">#REF!</definedName>
    <definedName name="BEx9E2BZ2B1R41FMGJCJ7JLGLUAJ" localSheetId="5" hidden="1">#REF!</definedName>
    <definedName name="BEx9EG9KBJ77M8LEOR9ITOKN5KXY" localSheetId="14" hidden="1">#REF!</definedName>
    <definedName name="BEx9EG9KBJ77M8LEOR9ITOKN5KXY" localSheetId="15" hidden="1">#REF!</definedName>
    <definedName name="BEx9EG9KBJ77M8LEOR9ITOKN5KXY" localSheetId="5" hidden="1">#REF!</definedName>
    <definedName name="BEx9EMK6HAJJMVYZTN5AUIV7O1E6" localSheetId="14" hidden="1">#REF!</definedName>
    <definedName name="BEx9EMK6HAJJMVYZTN5AUIV7O1E6" localSheetId="15" hidden="1">#REF!</definedName>
    <definedName name="BEx9EMK6HAJJMVYZTN5AUIV7O1E6" localSheetId="5" hidden="1">#REF!</definedName>
    <definedName name="BEx9ENB8RPU9FA3QW16IGB6LK1CH" localSheetId="14" hidden="1">#REF!</definedName>
    <definedName name="BEx9ENB8RPU9FA3QW16IGB6LK1CH" localSheetId="15" hidden="1">#REF!</definedName>
    <definedName name="BEx9ENB8RPU9FA3QW16IGB6LK1CH" localSheetId="5" hidden="1">#REF!</definedName>
    <definedName name="BEx9EQLVZHYQ1TPX7WH3SOWXCZLE" localSheetId="14" hidden="1">#REF!</definedName>
    <definedName name="BEx9EQLVZHYQ1TPX7WH3SOWXCZLE" localSheetId="15" hidden="1">#REF!</definedName>
    <definedName name="BEx9EQLVZHYQ1TPX7WH3SOWXCZLE" localSheetId="5" hidden="1">#REF!</definedName>
    <definedName name="BEx9ETLU0EK5LGEM1QCNYN2S8O5F" localSheetId="14" hidden="1">#REF!</definedName>
    <definedName name="BEx9ETLU0EK5LGEM1QCNYN2S8O5F" localSheetId="15" hidden="1">#REF!</definedName>
    <definedName name="BEx9ETLU0EK5LGEM1QCNYN2S8O5F" localSheetId="5" hidden="1">#REF!</definedName>
    <definedName name="BEx9F0710LGLAU3161O0O346N58H" localSheetId="14" hidden="1">#REF!</definedName>
    <definedName name="BEx9F0710LGLAU3161O0O346N58H" localSheetId="15" hidden="1">#REF!</definedName>
    <definedName name="BEx9F0710LGLAU3161O0O346N58H" localSheetId="5" hidden="1">#REF!</definedName>
    <definedName name="BEx9F0Y2ESUNE3U7TQDLMPE9BO67" localSheetId="14" hidden="1">#REF!</definedName>
    <definedName name="BEx9F0Y2ESUNE3U7TQDLMPE9BO67" localSheetId="15" hidden="1">#REF!</definedName>
    <definedName name="BEx9F0Y2ESUNE3U7TQDLMPE9BO67" localSheetId="5" hidden="1">#REF!</definedName>
    <definedName name="BEx9F439L1R726MJFX2EP39XIBPY" localSheetId="14" hidden="1">#REF!</definedName>
    <definedName name="BEx9F439L1R726MJFX2EP39XIBPY" localSheetId="15" hidden="1">#REF!</definedName>
    <definedName name="BEx9F439L1R726MJFX2EP39XIBPY" localSheetId="5" hidden="1">#REF!</definedName>
    <definedName name="BEx9F5W18ZGFOKGRE8PR6T1MO6GT" localSheetId="14" hidden="1">#REF!</definedName>
    <definedName name="BEx9F5W18ZGFOKGRE8PR6T1MO6GT" localSheetId="15" hidden="1">#REF!</definedName>
    <definedName name="BEx9F5W18ZGFOKGRE8PR6T1MO6GT" localSheetId="5" hidden="1">#REF!</definedName>
    <definedName name="BEx9F78N4HY0XFGBQ4UJRD52L1EI" localSheetId="14" hidden="1">#REF!</definedName>
    <definedName name="BEx9F78N4HY0XFGBQ4UJRD52L1EI" localSheetId="15" hidden="1">#REF!</definedName>
    <definedName name="BEx9F78N4HY0XFGBQ4UJRD52L1EI" localSheetId="5" hidden="1">#REF!</definedName>
    <definedName name="BEx9FF16LOQP5QIR4UHW5EIFGQB8" localSheetId="14" hidden="1">#REF!</definedName>
    <definedName name="BEx9FF16LOQP5QIR4UHW5EIFGQB8" localSheetId="15" hidden="1">#REF!</definedName>
    <definedName name="BEx9FF16LOQP5QIR4UHW5EIFGQB8" localSheetId="5" hidden="1">#REF!</definedName>
    <definedName name="BEx9FJTSRCZ3ZXT3QVBJT5NF8T7V" localSheetId="14" hidden="1">#REF!</definedName>
    <definedName name="BEx9FJTSRCZ3ZXT3QVBJT5NF8T7V" localSheetId="15" hidden="1">#REF!</definedName>
    <definedName name="BEx9FJTSRCZ3ZXT3QVBJT5NF8T7V" localSheetId="5" hidden="1">#REF!</definedName>
    <definedName name="BEx9FRBEEYPS5HLS3XT34AKZN94G" localSheetId="14" hidden="1">#REF!</definedName>
    <definedName name="BEx9FRBEEYPS5HLS3XT34AKZN94G" localSheetId="15" hidden="1">#REF!</definedName>
    <definedName name="BEx9FRBEEYPS5HLS3XT34AKZN94G" localSheetId="5" hidden="1">#REF!</definedName>
    <definedName name="BEx9G5USBCNYNA7HGVW92D800SKX" localSheetId="14" hidden="1">#REF!</definedName>
    <definedName name="BEx9G5USBCNYNA7HGVW92D800SKX" localSheetId="15" hidden="1">#REF!</definedName>
    <definedName name="BEx9G5USBCNYNA7HGVW92D800SKX" localSheetId="5" hidden="1">#REF!</definedName>
    <definedName name="BEx9G7CPXG7HR6N6FHPU2DBBUIKG" localSheetId="14" hidden="1">#REF!</definedName>
    <definedName name="BEx9G7CPXG7HR6N6FHPU2DBBUIKG" localSheetId="15" hidden="1">#REF!</definedName>
    <definedName name="BEx9G7CPXG7HR6N6FHPU2DBBUIKG" localSheetId="5" hidden="1">#REF!</definedName>
    <definedName name="BEx9GDY4D8ZPQJCYFIMYM0V0C51Y" localSheetId="14" hidden="1">#REF!</definedName>
    <definedName name="BEx9GDY4D8ZPQJCYFIMYM0V0C51Y" localSheetId="15" hidden="1">#REF!</definedName>
    <definedName name="BEx9GDY4D8ZPQJCYFIMYM0V0C51Y" localSheetId="5" hidden="1">#REF!</definedName>
    <definedName name="BEx9GGY04V0ZWI6O9KZH4KSBB389" localSheetId="14" hidden="1">#REF!</definedName>
    <definedName name="BEx9GGY04V0ZWI6O9KZH4KSBB389" localSheetId="15" hidden="1">#REF!</definedName>
    <definedName name="BEx9GGY04V0ZWI6O9KZH4KSBB389" localSheetId="5" hidden="1">#REF!</definedName>
    <definedName name="BEx9GMC7TE8SDTCO5PHODBUF4SM1" localSheetId="14" hidden="1">#REF!</definedName>
    <definedName name="BEx9GMC7TE8SDTCO5PHODBUF4SM1" localSheetId="15" hidden="1">#REF!</definedName>
    <definedName name="BEx9GMC7TE8SDTCO5PHODBUF4SM1" localSheetId="5" hidden="1">#REF!</definedName>
    <definedName name="BEx9GMN0B495HEAOG6JQK9D7HUPC" localSheetId="14" hidden="1">#REF!</definedName>
    <definedName name="BEx9GMN0B495HEAOG6JQK9D7HUPC" localSheetId="15" hidden="1">#REF!</definedName>
    <definedName name="BEx9GMN0B495HEAOG6JQK9D7HUPC" localSheetId="5" hidden="1">#REF!</definedName>
    <definedName name="BEx9GNOPB6OZ2RH3FCDNJR38RJOS" localSheetId="14" hidden="1">#REF!</definedName>
    <definedName name="BEx9GNOPB6OZ2RH3FCDNJR38RJOS" localSheetId="15" hidden="1">#REF!</definedName>
    <definedName name="BEx9GNOPB6OZ2RH3FCDNJR38RJOS" localSheetId="5" hidden="1">#REF!</definedName>
    <definedName name="BEx9GUQALUWCD30UKUQGSWW8KBQ7" localSheetId="14" hidden="1">#REF!</definedName>
    <definedName name="BEx9GUQALUWCD30UKUQGSWW8KBQ7" localSheetId="15" hidden="1">#REF!</definedName>
    <definedName name="BEx9GUQALUWCD30UKUQGSWW8KBQ7" localSheetId="5" hidden="1">#REF!</definedName>
    <definedName name="BEx9GY6BVFQGCLMOWVT6PIC9WP5X" localSheetId="14" hidden="1">#REF!</definedName>
    <definedName name="BEx9GY6BVFQGCLMOWVT6PIC9WP5X" localSheetId="15" hidden="1">#REF!</definedName>
    <definedName name="BEx9GY6BVFQGCLMOWVT6PIC9WP5X" localSheetId="5" hidden="1">#REF!</definedName>
    <definedName name="BEx9GZ2P3FDHKXEBXX2VS0BG2NP2" localSheetId="14" hidden="1">#REF!</definedName>
    <definedName name="BEx9GZ2P3FDHKXEBXX2VS0BG2NP2" localSheetId="15" hidden="1">#REF!</definedName>
    <definedName name="BEx9GZ2P3FDHKXEBXX2VS0BG2NP2" localSheetId="5" hidden="1">#REF!</definedName>
    <definedName name="BEx9H04IB14E1437FF2OIRRWBSD7" localSheetId="14" hidden="1">#REF!</definedName>
    <definedName name="BEx9H04IB14E1437FF2OIRRWBSD7" localSheetId="15" hidden="1">#REF!</definedName>
    <definedName name="BEx9H04IB14E1437FF2OIRRWBSD7" localSheetId="5" hidden="1">#REF!</definedName>
    <definedName name="BEx9H5O1KDZJCW91Q29VRPY5YS6P" localSheetId="14" hidden="1">#REF!</definedName>
    <definedName name="BEx9H5O1KDZJCW91Q29VRPY5YS6P" localSheetId="15" hidden="1">#REF!</definedName>
    <definedName name="BEx9H5O1KDZJCW91Q29VRPY5YS6P" localSheetId="5" hidden="1">#REF!</definedName>
    <definedName name="BEx9H8YR0E906F1JXZMBX3LNT004" localSheetId="14" hidden="1">#REF!</definedName>
    <definedName name="BEx9H8YR0E906F1JXZMBX3LNT004" localSheetId="15" hidden="1">#REF!</definedName>
    <definedName name="BEx9H8YR0E906F1JXZMBX3LNT004" localSheetId="5" hidden="1">#REF!</definedName>
    <definedName name="BEx9I1QKLI6OOUPQLUQ0EF0355X6" localSheetId="14" hidden="1">#REF!</definedName>
    <definedName name="BEx9I1QKLI6OOUPQLUQ0EF0355X6" localSheetId="15" hidden="1">#REF!</definedName>
    <definedName name="BEx9I1QKLI6OOUPQLUQ0EF0355X6" localSheetId="5" hidden="1">#REF!</definedName>
    <definedName name="BEx9I8XIG7E5NB48QQHXP23FIN60" localSheetId="14" hidden="1">#REF!</definedName>
    <definedName name="BEx9I8XIG7E5NB48QQHXP23FIN60" localSheetId="15" hidden="1">#REF!</definedName>
    <definedName name="BEx9I8XIG7E5NB48QQHXP23FIN60" localSheetId="5" hidden="1">#REF!</definedName>
    <definedName name="BEx9IQRF01ATLVK0YE60ARKQJ68L" localSheetId="14" hidden="1">#REF!</definedName>
    <definedName name="BEx9IQRF01ATLVK0YE60ARKQJ68L" localSheetId="15" hidden="1">#REF!</definedName>
    <definedName name="BEx9IQRF01ATLVK0YE60ARKQJ68L" localSheetId="5" hidden="1">#REF!</definedName>
    <definedName name="BEx9IT5QNZWKM6YQ5WER0DC2PMMU" localSheetId="14" hidden="1">#REF!</definedName>
    <definedName name="BEx9IT5QNZWKM6YQ5WER0DC2PMMU" localSheetId="15" hidden="1">#REF!</definedName>
    <definedName name="BEx9IT5QNZWKM6YQ5WER0DC2PMMU" localSheetId="5" hidden="1">#REF!</definedName>
    <definedName name="BEx9IUICG3HZWG57MG3NXCEX4LQI" localSheetId="14" hidden="1">#REF!</definedName>
    <definedName name="BEx9IUICG3HZWG57MG3NXCEX4LQI" localSheetId="15" hidden="1">#REF!</definedName>
    <definedName name="BEx9IUICG3HZWG57MG3NXCEX4LQI" localSheetId="5" hidden="1">#REF!</definedName>
    <definedName name="BEx9IW5LYJF40GS78FJNXO9O667A" localSheetId="14" hidden="1">#REF!</definedName>
    <definedName name="BEx9IW5LYJF40GS78FJNXO9O667A" localSheetId="15" hidden="1">#REF!</definedName>
    <definedName name="BEx9IW5LYJF40GS78FJNXO9O667A" localSheetId="5" hidden="1">#REF!</definedName>
    <definedName name="BEx9IW5MFLXTVCJHVUZTUH93AXOS" localSheetId="14" hidden="1">#REF!</definedName>
    <definedName name="BEx9IW5MFLXTVCJHVUZTUH93AXOS" localSheetId="15" hidden="1">#REF!</definedName>
    <definedName name="BEx9IW5MFLXTVCJHVUZTUH93AXOS" localSheetId="5" hidden="1">#REF!</definedName>
    <definedName name="BEx9IXCSPSZC80YZUPRCYTG326KV" localSheetId="14" hidden="1">#REF!</definedName>
    <definedName name="BEx9IXCSPSZC80YZUPRCYTG326KV" localSheetId="15" hidden="1">#REF!</definedName>
    <definedName name="BEx9IXCSPSZC80YZUPRCYTG326KV" localSheetId="5" hidden="1">#REF!</definedName>
    <definedName name="BEx9IYUQSBZ0GG9ZT1QKX83F42F1" localSheetId="14" hidden="1">#REF!</definedName>
    <definedName name="BEx9IYUQSBZ0GG9ZT1QKX83F42F1" localSheetId="15" hidden="1">#REF!</definedName>
    <definedName name="BEx9IYUQSBZ0GG9ZT1QKX83F42F1" localSheetId="5" hidden="1">#REF!</definedName>
    <definedName name="BEx9IZR39NHDGOM97H4E6F81RTQW" localSheetId="14" hidden="1">#REF!</definedName>
    <definedName name="BEx9IZR39NHDGOM97H4E6F81RTQW" localSheetId="15" hidden="1">#REF!</definedName>
    <definedName name="BEx9IZR39NHDGOM97H4E6F81RTQW" localSheetId="5" hidden="1">#REF!</definedName>
    <definedName name="BEx9J6CH5E7YZPER7HXEIOIKGPCA" localSheetId="14" hidden="1">#REF!</definedName>
    <definedName name="BEx9J6CH5E7YZPER7HXEIOIKGPCA" localSheetId="15" hidden="1">#REF!</definedName>
    <definedName name="BEx9J6CH5E7YZPER7HXEIOIKGPCA" localSheetId="5" hidden="1">#REF!</definedName>
    <definedName name="BEx9JJTZKVUJAVPTRE0RAVTEH41G" localSheetId="14" hidden="1">#REF!</definedName>
    <definedName name="BEx9JJTZKVUJAVPTRE0RAVTEH41G" localSheetId="15" hidden="1">#REF!</definedName>
    <definedName name="BEx9JJTZKVUJAVPTRE0RAVTEH41G" localSheetId="5" hidden="1">#REF!</definedName>
    <definedName name="BEx9JLBYK239B3F841C7YG1GT7ST" localSheetId="14" hidden="1">#REF!</definedName>
    <definedName name="BEx9JLBYK239B3F841C7YG1GT7ST" localSheetId="15" hidden="1">#REF!</definedName>
    <definedName name="BEx9JLBYK239B3F841C7YG1GT7ST" localSheetId="5" hidden="1">#REF!</definedName>
    <definedName name="BExAW4IIW5D0MDY6TJ3G4FOLPYIR" localSheetId="14" hidden="1">#REF!</definedName>
    <definedName name="BExAW4IIW5D0MDY6TJ3G4FOLPYIR" localSheetId="15" hidden="1">#REF!</definedName>
    <definedName name="BExAW4IIW5D0MDY6TJ3G4FOLPYIR" localSheetId="5" hidden="1">#REF!</definedName>
    <definedName name="BExAWNP1B2E9Q88TW48NH41C0FTZ" localSheetId="14" hidden="1">#REF!</definedName>
    <definedName name="BExAWNP1B2E9Q88TW48NH41C0FTZ" localSheetId="15" hidden="1">#REF!</definedName>
    <definedName name="BExAWNP1B2E9Q88TW48NH41C0FTZ" localSheetId="5" hidden="1">#REF!</definedName>
    <definedName name="BExAWUFQXTIPQ308ERZPSVPTUMYN" localSheetId="14" hidden="1">#REF!</definedName>
    <definedName name="BExAWUFQXTIPQ308ERZPSVPTUMYN" localSheetId="15" hidden="1">#REF!</definedName>
    <definedName name="BExAWUFQXTIPQ308ERZPSVPTUMYN" localSheetId="5" hidden="1">#REF!</definedName>
    <definedName name="BExAWY6O96OQO2R036QK2DI37EKV" localSheetId="14" hidden="1">#REF!</definedName>
    <definedName name="BExAWY6O96OQO2R036QK2DI37EKV" localSheetId="15" hidden="1">#REF!</definedName>
    <definedName name="BExAWY6O96OQO2R036QK2DI37EKV" localSheetId="5" hidden="1">#REF!</definedName>
    <definedName name="BExAX410NB4F2XOB84OR2197H8M5" localSheetId="14" hidden="1">#REF!</definedName>
    <definedName name="BExAX410NB4F2XOB84OR2197H8M5" localSheetId="15" hidden="1">#REF!</definedName>
    <definedName name="BExAX410NB4F2XOB84OR2197H8M5" localSheetId="5" hidden="1">#REF!</definedName>
    <definedName name="BExAX8TNG8LQ5Q4904SAYQIPGBSV" localSheetId="14" hidden="1">#REF!</definedName>
    <definedName name="BExAX8TNG8LQ5Q4904SAYQIPGBSV" localSheetId="15" hidden="1">#REF!</definedName>
    <definedName name="BExAX8TNG8LQ5Q4904SAYQIPGBSV" localSheetId="5" hidden="1">#REF!</definedName>
    <definedName name="BExAX9KPAVIVUVU3XREDCV1BIYZL" localSheetId="14" hidden="1">#REF!</definedName>
    <definedName name="BExAX9KPAVIVUVU3XREDCV1BIYZL" localSheetId="15" hidden="1">#REF!</definedName>
    <definedName name="BExAX9KPAVIVUVU3XREDCV1BIYZL" localSheetId="5" hidden="1">#REF!</definedName>
    <definedName name="BExAXPB35BNVXZYF2XS6UP3LP0QH" localSheetId="14" hidden="1">#REF!</definedName>
    <definedName name="BExAXPB35BNVXZYF2XS6UP3LP0QH" localSheetId="15" hidden="1">#REF!</definedName>
    <definedName name="BExAXPB35BNVXZYF2XS6UP3LP0QH" localSheetId="5" hidden="1">#REF!</definedName>
    <definedName name="BExAXWSRVPK0GCZ2UFU10UOP01IY" localSheetId="14" hidden="1">#REF!</definedName>
    <definedName name="BExAXWSRVPK0GCZ2UFU10UOP01IY" localSheetId="15" hidden="1">#REF!</definedName>
    <definedName name="BExAXWSRVPK0GCZ2UFU10UOP01IY" localSheetId="5" hidden="1">#REF!</definedName>
    <definedName name="BExAY0EAT2LXR5MFGM0DLIB45PLO" localSheetId="14" hidden="1">#REF!</definedName>
    <definedName name="BExAY0EAT2LXR5MFGM0DLIB45PLO" localSheetId="15" hidden="1">#REF!</definedName>
    <definedName name="BExAY0EAT2LXR5MFGM0DLIB45PLO" localSheetId="5" hidden="1">#REF!</definedName>
    <definedName name="BExAY6JK0AK9EBIJSPEJNOIDE40W" localSheetId="14" hidden="1">#REF!</definedName>
    <definedName name="BExAY6JK0AK9EBIJSPEJNOIDE40W" localSheetId="15" hidden="1">#REF!</definedName>
    <definedName name="BExAY6JK0AK9EBIJSPEJNOIDE40W" localSheetId="5" hidden="1">#REF!</definedName>
    <definedName name="BExAYE6LNIEBR9DSNI5JGNITGKIT" localSheetId="14" hidden="1">#REF!</definedName>
    <definedName name="BExAYE6LNIEBR9DSNI5JGNITGKIT" localSheetId="15" hidden="1">#REF!</definedName>
    <definedName name="BExAYE6LNIEBR9DSNI5JGNITGKIT" localSheetId="5" hidden="1">#REF!</definedName>
    <definedName name="BExAYHMLXGGO25P8HYB2S75DEB4F" localSheetId="14" hidden="1">#REF!</definedName>
    <definedName name="BExAYHMLXGGO25P8HYB2S75DEB4F" localSheetId="15" hidden="1">#REF!</definedName>
    <definedName name="BExAYHMLXGGO25P8HYB2S75DEB4F" localSheetId="5" hidden="1">#REF!</definedName>
    <definedName name="BExAYKXAUWGDOPG952TEJ2UKZKWN" localSheetId="14" hidden="1">#REF!</definedName>
    <definedName name="BExAYKXAUWGDOPG952TEJ2UKZKWN" localSheetId="15" hidden="1">#REF!</definedName>
    <definedName name="BExAYKXAUWGDOPG952TEJ2UKZKWN" localSheetId="5" hidden="1">#REF!</definedName>
    <definedName name="BExAYP9TDTI2MBP6EYE0H39CPMXN" localSheetId="14" hidden="1">#REF!</definedName>
    <definedName name="BExAYP9TDTI2MBP6EYE0H39CPMXN" localSheetId="15" hidden="1">#REF!</definedName>
    <definedName name="BExAYP9TDTI2MBP6EYE0H39CPMXN" localSheetId="5" hidden="1">#REF!</definedName>
    <definedName name="BExAYPPWJPWDKU59O051WMGB7O0J" localSheetId="14" hidden="1">#REF!</definedName>
    <definedName name="BExAYPPWJPWDKU59O051WMGB7O0J" localSheetId="15" hidden="1">#REF!</definedName>
    <definedName name="BExAYPPWJPWDKU59O051WMGB7O0J" localSheetId="5" hidden="1">#REF!</definedName>
    <definedName name="BExAYR2JZCJBUH6F1LZC2A7JIVRJ" localSheetId="14" hidden="1">#REF!</definedName>
    <definedName name="BExAYR2JZCJBUH6F1LZC2A7JIVRJ" localSheetId="15" hidden="1">#REF!</definedName>
    <definedName name="BExAYR2JZCJBUH6F1LZC2A7JIVRJ" localSheetId="5" hidden="1">#REF!</definedName>
    <definedName name="BExAYTGVRD3DLKO75RFPMBKCIWB8" localSheetId="14" hidden="1">#REF!</definedName>
    <definedName name="BExAYTGVRD3DLKO75RFPMBKCIWB8" localSheetId="15" hidden="1">#REF!</definedName>
    <definedName name="BExAYTGVRD3DLKO75RFPMBKCIWB8" localSheetId="5" hidden="1">#REF!</definedName>
    <definedName name="BExAYY9H9COOT46HJLPVDLTO12UL" localSheetId="14" hidden="1">#REF!</definedName>
    <definedName name="BExAYY9H9COOT46HJLPVDLTO12UL" localSheetId="15" hidden="1">#REF!</definedName>
    <definedName name="BExAYY9H9COOT46HJLPVDLTO12UL" localSheetId="5" hidden="1">#REF!</definedName>
    <definedName name="BExAYYKAQA3KDMQ890FIE5M9SPBL" localSheetId="14" hidden="1">#REF!</definedName>
    <definedName name="BExAYYKAQA3KDMQ890FIE5M9SPBL" localSheetId="15" hidden="1">#REF!</definedName>
    <definedName name="BExAYYKAQA3KDMQ890FIE5M9SPBL" localSheetId="5" hidden="1">#REF!</definedName>
    <definedName name="BExAZ6SY0EU69GC3CWI5EOO0YLFG" localSheetId="14" hidden="1">#REF!</definedName>
    <definedName name="BExAZ6SY0EU69GC3CWI5EOO0YLFG" localSheetId="15" hidden="1">#REF!</definedName>
    <definedName name="BExAZ6SY0EU69GC3CWI5EOO0YLFG" localSheetId="5" hidden="1">#REF!</definedName>
    <definedName name="BExAZ6YEEBJV0PCKFE137K2Y3A8M" localSheetId="14" hidden="1">#REF!</definedName>
    <definedName name="BExAZ6YEEBJV0PCKFE137K2Y3A8M" localSheetId="15" hidden="1">#REF!</definedName>
    <definedName name="BExAZ6YEEBJV0PCKFE137K2Y3A8M" localSheetId="5" hidden="1">#REF!</definedName>
    <definedName name="BExAZAP844MJ4GSAIYNYHQ7FECC3" localSheetId="14" hidden="1">#REF!</definedName>
    <definedName name="BExAZAP844MJ4GSAIYNYHQ7FECC3" localSheetId="15" hidden="1">#REF!</definedName>
    <definedName name="BExAZAP844MJ4GSAIYNYHQ7FECC3" localSheetId="5" hidden="1">#REF!</definedName>
    <definedName name="BExAZCNEGB4JYHC8CZ51KTN890US" localSheetId="14" hidden="1">#REF!</definedName>
    <definedName name="BExAZCNEGB4JYHC8CZ51KTN890US" localSheetId="15" hidden="1">#REF!</definedName>
    <definedName name="BExAZCNEGB4JYHC8CZ51KTN890US" localSheetId="5" hidden="1">#REF!</definedName>
    <definedName name="BExAZFCI302YFYRDJYQDWQQL0Q0O" localSheetId="14" hidden="1">#REF!</definedName>
    <definedName name="BExAZFCI302YFYRDJYQDWQQL0Q0O" localSheetId="15" hidden="1">#REF!</definedName>
    <definedName name="BExAZFCI302YFYRDJYQDWQQL0Q0O" localSheetId="5" hidden="1">#REF!</definedName>
    <definedName name="BExAZJE2UOL40XUAU2RB53X5K20P" localSheetId="14" hidden="1">#REF!</definedName>
    <definedName name="BExAZJE2UOL40XUAU2RB53X5K20P" localSheetId="15" hidden="1">#REF!</definedName>
    <definedName name="BExAZJE2UOL40XUAU2RB53X5K20P" localSheetId="5" hidden="1">#REF!</definedName>
    <definedName name="BExAZLHLST9OP89R1HJMC1POQG8H" localSheetId="14" hidden="1">#REF!</definedName>
    <definedName name="BExAZLHLST9OP89R1HJMC1POQG8H" localSheetId="15" hidden="1">#REF!</definedName>
    <definedName name="BExAZLHLST9OP89R1HJMC1POQG8H" localSheetId="5" hidden="1">#REF!</definedName>
    <definedName name="BExAZMDYMIAA7RX1BMCKU1VLBRGY" localSheetId="14" hidden="1">#REF!</definedName>
    <definedName name="BExAZMDYMIAA7RX1BMCKU1VLBRGY" localSheetId="15" hidden="1">#REF!</definedName>
    <definedName name="BExAZMDYMIAA7RX1BMCKU1VLBRGY" localSheetId="5" hidden="1">#REF!</definedName>
    <definedName name="BExAZNL6BHI8DCQWXOX4I2P839UX" localSheetId="14" hidden="1">#REF!</definedName>
    <definedName name="BExAZNL6BHI8DCQWXOX4I2P839UX" localSheetId="15" hidden="1">#REF!</definedName>
    <definedName name="BExAZNL6BHI8DCQWXOX4I2P839UX" localSheetId="5" hidden="1">#REF!</definedName>
    <definedName name="BExAZRMWSONMCG9KDUM4KAQ7BONM" localSheetId="14" hidden="1">#REF!</definedName>
    <definedName name="BExAZRMWSONMCG9KDUM4KAQ7BONM" localSheetId="15" hidden="1">#REF!</definedName>
    <definedName name="BExAZRMWSONMCG9KDUM4KAQ7BONM" localSheetId="5" hidden="1">#REF!</definedName>
    <definedName name="BExAZSOJNQ5N3LM4XA17IH7NIY7G" localSheetId="14" hidden="1">#REF!</definedName>
    <definedName name="BExAZSOJNQ5N3LM4XA17IH7NIY7G" localSheetId="15" hidden="1">#REF!</definedName>
    <definedName name="BExAZSOJNQ5N3LM4XA17IH7NIY7G" localSheetId="5" hidden="1">#REF!</definedName>
    <definedName name="BExAZTFG4SJRG4TW6JXRF7N08JFI" localSheetId="14" hidden="1">#REF!</definedName>
    <definedName name="BExAZTFG4SJRG4TW6JXRF7N08JFI" localSheetId="15" hidden="1">#REF!</definedName>
    <definedName name="BExAZTFG4SJRG4TW6JXRF7N08JFI" localSheetId="5" hidden="1">#REF!</definedName>
    <definedName name="BExAZUS4A8OHDZK0MWAOCCCKTH73" localSheetId="14" hidden="1">#REF!</definedName>
    <definedName name="BExAZUS4A8OHDZK0MWAOCCCKTH73" localSheetId="15" hidden="1">#REF!</definedName>
    <definedName name="BExAZUS4A8OHDZK0MWAOCCCKTH73" localSheetId="5" hidden="1">#REF!</definedName>
    <definedName name="BExAZX6FECVK3E07KXM2XPYKGM6U" localSheetId="14" hidden="1">#REF!</definedName>
    <definedName name="BExAZX6FECVK3E07KXM2XPYKGM6U" localSheetId="15" hidden="1">#REF!</definedName>
    <definedName name="BExAZX6FECVK3E07KXM2XPYKGM6U" localSheetId="5" hidden="1">#REF!</definedName>
    <definedName name="BExB012NJ8GASTNNPBRRFTLHIOC9" localSheetId="14" hidden="1">#REF!</definedName>
    <definedName name="BExB012NJ8GASTNNPBRRFTLHIOC9" localSheetId="15" hidden="1">#REF!</definedName>
    <definedName name="BExB012NJ8GASTNNPBRRFTLHIOC9" localSheetId="5" hidden="1">#REF!</definedName>
    <definedName name="BExB072HHXVMUC0VYNGG48GRSH5Q" localSheetId="14" hidden="1">#REF!</definedName>
    <definedName name="BExB072HHXVMUC0VYNGG48GRSH5Q" localSheetId="15" hidden="1">#REF!</definedName>
    <definedName name="BExB072HHXVMUC0VYNGG48GRSH5Q" localSheetId="5" hidden="1">#REF!</definedName>
    <definedName name="BExB0FRDEYDEUEAB1W8KD6D965XA" localSheetId="14" hidden="1">#REF!</definedName>
    <definedName name="BExB0FRDEYDEUEAB1W8KD6D965XA" localSheetId="15" hidden="1">#REF!</definedName>
    <definedName name="BExB0FRDEYDEUEAB1W8KD6D965XA" localSheetId="5" hidden="1">#REF!</definedName>
    <definedName name="BExB0GIGLDV7P55ZR51C0HG15PA2" localSheetId="14" hidden="1">#REF!</definedName>
    <definedName name="BExB0GIGLDV7P55ZR51C0HG15PA2" localSheetId="15" hidden="1">#REF!</definedName>
    <definedName name="BExB0GIGLDV7P55ZR51C0HG15PA2" localSheetId="5" hidden="1">#REF!</definedName>
    <definedName name="BExB0KPCN7YJORQAYUCF4YKIKPMC" localSheetId="14" hidden="1">#REF!</definedName>
    <definedName name="BExB0KPCN7YJORQAYUCF4YKIKPMC" localSheetId="15" hidden="1">#REF!</definedName>
    <definedName name="BExB0KPCN7YJORQAYUCF4YKIKPMC" localSheetId="5" hidden="1">#REF!</definedName>
    <definedName name="BExB0VHQD6ORZS0MIC86QWHCE4UC" localSheetId="14" hidden="1">#REF!</definedName>
    <definedName name="BExB0VHQD6ORZS0MIC86QWHCE4UC" localSheetId="15" hidden="1">#REF!</definedName>
    <definedName name="BExB0VHQD6ORZS0MIC86QWHCE4UC" localSheetId="5" hidden="1">#REF!</definedName>
    <definedName name="BExB0WE4PI3NOBXXVO9CTEN4DIU2" localSheetId="14" hidden="1">#REF!</definedName>
    <definedName name="BExB0WE4PI3NOBXXVO9CTEN4DIU2" localSheetId="15" hidden="1">#REF!</definedName>
    <definedName name="BExB0WE4PI3NOBXXVO9CTEN4DIU2" localSheetId="5" hidden="1">#REF!</definedName>
    <definedName name="BExB0Z8O1CQF2CWFBBHE8SNISDAO" localSheetId="14" hidden="1">#REF!</definedName>
    <definedName name="BExB0Z8O1CQF2CWFBBHE8SNISDAO" localSheetId="15" hidden="1">#REF!</definedName>
    <definedName name="BExB0Z8O1CQF2CWFBBHE8SNISDAO" localSheetId="5" hidden="1">#REF!</definedName>
    <definedName name="BExB10QNIVITUYS55OAEKK3VLJFE" localSheetId="14" hidden="1">#REF!</definedName>
    <definedName name="BExB10QNIVITUYS55OAEKK3VLJFE" localSheetId="15" hidden="1">#REF!</definedName>
    <definedName name="BExB10QNIVITUYS55OAEKK3VLJFE" localSheetId="5" hidden="1">#REF!</definedName>
    <definedName name="BExB15ZDRY4CIJ911DONP0KCY9KU" localSheetId="14" hidden="1">#REF!</definedName>
    <definedName name="BExB15ZDRY4CIJ911DONP0KCY9KU" localSheetId="15" hidden="1">#REF!</definedName>
    <definedName name="BExB15ZDRY4CIJ911DONP0KCY9KU" localSheetId="5" hidden="1">#REF!</definedName>
    <definedName name="BExB16VQY0O0RLZYJFU3OFEONVTE" localSheetId="14" hidden="1">#REF!</definedName>
    <definedName name="BExB16VQY0O0RLZYJFU3OFEONVTE" localSheetId="15" hidden="1">#REF!</definedName>
    <definedName name="BExB16VQY0O0RLZYJFU3OFEONVTE" localSheetId="5" hidden="1">#REF!</definedName>
    <definedName name="BExB1FKNY2UO4W5FUGFHJOA2WFGG" localSheetId="14" hidden="1">#REF!</definedName>
    <definedName name="BExB1FKNY2UO4W5FUGFHJOA2WFGG" localSheetId="15" hidden="1">#REF!</definedName>
    <definedName name="BExB1FKNY2UO4W5FUGFHJOA2WFGG" localSheetId="5" hidden="1">#REF!</definedName>
    <definedName name="BExB1GMD0PIDGTFBGQOPRWQSP9I4" localSheetId="14" hidden="1">#REF!</definedName>
    <definedName name="BExB1GMD0PIDGTFBGQOPRWQSP9I4" localSheetId="15" hidden="1">#REF!</definedName>
    <definedName name="BExB1GMD0PIDGTFBGQOPRWQSP9I4" localSheetId="5" hidden="1">#REF!</definedName>
    <definedName name="BExB1HZ0FHGNOS2URJWFD5G55OMO" localSheetId="14" hidden="1">#REF!</definedName>
    <definedName name="BExB1HZ0FHGNOS2URJWFD5G55OMO" localSheetId="15" hidden="1">#REF!</definedName>
    <definedName name="BExB1HZ0FHGNOS2URJWFD5G55OMO" localSheetId="5" hidden="1">#REF!</definedName>
    <definedName name="BExB1Q29OO6LNFNT1EQLA3KYE7MX" localSheetId="14" hidden="1">#REF!</definedName>
    <definedName name="BExB1Q29OO6LNFNT1EQLA3KYE7MX" localSheetId="15" hidden="1">#REF!</definedName>
    <definedName name="BExB1Q29OO6LNFNT1EQLA3KYE7MX" localSheetId="5" hidden="1">#REF!</definedName>
    <definedName name="BExB1TNRV5EBWZEHYLHI76T0FVA7" localSheetId="14" hidden="1">#REF!</definedName>
    <definedName name="BExB1TNRV5EBWZEHYLHI76T0FVA7" localSheetId="15" hidden="1">#REF!</definedName>
    <definedName name="BExB1TNRV5EBWZEHYLHI76T0FVA7" localSheetId="5" hidden="1">#REF!</definedName>
    <definedName name="BExB1WI6M8I0EEP1ANUQZCFY24EV" localSheetId="14" hidden="1">#REF!</definedName>
    <definedName name="BExB1WI6M8I0EEP1ANUQZCFY24EV" localSheetId="15" hidden="1">#REF!</definedName>
    <definedName name="BExB1WI6M8I0EEP1ANUQZCFY24EV" localSheetId="5" hidden="1">#REF!</definedName>
    <definedName name="BExB203OWC9QZA3BYOKQ18L4FUJE" localSheetId="14" hidden="1">#REF!</definedName>
    <definedName name="BExB203OWC9QZA3BYOKQ18L4FUJE" localSheetId="15" hidden="1">#REF!</definedName>
    <definedName name="BExB203OWC9QZA3BYOKQ18L4FUJE" localSheetId="5" hidden="1">#REF!</definedName>
    <definedName name="BExB2CJHTU7C591BR4WRL5L2F2K6" localSheetId="14" hidden="1">#REF!</definedName>
    <definedName name="BExB2CJHTU7C591BR4WRL5L2F2K6" localSheetId="15" hidden="1">#REF!</definedName>
    <definedName name="BExB2CJHTU7C591BR4WRL5L2F2K6" localSheetId="5" hidden="1">#REF!</definedName>
    <definedName name="BExB2K1AV4PGNS1O6C7D7AO411AX" localSheetId="14" hidden="1">#REF!</definedName>
    <definedName name="BExB2K1AV4PGNS1O6C7D7AO411AX" localSheetId="15" hidden="1">#REF!</definedName>
    <definedName name="BExB2K1AV4PGNS1O6C7D7AO411AX" localSheetId="5" hidden="1">#REF!</definedName>
    <definedName name="BExB2O2UYHKI324YE324E1N7FVIB" localSheetId="14" hidden="1">#REF!</definedName>
    <definedName name="BExB2O2UYHKI324YE324E1N7FVIB" localSheetId="15" hidden="1">#REF!</definedName>
    <definedName name="BExB2O2UYHKI324YE324E1N7FVIB" localSheetId="5" hidden="1">#REF!</definedName>
    <definedName name="BExB2Q0VJ0MU2URO3JOVUAVHEI3V" localSheetId="14" hidden="1">#REF!</definedName>
    <definedName name="BExB2Q0VJ0MU2URO3JOVUAVHEI3V" localSheetId="15" hidden="1">#REF!</definedName>
    <definedName name="BExB2Q0VJ0MU2URO3JOVUAVHEI3V" localSheetId="5" hidden="1">#REF!</definedName>
    <definedName name="BExB30IP1DNKNQ6PZ5ERUGR5MK4Z" localSheetId="14" hidden="1">#REF!</definedName>
    <definedName name="BExB30IP1DNKNQ6PZ5ERUGR5MK4Z" localSheetId="15" hidden="1">#REF!</definedName>
    <definedName name="BExB30IP1DNKNQ6PZ5ERUGR5MK4Z" localSheetId="5" hidden="1">#REF!</definedName>
    <definedName name="BExB385QW2BSSBXS953SSQN2ISSW" localSheetId="14" hidden="1">#REF!</definedName>
    <definedName name="BExB385QW2BSSBXS953SSQN2ISSW" localSheetId="15" hidden="1">#REF!</definedName>
    <definedName name="BExB385QW2BSSBXS953SSQN2ISSW" localSheetId="5" hidden="1">#REF!</definedName>
    <definedName name="BExB3DEMEV5D9G8FDHD4NQ9X2YNT" localSheetId="14" hidden="1">#REF!</definedName>
    <definedName name="BExB3DEMEV5D9G8FDHD4NQ9X2YNT" localSheetId="15" hidden="1">#REF!</definedName>
    <definedName name="BExB3DEMEV5D9G8FDHD4NQ9X2YNT" localSheetId="5" hidden="1">#REF!</definedName>
    <definedName name="BExB3RXU8AJQ86I5RXEWLGGR7R7C" localSheetId="14" hidden="1">#REF!</definedName>
    <definedName name="BExB3RXU8AJQ86I5RXEWLGGR7R7C" localSheetId="15" hidden="1">#REF!</definedName>
    <definedName name="BExB3RXU8AJQ86I5RXEWLGGR7R7C" localSheetId="5" hidden="1">#REF!</definedName>
    <definedName name="BExB442RX0T3L6HUL6X5T21CENW6" localSheetId="14" hidden="1">#REF!</definedName>
    <definedName name="BExB442RX0T3L6HUL6X5T21CENW6" localSheetId="15" hidden="1">#REF!</definedName>
    <definedName name="BExB442RX0T3L6HUL6X5T21CENW6" localSheetId="5" hidden="1">#REF!</definedName>
    <definedName name="BExB4ADD0L7417CII901XTFKXD1J" localSheetId="14" hidden="1">#REF!</definedName>
    <definedName name="BExB4ADD0L7417CII901XTFKXD1J" localSheetId="15" hidden="1">#REF!</definedName>
    <definedName name="BExB4ADD0L7417CII901XTFKXD1J" localSheetId="5" hidden="1">#REF!</definedName>
    <definedName name="BExB4DYU06HCGRIPBSWRCXK804UM" localSheetId="14" hidden="1">#REF!</definedName>
    <definedName name="BExB4DYU06HCGRIPBSWRCXK804UM" localSheetId="15" hidden="1">#REF!</definedName>
    <definedName name="BExB4DYU06HCGRIPBSWRCXK804UM" localSheetId="5" hidden="1">#REF!</definedName>
    <definedName name="BExB4HEZO4E597Q5M4M10LT8TLY3" localSheetId="14" hidden="1">#REF!</definedName>
    <definedName name="BExB4HEZO4E597Q5M4M10LT8TLY3" localSheetId="15" hidden="1">#REF!</definedName>
    <definedName name="BExB4HEZO4E597Q5M4M10LT8TLY3" localSheetId="5" hidden="1">#REF!</definedName>
    <definedName name="BExB4X01APD3Z8ZW6MVX1P8NAO7G" localSheetId="14" hidden="1">#REF!</definedName>
    <definedName name="BExB4X01APD3Z8ZW6MVX1P8NAO7G" localSheetId="15" hidden="1">#REF!</definedName>
    <definedName name="BExB4X01APD3Z8ZW6MVX1P8NAO7G" localSheetId="5" hidden="1">#REF!</definedName>
    <definedName name="BExB4Z3EZBGYYI33U0KQ8NEIH8PY" localSheetId="14" hidden="1">#REF!</definedName>
    <definedName name="BExB4Z3EZBGYYI33U0KQ8NEIH8PY" localSheetId="15" hidden="1">#REF!</definedName>
    <definedName name="BExB4Z3EZBGYYI33U0KQ8NEIH8PY" localSheetId="5" hidden="1">#REF!</definedName>
    <definedName name="BExB4ZJOLU1PXBMG4TPCCLTRMNRE" localSheetId="14" hidden="1">#REF!</definedName>
    <definedName name="BExB4ZJOLU1PXBMG4TPCCLTRMNRE" localSheetId="15" hidden="1">#REF!</definedName>
    <definedName name="BExB4ZJOLU1PXBMG4TPCCLTRMNRE" localSheetId="5" hidden="1">#REF!</definedName>
    <definedName name="BExB4ZZSDPL4Q05BMVT5TUN0IGKT" localSheetId="14" hidden="1">#REF!</definedName>
    <definedName name="BExB4ZZSDPL4Q05BMVT5TUN0IGKT" localSheetId="15" hidden="1">#REF!</definedName>
    <definedName name="BExB4ZZSDPL4Q05BMVT5TUN0IGKT" localSheetId="5" hidden="1">#REF!</definedName>
    <definedName name="BExB55368XW7UX657ZSPC6BFE92S" localSheetId="14" hidden="1">#REF!</definedName>
    <definedName name="BExB55368XW7UX657ZSPC6BFE92S" localSheetId="15" hidden="1">#REF!</definedName>
    <definedName name="BExB55368XW7UX657ZSPC6BFE92S" localSheetId="5" hidden="1">#REF!</definedName>
    <definedName name="BExB57MZEPL2SA2ONPK66YFLZWJU" localSheetId="14" hidden="1">#REF!</definedName>
    <definedName name="BExB57MZEPL2SA2ONPK66YFLZWJU" localSheetId="15" hidden="1">#REF!</definedName>
    <definedName name="BExB57MZEPL2SA2ONPK66YFLZWJU" localSheetId="5" hidden="1">#REF!</definedName>
    <definedName name="BExB5833OAOJ22VK1YK47FHUSVK2" localSheetId="14" hidden="1">#REF!</definedName>
    <definedName name="BExB5833OAOJ22VK1YK47FHUSVK2" localSheetId="15" hidden="1">#REF!</definedName>
    <definedName name="BExB5833OAOJ22VK1YK47FHUSVK2" localSheetId="5" hidden="1">#REF!</definedName>
    <definedName name="BExB58JDIHS42JZT9DJJMKA8QFCO" localSheetId="14" hidden="1">#REF!</definedName>
    <definedName name="BExB58JDIHS42JZT9DJJMKA8QFCO" localSheetId="15" hidden="1">#REF!</definedName>
    <definedName name="BExB58JDIHS42JZT9DJJMKA8QFCO" localSheetId="5" hidden="1">#REF!</definedName>
    <definedName name="BExB58U5FQC5JWV9CGC83HLLZUZI" localSheetId="14" hidden="1">#REF!</definedName>
    <definedName name="BExB58U5FQC5JWV9CGC83HLLZUZI" localSheetId="15" hidden="1">#REF!</definedName>
    <definedName name="BExB58U5FQC5JWV9CGC83HLLZUZI" localSheetId="5" hidden="1">#REF!</definedName>
    <definedName name="BExB5EDO9XUKHF74X3HAU2WPPHZH" localSheetId="14" hidden="1">#REF!</definedName>
    <definedName name="BExB5EDO9XUKHF74X3HAU2WPPHZH" localSheetId="15" hidden="1">#REF!</definedName>
    <definedName name="BExB5EDO9XUKHF74X3HAU2WPPHZH" localSheetId="5" hidden="1">#REF!</definedName>
    <definedName name="BExB5EDOQKZIQXT13IG1KLCZ474G" localSheetId="14" hidden="1">#REF!</definedName>
    <definedName name="BExB5EDOQKZIQXT13IG1KLCZ474G" localSheetId="15" hidden="1">#REF!</definedName>
    <definedName name="BExB5EDOQKZIQXT13IG1KLCZ474G" localSheetId="5" hidden="1">#REF!</definedName>
    <definedName name="BExB5G6EH68AYEP1UT0GHUEL3SLN" localSheetId="14" hidden="1">#REF!</definedName>
    <definedName name="BExB5G6EH68AYEP1UT0GHUEL3SLN" localSheetId="15" hidden="1">#REF!</definedName>
    <definedName name="BExB5G6EH68AYEP1UT0GHUEL3SLN" localSheetId="5" hidden="1">#REF!</definedName>
    <definedName name="BExB5LVGGXMNUN3D3452G3J62MKF" localSheetId="14" hidden="1">#REF!</definedName>
    <definedName name="BExB5LVGGXMNUN3D3452G3J62MKF" localSheetId="15" hidden="1">#REF!</definedName>
    <definedName name="BExB5LVGGXMNUN3D3452G3J62MKF" localSheetId="5" hidden="1">#REF!</definedName>
    <definedName name="BExB5QYVEZWFE5DQVHAM760EV05X" localSheetId="14" hidden="1">#REF!</definedName>
    <definedName name="BExB5QYVEZWFE5DQVHAM760EV05X" localSheetId="15" hidden="1">#REF!</definedName>
    <definedName name="BExB5QYVEZWFE5DQVHAM760EV05X" localSheetId="5" hidden="1">#REF!</definedName>
    <definedName name="BExB5U9IRH14EMOE0YGIE3WIVLFS" localSheetId="14" hidden="1">#REF!</definedName>
    <definedName name="BExB5U9IRH14EMOE0YGIE3WIVLFS" localSheetId="15" hidden="1">#REF!</definedName>
    <definedName name="BExB5U9IRH14EMOE0YGIE3WIVLFS" localSheetId="5" hidden="1">#REF!</definedName>
    <definedName name="BExB5V5WWQYPK4GCSYZQALJYGC94" localSheetId="14" hidden="1">#REF!</definedName>
    <definedName name="BExB5V5WWQYPK4GCSYZQALJYGC94" localSheetId="15" hidden="1">#REF!</definedName>
    <definedName name="BExB5V5WWQYPK4GCSYZQALJYGC94" localSheetId="5" hidden="1">#REF!</definedName>
    <definedName name="BExB5VWYMOV6BAIH7XUBBVPU7MMD" localSheetId="14" hidden="1">#REF!</definedName>
    <definedName name="BExB5VWYMOV6BAIH7XUBBVPU7MMD" localSheetId="15" hidden="1">#REF!</definedName>
    <definedName name="BExB5VWYMOV6BAIH7XUBBVPU7MMD" localSheetId="5" hidden="1">#REF!</definedName>
    <definedName name="BExB610DZWIJP1B72U9QM42COH2B" localSheetId="14" hidden="1">#REF!</definedName>
    <definedName name="BExB610DZWIJP1B72U9QM42COH2B" localSheetId="15" hidden="1">#REF!</definedName>
    <definedName name="BExB610DZWIJP1B72U9QM42COH2B" localSheetId="5" hidden="1">#REF!</definedName>
    <definedName name="BExB64AX81KEVMGZDXB25NB459SW" localSheetId="14" hidden="1">#REF!</definedName>
    <definedName name="BExB64AX81KEVMGZDXB25NB459SW" localSheetId="15" hidden="1">#REF!</definedName>
    <definedName name="BExB64AX81KEVMGZDXB25NB459SW" localSheetId="5" hidden="1">#REF!</definedName>
    <definedName name="BExB6C3FUAKK9ML5T767NMWGA9YB" localSheetId="14" hidden="1">#REF!</definedName>
    <definedName name="BExB6C3FUAKK9ML5T767NMWGA9YB" localSheetId="15" hidden="1">#REF!</definedName>
    <definedName name="BExB6C3FUAKK9ML5T767NMWGA9YB" localSheetId="5" hidden="1">#REF!</definedName>
    <definedName name="BExB6C8X6JYRLKZKK17VE3QUNL3D" localSheetId="14" hidden="1">#REF!</definedName>
    <definedName name="BExB6C8X6JYRLKZKK17VE3QUNL3D" localSheetId="15" hidden="1">#REF!</definedName>
    <definedName name="BExB6C8X6JYRLKZKK17VE3QUNL3D" localSheetId="5" hidden="1">#REF!</definedName>
    <definedName name="BExB6HN3QRFPXM71MDUK21BKM7PF" localSheetId="14" hidden="1">#REF!</definedName>
    <definedName name="BExB6HN3QRFPXM71MDUK21BKM7PF" localSheetId="15" hidden="1">#REF!</definedName>
    <definedName name="BExB6HN3QRFPXM71MDUK21BKM7PF" localSheetId="5" hidden="1">#REF!</definedName>
    <definedName name="BExB6I39SKL5BMHHDD9EED7FQD9Z" localSheetId="14" hidden="1">#REF!</definedName>
    <definedName name="BExB6I39SKL5BMHHDD9EED7FQD9Z" localSheetId="15" hidden="1">#REF!</definedName>
    <definedName name="BExB6I39SKL5BMHHDD9EED7FQD9Z" localSheetId="5" hidden="1">#REF!</definedName>
    <definedName name="BExB6IZMHCZ3LB7N73KD90YB1HBZ" localSheetId="14" hidden="1">#REF!</definedName>
    <definedName name="BExB6IZMHCZ3LB7N73KD90YB1HBZ" localSheetId="15" hidden="1">#REF!</definedName>
    <definedName name="BExB6IZMHCZ3LB7N73KD90YB1HBZ" localSheetId="5" hidden="1">#REF!</definedName>
    <definedName name="BExB719SGNX4Y8NE6JEXC555K596" localSheetId="14" hidden="1">#REF!</definedName>
    <definedName name="BExB719SGNX4Y8NE6JEXC555K596" localSheetId="15" hidden="1">#REF!</definedName>
    <definedName name="BExB719SGNX4Y8NE6JEXC555K596" localSheetId="5" hidden="1">#REF!</definedName>
    <definedName name="BExB7265DCHKS7V2OWRBXCZTEIW9" localSheetId="14" hidden="1">#REF!</definedName>
    <definedName name="BExB7265DCHKS7V2OWRBXCZTEIW9" localSheetId="15" hidden="1">#REF!</definedName>
    <definedName name="BExB7265DCHKS7V2OWRBXCZTEIW9" localSheetId="5" hidden="1">#REF!</definedName>
    <definedName name="BExB74PS5P9G0P09Y6DZSCX0FLTJ" localSheetId="14" hidden="1">#REF!</definedName>
    <definedName name="BExB74PS5P9G0P09Y6DZSCX0FLTJ" localSheetId="15" hidden="1">#REF!</definedName>
    <definedName name="BExB74PS5P9G0P09Y6DZSCX0FLTJ" localSheetId="5" hidden="1">#REF!</definedName>
    <definedName name="BExB78RH79J0MIF7H8CAZ0CFE88Q" localSheetId="14" hidden="1">#REF!</definedName>
    <definedName name="BExB78RH79J0MIF7H8CAZ0CFE88Q" localSheetId="15" hidden="1">#REF!</definedName>
    <definedName name="BExB78RH79J0MIF7H8CAZ0CFE88Q" localSheetId="5" hidden="1">#REF!</definedName>
    <definedName name="BExB7ELT09HGDVO5BJC1ZY9D09GZ" localSheetId="14" hidden="1">#REF!</definedName>
    <definedName name="BExB7ELT09HGDVO5BJC1ZY9D09GZ" localSheetId="15" hidden="1">#REF!</definedName>
    <definedName name="BExB7ELT09HGDVO5BJC1ZY9D09GZ" localSheetId="5" hidden="1">#REF!</definedName>
    <definedName name="BExB7F7EIHG0MYMQYUVG9HIZPHMZ" localSheetId="14" hidden="1">#REF!</definedName>
    <definedName name="BExB7F7EIHG0MYMQYUVG9HIZPHMZ" localSheetId="15" hidden="1">#REF!</definedName>
    <definedName name="BExB7F7EIHG0MYMQYUVG9HIZPHMZ" localSheetId="5" hidden="1">#REF!</definedName>
    <definedName name="BExB806PAXX70XUTA3ZI7OORD78R" localSheetId="14" hidden="1">#REF!</definedName>
    <definedName name="BExB806PAXX70XUTA3ZI7OORD78R" localSheetId="15" hidden="1">#REF!</definedName>
    <definedName name="BExB806PAXX70XUTA3ZI7OORD78R" localSheetId="5" hidden="1">#REF!</definedName>
    <definedName name="BExB83199EQQS6I5HE7WADNCK8OE" localSheetId="14" hidden="1">#REF!</definedName>
    <definedName name="BExB83199EQQS6I5HE7WADNCK8OE" localSheetId="15" hidden="1">#REF!</definedName>
    <definedName name="BExB83199EQQS6I5HE7WADNCK8OE" localSheetId="5" hidden="1">#REF!</definedName>
    <definedName name="BExB8HF4UBVZKQCSRFRUQL2EE6VL" localSheetId="14" hidden="1">#REF!</definedName>
    <definedName name="BExB8HF4UBVZKQCSRFRUQL2EE6VL" localSheetId="15" hidden="1">#REF!</definedName>
    <definedName name="BExB8HF4UBVZKQCSRFRUQL2EE6VL" localSheetId="5" hidden="1">#REF!</definedName>
    <definedName name="BExB8HKHKZ1ORJZUYGG2M4VSCC39" localSheetId="14" hidden="1">#REF!</definedName>
    <definedName name="BExB8HKHKZ1ORJZUYGG2M4VSCC39" localSheetId="15" hidden="1">#REF!</definedName>
    <definedName name="BExB8HKHKZ1ORJZUYGG2M4VSCC39" localSheetId="5" hidden="1">#REF!</definedName>
    <definedName name="BExB8HV9YUS1Q77M9SNFRKDLU5HS" localSheetId="14" hidden="1">#REF!</definedName>
    <definedName name="BExB8HV9YUS1Q77M9SNFRKDLU5HS" localSheetId="15" hidden="1">#REF!</definedName>
    <definedName name="BExB8HV9YUS1Q77M9SNFRKDLU5HS" localSheetId="5" hidden="1">#REF!</definedName>
    <definedName name="BExB8QPH8DC5BESEVPSMBCWVN6PO" localSheetId="14" hidden="1">#REF!</definedName>
    <definedName name="BExB8QPH8DC5BESEVPSMBCWVN6PO" localSheetId="15" hidden="1">#REF!</definedName>
    <definedName name="BExB8QPH8DC5BESEVPSMBCWVN6PO" localSheetId="5" hidden="1">#REF!</definedName>
    <definedName name="BExB8U5N0D85YR8APKN3PPKG0FWP" localSheetId="14" hidden="1">#REF!</definedName>
    <definedName name="BExB8U5N0D85YR8APKN3PPKG0FWP" localSheetId="15" hidden="1">#REF!</definedName>
    <definedName name="BExB8U5N0D85YR8APKN3PPKG0FWP" localSheetId="5" hidden="1">#REF!</definedName>
    <definedName name="BExB93G413CK5DKO7925ZHSOBGIN" localSheetId="14" hidden="1">#REF!</definedName>
    <definedName name="BExB93G413CK5DKO7925ZHSOBGIN" localSheetId="15" hidden="1">#REF!</definedName>
    <definedName name="BExB93G413CK5DKO7925ZHSOBGIN" localSheetId="5" hidden="1">#REF!</definedName>
    <definedName name="BExB96LBXL1JW5A4PP93UJ9UDLKZ" localSheetId="14" hidden="1">#REF!</definedName>
    <definedName name="BExB96LBXL1JW5A4PP93UJ9UDLKZ" localSheetId="15" hidden="1">#REF!</definedName>
    <definedName name="BExB96LBXL1JW5A4PP93UJ9UDLKZ" localSheetId="5" hidden="1">#REF!</definedName>
    <definedName name="BExB9DHI5I2TJ2LXYPM98EE81L27" localSheetId="14" hidden="1">#REF!</definedName>
    <definedName name="BExB9DHI5I2TJ2LXYPM98EE81L27" localSheetId="15" hidden="1">#REF!</definedName>
    <definedName name="BExB9DHI5I2TJ2LXYPM98EE81L27" localSheetId="5" hidden="1">#REF!</definedName>
    <definedName name="BExB9G6LZG5OQUY0GZLHX066V3D4" localSheetId="14" hidden="1">#REF!</definedName>
    <definedName name="BExB9G6LZG5OQUY0GZLHX066V3D4" localSheetId="15" hidden="1">#REF!</definedName>
    <definedName name="BExB9G6LZG5OQUY0GZLHX066V3D4" localSheetId="5" hidden="1">#REF!</definedName>
    <definedName name="BExB9IFG9FW3RQUDIMDFKIYDB4HE" localSheetId="14" hidden="1">#REF!</definedName>
    <definedName name="BExB9IFG9FW3RQUDIMDFKIYDB4HE" localSheetId="15" hidden="1">#REF!</definedName>
    <definedName name="BExB9IFG9FW3RQUDIMDFKIYDB4HE" localSheetId="5" hidden="1">#REF!</definedName>
    <definedName name="BExB9NDIZ7LGMTL8351GRA6VK2K0" localSheetId="14" hidden="1">#REF!</definedName>
    <definedName name="BExB9NDIZ7LGMTL8351GRA6VK2K0" localSheetId="15" hidden="1">#REF!</definedName>
    <definedName name="BExB9NDIZ7LGMTL8351GRA6VK2K0" localSheetId="5" hidden="1">#REF!</definedName>
    <definedName name="BExB9Q2MZZHBGW8QQKVEYIMJBPIE" localSheetId="14" hidden="1">#REF!</definedName>
    <definedName name="BExB9Q2MZZHBGW8QQKVEYIMJBPIE" localSheetId="15" hidden="1">#REF!</definedName>
    <definedName name="BExB9Q2MZZHBGW8QQKVEYIMJBPIE" localSheetId="5" hidden="1">#REF!</definedName>
    <definedName name="BExBA1GON0EZRJ20UYPILAPLNQWM" localSheetId="14" hidden="1">#REF!</definedName>
    <definedName name="BExBA1GON0EZRJ20UYPILAPLNQWM" localSheetId="15" hidden="1">#REF!</definedName>
    <definedName name="BExBA1GON0EZRJ20UYPILAPLNQWM" localSheetId="5" hidden="1">#REF!</definedName>
    <definedName name="BExBA525BALJ5HMTDMMSM5WWJ1YW" localSheetId="14" hidden="1">#REF!</definedName>
    <definedName name="BExBA525BALJ5HMTDMMSM5WWJ1YW" localSheetId="15" hidden="1">#REF!</definedName>
    <definedName name="BExBA525BALJ5HMTDMMSM5WWJ1YW" localSheetId="5" hidden="1">#REF!</definedName>
    <definedName name="BExBA69ASGYRZW1G1DYIS9QRRTBN" localSheetId="14" hidden="1">#REF!</definedName>
    <definedName name="BExBA69ASGYRZW1G1DYIS9QRRTBN" localSheetId="15" hidden="1">#REF!</definedName>
    <definedName name="BExBA69ASGYRZW1G1DYIS9QRRTBN" localSheetId="5" hidden="1">#REF!</definedName>
    <definedName name="BExBA6K42582A14WFFWQ3Q8QQWB6" localSheetId="14" hidden="1">#REF!</definedName>
    <definedName name="BExBA6K42582A14WFFWQ3Q8QQWB6" localSheetId="15" hidden="1">#REF!</definedName>
    <definedName name="BExBA6K42582A14WFFWQ3Q8QQWB6" localSheetId="5" hidden="1">#REF!</definedName>
    <definedName name="BExBA8I5D4R8R2PYQ1K16TWGTOEP" localSheetId="14" hidden="1">#REF!</definedName>
    <definedName name="BExBA8I5D4R8R2PYQ1K16TWGTOEP" localSheetId="15" hidden="1">#REF!</definedName>
    <definedName name="BExBA8I5D4R8R2PYQ1K16TWGTOEP" localSheetId="5" hidden="1">#REF!</definedName>
    <definedName name="BExBA93PE0DGUUTA7LLSIGBIXWE5" localSheetId="14" hidden="1">#REF!</definedName>
    <definedName name="BExBA93PE0DGUUTA7LLSIGBIXWE5" localSheetId="15" hidden="1">#REF!</definedName>
    <definedName name="BExBA93PE0DGUUTA7LLSIGBIXWE5" localSheetId="5" hidden="1">#REF!</definedName>
    <definedName name="BExBABCQMR685CQ1SC8CECO7GTGB" localSheetId="14" hidden="1">#REF!</definedName>
    <definedName name="BExBABCQMR685CQ1SC8CECO7GTGB" localSheetId="15" hidden="1">#REF!</definedName>
    <definedName name="BExBABCQMR685CQ1SC8CECO7GTGB" localSheetId="5" hidden="1">#REF!</definedName>
    <definedName name="BExBAI8X0FKDQJ6YZJQDTTG4ZCWY" localSheetId="14" hidden="1">#REF!</definedName>
    <definedName name="BExBAI8X0FKDQJ6YZJQDTTG4ZCWY" localSheetId="15" hidden="1">#REF!</definedName>
    <definedName name="BExBAI8X0FKDQJ6YZJQDTTG4ZCWY" localSheetId="5" hidden="1">#REF!</definedName>
    <definedName name="BExBAKN7XIBAXCF9PCNVS038PCQO" localSheetId="14" hidden="1">#REF!</definedName>
    <definedName name="BExBAKN7XIBAXCF9PCNVS038PCQO" localSheetId="15" hidden="1">#REF!</definedName>
    <definedName name="BExBAKN7XIBAXCF9PCNVS038PCQO" localSheetId="5" hidden="1">#REF!</definedName>
    <definedName name="BExBAKXZ7PBW3DDKKA5MWC1ZUC7O" localSheetId="14" hidden="1">#REF!</definedName>
    <definedName name="BExBAKXZ7PBW3DDKKA5MWC1ZUC7O" localSheetId="15" hidden="1">#REF!</definedName>
    <definedName name="BExBAKXZ7PBW3DDKKA5MWC1ZUC7O" localSheetId="5" hidden="1">#REF!</definedName>
    <definedName name="BExBAO8NLXZXHO6KCIECSFCH3RR0" localSheetId="14" hidden="1">#REF!</definedName>
    <definedName name="BExBAO8NLXZXHO6KCIECSFCH3RR0" localSheetId="15" hidden="1">#REF!</definedName>
    <definedName name="BExBAO8NLXZXHO6KCIECSFCH3RR0" localSheetId="5" hidden="1">#REF!</definedName>
    <definedName name="BExBAOOT1KBSIEISN1ADL4RMY879" localSheetId="14" hidden="1">#REF!</definedName>
    <definedName name="BExBAOOT1KBSIEISN1ADL4RMY879" localSheetId="15" hidden="1">#REF!</definedName>
    <definedName name="BExBAOOT1KBSIEISN1ADL4RMY879" localSheetId="5" hidden="1">#REF!</definedName>
    <definedName name="BExBAVKX8Q09370X1GCZWJ4E91YJ" localSheetId="14" hidden="1">#REF!</definedName>
    <definedName name="BExBAVKX8Q09370X1GCZWJ4E91YJ" localSheetId="15" hidden="1">#REF!</definedName>
    <definedName name="BExBAVKX8Q09370X1GCZWJ4E91YJ" localSheetId="5" hidden="1">#REF!</definedName>
    <definedName name="BExBAX2X2ENJYO4QTR5VAIQ86L7B" localSheetId="14" hidden="1">#REF!</definedName>
    <definedName name="BExBAX2X2ENJYO4QTR5VAIQ86L7B" localSheetId="15" hidden="1">#REF!</definedName>
    <definedName name="BExBAX2X2ENJYO4QTR5VAIQ86L7B" localSheetId="5" hidden="1">#REF!</definedName>
    <definedName name="BExBAZ13D3F1DVJQ6YJ8JGUYEYJE" localSheetId="14" hidden="1">#REF!</definedName>
    <definedName name="BExBAZ13D3F1DVJQ6YJ8JGUYEYJE" localSheetId="15" hidden="1">#REF!</definedName>
    <definedName name="BExBAZ13D3F1DVJQ6YJ8JGUYEYJE" localSheetId="5" hidden="1">#REF!</definedName>
    <definedName name="BExBBMPCB1QOZY8WWEX4J21JDE6U" localSheetId="14" hidden="1">#REF!</definedName>
    <definedName name="BExBBMPCB1QOZY8WWEX4J21JDE6U" localSheetId="15" hidden="1">#REF!</definedName>
    <definedName name="BExBBMPCB1QOZY8WWEX4J21JDE6U" localSheetId="5" hidden="1">#REF!</definedName>
    <definedName name="BExBBU1QQWUE0YFG7O1TN0RFLSSG" localSheetId="14" hidden="1">#REF!</definedName>
    <definedName name="BExBBU1QQWUE0YFG7O1TN0RFLSSG" localSheetId="15" hidden="1">#REF!</definedName>
    <definedName name="BExBBU1QQWUE0YFG7O1TN0RFLSSG" localSheetId="5" hidden="1">#REF!</definedName>
    <definedName name="BExBBUCJQRR74Q7GPWDEZXYK2KJL" localSheetId="14" hidden="1">#REF!</definedName>
    <definedName name="BExBBUCJQRR74Q7GPWDEZXYK2KJL" localSheetId="15" hidden="1">#REF!</definedName>
    <definedName name="BExBBUCJQRR74Q7GPWDEZXYK2KJL" localSheetId="5" hidden="1">#REF!</definedName>
    <definedName name="BExBBV8XVMD9CKZY711T0BN7H3PM" localSheetId="14" hidden="1">#REF!</definedName>
    <definedName name="BExBBV8XVMD9CKZY711T0BN7H3PM" localSheetId="15" hidden="1">#REF!</definedName>
    <definedName name="BExBBV8XVMD9CKZY711T0BN7H3PM" localSheetId="5" hidden="1">#REF!</definedName>
    <definedName name="BExBC78HXWXHO3XAB6E8NVTBGLJS" localSheetId="14" hidden="1">#REF!</definedName>
    <definedName name="BExBC78HXWXHO3XAB6E8NVTBGLJS" localSheetId="15" hidden="1">#REF!</definedName>
    <definedName name="BExBC78HXWXHO3XAB6E8NVTBGLJS" localSheetId="5" hidden="1">#REF!</definedName>
    <definedName name="BExBCFH3SMGZ2IPHFB6BCM9O3W0H" localSheetId="14" hidden="1">#REF!</definedName>
    <definedName name="BExBCFH3SMGZ2IPHFB6BCM9O3W0H" localSheetId="15" hidden="1">#REF!</definedName>
    <definedName name="BExBCFH3SMGZ2IPHFB6BCM9O3W0H" localSheetId="5" hidden="1">#REF!</definedName>
    <definedName name="BExBCK9SCAABKOT9IP6TEPRR7YDT" localSheetId="14" hidden="1">#REF!</definedName>
    <definedName name="BExBCK9SCAABKOT9IP6TEPRR7YDT" localSheetId="15" hidden="1">#REF!</definedName>
    <definedName name="BExBCK9SCAABKOT9IP6TEPRR7YDT" localSheetId="5" hidden="1">#REF!</definedName>
    <definedName name="BExBCKKJTIRKC1RZJRTK65HHLX4W" localSheetId="14" hidden="1">#REF!</definedName>
    <definedName name="BExBCKKJTIRKC1RZJRTK65HHLX4W" localSheetId="15" hidden="1">#REF!</definedName>
    <definedName name="BExBCKKJTIRKC1RZJRTK65HHLX4W" localSheetId="5" hidden="1">#REF!</definedName>
    <definedName name="BExBCLMEPAN3XXX174TU8SS0627Q" localSheetId="14" hidden="1">#REF!</definedName>
    <definedName name="BExBCLMEPAN3XXX174TU8SS0627Q" localSheetId="15" hidden="1">#REF!</definedName>
    <definedName name="BExBCLMEPAN3XXX174TU8SS0627Q" localSheetId="5" hidden="1">#REF!</definedName>
    <definedName name="BExBCRBEYR2KZ8FAQFZ2NHY13WIY" localSheetId="14" hidden="1">#REF!</definedName>
    <definedName name="BExBCRBEYR2KZ8FAQFZ2NHY13WIY" localSheetId="15" hidden="1">#REF!</definedName>
    <definedName name="BExBCRBEYR2KZ8FAQFZ2NHY13WIY" localSheetId="5" hidden="1">#REF!</definedName>
    <definedName name="BExBD4I559NXSV6J07Q343TKYMVJ" localSheetId="14" hidden="1">#REF!</definedName>
    <definedName name="BExBD4I559NXSV6J07Q343TKYMVJ" localSheetId="15" hidden="1">#REF!</definedName>
    <definedName name="BExBD4I559NXSV6J07Q343TKYMVJ" localSheetId="5" hidden="1">#REF!</definedName>
    <definedName name="BExBD9W8C0W9N6L1AFL18JP4H94W" localSheetId="14" hidden="1">#REF!</definedName>
    <definedName name="BExBD9W8C0W9N6L1AFL18JP4H94W" localSheetId="15" hidden="1">#REF!</definedName>
    <definedName name="BExBD9W8C0W9N6L1AFL18JP4H94W" localSheetId="5" hidden="1">#REF!</definedName>
    <definedName name="BExBDBZQLTX3OGFYGULQFK5WEZU5" localSheetId="14" hidden="1">#REF!</definedName>
    <definedName name="BExBDBZQLTX3OGFYGULQFK5WEZU5" localSheetId="15" hidden="1">#REF!</definedName>
    <definedName name="BExBDBZQLTX3OGFYGULQFK5WEZU5" localSheetId="5" hidden="1">#REF!</definedName>
    <definedName name="BExBDJS9TUEU8Z84IV59E5V4T8K6" localSheetId="14" hidden="1">#REF!</definedName>
    <definedName name="BExBDJS9TUEU8Z84IV59E5V4T8K6" localSheetId="15" hidden="1">#REF!</definedName>
    <definedName name="BExBDJS9TUEU8Z84IV59E5V4T8K6" localSheetId="5" hidden="1">#REF!</definedName>
    <definedName name="BExBDKOMSVH4XMH52CFJ3F028I9R" localSheetId="14" hidden="1">#REF!</definedName>
    <definedName name="BExBDKOMSVH4XMH52CFJ3F028I9R" localSheetId="15" hidden="1">#REF!</definedName>
    <definedName name="BExBDKOMSVH4XMH52CFJ3F028I9R" localSheetId="5" hidden="1">#REF!</definedName>
    <definedName name="BExBDSRXVZQ0W5WXQMP5XD00GRRL" localSheetId="14" hidden="1">#REF!</definedName>
    <definedName name="BExBDSRXVZQ0W5WXQMP5XD00GRRL" localSheetId="15" hidden="1">#REF!</definedName>
    <definedName name="BExBDSRXVZQ0W5WXQMP5XD00GRRL" localSheetId="5" hidden="1">#REF!</definedName>
    <definedName name="BExBDTJ0J7XEHB9OATXFF5I8FZBJ" localSheetId="14" hidden="1">#REF!</definedName>
    <definedName name="BExBDTJ0J7XEHB9OATXFF5I8FZBJ" localSheetId="15" hidden="1">#REF!</definedName>
    <definedName name="BExBDTJ0J7XEHB9OATXFF5I8FZBJ" localSheetId="5" hidden="1">#REF!</definedName>
    <definedName name="BExBDUVGK3E1J4JY9ZYTS7V14BLY" localSheetId="14" hidden="1">#REF!</definedName>
    <definedName name="BExBDUVGK3E1J4JY9ZYTS7V14BLY" localSheetId="15" hidden="1">#REF!</definedName>
    <definedName name="BExBDUVGK3E1J4JY9ZYTS7V14BLY" localSheetId="5" hidden="1">#REF!</definedName>
    <definedName name="BExBE0KGY14GSWOGPU4HSJRLD2UD" localSheetId="14" hidden="1">#REF!</definedName>
    <definedName name="BExBE0KGY14GSWOGPU4HSJRLD2UD" localSheetId="15" hidden="1">#REF!</definedName>
    <definedName name="BExBE0KGY14GSWOGPU4HSJRLD2UD" localSheetId="5" hidden="1">#REF!</definedName>
    <definedName name="BExBE162OSBKD30I7T1DKKPT3I9I" localSheetId="14" hidden="1">#REF!</definedName>
    <definedName name="BExBE162OSBKD30I7T1DKKPT3I9I" localSheetId="15" hidden="1">#REF!</definedName>
    <definedName name="BExBE162OSBKD30I7T1DKKPT3I9I" localSheetId="5" hidden="1">#REF!</definedName>
    <definedName name="BExBEC9ATLQZF86W1M3APSM4HEOH" localSheetId="14" hidden="1">#REF!</definedName>
    <definedName name="BExBEC9ATLQZF86W1M3APSM4HEOH" localSheetId="15" hidden="1">#REF!</definedName>
    <definedName name="BExBEC9ATLQZF86W1M3APSM4HEOH" localSheetId="5" hidden="1">#REF!</definedName>
    <definedName name="BExBEXU4CFCM1P5CTZ4NE14PBGDA" localSheetId="14" hidden="1">#REF!</definedName>
    <definedName name="BExBEXU4CFCM1P5CTZ4NE14PBGDA" localSheetId="15" hidden="1">#REF!</definedName>
    <definedName name="BExBEXU4CFCM1P5CTZ4NE14PBGDA" localSheetId="5" hidden="1">#REF!</definedName>
    <definedName name="BExBEYFQJE9YK12A6JBMRFKEC7RN" localSheetId="14" hidden="1">#REF!</definedName>
    <definedName name="BExBEYFQJE9YK12A6JBMRFKEC7RN" localSheetId="15" hidden="1">#REF!</definedName>
    <definedName name="BExBEYFQJE9YK12A6JBMRFKEC7RN" localSheetId="5" hidden="1">#REF!</definedName>
    <definedName name="BExBG1ED81J2O4A2S5F5Y3BPHMCR" localSheetId="14" hidden="1">#REF!</definedName>
    <definedName name="BExBG1ED81J2O4A2S5F5Y3BPHMCR" localSheetId="15" hidden="1">#REF!</definedName>
    <definedName name="BExBG1ED81J2O4A2S5F5Y3BPHMCR" localSheetId="5" hidden="1">#REF!</definedName>
    <definedName name="BExCRK0K58VDM9V35DGI6VK8C92V" localSheetId="14" hidden="1">#REF!</definedName>
    <definedName name="BExCRK0K58VDM9V35DGI6VK8C92V" localSheetId="15" hidden="1">#REF!</definedName>
    <definedName name="BExCRK0K58VDM9V35DGI6VK8C92V" localSheetId="5" hidden="1">#REF!</definedName>
    <definedName name="BExCRLIHS7466WFJ3RPIUGGXYESZ" localSheetId="14" hidden="1">#REF!</definedName>
    <definedName name="BExCRLIHS7466WFJ3RPIUGGXYESZ" localSheetId="15" hidden="1">#REF!</definedName>
    <definedName name="BExCRLIHS7466WFJ3RPIUGGXYESZ" localSheetId="5" hidden="1">#REF!</definedName>
    <definedName name="BExCRXSXMF4LHAQZHN64FXJPMVZ7" localSheetId="14" hidden="1">#REF!</definedName>
    <definedName name="BExCRXSXMF4LHAQZHN64FXJPMVZ7" localSheetId="15" hidden="1">#REF!</definedName>
    <definedName name="BExCRXSXMF4LHAQZHN64FXJPMVZ7" localSheetId="5" hidden="1">#REF!</definedName>
    <definedName name="BExCS1EDDUEAEWHVYXHIP9I1WCJH" localSheetId="14" hidden="1">#REF!</definedName>
    <definedName name="BExCS1EDDUEAEWHVYXHIP9I1WCJH" localSheetId="15" hidden="1">#REF!</definedName>
    <definedName name="BExCS1EDDUEAEWHVYXHIP9I1WCJH" localSheetId="5" hidden="1">#REF!</definedName>
    <definedName name="BExCS1P5QG0X3OTHKX07RALOE5T5" localSheetId="14" hidden="1">#REF!</definedName>
    <definedName name="BExCS1P5QG0X3OTHKX07RALOE5T5" localSheetId="15" hidden="1">#REF!</definedName>
    <definedName name="BExCS1P5QG0X3OTHKX07RALOE5T5" localSheetId="5" hidden="1">#REF!</definedName>
    <definedName name="BExCS7ZPMHFJ4UJDAL8CQOLSZ13B" localSheetId="14" hidden="1">#REF!</definedName>
    <definedName name="BExCS7ZPMHFJ4UJDAL8CQOLSZ13B" localSheetId="15" hidden="1">#REF!</definedName>
    <definedName name="BExCS7ZPMHFJ4UJDAL8CQOLSZ13B" localSheetId="5" hidden="1">#REF!</definedName>
    <definedName name="BExCS8W4NJUZH9S1CYB6XSDLEPBW" localSheetId="14" hidden="1">#REF!</definedName>
    <definedName name="BExCS8W4NJUZH9S1CYB6XSDLEPBW" localSheetId="15" hidden="1">#REF!</definedName>
    <definedName name="BExCS8W4NJUZH9S1CYB6XSDLEPBW" localSheetId="5" hidden="1">#REF!</definedName>
    <definedName name="BExCSAE1M6G20R41J0Y24YNN0YC1" localSheetId="14" hidden="1">#REF!</definedName>
    <definedName name="BExCSAE1M6G20R41J0Y24YNN0YC1" localSheetId="15" hidden="1">#REF!</definedName>
    <definedName name="BExCSAE1M6G20R41J0Y24YNN0YC1" localSheetId="5" hidden="1">#REF!</definedName>
    <definedName name="BExCSAOUZOYKHN7HV511TO8VDJ02" localSheetId="14" hidden="1">#REF!</definedName>
    <definedName name="BExCSAOUZOYKHN7HV511TO8VDJ02" localSheetId="15" hidden="1">#REF!</definedName>
    <definedName name="BExCSAOUZOYKHN7HV511TO8VDJ02" localSheetId="5" hidden="1">#REF!</definedName>
    <definedName name="BExCSJ2XVKHN6ULCF7JML0TCRKEO" localSheetId="14" hidden="1">#REF!</definedName>
    <definedName name="BExCSJ2XVKHN6ULCF7JML0TCRKEO" localSheetId="15" hidden="1">#REF!</definedName>
    <definedName name="BExCSJ2XVKHN6ULCF7JML0TCRKEO" localSheetId="5" hidden="1">#REF!</definedName>
    <definedName name="BExCSMOFTXSUEC1T46LR1UPYRCX5" localSheetId="14" hidden="1">#REF!</definedName>
    <definedName name="BExCSMOFTXSUEC1T46LR1UPYRCX5" localSheetId="15" hidden="1">#REF!</definedName>
    <definedName name="BExCSMOFTXSUEC1T46LR1UPYRCX5" localSheetId="5" hidden="1">#REF!</definedName>
    <definedName name="BExCSSDG3TM6TPKS19E9QYJEELZ6" localSheetId="14" hidden="1">#REF!</definedName>
    <definedName name="BExCSSDG3TM6TPKS19E9QYJEELZ6" localSheetId="15" hidden="1">#REF!</definedName>
    <definedName name="BExCSSDG3TM6TPKS19E9QYJEELZ6" localSheetId="5" hidden="1">#REF!</definedName>
    <definedName name="BExCSZV7U67UWXL2HKJNM5W1E4OO" localSheetId="14" hidden="1">#REF!</definedName>
    <definedName name="BExCSZV7U67UWXL2HKJNM5W1E4OO" localSheetId="15" hidden="1">#REF!</definedName>
    <definedName name="BExCSZV7U67UWXL2HKJNM5W1E4OO" localSheetId="5" hidden="1">#REF!</definedName>
    <definedName name="BExCT4NSDT61OCH04Y2QIFIOP75H" localSheetId="14" hidden="1">#REF!</definedName>
    <definedName name="BExCT4NSDT61OCH04Y2QIFIOP75H" localSheetId="15" hidden="1">#REF!</definedName>
    <definedName name="BExCT4NSDT61OCH04Y2QIFIOP75H" localSheetId="5" hidden="1">#REF!</definedName>
    <definedName name="BExCTHZWIPJVLE56GATEFKPIKLK2" localSheetId="14" hidden="1">#REF!</definedName>
    <definedName name="BExCTHZWIPJVLE56GATEFKPIKLK2" localSheetId="15" hidden="1">#REF!</definedName>
    <definedName name="BExCTHZWIPJVLE56GATEFKPIKLK2" localSheetId="5" hidden="1">#REF!</definedName>
    <definedName name="BExCTW8G3VCZ55S09HTUGXKB1P2M" localSheetId="14" hidden="1">#REF!</definedName>
    <definedName name="BExCTW8G3VCZ55S09HTUGXKB1P2M" localSheetId="15" hidden="1">#REF!</definedName>
    <definedName name="BExCTW8G3VCZ55S09HTUGXKB1P2M" localSheetId="5" hidden="1">#REF!</definedName>
    <definedName name="BExCTYS2KX0QANOLT8LGZ9WV3S3T" localSheetId="14" hidden="1">#REF!</definedName>
    <definedName name="BExCTYS2KX0QANOLT8LGZ9WV3S3T" localSheetId="15" hidden="1">#REF!</definedName>
    <definedName name="BExCTYS2KX0QANOLT8LGZ9WV3S3T" localSheetId="5" hidden="1">#REF!</definedName>
    <definedName name="BExCTZ2V6H9TT6LFGK3SADZ2TIGQ" localSheetId="14" hidden="1">#REF!</definedName>
    <definedName name="BExCTZ2V6H9TT6LFGK3SADZ2TIGQ" localSheetId="15" hidden="1">#REF!</definedName>
    <definedName name="BExCTZ2V6H9TT6LFGK3SADZ2TIGQ" localSheetId="5" hidden="1">#REF!</definedName>
    <definedName name="BExCTZZ9JNES4EDHW97NP0EGQALX" localSheetId="14" hidden="1">#REF!</definedName>
    <definedName name="BExCTZZ9JNES4EDHW97NP0EGQALX" localSheetId="15" hidden="1">#REF!</definedName>
    <definedName name="BExCTZZ9JNES4EDHW97NP0EGQALX" localSheetId="5" hidden="1">#REF!</definedName>
    <definedName name="BExCU0A1V6NMZQ9ASYJ8QIVQ5UR2" localSheetId="14" hidden="1">#REF!</definedName>
    <definedName name="BExCU0A1V6NMZQ9ASYJ8QIVQ5UR2" localSheetId="15" hidden="1">#REF!</definedName>
    <definedName name="BExCU0A1V6NMZQ9ASYJ8QIVQ5UR2" localSheetId="5" hidden="1">#REF!</definedName>
    <definedName name="BExCU2834920JBHSPCRC4UF80OLL" localSheetId="14" hidden="1">#REF!</definedName>
    <definedName name="BExCU2834920JBHSPCRC4UF80OLL" localSheetId="15" hidden="1">#REF!</definedName>
    <definedName name="BExCU2834920JBHSPCRC4UF80OLL" localSheetId="5" hidden="1">#REF!</definedName>
    <definedName name="BExCU8O54I3P3WRYWY1CRP3S78QY" localSheetId="14" hidden="1">#REF!</definedName>
    <definedName name="BExCU8O54I3P3WRYWY1CRP3S78QY" localSheetId="15" hidden="1">#REF!</definedName>
    <definedName name="BExCU8O54I3P3WRYWY1CRP3S78QY" localSheetId="5" hidden="1">#REF!</definedName>
    <definedName name="BExCUDRJO23YOKT8GPWOVQ4XEHF5" localSheetId="14" hidden="1">#REF!</definedName>
    <definedName name="BExCUDRJO23YOKT8GPWOVQ4XEHF5" localSheetId="15" hidden="1">#REF!</definedName>
    <definedName name="BExCUDRJO23YOKT8GPWOVQ4XEHF5" localSheetId="5" hidden="1">#REF!</definedName>
    <definedName name="BExCULEOALM7SEHVMQC4B4N25MRM" localSheetId="14" hidden="1">#REF!</definedName>
    <definedName name="BExCULEOALM7SEHVMQC4B4N25MRM" localSheetId="15" hidden="1">#REF!</definedName>
    <definedName name="BExCULEOALM7SEHVMQC4B4N25MRM" localSheetId="5" hidden="1">#REF!</definedName>
    <definedName name="BExCUPAXFR16YMWL30ME3F3BSRDZ" localSheetId="14" hidden="1">#REF!</definedName>
    <definedName name="BExCUPAXFR16YMWL30ME3F3BSRDZ" localSheetId="15" hidden="1">#REF!</definedName>
    <definedName name="BExCUPAXFR16YMWL30ME3F3BSRDZ" localSheetId="5" hidden="1">#REF!</definedName>
    <definedName name="BExCUR94DHCE47PUUWEMT5QZOYR2" localSheetId="14" hidden="1">#REF!</definedName>
    <definedName name="BExCUR94DHCE47PUUWEMT5QZOYR2" localSheetId="15" hidden="1">#REF!</definedName>
    <definedName name="BExCUR94DHCE47PUUWEMT5QZOYR2" localSheetId="5" hidden="1">#REF!</definedName>
    <definedName name="BExCV5HJSTBNPQZVGYJY9AZ4IJ26" localSheetId="14" hidden="1">#REF!</definedName>
    <definedName name="BExCV5HJSTBNPQZVGYJY9AZ4IJ26" localSheetId="15" hidden="1">#REF!</definedName>
    <definedName name="BExCV5HJSTBNPQZVGYJY9AZ4IJ26" localSheetId="5" hidden="1">#REF!</definedName>
    <definedName name="BExCV634L7SVHGB0UDDTRRQ2Q72H" localSheetId="14" hidden="1">#REF!</definedName>
    <definedName name="BExCV634L7SVHGB0UDDTRRQ2Q72H" localSheetId="15" hidden="1">#REF!</definedName>
    <definedName name="BExCV634L7SVHGB0UDDTRRQ2Q72H" localSheetId="5" hidden="1">#REF!</definedName>
    <definedName name="BExCVBXGSXT9FWJRG62PX9S1RK83" localSheetId="14" hidden="1">#REF!</definedName>
    <definedName name="BExCVBXGSXT9FWJRG62PX9S1RK83" localSheetId="15" hidden="1">#REF!</definedName>
    <definedName name="BExCVBXGSXT9FWJRG62PX9S1RK83" localSheetId="5" hidden="1">#REF!</definedName>
    <definedName name="BExCVHBNLOHNFS0JAV3I1XGPNH9W" localSheetId="14" hidden="1">#REF!</definedName>
    <definedName name="BExCVHBNLOHNFS0JAV3I1XGPNH9W" localSheetId="15" hidden="1">#REF!</definedName>
    <definedName name="BExCVHBNLOHNFS0JAV3I1XGPNH9W" localSheetId="5" hidden="1">#REF!</definedName>
    <definedName name="BExCVI86R31A2IOZIEBY1FJLVILD" localSheetId="14" hidden="1">#REF!</definedName>
    <definedName name="BExCVI86R31A2IOZIEBY1FJLVILD" localSheetId="15" hidden="1">#REF!</definedName>
    <definedName name="BExCVI86R31A2IOZIEBY1FJLVILD" localSheetId="5" hidden="1">#REF!</definedName>
    <definedName name="BExCVKGZXE0I9EIXKBZVSGSEY2RR" localSheetId="14" hidden="1">#REF!</definedName>
    <definedName name="BExCVKGZXE0I9EIXKBZVSGSEY2RR" localSheetId="15" hidden="1">#REF!</definedName>
    <definedName name="BExCVKGZXE0I9EIXKBZVSGSEY2RR" localSheetId="5" hidden="1">#REF!</definedName>
    <definedName name="BExCVNROVORCSNX9HKHKPHY0URS3" localSheetId="14" hidden="1">#REF!</definedName>
    <definedName name="BExCVNROVORCSNX9HKHKPHY0URS3" localSheetId="15" hidden="1">#REF!</definedName>
    <definedName name="BExCVNROVORCSNX9HKHKPHY0URS3" localSheetId="5" hidden="1">#REF!</definedName>
    <definedName name="BExCVPEZON7VV6NOWII8VZMONPCJ" localSheetId="14" hidden="1">#REF!</definedName>
    <definedName name="BExCVPEZON7VV6NOWII8VZMONPCJ" localSheetId="15" hidden="1">#REF!</definedName>
    <definedName name="BExCVPEZON7VV6NOWII8VZMONPCJ" localSheetId="5" hidden="1">#REF!</definedName>
    <definedName name="BExCVV44WY5807WGMTGKPW0GT256" localSheetId="14" hidden="1">#REF!</definedName>
    <definedName name="BExCVV44WY5807WGMTGKPW0GT256" localSheetId="15" hidden="1">#REF!</definedName>
    <definedName name="BExCVV44WY5807WGMTGKPW0GT256" localSheetId="5" hidden="1">#REF!</definedName>
    <definedName name="BExCVZ5PN4V6MRBZ04PZJW3GEF8S" localSheetId="14" hidden="1">#REF!</definedName>
    <definedName name="BExCVZ5PN4V6MRBZ04PZJW3GEF8S" localSheetId="15" hidden="1">#REF!</definedName>
    <definedName name="BExCVZ5PN4V6MRBZ04PZJW3GEF8S" localSheetId="5" hidden="1">#REF!</definedName>
    <definedName name="BExCW13R0GWJYGXZBNCPAHQN4NR2" localSheetId="14" hidden="1">#REF!</definedName>
    <definedName name="BExCW13R0GWJYGXZBNCPAHQN4NR2" localSheetId="15" hidden="1">#REF!</definedName>
    <definedName name="BExCW13R0GWJYGXZBNCPAHQN4NR2" localSheetId="5" hidden="1">#REF!</definedName>
    <definedName name="BExCW9Y5HWU4RJTNX74O6L24VGCK" localSheetId="14" hidden="1">#REF!</definedName>
    <definedName name="BExCW9Y5HWU4RJTNX74O6L24VGCK" localSheetId="15" hidden="1">#REF!</definedName>
    <definedName name="BExCW9Y5HWU4RJTNX74O6L24VGCK" localSheetId="5" hidden="1">#REF!</definedName>
    <definedName name="BExCWHADQJRXWFDGV2KMANWIY1YN" localSheetId="14" hidden="1">#REF!</definedName>
    <definedName name="BExCWHADQJRXWFDGV2KMANWIY1YN" localSheetId="15" hidden="1">#REF!</definedName>
    <definedName name="BExCWHADQJRXWFDGV2KMANWIY1YN" localSheetId="5" hidden="1">#REF!</definedName>
    <definedName name="BExCWPDPESGZS07QGBLSBWDNVJLZ" localSheetId="14" hidden="1">#REF!</definedName>
    <definedName name="BExCWPDPESGZS07QGBLSBWDNVJLZ" localSheetId="15" hidden="1">#REF!</definedName>
    <definedName name="BExCWPDPESGZS07QGBLSBWDNVJLZ" localSheetId="5" hidden="1">#REF!</definedName>
    <definedName name="BExCWTVKHIVCRHF8GC39KI58YM5K" localSheetId="14" hidden="1">#REF!</definedName>
    <definedName name="BExCWTVKHIVCRHF8GC39KI58YM5K" localSheetId="15" hidden="1">#REF!</definedName>
    <definedName name="BExCWTVKHIVCRHF8GC39KI58YM5K" localSheetId="5" hidden="1">#REF!</definedName>
    <definedName name="BExCX2KGRZBRVLZNM8SUSIE6A0RL" localSheetId="14" hidden="1">#REF!</definedName>
    <definedName name="BExCX2KGRZBRVLZNM8SUSIE6A0RL" localSheetId="15" hidden="1">#REF!</definedName>
    <definedName name="BExCX2KGRZBRVLZNM8SUSIE6A0RL" localSheetId="5" hidden="1">#REF!</definedName>
    <definedName name="BExCX3X451T70LZ1VF95L7W4Y4TM" localSheetId="14" hidden="1">#REF!</definedName>
    <definedName name="BExCX3X451T70LZ1VF95L7W4Y4TM" localSheetId="15" hidden="1">#REF!</definedName>
    <definedName name="BExCX3X451T70LZ1VF95L7W4Y4TM" localSheetId="5" hidden="1">#REF!</definedName>
    <definedName name="BExCX4NZ2N1OUGXM7EV0U7VULJMM" localSheetId="14" hidden="1">#REF!</definedName>
    <definedName name="BExCX4NZ2N1OUGXM7EV0U7VULJMM" localSheetId="15" hidden="1">#REF!</definedName>
    <definedName name="BExCX4NZ2N1OUGXM7EV0U7VULJMM" localSheetId="5" hidden="1">#REF!</definedName>
    <definedName name="BExCXILMURGYMAH6N5LF5DV6K3GM" localSheetId="14" hidden="1">#REF!</definedName>
    <definedName name="BExCXILMURGYMAH6N5LF5DV6K3GM" localSheetId="15" hidden="1">#REF!</definedName>
    <definedName name="BExCXILMURGYMAH6N5LF5DV6K3GM" localSheetId="5" hidden="1">#REF!</definedName>
    <definedName name="BExCXQUFBMXQ1650735H48B1AZT3" localSheetId="14" hidden="1">#REF!</definedName>
    <definedName name="BExCXQUFBMXQ1650735H48B1AZT3" localSheetId="15" hidden="1">#REF!</definedName>
    <definedName name="BExCXQUFBMXQ1650735H48B1AZT3" localSheetId="5" hidden="1">#REF!</definedName>
    <definedName name="BExCXYSBKJ9SZQD7XS2WUS6SVBJO" localSheetId="14" hidden="1">#REF!</definedName>
    <definedName name="BExCXYSBKJ9SZQD7XS2WUS6SVBJO" localSheetId="15" hidden="1">#REF!</definedName>
    <definedName name="BExCXYSBKJ9SZQD7XS2WUS6SVBJO" localSheetId="5" hidden="1">#REF!</definedName>
    <definedName name="BExCXZ8DGK5ZE8467LFEHX6JNQHJ" localSheetId="14" hidden="1">#REF!</definedName>
    <definedName name="BExCXZ8DGK5ZE8467LFEHX6JNQHJ" localSheetId="15" hidden="1">#REF!</definedName>
    <definedName name="BExCXZ8DGK5ZE8467LFEHX6JNQHJ" localSheetId="5" hidden="1">#REF!</definedName>
    <definedName name="BExCY2DQO9VLA77Q7EG3T0XNXX4F" localSheetId="14" hidden="1">#REF!</definedName>
    <definedName name="BExCY2DQO9VLA77Q7EG3T0XNXX4F" localSheetId="15" hidden="1">#REF!</definedName>
    <definedName name="BExCY2DQO9VLA77Q7EG3T0XNXX4F" localSheetId="5" hidden="1">#REF!</definedName>
    <definedName name="BExCY5Z7X93Z8XUOEASK50W08S36" localSheetId="14" hidden="1">#REF!</definedName>
    <definedName name="BExCY5Z7X93Z8XUOEASK50W08S36" localSheetId="15" hidden="1">#REF!</definedName>
    <definedName name="BExCY5Z7X93Z8XUOEASK50W08S36" localSheetId="5" hidden="1">#REF!</definedName>
    <definedName name="BExCY6VMJ68MX3C981R5Q0BX5791" localSheetId="14" hidden="1">#REF!</definedName>
    <definedName name="BExCY6VMJ68MX3C981R5Q0BX5791" localSheetId="15" hidden="1">#REF!</definedName>
    <definedName name="BExCY6VMJ68MX3C981R5Q0BX5791" localSheetId="5" hidden="1">#REF!</definedName>
    <definedName name="BExCYAH2SAZCPW6XCB7V7PMMCAWO" localSheetId="14" hidden="1">#REF!</definedName>
    <definedName name="BExCYAH2SAZCPW6XCB7V7PMMCAWO" localSheetId="15" hidden="1">#REF!</definedName>
    <definedName name="BExCYAH2SAZCPW6XCB7V7PMMCAWO" localSheetId="5" hidden="1">#REF!</definedName>
    <definedName name="BExCYDGYM1UGUNTB331L2E4L5F34" localSheetId="14" hidden="1">#REF!</definedName>
    <definedName name="BExCYDGYM1UGUNTB331L2E4L5F34" localSheetId="15" hidden="1">#REF!</definedName>
    <definedName name="BExCYDGYM1UGUNTB331L2E4L5F34" localSheetId="5" hidden="1">#REF!</definedName>
    <definedName name="BExCYN7KCKU1F6EXMNPQPTKNOT6A" localSheetId="14" hidden="1">#REF!</definedName>
    <definedName name="BExCYN7KCKU1F6EXMNPQPTKNOT6A" localSheetId="15" hidden="1">#REF!</definedName>
    <definedName name="BExCYN7KCKU1F6EXMNPQPTKNOT6A" localSheetId="5" hidden="1">#REF!</definedName>
    <definedName name="BExCYPRC5HJE6N2XQTHCT6NXGP8N" localSheetId="14" hidden="1">#REF!</definedName>
    <definedName name="BExCYPRC5HJE6N2XQTHCT6NXGP8N" localSheetId="15" hidden="1">#REF!</definedName>
    <definedName name="BExCYPRC5HJE6N2XQTHCT6NXGP8N" localSheetId="5" hidden="1">#REF!</definedName>
    <definedName name="BExCYQCX9ES8ZWW2L35B12WDNT73" localSheetId="14" hidden="1">#REF!</definedName>
    <definedName name="BExCYQCX9ES8ZWW2L35B12WDNT73" localSheetId="15" hidden="1">#REF!</definedName>
    <definedName name="BExCYQCX9ES8ZWW2L35B12WDNT73" localSheetId="5" hidden="1">#REF!</definedName>
    <definedName name="BExCYSLQY2CYU7DQ3QI07UGGS6OW" localSheetId="14" hidden="1">#REF!</definedName>
    <definedName name="BExCYSLQY2CYU7DQ3QI07UGGS6OW" localSheetId="15" hidden="1">#REF!</definedName>
    <definedName name="BExCYSLQY2CYU7DQ3QI07UGGS6OW" localSheetId="5" hidden="1">#REF!</definedName>
    <definedName name="BExCYUK0I3UEXZNFDW71G6Z6D8XR" localSheetId="14" hidden="1">#REF!</definedName>
    <definedName name="BExCYUK0I3UEXZNFDW71G6Z6D8XR" localSheetId="15" hidden="1">#REF!</definedName>
    <definedName name="BExCYUK0I3UEXZNFDW71G6Z6D8XR" localSheetId="5" hidden="1">#REF!</definedName>
    <definedName name="BExCZFZCXMLY5DWESYJ9NGTJYQ8M" localSheetId="14" hidden="1">#REF!</definedName>
    <definedName name="BExCZFZCXMLY5DWESYJ9NGTJYQ8M" localSheetId="15" hidden="1">#REF!</definedName>
    <definedName name="BExCZFZCXMLY5DWESYJ9NGTJYQ8M" localSheetId="5" hidden="1">#REF!</definedName>
    <definedName name="BExCZJ4P8WS0BDT31WDXI0ROE7D6" localSheetId="14" hidden="1">#REF!</definedName>
    <definedName name="BExCZJ4P8WS0BDT31WDXI0ROE7D6" localSheetId="15" hidden="1">#REF!</definedName>
    <definedName name="BExCZJ4P8WS0BDT31WDXI0ROE7D6" localSheetId="5" hidden="1">#REF!</definedName>
    <definedName name="BExCZKH6NI0EE02L995IFVBD1J59" localSheetId="14" hidden="1">#REF!</definedName>
    <definedName name="BExCZKH6NI0EE02L995IFVBD1J59" localSheetId="15" hidden="1">#REF!</definedName>
    <definedName name="BExCZKH6NI0EE02L995IFVBD1J59" localSheetId="5" hidden="1">#REF!</definedName>
    <definedName name="BExCZNRWARGGHWLSC1PEDZFLF3JV" localSheetId="14" hidden="1">#REF!</definedName>
    <definedName name="BExCZNRWARGGHWLSC1PEDZFLF3JV" localSheetId="15" hidden="1">#REF!</definedName>
    <definedName name="BExCZNRWARGGHWLSC1PEDZFLF3JV" localSheetId="5" hidden="1">#REF!</definedName>
    <definedName name="BExCZP9TBB61HISZ2U5QMQSO2LBE" localSheetId="14" hidden="1">#REF!</definedName>
    <definedName name="BExCZP9TBB61HISZ2U5QMQSO2LBE" localSheetId="15" hidden="1">#REF!</definedName>
    <definedName name="BExCZP9TBB61HISZ2U5QMQSO2LBE" localSheetId="5" hidden="1">#REF!</definedName>
    <definedName name="BExCZUD9FEOJBKDJ51Z3JON9LKJ8" localSheetId="14" hidden="1">#REF!</definedName>
    <definedName name="BExCZUD9FEOJBKDJ51Z3JON9LKJ8" localSheetId="15" hidden="1">#REF!</definedName>
    <definedName name="BExCZUD9FEOJBKDJ51Z3JON9LKJ8" localSheetId="5" hidden="1">#REF!</definedName>
    <definedName name="BExD0AUOVQT3UL53T2KUVJNGD0QF" localSheetId="14" hidden="1">#REF!</definedName>
    <definedName name="BExD0AUOVQT3UL53T2KUVJNGD0QF" localSheetId="15" hidden="1">#REF!</definedName>
    <definedName name="BExD0AUOVQT3UL53T2KUVJNGD0QF" localSheetId="5" hidden="1">#REF!</definedName>
    <definedName name="BExD0HALIN0JR4JTPGDEVAEE5EX5" localSheetId="14" hidden="1">#REF!</definedName>
    <definedName name="BExD0HALIN0JR4JTPGDEVAEE5EX5" localSheetId="15" hidden="1">#REF!</definedName>
    <definedName name="BExD0HALIN0JR4JTPGDEVAEE5EX5" localSheetId="5" hidden="1">#REF!</definedName>
    <definedName name="BExD0LCCDPG16YLY5WQSZF1XI5DA" localSheetId="14" hidden="1">#REF!</definedName>
    <definedName name="BExD0LCCDPG16YLY5WQSZF1XI5DA" localSheetId="15" hidden="1">#REF!</definedName>
    <definedName name="BExD0LCCDPG16YLY5WQSZF1XI5DA" localSheetId="5" hidden="1">#REF!</definedName>
    <definedName name="BExD0RMWSB4TRECEHTH6NN4K9DFZ" localSheetId="14" hidden="1">#REF!</definedName>
    <definedName name="BExD0RMWSB4TRECEHTH6NN4K9DFZ" localSheetId="15" hidden="1">#REF!</definedName>
    <definedName name="BExD0RMWSB4TRECEHTH6NN4K9DFZ" localSheetId="5" hidden="1">#REF!</definedName>
    <definedName name="BExD0U6KG10QGVDI1XSHK0J10A2V" localSheetId="14" hidden="1">#REF!</definedName>
    <definedName name="BExD0U6KG10QGVDI1XSHK0J10A2V" localSheetId="15" hidden="1">#REF!</definedName>
    <definedName name="BExD0U6KG10QGVDI1XSHK0J10A2V" localSheetId="5" hidden="1">#REF!</definedName>
    <definedName name="BExD0WQ6EQ2G82IAJI3FDQKGZH18" localSheetId="14" hidden="1">#REF!</definedName>
    <definedName name="BExD0WQ6EQ2G82IAJI3FDQKGZH18" localSheetId="15" hidden="1">#REF!</definedName>
    <definedName name="BExD0WQ6EQ2G82IAJI3FDQKGZH18" localSheetId="5" hidden="1">#REF!</definedName>
    <definedName name="BExD13RUIBGRXDL4QDZ305UKUR12" localSheetId="14" hidden="1">#REF!</definedName>
    <definedName name="BExD13RUIBGRXDL4QDZ305UKUR12" localSheetId="15" hidden="1">#REF!</definedName>
    <definedName name="BExD13RUIBGRXDL4QDZ305UKUR12" localSheetId="5" hidden="1">#REF!</definedName>
    <definedName name="BExD14DETV5R4OOTMAXD5NAKWRO3" localSheetId="14" hidden="1">#REF!</definedName>
    <definedName name="BExD14DETV5R4OOTMAXD5NAKWRO3" localSheetId="15" hidden="1">#REF!</definedName>
    <definedName name="BExD14DETV5R4OOTMAXD5NAKWRO3" localSheetId="5" hidden="1">#REF!</definedName>
    <definedName name="BExD1MI40YRCBI7KT4S9YHQJUO06" localSheetId="14" hidden="1">#REF!</definedName>
    <definedName name="BExD1MI40YRCBI7KT4S9YHQJUO06" localSheetId="15" hidden="1">#REF!</definedName>
    <definedName name="BExD1MI40YRCBI7KT4S9YHQJUO06" localSheetId="5" hidden="1">#REF!</definedName>
    <definedName name="BExD1OAU9OXQAZA4D70HP72CU6GB" localSheetId="14" hidden="1">#REF!</definedName>
    <definedName name="BExD1OAU9OXQAZA4D70HP72CU6GB" localSheetId="15" hidden="1">#REF!</definedName>
    <definedName name="BExD1OAU9OXQAZA4D70HP72CU6GB" localSheetId="5" hidden="1">#REF!</definedName>
    <definedName name="BExD1T8WPV0G6YOX7WMAIZD8XNBK" localSheetId="14" hidden="1">#REF!</definedName>
    <definedName name="BExD1T8WPV0G6YOX7WMAIZD8XNBK" localSheetId="15" hidden="1">#REF!</definedName>
    <definedName name="BExD1T8WPV0G6YOX7WMAIZD8XNBK" localSheetId="5" hidden="1">#REF!</definedName>
    <definedName name="BExD1Y1JV61416YA1XRQHKWPZIE7" localSheetId="14" hidden="1">#REF!</definedName>
    <definedName name="BExD1Y1JV61416YA1XRQHKWPZIE7" localSheetId="15" hidden="1">#REF!</definedName>
    <definedName name="BExD1Y1JV61416YA1XRQHKWPZIE7" localSheetId="5" hidden="1">#REF!</definedName>
    <definedName name="BExD2CFHIRMBKN5KXE5QP4XXEWFS" localSheetId="14" hidden="1">#REF!</definedName>
    <definedName name="BExD2CFHIRMBKN5KXE5QP4XXEWFS" localSheetId="15" hidden="1">#REF!</definedName>
    <definedName name="BExD2CFHIRMBKN5KXE5QP4XXEWFS" localSheetId="5" hidden="1">#REF!</definedName>
    <definedName name="BExD2DMHH1HWXQ9W0YYMDP8AAX8Q" localSheetId="14" hidden="1">#REF!</definedName>
    <definedName name="BExD2DMHH1HWXQ9W0YYMDP8AAX8Q" localSheetId="15" hidden="1">#REF!</definedName>
    <definedName name="BExD2DMHH1HWXQ9W0YYMDP8AAX8Q" localSheetId="5" hidden="1">#REF!</definedName>
    <definedName name="BExD2HTPC7IWBAU6OSQ67MQA8BYZ" localSheetId="14" hidden="1">#REF!</definedName>
    <definedName name="BExD2HTPC7IWBAU6OSQ67MQA8BYZ" localSheetId="15" hidden="1">#REF!</definedName>
    <definedName name="BExD2HTPC7IWBAU6OSQ67MQA8BYZ" localSheetId="5" hidden="1">#REF!</definedName>
    <definedName name="BExD2PWTVQ2CXNG6B7UDL8FIMXBH" localSheetId="14" hidden="1">#REF!</definedName>
    <definedName name="BExD2PWTVQ2CXNG6B7UDL8FIMXBH" localSheetId="15" hidden="1">#REF!</definedName>
    <definedName name="BExD2PWTVQ2CXNG6B7UDL8FIMXBH" localSheetId="5" hidden="1">#REF!</definedName>
    <definedName name="BExD2X9AQ03EX1AVVX44CXLXRPTI" localSheetId="14" hidden="1">#REF!</definedName>
    <definedName name="BExD2X9AQ03EX1AVVX44CXLXRPTI" localSheetId="15" hidden="1">#REF!</definedName>
    <definedName name="BExD2X9AQ03EX1AVVX44CXLXRPTI" localSheetId="5" hidden="1">#REF!</definedName>
    <definedName name="BExD2ZNL9MWJOEL2575KJZBDP2A6" localSheetId="14" hidden="1">#REF!</definedName>
    <definedName name="BExD2ZNL9MWJOEL2575KJZBDP2A6" localSheetId="15" hidden="1">#REF!</definedName>
    <definedName name="BExD2ZNL9MWJOEL2575KJZBDP2A6" localSheetId="5" hidden="1">#REF!</definedName>
    <definedName name="BExD34G79JRMB8BZRVN81P1H9MSB" localSheetId="14" hidden="1">#REF!</definedName>
    <definedName name="BExD34G79JRMB8BZRVN81P1H9MSB" localSheetId="15" hidden="1">#REF!</definedName>
    <definedName name="BExD34G79JRMB8BZRVN81P1H9MSB" localSheetId="5" hidden="1">#REF!</definedName>
    <definedName name="BExD35CL2NULPPEHAM954ETQIJA2" localSheetId="14" hidden="1">#REF!</definedName>
    <definedName name="BExD35CL2NULPPEHAM954ETQIJA2" localSheetId="15" hidden="1">#REF!</definedName>
    <definedName name="BExD35CL2NULPPEHAM954ETQIJA2" localSheetId="5" hidden="1">#REF!</definedName>
    <definedName name="BExD363H2VGFIQUCE6LS4AC5J0ZT" localSheetId="14" hidden="1">#REF!</definedName>
    <definedName name="BExD363H2VGFIQUCE6LS4AC5J0ZT" localSheetId="15" hidden="1">#REF!</definedName>
    <definedName name="BExD363H2VGFIQUCE6LS4AC5J0ZT" localSheetId="5" hidden="1">#REF!</definedName>
    <definedName name="BExD3A588E939V61P1XEW0FI5Q0S" localSheetId="14" hidden="1">#REF!</definedName>
    <definedName name="BExD3A588E939V61P1XEW0FI5Q0S" localSheetId="15" hidden="1">#REF!</definedName>
    <definedName name="BExD3A588E939V61P1XEW0FI5Q0S" localSheetId="5" hidden="1">#REF!</definedName>
    <definedName name="BExD3CJJDKVR9M18XI3WDZH80WL6" localSheetId="14" hidden="1">#REF!</definedName>
    <definedName name="BExD3CJJDKVR9M18XI3WDZH80WL6" localSheetId="15" hidden="1">#REF!</definedName>
    <definedName name="BExD3CJJDKVR9M18XI3WDZH80WL6" localSheetId="5" hidden="1">#REF!</definedName>
    <definedName name="BExD3ESD9WYJIB3TRDPJ1CKXRAVL" localSheetId="14" hidden="1">#REF!</definedName>
    <definedName name="BExD3ESD9WYJIB3TRDPJ1CKXRAVL" localSheetId="15" hidden="1">#REF!</definedName>
    <definedName name="BExD3ESD9WYJIB3TRDPJ1CKXRAVL" localSheetId="5" hidden="1">#REF!</definedName>
    <definedName name="BExD3F368X5S25MWSUNIV57RDB57" localSheetId="14" hidden="1">#REF!</definedName>
    <definedName name="BExD3F368X5S25MWSUNIV57RDB57" localSheetId="15" hidden="1">#REF!</definedName>
    <definedName name="BExD3F368X5S25MWSUNIV57RDB57" localSheetId="5" hidden="1">#REF!</definedName>
    <definedName name="BExD3I8JTNF4LTMFY6GRVDJ6VLGG" localSheetId="14" hidden="1">#REF!</definedName>
    <definedName name="BExD3I8JTNF4LTMFY6GRVDJ6VLGG" localSheetId="15" hidden="1">#REF!</definedName>
    <definedName name="BExD3I8JTNF4LTMFY6GRVDJ6VLGG" localSheetId="5" hidden="1">#REF!</definedName>
    <definedName name="BExD3IJ5IT335SOSNV9L85WKAOSI" localSheetId="14" hidden="1">#REF!</definedName>
    <definedName name="BExD3IJ5IT335SOSNV9L85WKAOSI" localSheetId="15" hidden="1">#REF!</definedName>
    <definedName name="BExD3IJ5IT335SOSNV9L85WKAOSI" localSheetId="5" hidden="1">#REF!</definedName>
    <definedName name="BExD3KBVUY57GMMQTOFEU6S6G1AY" localSheetId="14" hidden="1">#REF!</definedName>
    <definedName name="BExD3KBVUY57GMMQTOFEU6S6G1AY" localSheetId="15" hidden="1">#REF!</definedName>
    <definedName name="BExD3KBVUY57GMMQTOFEU6S6G1AY" localSheetId="5" hidden="1">#REF!</definedName>
    <definedName name="BExD3NMR7AW2Z6V8SC79VQR37NA6" localSheetId="14" hidden="1">#REF!</definedName>
    <definedName name="BExD3NMR7AW2Z6V8SC79VQR37NA6" localSheetId="15" hidden="1">#REF!</definedName>
    <definedName name="BExD3NMR7AW2Z6V8SC79VQR37NA6" localSheetId="5" hidden="1">#REF!</definedName>
    <definedName name="BExD3QXA2UQ2W4N7NYLUEOG40BZB" localSheetId="14" hidden="1">#REF!</definedName>
    <definedName name="BExD3QXA2UQ2W4N7NYLUEOG40BZB" localSheetId="15" hidden="1">#REF!</definedName>
    <definedName name="BExD3QXA2UQ2W4N7NYLUEOG40BZB" localSheetId="5" hidden="1">#REF!</definedName>
    <definedName name="BExD3U2N041TEJ7GCN005UTPHNXY" localSheetId="14" hidden="1">#REF!</definedName>
    <definedName name="BExD3U2N041TEJ7GCN005UTPHNXY" localSheetId="15" hidden="1">#REF!</definedName>
    <definedName name="BExD3U2N041TEJ7GCN005UTPHNXY" localSheetId="5" hidden="1">#REF!</definedName>
    <definedName name="BExD3VPY5VEI1LLQ4I16T16251DT" localSheetId="14" hidden="1">#REF!</definedName>
    <definedName name="BExD3VPY5VEI1LLQ4I16T16251DT" localSheetId="15" hidden="1">#REF!</definedName>
    <definedName name="BExD3VPY5VEI1LLQ4I16T16251DT" localSheetId="5" hidden="1">#REF!</definedName>
    <definedName name="BExD3XIUEZZ1KIHV7CPS7DKUGIN8" localSheetId="14" hidden="1">#REF!</definedName>
    <definedName name="BExD3XIUEZZ1KIHV7CPS7DKUGIN8" localSheetId="15" hidden="1">#REF!</definedName>
    <definedName name="BExD3XIUEZZ1KIHV7CPS7DKUGIN8" localSheetId="5" hidden="1">#REF!</definedName>
    <definedName name="BExD40O0CFTNJFOFMMM1KH0P7BUI" localSheetId="14" hidden="1">#REF!</definedName>
    <definedName name="BExD40O0CFTNJFOFMMM1KH0P7BUI" localSheetId="15" hidden="1">#REF!</definedName>
    <definedName name="BExD40O0CFTNJFOFMMM1KH0P7BUI" localSheetId="5" hidden="1">#REF!</definedName>
    <definedName name="BExD47UYINTJY1PDIW2S1FZ8ZMIO" localSheetId="14" hidden="1">#REF!</definedName>
    <definedName name="BExD47UYINTJY1PDIW2S1FZ8ZMIO" localSheetId="15" hidden="1">#REF!</definedName>
    <definedName name="BExD47UYINTJY1PDIW2S1FZ8ZMIO" localSheetId="5" hidden="1">#REF!</definedName>
    <definedName name="BExD4BR9HJ3MWWZ5KLVZWX9FJAUS" localSheetId="14" hidden="1">#REF!</definedName>
    <definedName name="BExD4BR9HJ3MWWZ5KLVZWX9FJAUS" localSheetId="15" hidden="1">#REF!</definedName>
    <definedName name="BExD4BR9HJ3MWWZ5KLVZWX9FJAUS" localSheetId="5" hidden="1">#REF!</definedName>
    <definedName name="BExD4F1WTKT3H0N9MF4H1LX7MBSY" localSheetId="14" hidden="1">#REF!</definedName>
    <definedName name="BExD4F1WTKT3H0N9MF4H1LX7MBSY" localSheetId="15" hidden="1">#REF!</definedName>
    <definedName name="BExD4F1WTKT3H0N9MF4H1LX7MBSY" localSheetId="5" hidden="1">#REF!</definedName>
    <definedName name="BExD4H5GQWXBS6LUL3TSP36DVO38" localSheetId="14" hidden="1">#REF!</definedName>
    <definedName name="BExD4H5GQWXBS6LUL3TSP36DVO38" localSheetId="15" hidden="1">#REF!</definedName>
    <definedName name="BExD4H5GQWXBS6LUL3TSP36DVO38" localSheetId="5" hidden="1">#REF!</definedName>
    <definedName name="BExD4JJSS3QDBLABCJCHD45SRNPI" localSheetId="14" hidden="1">#REF!</definedName>
    <definedName name="BExD4JJSS3QDBLABCJCHD45SRNPI" localSheetId="15" hidden="1">#REF!</definedName>
    <definedName name="BExD4JJSS3QDBLABCJCHD45SRNPI" localSheetId="5" hidden="1">#REF!</definedName>
    <definedName name="BExD4QQQ7V9LH5WWBJA3HKJXLVP6" localSheetId="14" hidden="1">#REF!</definedName>
    <definedName name="BExD4QQQ7V9LH5WWBJA3HKJXLVP6" localSheetId="15" hidden="1">#REF!</definedName>
    <definedName name="BExD4QQQ7V9LH5WWBJA3HKJXLVP6" localSheetId="5" hidden="1">#REF!</definedName>
    <definedName name="BExD4R1I0MKF033I5LPUYIMTZ6E8" localSheetId="14" hidden="1">#REF!</definedName>
    <definedName name="BExD4R1I0MKF033I5LPUYIMTZ6E8" localSheetId="15" hidden="1">#REF!</definedName>
    <definedName name="BExD4R1I0MKF033I5LPUYIMTZ6E8" localSheetId="5" hidden="1">#REF!</definedName>
    <definedName name="BExD50MT3M6XZLNUP9JL93EG6D9R" localSheetId="14" hidden="1">#REF!</definedName>
    <definedName name="BExD50MT3M6XZLNUP9JL93EG6D9R" localSheetId="15" hidden="1">#REF!</definedName>
    <definedName name="BExD50MT3M6XZLNUP9JL93EG6D9R" localSheetId="5" hidden="1">#REF!</definedName>
    <definedName name="BExD5EV7KDSVF1CJT38M4IBPFLPY" localSheetId="14" hidden="1">#REF!</definedName>
    <definedName name="BExD5EV7KDSVF1CJT38M4IBPFLPY" localSheetId="15" hidden="1">#REF!</definedName>
    <definedName name="BExD5EV7KDSVF1CJT38M4IBPFLPY" localSheetId="5" hidden="1">#REF!</definedName>
    <definedName name="BExD5FRK547OESJRYAW574DZEZ7J" localSheetId="14" hidden="1">#REF!</definedName>
    <definedName name="BExD5FRK547OESJRYAW574DZEZ7J" localSheetId="15" hidden="1">#REF!</definedName>
    <definedName name="BExD5FRK547OESJRYAW574DZEZ7J" localSheetId="5" hidden="1">#REF!</definedName>
    <definedName name="BExD5I5X2YA2YNCTCDSMEL4CWF4N" localSheetId="14" hidden="1">#REF!</definedName>
    <definedName name="BExD5I5X2YA2YNCTCDSMEL4CWF4N" localSheetId="15" hidden="1">#REF!</definedName>
    <definedName name="BExD5I5X2YA2YNCTCDSMEL4CWF4N" localSheetId="5" hidden="1">#REF!</definedName>
    <definedName name="BExD5QUSRFJWRQ1ZM50WYLCF74DF" localSheetId="14" hidden="1">#REF!</definedName>
    <definedName name="BExD5QUSRFJWRQ1ZM50WYLCF74DF" localSheetId="15" hidden="1">#REF!</definedName>
    <definedName name="BExD5QUSRFJWRQ1ZM50WYLCF74DF" localSheetId="5" hidden="1">#REF!</definedName>
    <definedName name="BExD5SSUIF6AJQHBHK8PNMFBPRYB" localSheetId="14" hidden="1">#REF!</definedName>
    <definedName name="BExD5SSUIF6AJQHBHK8PNMFBPRYB" localSheetId="15" hidden="1">#REF!</definedName>
    <definedName name="BExD5SSUIF6AJQHBHK8PNMFBPRYB" localSheetId="5" hidden="1">#REF!</definedName>
    <definedName name="BExD623C9LRX18BE0W2V6SZLQUXX" localSheetId="14" hidden="1">#REF!</definedName>
    <definedName name="BExD623C9LRX18BE0W2V6SZLQUXX" localSheetId="15" hidden="1">#REF!</definedName>
    <definedName name="BExD623C9LRX18BE0W2V6SZLQUXX" localSheetId="5" hidden="1">#REF!</definedName>
    <definedName name="BExD6CQA7UMJBXV7AIFAIHUF2ICX" localSheetId="14" hidden="1">#REF!</definedName>
    <definedName name="BExD6CQA7UMJBXV7AIFAIHUF2ICX" localSheetId="15" hidden="1">#REF!</definedName>
    <definedName name="BExD6CQA7UMJBXV7AIFAIHUF2ICX" localSheetId="5" hidden="1">#REF!</definedName>
    <definedName name="BExD6D18MCF5R8YJMPG21WE3GPJQ" localSheetId="14" hidden="1">#REF!</definedName>
    <definedName name="BExD6D18MCF5R8YJMPG21WE3GPJQ" localSheetId="15" hidden="1">#REF!</definedName>
    <definedName name="BExD6D18MCF5R8YJMPG21WE3GPJQ" localSheetId="5" hidden="1">#REF!</definedName>
    <definedName name="BExD6FKVK8WJWNYPVENR7Q8Q30PK" localSheetId="14" hidden="1">#REF!</definedName>
    <definedName name="BExD6FKVK8WJWNYPVENR7Q8Q30PK" localSheetId="15" hidden="1">#REF!</definedName>
    <definedName name="BExD6FKVK8WJWNYPVENR7Q8Q30PK" localSheetId="5" hidden="1">#REF!</definedName>
    <definedName name="BExD6GMP0LK8WKVWMIT1NNH8CHLF" localSheetId="14" hidden="1">#REF!</definedName>
    <definedName name="BExD6GMP0LK8WKVWMIT1NNH8CHLF" localSheetId="15" hidden="1">#REF!</definedName>
    <definedName name="BExD6GMP0LK8WKVWMIT1NNH8CHLF" localSheetId="5" hidden="1">#REF!</definedName>
    <definedName name="BExD6H2TE0WWAUIWVSSCLPZ6B88N" localSheetId="14" hidden="1">#REF!</definedName>
    <definedName name="BExD6H2TE0WWAUIWVSSCLPZ6B88N" localSheetId="15" hidden="1">#REF!</definedName>
    <definedName name="BExD6H2TE0WWAUIWVSSCLPZ6B88N" localSheetId="5" hidden="1">#REF!</definedName>
    <definedName name="BExD71LTOE015TV5RSAHM8NT8GVW" localSheetId="14" hidden="1">#REF!</definedName>
    <definedName name="BExD71LTOE015TV5RSAHM8NT8GVW" localSheetId="15" hidden="1">#REF!</definedName>
    <definedName name="BExD71LTOE015TV5RSAHM8NT8GVW" localSheetId="5" hidden="1">#REF!</definedName>
    <definedName name="BExD73USXVADC7EHGHVTQNCT06ZA" localSheetId="14" hidden="1">#REF!</definedName>
    <definedName name="BExD73USXVADC7EHGHVTQNCT06ZA" localSheetId="15" hidden="1">#REF!</definedName>
    <definedName name="BExD73USXVADC7EHGHVTQNCT06ZA" localSheetId="5" hidden="1">#REF!</definedName>
    <definedName name="BExD7GAIGULTB3YHM1OS9RBQOTEC" localSheetId="14" hidden="1">#REF!</definedName>
    <definedName name="BExD7GAIGULTB3YHM1OS9RBQOTEC" localSheetId="15" hidden="1">#REF!</definedName>
    <definedName name="BExD7GAIGULTB3YHM1OS9RBQOTEC" localSheetId="5" hidden="1">#REF!</definedName>
    <definedName name="BExD7IE1DHIS52UFDCTSKPJQNRD5" localSheetId="14" hidden="1">#REF!</definedName>
    <definedName name="BExD7IE1DHIS52UFDCTSKPJQNRD5" localSheetId="15" hidden="1">#REF!</definedName>
    <definedName name="BExD7IE1DHIS52UFDCTSKPJQNRD5" localSheetId="5" hidden="1">#REF!</definedName>
    <definedName name="BExD7IUBGUWHYC9UNZ1IY5XFYKQN" localSheetId="14" hidden="1">#REF!</definedName>
    <definedName name="BExD7IUBGUWHYC9UNZ1IY5XFYKQN" localSheetId="15" hidden="1">#REF!</definedName>
    <definedName name="BExD7IUBGUWHYC9UNZ1IY5XFYKQN" localSheetId="5" hidden="1">#REF!</definedName>
    <definedName name="BExD7JQOJ35HGL8U2OCEI2P2JT7I" localSheetId="14" hidden="1">#REF!</definedName>
    <definedName name="BExD7JQOJ35HGL8U2OCEI2P2JT7I" localSheetId="15" hidden="1">#REF!</definedName>
    <definedName name="BExD7JQOJ35HGL8U2OCEI2P2JT7I" localSheetId="5" hidden="1">#REF!</definedName>
    <definedName name="BExD7KSDKNDNH95NDT3S7GM3MUU2" localSheetId="14" hidden="1">#REF!</definedName>
    <definedName name="BExD7KSDKNDNH95NDT3S7GM3MUU2" localSheetId="15" hidden="1">#REF!</definedName>
    <definedName name="BExD7KSDKNDNH95NDT3S7GM3MUU2" localSheetId="5" hidden="1">#REF!</definedName>
    <definedName name="BExD8H5O087KQVWIVPUUID5VMGMS" localSheetId="14" hidden="1">#REF!</definedName>
    <definedName name="BExD8H5O087KQVWIVPUUID5VMGMS" localSheetId="15" hidden="1">#REF!</definedName>
    <definedName name="BExD8H5O087KQVWIVPUUID5VMGMS" localSheetId="5" hidden="1">#REF!</definedName>
    <definedName name="BExD8HLWJHFK6566YQLGOAPIWD7G" localSheetId="14" hidden="1">#REF!</definedName>
    <definedName name="BExD8HLWJHFK6566YQLGOAPIWD7G" localSheetId="15" hidden="1">#REF!</definedName>
    <definedName name="BExD8HLWJHFK6566YQLGOAPIWD7G" localSheetId="5" hidden="1">#REF!</definedName>
    <definedName name="BExD8OCLZMFN5K3VZYI4Q4ITVKUA" localSheetId="14" hidden="1">#REF!</definedName>
    <definedName name="BExD8OCLZMFN5K3VZYI4Q4ITVKUA" localSheetId="15" hidden="1">#REF!</definedName>
    <definedName name="BExD8OCLZMFN5K3VZYI4Q4ITVKUA" localSheetId="5" hidden="1">#REF!</definedName>
    <definedName name="BExD93C1R6LC0631ECHVFYH0R0PD" localSheetId="14" hidden="1">#REF!</definedName>
    <definedName name="BExD93C1R6LC0631ECHVFYH0R0PD" localSheetId="15" hidden="1">#REF!</definedName>
    <definedName name="BExD93C1R6LC0631ECHVFYH0R0PD" localSheetId="5" hidden="1">#REF!</definedName>
    <definedName name="BExD97TXIO0COVNN4OH3DEJ33YLM" localSheetId="14" hidden="1">#REF!</definedName>
    <definedName name="BExD97TXIO0COVNN4OH3DEJ33YLM" localSheetId="15" hidden="1">#REF!</definedName>
    <definedName name="BExD97TXIO0COVNN4OH3DEJ33YLM" localSheetId="5" hidden="1">#REF!</definedName>
    <definedName name="BExD99RZ1RFIMK6O1ZHSPJ68X9Y5" localSheetId="14" hidden="1">#REF!</definedName>
    <definedName name="BExD99RZ1RFIMK6O1ZHSPJ68X9Y5" localSheetId="15" hidden="1">#REF!</definedName>
    <definedName name="BExD99RZ1RFIMK6O1ZHSPJ68X9Y5" localSheetId="5" hidden="1">#REF!</definedName>
    <definedName name="BExD9ATSNNU6SJVYYUCUG2AFS57W" localSheetId="14" hidden="1">#REF!</definedName>
    <definedName name="BExD9ATSNNU6SJVYYUCUG2AFS57W" localSheetId="15" hidden="1">#REF!</definedName>
    <definedName name="BExD9ATSNNU6SJVYYUCUG2AFS57W" localSheetId="5" hidden="1">#REF!</definedName>
    <definedName name="BExD9JO1QOKHUKL6DOEKDLUBPPKZ" localSheetId="14" hidden="1">#REF!</definedName>
    <definedName name="BExD9JO1QOKHUKL6DOEKDLUBPPKZ" localSheetId="15" hidden="1">#REF!</definedName>
    <definedName name="BExD9JO1QOKHUKL6DOEKDLUBPPKZ" localSheetId="5" hidden="1">#REF!</definedName>
    <definedName name="BExD9L0ID3VSOU609GKWYTA5BFMA" localSheetId="14" hidden="1">#REF!</definedName>
    <definedName name="BExD9L0ID3VSOU609GKWYTA5BFMA" localSheetId="15" hidden="1">#REF!</definedName>
    <definedName name="BExD9L0ID3VSOU609GKWYTA5BFMA" localSheetId="5" hidden="1">#REF!</definedName>
    <definedName name="BExD9M7SEMG0JK2FUTTZXWIEBTKB" localSheetId="14" hidden="1">#REF!</definedName>
    <definedName name="BExD9M7SEMG0JK2FUTTZXWIEBTKB" localSheetId="15" hidden="1">#REF!</definedName>
    <definedName name="BExD9M7SEMG0JK2FUTTZXWIEBTKB" localSheetId="5" hidden="1">#REF!</definedName>
    <definedName name="BExD9MNYBYB1AICQL5165G472IE2" localSheetId="14" hidden="1">#REF!</definedName>
    <definedName name="BExD9MNYBYB1AICQL5165G472IE2" localSheetId="15" hidden="1">#REF!</definedName>
    <definedName name="BExD9MNYBYB1AICQL5165G472IE2" localSheetId="5" hidden="1">#REF!</definedName>
    <definedName name="BExD9PNSYT7GASEGUVL48MUQ02WO" localSheetId="14" hidden="1">#REF!</definedName>
    <definedName name="BExD9PNSYT7GASEGUVL48MUQ02WO" localSheetId="15" hidden="1">#REF!</definedName>
    <definedName name="BExD9PNSYT7GASEGUVL48MUQ02WO" localSheetId="5" hidden="1">#REF!</definedName>
    <definedName name="BExD9TK2MIWFH5SKUYU9ZKF4NPHQ" localSheetId="14" hidden="1">#REF!</definedName>
    <definedName name="BExD9TK2MIWFH5SKUYU9ZKF4NPHQ" localSheetId="15" hidden="1">#REF!</definedName>
    <definedName name="BExD9TK2MIWFH5SKUYU9ZKF4NPHQ" localSheetId="5" hidden="1">#REF!</definedName>
    <definedName name="BExDA23J1UL1EN1K0BLX2TKAX4U0" localSheetId="14" hidden="1">#REF!</definedName>
    <definedName name="BExDA23J1UL1EN1K0BLX2TKAX4U0" localSheetId="15" hidden="1">#REF!</definedName>
    <definedName name="BExDA23J1UL1EN1K0BLX2TKAX4U0" localSheetId="5" hidden="1">#REF!</definedName>
    <definedName name="BExDA6594R2INH5X2F55YRZSKRND" localSheetId="14" hidden="1">#REF!</definedName>
    <definedName name="BExDA6594R2INH5X2F55YRZSKRND" localSheetId="15" hidden="1">#REF!</definedName>
    <definedName name="BExDA6594R2INH5X2F55YRZSKRND" localSheetId="5" hidden="1">#REF!</definedName>
    <definedName name="BExDA6LD9061UULVKUUI4QP8SK13" localSheetId="14" hidden="1">#REF!</definedName>
    <definedName name="BExDA6LD9061UULVKUUI4QP8SK13" localSheetId="15" hidden="1">#REF!</definedName>
    <definedName name="BExDA6LD9061UULVKUUI4QP8SK13" localSheetId="5" hidden="1">#REF!</definedName>
    <definedName name="BExDAGMVMNLQ6QXASB9R6D8DIT12" localSheetId="14" hidden="1">#REF!</definedName>
    <definedName name="BExDAGMVMNLQ6QXASB9R6D8DIT12" localSheetId="15" hidden="1">#REF!</definedName>
    <definedName name="BExDAGMVMNLQ6QXASB9R6D8DIT12" localSheetId="5" hidden="1">#REF!</definedName>
    <definedName name="BExDAYBHU9ADLXI8VRC7F608RVGM" localSheetId="14" hidden="1">#REF!</definedName>
    <definedName name="BExDAYBHU9ADLXI8VRC7F608RVGM" localSheetId="15" hidden="1">#REF!</definedName>
    <definedName name="BExDAYBHU9ADLXI8VRC7F608RVGM" localSheetId="5" hidden="1">#REF!</definedName>
    <definedName name="BExDBDR1XR0FV0CYUCB2OJ7CJCZU" localSheetId="14" hidden="1">#REF!</definedName>
    <definedName name="BExDBDR1XR0FV0CYUCB2OJ7CJCZU" localSheetId="15" hidden="1">#REF!</definedName>
    <definedName name="BExDBDR1XR0FV0CYUCB2OJ7CJCZU" localSheetId="5" hidden="1">#REF!</definedName>
    <definedName name="BExDC7F818VN0S18ID7XRCRVYPJ4" localSheetId="14" hidden="1">#REF!</definedName>
    <definedName name="BExDC7F818VN0S18ID7XRCRVYPJ4" localSheetId="15" hidden="1">#REF!</definedName>
    <definedName name="BExDC7F818VN0S18ID7XRCRVYPJ4" localSheetId="5" hidden="1">#REF!</definedName>
    <definedName name="BExDCL7K96PC9VZYB70ZW3QPVIJE" localSheetId="14" hidden="1">#REF!</definedName>
    <definedName name="BExDCL7K96PC9VZYB70ZW3QPVIJE" localSheetId="15" hidden="1">#REF!</definedName>
    <definedName name="BExDCL7K96PC9VZYB70ZW3QPVIJE" localSheetId="5" hidden="1">#REF!</definedName>
    <definedName name="BExDCP3UZ3C2O4C1F7KMU0Z9U32N" localSheetId="14" hidden="1">#REF!</definedName>
    <definedName name="BExDCP3UZ3C2O4C1F7KMU0Z9U32N" localSheetId="15" hidden="1">#REF!</definedName>
    <definedName name="BExDCP3UZ3C2O4C1F7KMU0Z9U32N" localSheetId="5" hidden="1">#REF!</definedName>
    <definedName name="BExEO14OTKLVDBTNB2ONGZ4YB20H" localSheetId="14" hidden="1">#REF!</definedName>
    <definedName name="BExEO14OTKLVDBTNB2ONGZ4YB20H" localSheetId="15" hidden="1">#REF!</definedName>
    <definedName name="BExEO14OTKLVDBTNB2ONGZ4YB20H" localSheetId="5" hidden="1">#REF!</definedName>
    <definedName name="BExEO80UUNTK4DX33Z5TYLM8NYZM" localSheetId="14" hidden="1">#REF!</definedName>
    <definedName name="BExEO80UUNTK4DX33Z5TYLM8NYZM" localSheetId="15" hidden="1">#REF!</definedName>
    <definedName name="BExEO80UUNTK4DX33Z5TYLM8NYZM" localSheetId="5" hidden="1">#REF!</definedName>
    <definedName name="BExEOBX3WECDMYCV9RLN49APTXMM" localSheetId="14" hidden="1">#REF!</definedName>
    <definedName name="BExEOBX3WECDMYCV9RLN49APTXMM" localSheetId="15" hidden="1">#REF!</definedName>
    <definedName name="BExEOBX3WECDMYCV9RLN49APTXMM" localSheetId="5" hidden="1">#REF!</definedName>
    <definedName name="BExEPN9VIYI0FVL0HLZQXJFO6TT0" localSheetId="14" hidden="1">#REF!</definedName>
    <definedName name="BExEPN9VIYI0FVL0HLZQXJFO6TT0" localSheetId="15" hidden="1">#REF!</definedName>
    <definedName name="BExEPN9VIYI0FVL0HLZQXJFO6TT0" localSheetId="5" hidden="1">#REF!</definedName>
    <definedName name="BExEPQPUOD4B6H60DKEB9159F7DR" localSheetId="14" hidden="1">#REF!</definedName>
    <definedName name="BExEPQPUOD4B6H60DKEB9159F7DR" localSheetId="15" hidden="1">#REF!</definedName>
    <definedName name="BExEPQPUOD4B6H60DKEB9159F7DR" localSheetId="5" hidden="1">#REF!</definedName>
    <definedName name="BExEPYT6VDSMR8MU2341Q5GM2Y9V" localSheetId="14" hidden="1">#REF!</definedName>
    <definedName name="BExEPYT6VDSMR8MU2341Q5GM2Y9V" localSheetId="15" hidden="1">#REF!</definedName>
    <definedName name="BExEPYT6VDSMR8MU2341Q5GM2Y9V" localSheetId="5" hidden="1">#REF!</definedName>
    <definedName name="BExEQ2ENYLMY8K1796XBB31CJHNN" localSheetId="14" hidden="1">#REF!</definedName>
    <definedName name="BExEQ2ENYLMY8K1796XBB31CJHNN" localSheetId="15" hidden="1">#REF!</definedName>
    <definedName name="BExEQ2ENYLMY8K1796XBB31CJHNN" localSheetId="5" hidden="1">#REF!</definedName>
    <definedName name="BExEQ2PFE4N40LEPGDPS90WDL6BN" localSheetId="14" hidden="1">#REF!</definedName>
    <definedName name="BExEQ2PFE4N40LEPGDPS90WDL6BN" localSheetId="15" hidden="1">#REF!</definedName>
    <definedName name="BExEQ2PFE4N40LEPGDPS90WDL6BN" localSheetId="5" hidden="1">#REF!</definedName>
    <definedName name="BExEQ2PFURT24NQYGYVE8NKX1EGA" localSheetId="14" hidden="1">#REF!</definedName>
    <definedName name="BExEQ2PFURT24NQYGYVE8NKX1EGA" localSheetId="15" hidden="1">#REF!</definedName>
    <definedName name="BExEQ2PFURT24NQYGYVE8NKX1EGA" localSheetId="5" hidden="1">#REF!</definedName>
    <definedName name="BExEQB8ZWXO6IIGOEPWTLOJGE2NR" localSheetId="14" hidden="1">#REF!</definedName>
    <definedName name="BExEQB8ZWXO6IIGOEPWTLOJGE2NR" localSheetId="15" hidden="1">#REF!</definedName>
    <definedName name="BExEQB8ZWXO6IIGOEPWTLOJGE2NR" localSheetId="5" hidden="1">#REF!</definedName>
    <definedName name="BExEQBZX0EL6LIKPY01197ACK65H" localSheetId="14" hidden="1">#REF!</definedName>
    <definedName name="BExEQBZX0EL6LIKPY01197ACK65H" localSheetId="15" hidden="1">#REF!</definedName>
    <definedName name="BExEQBZX0EL6LIKPY01197ACK65H" localSheetId="5" hidden="1">#REF!</definedName>
    <definedName name="BExEQDXZALJLD4OBF74IKZBR13SR" localSheetId="14" hidden="1">#REF!</definedName>
    <definedName name="BExEQDXZALJLD4OBF74IKZBR13SR" localSheetId="15" hidden="1">#REF!</definedName>
    <definedName name="BExEQDXZALJLD4OBF74IKZBR13SR" localSheetId="5" hidden="1">#REF!</definedName>
    <definedName name="BExEQFLE2RPWGMWQAI4JMKUEFRPT" localSheetId="14" hidden="1">#REF!</definedName>
    <definedName name="BExEQFLE2RPWGMWQAI4JMKUEFRPT" localSheetId="15" hidden="1">#REF!</definedName>
    <definedName name="BExEQFLE2RPWGMWQAI4JMKUEFRPT" localSheetId="5" hidden="1">#REF!</definedName>
    <definedName name="BExEQJHNJV9U65F5VGIGX0VM02VF" localSheetId="14" hidden="1">#REF!</definedName>
    <definedName name="BExEQJHNJV9U65F5VGIGX0VM02VF" localSheetId="15" hidden="1">#REF!</definedName>
    <definedName name="BExEQJHNJV9U65F5VGIGX0VM02VF" localSheetId="5" hidden="1">#REF!</definedName>
    <definedName name="BExEQTZAP8R69U31W4LKGTKKGKQE" localSheetId="14" hidden="1">#REF!</definedName>
    <definedName name="BExEQTZAP8R69U31W4LKGTKKGKQE" localSheetId="15" hidden="1">#REF!</definedName>
    <definedName name="BExEQTZAP8R69U31W4LKGTKKGKQE" localSheetId="5" hidden="1">#REF!</definedName>
    <definedName name="BExER2O72H1F9WV6S1J04C15PXX7" localSheetId="14" hidden="1">#REF!</definedName>
    <definedName name="BExER2O72H1F9WV6S1J04C15PXX7" localSheetId="15" hidden="1">#REF!</definedName>
    <definedName name="BExER2O72H1F9WV6S1J04C15PXX7" localSheetId="5" hidden="1">#REF!</definedName>
    <definedName name="BExERIPCI7N2NW7JRL59DVT0TTSU" localSheetId="14" hidden="1">#REF!</definedName>
    <definedName name="BExERIPCI7N2NW7JRL59DVT0TTSU" localSheetId="15" hidden="1">#REF!</definedName>
    <definedName name="BExERIPCI7N2NW7JRL59DVT0TTSU" localSheetId="5" hidden="1">#REF!</definedName>
    <definedName name="BExERRUIKIOATPZ9U4HQ0V52RJAU" localSheetId="14" hidden="1">#REF!</definedName>
    <definedName name="BExERRUIKIOATPZ9U4HQ0V52RJAU" localSheetId="15" hidden="1">#REF!</definedName>
    <definedName name="BExERRUIKIOATPZ9U4HQ0V52RJAU" localSheetId="5" hidden="1">#REF!</definedName>
    <definedName name="BExERSANFNM1O7T65PC5MJ301YET" localSheetId="14" hidden="1">#REF!</definedName>
    <definedName name="BExERSANFNM1O7T65PC5MJ301YET" localSheetId="15" hidden="1">#REF!</definedName>
    <definedName name="BExERSANFNM1O7T65PC5MJ301YET" localSheetId="5" hidden="1">#REF!</definedName>
    <definedName name="BExERU8P606C6QQZZL55U0ZQYQF1" localSheetId="14" hidden="1">#REF!</definedName>
    <definedName name="BExERU8P606C6QQZZL55U0ZQYQF1" localSheetId="15" hidden="1">#REF!</definedName>
    <definedName name="BExERU8P606C6QQZZL55U0ZQYQF1" localSheetId="5" hidden="1">#REF!</definedName>
    <definedName name="BExERWCEBKQRYWRQLYJ4UCMMKTHG" localSheetId="14" hidden="1">#REF!</definedName>
    <definedName name="BExERWCEBKQRYWRQLYJ4UCMMKTHG" localSheetId="15" hidden="1">#REF!</definedName>
    <definedName name="BExERWCEBKQRYWRQLYJ4UCMMKTHG" localSheetId="5" hidden="1">#REF!</definedName>
    <definedName name="BExERXE1QW042A2T25RI4DVUU59O" localSheetId="14" hidden="1">#REF!</definedName>
    <definedName name="BExERXE1QW042A2T25RI4DVUU59O" localSheetId="15" hidden="1">#REF!</definedName>
    <definedName name="BExERXE1QW042A2T25RI4DVUU59O" localSheetId="5" hidden="1">#REF!</definedName>
    <definedName name="BExES44RHHDL3V7FLV6M20834WF1" localSheetId="14" hidden="1">#REF!</definedName>
    <definedName name="BExES44RHHDL3V7FLV6M20834WF1" localSheetId="15" hidden="1">#REF!</definedName>
    <definedName name="BExES44RHHDL3V7FLV6M20834WF1" localSheetId="5" hidden="1">#REF!</definedName>
    <definedName name="BExES4A7VE2X3RYYTVRLKZD4I7WU" localSheetId="14" hidden="1">#REF!</definedName>
    <definedName name="BExES4A7VE2X3RYYTVRLKZD4I7WU" localSheetId="15" hidden="1">#REF!</definedName>
    <definedName name="BExES4A7VE2X3RYYTVRLKZD4I7WU" localSheetId="5" hidden="1">#REF!</definedName>
    <definedName name="BExESLYUFDACMPARVY264HKBCXLX" localSheetId="14" hidden="1">#REF!</definedName>
    <definedName name="BExESLYUFDACMPARVY264HKBCXLX" localSheetId="15" hidden="1">#REF!</definedName>
    <definedName name="BExESLYUFDACMPARVY264HKBCXLX" localSheetId="5" hidden="1">#REF!</definedName>
    <definedName name="BExESMKD95A649M0WRSG6CXXP326" localSheetId="14" hidden="1">#REF!</definedName>
    <definedName name="BExESMKD95A649M0WRSG6CXXP326" localSheetId="15" hidden="1">#REF!</definedName>
    <definedName name="BExESMKD95A649M0WRSG6CXXP326" localSheetId="5" hidden="1">#REF!</definedName>
    <definedName name="BExESR27ZXJG5VMY4PR9D940VS7T" localSheetId="14" hidden="1">#REF!</definedName>
    <definedName name="BExESR27ZXJG5VMY4PR9D940VS7T" localSheetId="15" hidden="1">#REF!</definedName>
    <definedName name="BExESR27ZXJG5VMY4PR9D940VS7T" localSheetId="5" hidden="1">#REF!</definedName>
    <definedName name="BExESVK1YRJM6UG6FBYOF9CNX29X" localSheetId="14" hidden="1">#REF!</definedName>
    <definedName name="BExESVK1YRJM6UG6FBYOF9CNX29X" localSheetId="15" hidden="1">#REF!</definedName>
    <definedName name="BExESVK1YRJM6UG6FBYOF9CNX29X" localSheetId="5" hidden="1">#REF!</definedName>
    <definedName name="BExESZ03KXL8DQ2591HLR56ZML94" localSheetId="14" hidden="1">#REF!</definedName>
    <definedName name="BExESZ03KXL8DQ2591HLR56ZML94" localSheetId="15" hidden="1">#REF!</definedName>
    <definedName name="BExESZ03KXL8DQ2591HLR56ZML94" localSheetId="5" hidden="1">#REF!</definedName>
    <definedName name="BExESZAW5N443NRTKIP59OEI1CR6" localSheetId="14" hidden="1">#REF!</definedName>
    <definedName name="BExESZAW5N443NRTKIP59OEI1CR6" localSheetId="15" hidden="1">#REF!</definedName>
    <definedName name="BExESZAW5N443NRTKIP59OEI1CR6" localSheetId="5" hidden="1">#REF!</definedName>
    <definedName name="BExET3HXQ60A4O2OLKX8QNXRI6LQ" localSheetId="14" hidden="1">#REF!</definedName>
    <definedName name="BExET3HXQ60A4O2OLKX8QNXRI6LQ" localSheetId="15" hidden="1">#REF!</definedName>
    <definedName name="BExET3HXQ60A4O2OLKX8QNXRI6LQ" localSheetId="5" hidden="1">#REF!</definedName>
    <definedName name="BExET4EAH366GROMVVMDCSUI1018" localSheetId="14" hidden="1">#REF!</definedName>
    <definedName name="BExET4EAH366GROMVVMDCSUI1018" localSheetId="15" hidden="1">#REF!</definedName>
    <definedName name="BExET4EAH366GROMVVMDCSUI1018" localSheetId="5" hidden="1">#REF!</definedName>
    <definedName name="BExETA3B1FCIOA80H94K90FWXQKE" localSheetId="14" hidden="1">#REF!</definedName>
    <definedName name="BExETA3B1FCIOA80H94K90FWXQKE" localSheetId="15" hidden="1">#REF!</definedName>
    <definedName name="BExETA3B1FCIOA80H94K90FWXQKE" localSheetId="5" hidden="1">#REF!</definedName>
    <definedName name="BExETAZOYT4CJIT8RRKC9F2HJG1D" localSheetId="14" hidden="1">#REF!</definedName>
    <definedName name="BExETAZOYT4CJIT8RRKC9F2HJG1D" localSheetId="15" hidden="1">#REF!</definedName>
    <definedName name="BExETAZOYT4CJIT8RRKC9F2HJG1D" localSheetId="5" hidden="1">#REF!</definedName>
    <definedName name="BExETB55BNG40G9YOI2H6UHIR9WU" localSheetId="14" hidden="1">#REF!</definedName>
    <definedName name="BExETB55BNG40G9YOI2H6UHIR9WU" localSheetId="15" hidden="1">#REF!</definedName>
    <definedName name="BExETB55BNG40G9YOI2H6UHIR9WU" localSheetId="5" hidden="1">#REF!</definedName>
    <definedName name="BExETF6QD5A9GEINE1KZRRC2LXWM" localSheetId="14" hidden="1">#REF!</definedName>
    <definedName name="BExETF6QD5A9GEINE1KZRRC2LXWM" localSheetId="15" hidden="1">#REF!</definedName>
    <definedName name="BExETF6QD5A9GEINE1KZRRC2LXWM" localSheetId="5" hidden="1">#REF!</definedName>
    <definedName name="BExETQ9XRXLUACN82805SPSPNKHI" localSheetId="14" hidden="1">#REF!</definedName>
    <definedName name="BExETQ9XRXLUACN82805SPSPNKHI" localSheetId="15" hidden="1">#REF!</definedName>
    <definedName name="BExETQ9XRXLUACN82805SPSPNKHI" localSheetId="5" hidden="1">#REF!</definedName>
    <definedName name="BExETR0YRMOR63E6DHLEHV9QVVON" localSheetId="14" hidden="1">#REF!</definedName>
    <definedName name="BExETR0YRMOR63E6DHLEHV9QVVON" localSheetId="15" hidden="1">#REF!</definedName>
    <definedName name="BExETR0YRMOR63E6DHLEHV9QVVON" localSheetId="5" hidden="1">#REF!</definedName>
    <definedName name="BExETVO51BGF7GGNGB21UD7OIF15" localSheetId="14" hidden="1">#REF!</definedName>
    <definedName name="BExETVO51BGF7GGNGB21UD7OIF15" localSheetId="15" hidden="1">#REF!</definedName>
    <definedName name="BExETVO51BGF7GGNGB21UD7OIF15" localSheetId="5" hidden="1">#REF!</definedName>
    <definedName name="BExETVTGY38YXYYF7N73OYN6FYY3" localSheetId="14" hidden="1">#REF!</definedName>
    <definedName name="BExETVTGY38YXYYF7N73OYN6FYY3" localSheetId="15" hidden="1">#REF!</definedName>
    <definedName name="BExETVTGY38YXYYF7N73OYN6FYY3" localSheetId="5" hidden="1">#REF!</definedName>
    <definedName name="BExETVTH8RADW05P2XUUV7V44TWW" localSheetId="14" hidden="1">#REF!</definedName>
    <definedName name="BExETVTH8RADW05P2XUUV7V44TWW" localSheetId="15" hidden="1">#REF!</definedName>
    <definedName name="BExETVTH8RADW05P2XUUV7V44TWW" localSheetId="5" hidden="1">#REF!</definedName>
    <definedName name="BExETW9PYUAV5QY6A4VCYZRIOUX4" localSheetId="14" hidden="1">#REF!</definedName>
    <definedName name="BExETW9PYUAV5QY6A4VCYZRIOUX4" localSheetId="15" hidden="1">#REF!</definedName>
    <definedName name="BExETW9PYUAV5QY6A4VCYZRIOUX4" localSheetId="5" hidden="1">#REF!</definedName>
    <definedName name="BExEUGNELLVZ7K2PYWP2TG8T65XQ" localSheetId="14" hidden="1">#REF!</definedName>
    <definedName name="BExEUGNELLVZ7K2PYWP2TG8T65XQ" localSheetId="15" hidden="1">#REF!</definedName>
    <definedName name="BExEUGNELLVZ7K2PYWP2TG8T65XQ" localSheetId="5" hidden="1">#REF!</definedName>
    <definedName name="BExEUHUG1NGJGB6F1UH5IKFZ9B9M" localSheetId="14" hidden="1">#REF!</definedName>
    <definedName name="BExEUHUG1NGJGB6F1UH5IKFZ9B9M" localSheetId="15" hidden="1">#REF!</definedName>
    <definedName name="BExEUHUG1NGJGB6F1UH5IKFZ9B9M" localSheetId="5" hidden="1">#REF!</definedName>
    <definedName name="BExEUNE4T242Y59C6MS28MXEUGCP" localSheetId="14" hidden="1">#REF!</definedName>
    <definedName name="BExEUNE4T242Y59C6MS28MXEUGCP" localSheetId="15" hidden="1">#REF!</definedName>
    <definedName name="BExEUNE4T242Y59C6MS28MXEUGCP" localSheetId="5" hidden="1">#REF!</definedName>
    <definedName name="BExEUNU7FYVTR4DD1D31SS7PNXX2" localSheetId="14" hidden="1">#REF!</definedName>
    <definedName name="BExEUNU7FYVTR4DD1D31SS7PNXX2" localSheetId="15" hidden="1">#REF!</definedName>
    <definedName name="BExEUNU7FYVTR4DD1D31SS7PNXX2" localSheetId="5" hidden="1">#REF!</definedName>
    <definedName name="BExEV2TP7NA3ZR6RJGH5ER370OUM" localSheetId="14" hidden="1">#REF!</definedName>
    <definedName name="BExEV2TP7NA3ZR6RJGH5ER370OUM" localSheetId="15" hidden="1">#REF!</definedName>
    <definedName name="BExEV2TP7NA3ZR6RJGH5ER370OUM" localSheetId="5" hidden="1">#REF!</definedName>
    <definedName name="BExEV3Q7M5YTX3CY3QCP1SUIEP2E" localSheetId="14" hidden="1">#REF!</definedName>
    <definedName name="BExEV3Q7M5YTX3CY3QCP1SUIEP2E" localSheetId="15" hidden="1">#REF!</definedName>
    <definedName name="BExEV3Q7M5YTX3CY3QCP1SUIEP2E" localSheetId="5" hidden="1">#REF!</definedName>
    <definedName name="BExEV69USLNYO2QRJRC0J92XUF00" localSheetId="14" hidden="1">#REF!</definedName>
    <definedName name="BExEV69USLNYO2QRJRC0J92XUF00" localSheetId="15" hidden="1">#REF!</definedName>
    <definedName name="BExEV69USLNYO2QRJRC0J92XUF00" localSheetId="5" hidden="1">#REF!</definedName>
    <definedName name="BExEV6KNTQOCFD7GV726XQEVQ7R6" localSheetId="14" hidden="1">#REF!</definedName>
    <definedName name="BExEV6KNTQOCFD7GV726XQEVQ7R6" localSheetId="15" hidden="1">#REF!</definedName>
    <definedName name="BExEV6KNTQOCFD7GV726XQEVQ7R6" localSheetId="5" hidden="1">#REF!</definedName>
    <definedName name="BExEV6VGM4POO9QT9KH3QA3VYCWM" localSheetId="14" hidden="1">#REF!</definedName>
    <definedName name="BExEV6VGM4POO9QT9KH3QA3VYCWM" localSheetId="15" hidden="1">#REF!</definedName>
    <definedName name="BExEV6VGM4POO9QT9KH3QA3VYCWM" localSheetId="5" hidden="1">#REF!</definedName>
    <definedName name="BExEVCEYMOI0PGO7HAEOS9CVMU2O" localSheetId="14" hidden="1">#REF!</definedName>
    <definedName name="BExEVCEYMOI0PGO7HAEOS9CVMU2O" localSheetId="15" hidden="1">#REF!</definedName>
    <definedName name="BExEVCEYMOI0PGO7HAEOS9CVMU2O" localSheetId="5" hidden="1">#REF!</definedName>
    <definedName name="BExEVET98G3FU6QBF9LHYWSAMV0O" localSheetId="14" hidden="1">#REF!</definedName>
    <definedName name="BExEVET98G3FU6QBF9LHYWSAMV0O" localSheetId="15" hidden="1">#REF!</definedName>
    <definedName name="BExEVET98G3FU6QBF9LHYWSAMV0O" localSheetId="5" hidden="1">#REF!</definedName>
    <definedName name="BExEVNCUT0PDUYNJH7G6BSEWZOT2" localSheetId="14" hidden="1">#REF!</definedName>
    <definedName name="BExEVNCUT0PDUYNJH7G6BSEWZOT2" localSheetId="15" hidden="1">#REF!</definedName>
    <definedName name="BExEVNCUT0PDUYNJH7G6BSEWZOT2" localSheetId="5" hidden="1">#REF!</definedName>
    <definedName name="BExEVPGF4V5J0WQRZKUM8F9TTKZJ" localSheetId="14" hidden="1">#REF!</definedName>
    <definedName name="BExEVPGF4V5J0WQRZKUM8F9TTKZJ" localSheetId="15" hidden="1">#REF!</definedName>
    <definedName name="BExEVPGF4V5J0WQRZKUM8F9TTKZJ" localSheetId="5" hidden="1">#REF!</definedName>
    <definedName name="BExEVVLIEVWYRF2UUC1H0H5QU1CP" localSheetId="14" hidden="1">#REF!</definedName>
    <definedName name="BExEVVLIEVWYRF2UUC1H0H5QU1CP" localSheetId="15" hidden="1">#REF!</definedName>
    <definedName name="BExEVVLIEVWYRF2UUC1H0H5QU1CP" localSheetId="5" hidden="1">#REF!</definedName>
    <definedName name="BExEVWCKO8T84GW9Z3X47915XKSH" localSheetId="14" hidden="1">#REF!</definedName>
    <definedName name="BExEVWCKO8T84GW9Z3X47915XKSH" localSheetId="15" hidden="1">#REF!</definedName>
    <definedName name="BExEVWCKO8T84GW9Z3X47915XKSH" localSheetId="5" hidden="1">#REF!</definedName>
    <definedName name="BExEVZSJWMZ5L2ZE7AZC57CXKW6T" localSheetId="14" hidden="1">#REF!</definedName>
    <definedName name="BExEVZSJWMZ5L2ZE7AZC57CXKW6T" localSheetId="15" hidden="1">#REF!</definedName>
    <definedName name="BExEVZSJWMZ5L2ZE7AZC57CXKW6T" localSheetId="5" hidden="1">#REF!</definedName>
    <definedName name="BExEW0JL1GFFCXMDGW54CI7Y8FZN" localSheetId="14" hidden="1">#REF!</definedName>
    <definedName name="BExEW0JL1GFFCXMDGW54CI7Y8FZN" localSheetId="15" hidden="1">#REF!</definedName>
    <definedName name="BExEW0JL1GFFCXMDGW54CI7Y8FZN" localSheetId="5" hidden="1">#REF!</definedName>
    <definedName name="BExEW68M9WL8214QH9C7VCK7BN08" localSheetId="14" hidden="1">#REF!</definedName>
    <definedName name="BExEW68M9WL8214QH9C7VCK7BN08" localSheetId="15" hidden="1">#REF!</definedName>
    <definedName name="BExEW68M9WL8214QH9C7VCK7BN08" localSheetId="5" hidden="1">#REF!</definedName>
    <definedName name="BExEW8HFKH6F47KIHYBDRUEFZ2ZZ" localSheetId="14" hidden="1">#REF!</definedName>
    <definedName name="BExEW8HFKH6F47KIHYBDRUEFZ2ZZ" localSheetId="15" hidden="1">#REF!</definedName>
    <definedName name="BExEW8HFKH6F47KIHYBDRUEFZ2ZZ" localSheetId="5" hidden="1">#REF!</definedName>
    <definedName name="BExEWB6JHMITZPXHB6JATOCLLKLJ" localSheetId="14" hidden="1">#REF!</definedName>
    <definedName name="BExEWB6JHMITZPXHB6JATOCLLKLJ" localSheetId="15" hidden="1">#REF!</definedName>
    <definedName name="BExEWB6JHMITZPXHB6JATOCLLKLJ" localSheetId="5" hidden="1">#REF!</definedName>
    <definedName name="BExEWNBGQS1U2LW3W84T4LSJ9K00" localSheetId="14" hidden="1">#REF!</definedName>
    <definedName name="BExEWNBGQS1U2LW3W84T4LSJ9K00" localSheetId="15" hidden="1">#REF!</definedName>
    <definedName name="BExEWNBGQS1U2LW3W84T4LSJ9K00" localSheetId="5" hidden="1">#REF!</definedName>
    <definedName name="BExEWO7STL7HNZSTY8VQBPTX1WK6" localSheetId="14" hidden="1">#REF!</definedName>
    <definedName name="BExEWO7STL7HNZSTY8VQBPTX1WK6" localSheetId="15" hidden="1">#REF!</definedName>
    <definedName name="BExEWO7STL7HNZSTY8VQBPTX1WK6" localSheetId="5" hidden="1">#REF!</definedName>
    <definedName name="BExEWQ0M1N3KMKTDJ73H10QSG4W1" localSheetId="14" hidden="1">#REF!</definedName>
    <definedName name="BExEWQ0M1N3KMKTDJ73H10QSG4W1" localSheetId="15" hidden="1">#REF!</definedName>
    <definedName name="BExEWQ0M1N3KMKTDJ73H10QSG4W1" localSheetId="5" hidden="1">#REF!</definedName>
    <definedName name="BExEX43OR6NH8GF32YY2ZB6Y8WGP" localSheetId="14" hidden="1">#REF!</definedName>
    <definedName name="BExEX43OR6NH8GF32YY2ZB6Y8WGP" localSheetId="15" hidden="1">#REF!</definedName>
    <definedName name="BExEX43OR6NH8GF32YY2ZB6Y8WGP" localSheetId="5" hidden="1">#REF!</definedName>
    <definedName name="BExEX85F3OSW8NSCYGYPS9372Z1Q" localSheetId="14" hidden="1">#REF!</definedName>
    <definedName name="BExEX85F3OSW8NSCYGYPS9372Z1Q" localSheetId="15" hidden="1">#REF!</definedName>
    <definedName name="BExEX85F3OSW8NSCYGYPS9372Z1Q" localSheetId="5" hidden="1">#REF!</definedName>
    <definedName name="BExEX9HWY2G6928ZVVVQF77QCM2C" localSheetId="14" hidden="1">#REF!</definedName>
    <definedName name="BExEX9HWY2G6928ZVVVQF77QCM2C" localSheetId="15" hidden="1">#REF!</definedName>
    <definedName name="BExEX9HWY2G6928ZVVVQF77QCM2C" localSheetId="5" hidden="1">#REF!</definedName>
    <definedName name="BExEXBQWAYKMVBRJRHB8PFCSYFVN" localSheetId="14" hidden="1">#REF!</definedName>
    <definedName name="BExEXBQWAYKMVBRJRHB8PFCSYFVN" localSheetId="15" hidden="1">#REF!</definedName>
    <definedName name="BExEXBQWAYKMVBRJRHB8PFCSYFVN" localSheetId="5" hidden="1">#REF!</definedName>
    <definedName name="BExEXGE2TE9MQWLQVHL7XGQWL102" localSheetId="14" hidden="1">#REF!</definedName>
    <definedName name="BExEXGE2TE9MQWLQVHL7XGQWL102" localSheetId="15" hidden="1">#REF!</definedName>
    <definedName name="BExEXGE2TE9MQWLQVHL7XGQWL102" localSheetId="5" hidden="1">#REF!</definedName>
    <definedName name="BExEXRBZ0DI9E2UFLLKYWGN66B61" localSheetId="14" hidden="1">#REF!</definedName>
    <definedName name="BExEXRBZ0DI9E2UFLLKYWGN66B61" localSheetId="15" hidden="1">#REF!</definedName>
    <definedName name="BExEXRBZ0DI9E2UFLLKYWGN66B61" localSheetId="5" hidden="1">#REF!</definedName>
    <definedName name="BExEXW4FSOZ9C2SZSQIAA3W82I5K" localSheetId="14" hidden="1">#REF!</definedName>
    <definedName name="BExEXW4FSOZ9C2SZSQIAA3W82I5K" localSheetId="15" hidden="1">#REF!</definedName>
    <definedName name="BExEXW4FSOZ9C2SZSQIAA3W82I5K" localSheetId="5" hidden="1">#REF!</definedName>
    <definedName name="BExEXZ4H2ZUNEW5I6I74GK08QAQC" localSheetId="14" hidden="1">#REF!</definedName>
    <definedName name="BExEXZ4H2ZUNEW5I6I74GK08QAQC" localSheetId="15" hidden="1">#REF!</definedName>
    <definedName name="BExEXZ4H2ZUNEW5I6I74GK08QAQC" localSheetId="5" hidden="1">#REF!</definedName>
    <definedName name="BExEY42GK80HA9M84NTZ3NV9K2VI" localSheetId="14" hidden="1">#REF!</definedName>
    <definedName name="BExEY42GK80HA9M84NTZ3NV9K2VI" localSheetId="15" hidden="1">#REF!</definedName>
    <definedName name="BExEY42GK80HA9M84NTZ3NV9K2VI" localSheetId="5" hidden="1">#REF!</definedName>
    <definedName name="BExEYLG9FL9V1JPPNZ3FUDNSEJ4V" localSheetId="14" hidden="1">#REF!</definedName>
    <definedName name="BExEYLG9FL9V1JPPNZ3FUDNSEJ4V" localSheetId="15" hidden="1">#REF!</definedName>
    <definedName name="BExEYLG9FL9V1JPPNZ3FUDNSEJ4V" localSheetId="5" hidden="1">#REF!</definedName>
    <definedName name="BExEYOW8C1B3OUUCIGEC7L8OOW1Z" localSheetId="14" hidden="1">#REF!</definedName>
    <definedName name="BExEYOW8C1B3OUUCIGEC7L8OOW1Z" localSheetId="15" hidden="1">#REF!</definedName>
    <definedName name="BExEYOW8C1B3OUUCIGEC7L8OOW1Z" localSheetId="5" hidden="1">#REF!</definedName>
    <definedName name="BExEYPCI2LT224YS4M3T50V85FAG" localSheetId="14" hidden="1">#REF!</definedName>
    <definedName name="BExEYPCI2LT224YS4M3T50V85FAG" localSheetId="15" hidden="1">#REF!</definedName>
    <definedName name="BExEYPCI2LT224YS4M3T50V85FAG" localSheetId="5" hidden="1">#REF!</definedName>
    <definedName name="BExEYUQJXZT6N5HJH8ACJF6SRWEE" localSheetId="14" hidden="1">#REF!</definedName>
    <definedName name="BExEYUQJXZT6N5HJH8ACJF6SRWEE" localSheetId="15" hidden="1">#REF!</definedName>
    <definedName name="BExEYUQJXZT6N5HJH8ACJF6SRWEE" localSheetId="5" hidden="1">#REF!</definedName>
    <definedName name="BExEYYC7KLO4XJQW9GMGVVJQXF4C" localSheetId="14" hidden="1">#REF!</definedName>
    <definedName name="BExEYYC7KLO4XJQW9GMGVVJQXF4C" localSheetId="15" hidden="1">#REF!</definedName>
    <definedName name="BExEYYC7KLO4XJQW9GMGVVJQXF4C" localSheetId="5" hidden="1">#REF!</definedName>
    <definedName name="BExEZ1S6VZCG01ZPLBSS9Z1SBOJ2" localSheetId="14" hidden="1">#REF!</definedName>
    <definedName name="BExEZ1S6VZCG01ZPLBSS9Z1SBOJ2" localSheetId="15" hidden="1">#REF!</definedName>
    <definedName name="BExEZ1S6VZCG01ZPLBSS9Z1SBOJ2" localSheetId="5" hidden="1">#REF!</definedName>
    <definedName name="BExEZ6KV8TDKOO0Y66LSH9DCFW5M" localSheetId="14" hidden="1">#REF!</definedName>
    <definedName name="BExEZ6KV8TDKOO0Y66LSH9DCFW5M" localSheetId="15" hidden="1">#REF!</definedName>
    <definedName name="BExEZ6KV8TDKOO0Y66LSH9DCFW5M" localSheetId="5" hidden="1">#REF!</definedName>
    <definedName name="BExEZGBFNJR8DLPN0V11AU22L6WY" localSheetId="14" hidden="1">#REF!</definedName>
    <definedName name="BExEZGBFNJR8DLPN0V11AU22L6WY" localSheetId="15" hidden="1">#REF!</definedName>
    <definedName name="BExEZGBFNJR8DLPN0V11AU22L6WY" localSheetId="5" hidden="1">#REF!</definedName>
    <definedName name="BExEZVR61GWO1ZM3XHWUKRJJMQXV" localSheetId="14" hidden="1">#REF!</definedName>
    <definedName name="BExEZVR61GWO1ZM3XHWUKRJJMQXV" localSheetId="15" hidden="1">#REF!</definedName>
    <definedName name="BExEZVR61GWO1ZM3XHWUKRJJMQXV" localSheetId="5" hidden="1">#REF!</definedName>
    <definedName name="BExF02Y3V3QEPO2XLDSK47APK9XJ" localSheetId="14" hidden="1">#REF!</definedName>
    <definedName name="BExF02Y3V3QEPO2XLDSK47APK9XJ" localSheetId="15" hidden="1">#REF!</definedName>
    <definedName name="BExF02Y3V3QEPO2XLDSK47APK9XJ" localSheetId="5" hidden="1">#REF!</definedName>
    <definedName name="BExF03E824NHBODFUZ3PZ5HLF85X" localSheetId="14" hidden="1">#REF!</definedName>
    <definedName name="BExF03E824NHBODFUZ3PZ5HLF85X" localSheetId="15" hidden="1">#REF!</definedName>
    <definedName name="BExF03E824NHBODFUZ3PZ5HLF85X" localSheetId="5" hidden="1">#REF!</definedName>
    <definedName name="BExF09OS91RT7N7IW8JLMZ121ZP3" localSheetId="14" hidden="1">#REF!</definedName>
    <definedName name="BExF09OS91RT7N7IW8JLMZ121ZP3" localSheetId="15" hidden="1">#REF!</definedName>
    <definedName name="BExF09OS91RT7N7IW8JLMZ121ZP3" localSheetId="5" hidden="1">#REF!</definedName>
    <definedName name="BExF0D4SEQ7RRCAER8UQKUJ4HH0Q" localSheetId="14" hidden="1">#REF!</definedName>
    <definedName name="BExF0D4SEQ7RRCAER8UQKUJ4HH0Q" localSheetId="15" hidden="1">#REF!</definedName>
    <definedName name="BExF0D4SEQ7RRCAER8UQKUJ4HH0Q" localSheetId="5" hidden="1">#REF!</definedName>
    <definedName name="BExF0D4Z97PCG5JI9CC2TFB553AX" localSheetId="14" hidden="1">#REF!</definedName>
    <definedName name="BExF0D4Z97PCG5JI9CC2TFB553AX" localSheetId="15" hidden="1">#REF!</definedName>
    <definedName name="BExF0D4Z97PCG5JI9CC2TFB553AX" localSheetId="5" hidden="1">#REF!</definedName>
    <definedName name="BExF0DAB1PUE0V936NFEK68CCKTJ" localSheetId="14" hidden="1">#REF!</definedName>
    <definedName name="BExF0DAB1PUE0V936NFEK68CCKTJ" localSheetId="15" hidden="1">#REF!</definedName>
    <definedName name="BExF0DAB1PUE0V936NFEK68CCKTJ" localSheetId="5" hidden="1">#REF!</definedName>
    <definedName name="BExF0LOEHV42P2DV7QL8O7HOQ3N9" localSheetId="14" hidden="1">#REF!</definedName>
    <definedName name="BExF0LOEHV42P2DV7QL8O7HOQ3N9" localSheetId="15" hidden="1">#REF!</definedName>
    <definedName name="BExF0LOEHV42P2DV7QL8O7HOQ3N9" localSheetId="5" hidden="1">#REF!</definedName>
    <definedName name="BExF0QRT0ZP2578DKKC9SRW40F5L" localSheetId="14" hidden="1">#REF!</definedName>
    <definedName name="BExF0QRT0ZP2578DKKC9SRW40F5L" localSheetId="15" hidden="1">#REF!</definedName>
    <definedName name="BExF0QRT0ZP2578DKKC9SRW40F5L" localSheetId="5" hidden="1">#REF!</definedName>
    <definedName name="BExF0WRM9VO25RLSO03ZOCE8H7K5" localSheetId="14" hidden="1">#REF!</definedName>
    <definedName name="BExF0WRM9VO25RLSO03ZOCE8H7K5" localSheetId="15" hidden="1">#REF!</definedName>
    <definedName name="BExF0WRM9VO25RLSO03ZOCE8H7K5" localSheetId="5" hidden="1">#REF!</definedName>
    <definedName name="BExF0ZRI7W4RSLIDLHTSM0AWXO3S" localSheetId="14" hidden="1">#REF!</definedName>
    <definedName name="BExF0ZRI7W4RSLIDLHTSM0AWXO3S" localSheetId="15" hidden="1">#REF!</definedName>
    <definedName name="BExF0ZRI7W4RSLIDLHTSM0AWXO3S" localSheetId="5" hidden="1">#REF!</definedName>
    <definedName name="BExF19CT3MMZZ2T5EWMDNG3UOJ01" localSheetId="14" hidden="1">#REF!</definedName>
    <definedName name="BExF19CT3MMZZ2T5EWMDNG3UOJ01" localSheetId="15" hidden="1">#REF!</definedName>
    <definedName name="BExF19CT3MMZZ2T5EWMDNG3UOJ01" localSheetId="5" hidden="1">#REF!</definedName>
    <definedName name="BExF1C1VNHJBRW2XQKVSL1KSLFZ8" localSheetId="14" hidden="1">#REF!</definedName>
    <definedName name="BExF1C1VNHJBRW2XQKVSL1KSLFZ8" localSheetId="15" hidden="1">#REF!</definedName>
    <definedName name="BExF1C1VNHJBRW2XQKVSL1KSLFZ8" localSheetId="5" hidden="1">#REF!</definedName>
    <definedName name="BExF1M38U6NX17YJA8YU359B5Z4M" localSheetId="14" hidden="1">#REF!</definedName>
    <definedName name="BExF1M38U6NX17YJA8YU359B5Z4M" localSheetId="15" hidden="1">#REF!</definedName>
    <definedName name="BExF1M38U6NX17YJA8YU359B5Z4M" localSheetId="5" hidden="1">#REF!</definedName>
    <definedName name="BExF1MU4W3NPEY0OHRDWP5IANCBB" localSheetId="14" hidden="1">#REF!</definedName>
    <definedName name="BExF1MU4W3NPEY0OHRDWP5IANCBB" localSheetId="15" hidden="1">#REF!</definedName>
    <definedName name="BExF1MU4W3NPEY0OHRDWP5IANCBB" localSheetId="5" hidden="1">#REF!</definedName>
    <definedName name="BExF1MZN8MWMOKOARHJ1QAF9HPGT" localSheetId="14" hidden="1">#REF!</definedName>
    <definedName name="BExF1MZN8MWMOKOARHJ1QAF9HPGT" localSheetId="15" hidden="1">#REF!</definedName>
    <definedName name="BExF1MZN8MWMOKOARHJ1QAF9HPGT" localSheetId="5" hidden="1">#REF!</definedName>
    <definedName name="BExF1US4ZIQYSU5LBFYNRA9N0K2O" localSheetId="14" hidden="1">#REF!</definedName>
    <definedName name="BExF1US4ZIQYSU5LBFYNRA9N0K2O" localSheetId="15" hidden="1">#REF!</definedName>
    <definedName name="BExF1US4ZIQYSU5LBFYNRA9N0K2O" localSheetId="5" hidden="1">#REF!</definedName>
    <definedName name="BExF272JNPJCK1XLBG016XXBVFO8" localSheetId="14" hidden="1">#REF!</definedName>
    <definedName name="BExF272JNPJCK1XLBG016XXBVFO8" localSheetId="15" hidden="1">#REF!</definedName>
    <definedName name="BExF272JNPJCK1XLBG016XXBVFO8" localSheetId="5" hidden="1">#REF!</definedName>
    <definedName name="BExF2CWZN6E87RGTBMD4YQI2QT7R" localSheetId="14" hidden="1">#REF!</definedName>
    <definedName name="BExF2CWZN6E87RGTBMD4YQI2QT7R" localSheetId="15" hidden="1">#REF!</definedName>
    <definedName name="BExF2CWZN6E87RGTBMD4YQI2QT7R" localSheetId="5" hidden="1">#REF!</definedName>
    <definedName name="BExF2DYO1WQ7GMXSTAQRDBW1NSFG" localSheetId="14" hidden="1">#REF!</definedName>
    <definedName name="BExF2DYO1WQ7GMXSTAQRDBW1NSFG" localSheetId="15" hidden="1">#REF!</definedName>
    <definedName name="BExF2DYO1WQ7GMXSTAQRDBW1NSFG" localSheetId="5" hidden="1">#REF!</definedName>
    <definedName name="BExF2H9D3MC9XKLPZ6VIP4F7G4YN" localSheetId="14" hidden="1">#REF!</definedName>
    <definedName name="BExF2H9D3MC9XKLPZ6VIP4F7G4YN" localSheetId="15" hidden="1">#REF!</definedName>
    <definedName name="BExF2H9D3MC9XKLPZ6VIP4F7G4YN" localSheetId="5" hidden="1">#REF!</definedName>
    <definedName name="BExF2MSWNUY9Z6BZJQZ538PPTION" localSheetId="14" hidden="1">#REF!</definedName>
    <definedName name="BExF2MSWNUY9Z6BZJQZ538PPTION" localSheetId="15" hidden="1">#REF!</definedName>
    <definedName name="BExF2MSWNUY9Z6BZJQZ538PPTION" localSheetId="5" hidden="1">#REF!</definedName>
    <definedName name="BExF2QZYWHTYGUTTXR15CKCV3LS7" localSheetId="14" hidden="1">#REF!</definedName>
    <definedName name="BExF2QZYWHTYGUTTXR15CKCV3LS7" localSheetId="15" hidden="1">#REF!</definedName>
    <definedName name="BExF2QZYWHTYGUTTXR15CKCV3LS7" localSheetId="5" hidden="1">#REF!</definedName>
    <definedName name="BExF2T8Y6TSJ74RMSZOA9CEH4OZ6" localSheetId="14" hidden="1">#REF!</definedName>
    <definedName name="BExF2T8Y6TSJ74RMSZOA9CEH4OZ6" localSheetId="15" hidden="1">#REF!</definedName>
    <definedName name="BExF2T8Y6TSJ74RMSZOA9CEH4OZ6" localSheetId="5" hidden="1">#REF!</definedName>
    <definedName name="BExF31N3YM4F37EOOY8M8VI1KXN8" localSheetId="14" hidden="1">#REF!</definedName>
    <definedName name="BExF31N3YM4F37EOOY8M8VI1KXN8" localSheetId="15" hidden="1">#REF!</definedName>
    <definedName name="BExF31N3YM4F37EOOY8M8VI1KXN8" localSheetId="5" hidden="1">#REF!</definedName>
    <definedName name="BExF37C1YKBT79Z9SOJAG5MXQGTU" localSheetId="14" hidden="1">#REF!</definedName>
    <definedName name="BExF37C1YKBT79Z9SOJAG5MXQGTU" localSheetId="15" hidden="1">#REF!</definedName>
    <definedName name="BExF37C1YKBT79Z9SOJAG5MXQGTU" localSheetId="5" hidden="1">#REF!</definedName>
    <definedName name="BExF3A6HPA6DGYALZNHHJPMCUYZR" localSheetId="14" hidden="1">#REF!</definedName>
    <definedName name="BExF3A6HPA6DGYALZNHHJPMCUYZR" localSheetId="15" hidden="1">#REF!</definedName>
    <definedName name="BExF3A6HPA6DGYALZNHHJPMCUYZR" localSheetId="5" hidden="1">#REF!</definedName>
    <definedName name="BExF3GMJW5D7066GYKTMM3CVH1HE" localSheetId="14" hidden="1">#REF!</definedName>
    <definedName name="BExF3GMJW5D7066GYKTMM3CVH1HE" localSheetId="15" hidden="1">#REF!</definedName>
    <definedName name="BExF3GMJW5D7066GYKTMM3CVH1HE" localSheetId="5" hidden="1">#REF!</definedName>
    <definedName name="BExF3I9T44X7DV9HHV51DVDDPPZG" localSheetId="14" hidden="1">#REF!</definedName>
    <definedName name="BExF3I9T44X7DV9HHV51DVDDPPZG" localSheetId="15" hidden="1">#REF!</definedName>
    <definedName name="BExF3I9T44X7DV9HHV51DVDDPPZG" localSheetId="5" hidden="1">#REF!</definedName>
    <definedName name="BExF3IKLZ35F2D4DI7R7P7NZLVC3" localSheetId="14" hidden="1">#REF!</definedName>
    <definedName name="BExF3IKLZ35F2D4DI7R7P7NZLVC3" localSheetId="15" hidden="1">#REF!</definedName>
    <definedName name="BExF3IKLZ35F2D4DI7R7P7NZLVC3" localSheetId="5" hidden="1">#REF!</definedName>
    <definedName name="BExF3JMFX5DILOIFUDIO1HZUK875" localSheetId="14" hidden="1">#REF!</definedName>
    <definedName name="BExF3JMFX5DILOIFUDIO1HZUK875" localSheetId="15" hidden="1">#REF!</definedName>
    <definedName name="BExF3JMFX5DILOIFUDIO1HZUK875" localSheetId="5" hidden="1">#REF!</definedName>
    <definedName name="BExF3KIO2G9LJYXZ61H8PJJ6OQXV" localSheetId="14" hidden="1">#REF!</definedName>
    <definedName name="BExF3KIO2G9LJYXZ61H8PJJ6OQXV" localSheetId="15" hidden="1">#REF!</definedName>
    <definedName name="BExF3KIO2G9LJYXZ61H8PJJ6OQXV" localSheetId="5" hidden="1">#REF!</definedName>
    <definedName name="BExF3MGVCZHXDAUDZAGUYESZ3RC8" localSheetId="14" hidden="1">#REF!</definedName>
    <definedName name="BExF3MGVCZHXDAUDZAGUYESZ3RC8" localSheetId="15" hidden="1">#REF!</definedName>
    <definedName name="BExF3MGVCZHXDAUDZAGUYESZ3RC8" localSheetId="5" hidden="1">#REF!</definedName>
    <definedName name="BExF3NTC4BGZEM6B87TCFX277QCS" localSheetId="14" hidden="1">#REF!</definedName>
    <definedName name="BExF3NTC4BGZEM6B87TCFX277QCS" localSheetId="15" hidden="1">#REF!</definedName>
    <definedName name="BExF3NTC4BGZEM6B87TCFX277QCS" localSheetId="5" hidden="1">#REF!</definedName>
    <definedName name="BExF3Q2DOSQI9SIAXB522CN0WBZ7" localSheetId="14" hidden="1">#REF!</definedName>
    <definedName name="BExF3Q2DOSQI9SIAXB522CN0WBZ7" localSheetId="15" hidden="1">#REF!</definedName>
    <definedName name="BExF3Q2DOSQI9SIAXB522CN0WBZ7" localSheetId="5" hidden="1">#REF!</definedName>
    <definedName name="BExF3Q7NI90WT31QHYSJDIG0LLLJ" localSheetId="14" hidden="1">#REF!</definedName>
    <definedName name="BExF3Q7NI90WT31QHYSJDIG0LLLJ" localSheetId="15" hidden="1">#REF!</definedName>
    <definedName name="BExF3Q7NI90WT31QHYSJDIG0LLLJ" localSheetId="5" hidden="1">#REF!</definedName>
    <definedName name="BExF3QD55TIY1MSBSRK9TUJKBEWO" localSheetId="14" hidden="1">#REF!</definedName>
    <definedName name="BExF3QD55TIY1MSBSRK9TUJKBEWO" localSheetId="15" hidden="1">#REF!</definedName>
    <definedName name="BExF3QD55TIY1MSBSRK9TUJKBEWO" localSheetId="5" hidden="1">#REF!</definedName>
    <definedName name="BExF3QT8J6RIF1L3R700MBSKIOKW" localSheetId="14" hidden="1">#REF!</definedName>
    <definedName name="BExF3QT8J6RIF1L3R700MBSKIOKW" localSheetId="15" hidden="1">#REF!</definedName>
    <definedName name="BExF3QT8J6RIF1L3R700MBSKIOKW" localSheetId="5" hidden="1">#REF!</definedName>
    <definedName name="BExF42SSBVPMLK2UB3B7FPEIY9TU" localSheetId="14" hidden="1">#REF!</definedName>
    <definedName name="BExF42SSBVPMLK2UB3B7FPEIY9TU" localSheetId="15" hidden="1">#REF!</definedName>
    <definedName name="BExF42SSBVPMLK2UB3B7FPEIY9TU" localSheetId="5" hidden="1">#REF!</definedName>
    <definedName name="BExF4HXSWB50BKYPWA0HTT8W56H6" localSheetId="14" hidden="1">#REF!</definedName>
    <definedName name="BExF4HXSWB50BKYPWA0HTT8W56H6" localSheetId="15" hidden="1">#REF!</definedName>
    <definedName name="BExF4HXSWB50BKYPWA0HTT8W56H6" localSheetId="5" hidden="1">#REF!</definedName>
    <definedName name="BExF4J4Y60OUA8GY6YN8XVRUX80A" localSheetId="14" hidden="1">#REF!</definedName>
    <definedName name="BExF4J4Y60OUA8GY6YN8XVRUX80A" localSheetId="15" hidden="1">#REF!</definedName>
    <definedName name="BExF4J4Y60OUA8GY6YN8XVRUX80A" localSheetId="5" hidden="1">#REF!</definedName>
    <definedName name="BExF4KHF04IWW4LQ95FHQPFE4Y9K" localSheetId="14" hidden="1">#REF!</definedName>
    <definedName name="BExF4KHF04IWW4LQ95FHQPFE4Y9K" localSheetId="15" hidden="1">#REF!</definedName>
    <definedName name="BExF4KHF04IWW4LQ95FHQPFE4Y9K" localSheetId="5" hidden="1">#REF!</definedName>
    <definedName name="BExF4MVQM5Y0QRDLDFSKWWTF709C" localSheetId="14" hidden="1">#REF!</definedName>
    <definedName name="BExF4MVQM5Y0QRDLDFSKWWTF709C" localSheetId="15" hidden="1">#REF!</definedName>
    <definedName name="BExF4MVQM5Y0QRDLDFSKWWTF709C" localSheetId="5" hidden="1">#REF!</definedName>
    <definedName name="BExF4PVMZYV36E8HOYY06J81AMBI" localSheetId="14" hidden="1">#REF!</definedName>
    <definedName name="BExF4PVMZYV36E8HOYY06J81AMBI" localSheetId="15" hidden="1">#REF!</definedName>
    <definedName name="BExF4PVMZYV36E8HOYY06J81AMBI" localSheetId="5" hidden="1">#REF!</definedName>
    <definedName name="BExF4SF9NEX1FZE9N8EXT89PM54D" localSheetId="14" hidden="1">#REF!</definedName>
    <definedName name="BExF4SF9NEX1FZE9N8EXT89PM54D" localSheetId="15" hidden="1">#REF!</definedName>
    <definedName name="BExF4SF9NEX1FZE9N8EXT89PM54D" localSheetId="5" hidden="1">#REF!</definedName>
    <definedName name="BExF52GTGP8MHGII4KJ8TJGR8W8U" localSheetId="14" hidden="1">#REF!</definedName>
    <definedName name="BExF52GTGP8MHGII4KJ8TJGR8W8U" localSheetId="15" hidden="1">#REF!</definedName>
    <definedName name="BExF52GTGP8MHGII4KJ8TJGR8W8U" localSheetId="5" hidden="1">#REF!</definedName>
    <definedName name="BExF57K7L3UC1I2FSAWURR4SN0UN" localSheetId="14" hidden="1">#REF!</definedName>
    <definedName name="BExF57K7L3UC1I2FSAWURR4SN0UN" localSheetId="15" hidden="1">#REF!</definedName>
    <definedName name="BExF57K7L3UC1I2FSAWURR4SN0UN" localSheetId="5" hidden="1">#REF!</definedName>
    <definedName name="BExF5HR2GFV7O8LKG9SJ4BY78LYA" localSheetId="14" hidden="1">#REF!</definedName>
    <definedName name="BExF5HR2GFV7O8LKG9SJ4BY78LYA" localSheetId="15" hidden="1">#REF!</definedName>
    <definedName name="BExF5HR2GFV7O8LKG9SJ4BY78LYA" localSheetId="5" hidden="1">#REF!</definedName>
    <definedName name="BExF5ZFO2A29GHWR5ES64Z9OS16J" localSheetId="14" hidden="1">#REF!</definedName>
    <definedName name="BExF5ZFO2A29GHWR5ES64Z9OS16J" localSheetId="15" hidden="1">#REF!</definedName>
    <definedName name="BExF5ZFO2A29GHWR5ES64Z9OS16J" localSheetId="5" hidden="1">#REF!</definedName>
    <definedName name="BExF63S045JO7H2ZJCBTBVH3SUIF" localSheetId="14" hidden="1">#REF!</definedName>
    <definedName name="BExF63S045JO7H2ZJCBTBVH3SUIF" localSheetId="15" hidden="1">#REF!</definedName>
    <definedName name="BExF63S045JO7H2ZJCBTBVH3SUIF" localSheetId="5" hidden="1">#REF!</definedName>
    <definedName name="BExF642TEGTXCI9A61ZOONJCB0U1" localSheetId="14" hidden="1">#REF!</definedName>
    <definedName name="BExF642TEGTXCI9A61ZOONJCB0U1" localSheetId="15" hidden="1">#REF!</definedName>
    <definedName name="BExF642TEGTXCI9A61ZOONJCB0U1" localSheetId="5" hidden="1">#REF!</definedName>
    <definedName name="BExF67O951CF8UJF3KBDNR0E83C1" localSheetId="14" hidden="1">#REF!</definedName>
    <definedName name="BExF67O951CF8UJF3KBDNR0E83C1" localSheetId="15" hidden="1">#REF!</definedName>
    <definedName name="BExF67O951CF8UJF3KBDNR0E83C1" localSheetId="5" hidden="1">#REF!</definedName>
    <definedName name="BExF6EV7I35NVMIJGYTB6E24YVPA" localSheetId="14" hidden="1">#REF!</definedName>
    <definedName name="BExF6EV7I35NVMIJGYTB6E24YVPA" localSheetId="15" hidden="1">#REF!</definedName>
    <definedName name="BExF6EV7I35NVMIJGYTB6E24YVPA" localSheetId="5" hidden="1">#REF!</definedName>
    <definedName name="BExF6FGUF393KTMBT40S5BYAFG00" localSheetId="14" hidden="1">#REF!</definedName>
    <definedName name="BExF6FGUF393KTMBT40S5BYAFG00" localSheetId="15" hidden="1">#REF!</definedName>
    <definedName name="BExF6FGUF393KTMBT40S5BYAFG00" localSheetId="5" hidden="1">#REF!</definedName>
    <definedName name="BExF6GNYXWY8A0SY4PW1B6KJMMTM" localSheetId="14" hidden="1">#REF!</definedName>
    <definedName name="BExF6GNYXWY8A0SY4PW1B6KJMMTM" localSheetId="15" hidden="1">#REF!</definedName>
    <definedName name="BExF6GNYXWY8A0SY4PW1B6KJMMTM" localSheetId="5" hidden="1">#REF!</definedName>
    <definedName name="BExF6IB8K74Z0AFT05GPOKKZW7C9" localSheetId="14" hidden="1">#REF!</definedName>
    <definedName name="BExF6IB8K74Z0AFT05GPOKKZW7C9" localSheetId="15" hidden="1">#REF!</definedName>
    <definedName name="BExF6IB8K74Z0AFT05GPOKKZW7C9" localSheetId="5" hidden="1">#REF!</definedName>
    <definedName name="BExF6NUXJI11W2IAZNAM1QWC0459" localSheetId="14" hidden="1">#REF!</definedName>
    <definedName name="BExF6NUXJI11W2IAZNAM1QWC0459" localSheetId="15" hidden="1">#REF!</definedName>
    <definedName name="BExF6NUXJI11W2IAZNAM1QWC0459" localSheetId="5" hidden="1">#REF!</definedName>
    <definedName name="BExF6RR76KNVIXGJOVFO8GDILKGZ" localSheetId="14" hidden="1">#REF!</definedName>
    <definedName name="BExF6RR76KNVIXGJOVFO8GDILKGZ" localSheetId="15" hidden="1">#REF!</definedName>
    <definedName name="BExF6RR76KNVIXGJOVFO8GDILKGZ" localSheetId="5" hidden="1">#REF!</definedName>
    <definedName name="BExF6ZE8D5CMPJPRWT6S4HM56LPF" localSheetId="14" hidden="1">#REF!</definedName>
    <definedName name="BExF6ZE8D5CMPJPRWT6S4HM56LPF" localSheetId="15" hidden="1">#REF!</definedName>
    <definedName name="BExF6ZE8D5CMPJPRWT6S4HM56LPF" localSheetId="5" hidden="1">#REF!</definedName>
    <definedName name="BExF76FV8SF7AJK7B35AL7VTZF6D" localSheetId="14" hidden="1">#REF!</definedName>
    <definedName name="BExF76FV8SF7AJK7B35AL7VTZF6D" localSheetId="15" hidden="1">#REF!</definedName>
    <definedName name="BExF76FV8SF7AJK7B35AL7VTZF6D" localSheetId="5" hidden="1">#REF!</definedName>
    <definedName name="BExF7EOIMC1OYL1N7835KGOI0FIZ" localSheetId="14" hidden="1">#REF!</definedName>
    <definedName name="BExF7EOIMC1OYL1N7835KGOI0FIZ" localSheetId="15" hidden="1">#REF!</definedName>
    <definedName name="BExF7EOIMC1OYL1N7835KGOI0FIZ" localSheetId="5" hidden="1">#REF!</definedName>
    <definedName name="BExF7K88K7ASGV6RAOAGH52G04VR" localSheetId="14" hidden="1">#REF!</definedName>
    <definedName name="BExF7K88K7ASGV6RAOAGH52G04VR" localSheetId="15" hidden="1">#REF!</definedName>
    <definedName name="BExF7K88K7ASGV6RAOAGH52G04VR" localSheetId="5" hidden="1">#REF!</definedName>
    <definedName name="BExF7OVDRP3LHNAF2CX4V84CKKIR" localSheetId="14" hidden="1">#REF!</definedName>
    <definedName name="BExF7OVDRP3LHNAF2CX4V84CKKIR" localSheetId="15" hidden="1">#REF!</definedName>
    <definedName name="BExF7OVDRP3LHNAF2CX4V84CKKIR" localSheetId="5" hidden="1">#REF!</definedName>
    <definedName name="BExF7QO41X2A2SL8UXDNP99GY7U9" localSheetId="14" hidden="1">#REF!</definedName>
    <definedName name="BExF7QO41X2A2SL8UXDNP99GY7U9" localSheetId="15" hidden="1">#REF!</definedName>
    <definedName name="BExF7QO41X2A2SL8UXDNP99GY7U9" localSheetId="5" hidden="1">#REF!</definedName>
    <definedName name="BExF7QYWRJ8S4SID84VVXH3TN7X8" localSheetId="14" hidden="1">#REF!</definedName>
    <definedName name="BExF7QYWRJ8S4SID84VVXH3TN7X8" localSheetId="15" hidden="1">#REF!</definedName>
    <definedName name="BExF7QYWRJ8S4SID84VVXH3TN7X8" localSheetId="5" hidden="1">#REF!</definedName>
    <definedName name="BExF81GI8B8WBHXFTET68A9358BR" localSheetId="14" hidden="1">#REF!</definedName>
    <definedName name="BExF81GI8B8WBHXFTET68A9358BR" localSheetId="15" hidden="1">#REF!</definedName>
    <definedName name="BExF81GI8B8WBHXFTET68A9358BR" localSheetId="5" hidden="1">#REF!</definedName>
    <definedName name="BExGKN1EUJWHOYSSFY4XX6T9QVV5" localSheetId="14" hidden="1">#REF!</definedName>
    <definedName name="BExGKN1EUJWHOYSSFY4XX6T9QVV5" localSheetId="15" hidden="1">#REF!</definedName>
    <definedName name="BExGKN1EUJWHOYSSFY4XX6T9QVV5" localSheetId="5" hidden="1">#REF!</definedName>
    <definedName name="BExGL97US0Y3KXXASUTVR26XLT70" localSheetId="14" hidden="1">#REF!</definedName>
    <definedName name="BExGL97US0Y3KXXASUTVR26XLT70" localSheetId="15" hidden="1">#REF!</definedName>
    <definedName name="BExGL97US0Y3KXXASUTVR26XLT70" localSheetId="5" hidden="1">#REF!</definedName>
    <definedName name="BExGL9TEJAX73AMCXKXTMRO9T6QA" localSheetId="14" hidden="1">#REF!</definedName>
    <definedName name="BExGL9TEJAX73AMCXKXTMRO9T6QA" localSheetId="15" hidden="1">#REF!</definedName>
    <definedName name="BExGL9TEJAX73AMCXKXTMRO9T6QA" localSheetId="5" hidden="1">#REF!</definedName>
    <definedName name="BExGLBM5GKGBJDTZSMMBZBAVQ7N1" localSheetId="14" hidden="1">#REF!</definedName>
    <definedName name="BExGLBM5GKGBJDTZSMMBZBAVQ7N1" localSheetId="15" hidden="1">#REF!</definedName>
    <definedName name="BExGLBM5GKGBJDTZSMMBZBAVQ7N1" localSheetId="5" hidden="1">#REF!</definedName>
    <definedName name="BExGLC7R4C33RO0PID97ZPPVCW4M" localSheetId="14" hidden="1">#REF!</definedName>
    <definedName name="BExGLC7R4C33RO0PID97ZPPVCW4M" localSheetId="15" hidden="1">#REF!</definedName>
    <definedName name="BExGLC7R4C33RO0PID97ZPPVCW4M" localSheetId="5" hidden="1">#REF!</definedName>
    <definedName name="BExGLFIF7HCFSHNQHKEV6RY0WCO3" localSheetId="14" hidden="1">#REF!</definedName>
    <definedName name="BExGLFIF7HCFSHNQHKEV6RY0WCO3" localSheetId="15" hidden="1">#REF!</definedName>
    <definedName name="BExGLFIF7HCFSHNQHKEV6RY0WCO3" localSheetId="5" hidden="1">#REF!</definedName>
    <definedName name="BExGLPP9Z6SH15N8AV0F7H58S14K" localSheetId="14" hidden="1">#REF!</definedName>
    <definedName name="BExGLPP9Z6SH15N8AV0F7H58S14K" localSheetId="15" hidden="1">#REF!</definedName>
    <definedName name="BExGLPP9Z6SH15N8AV0F7H58S14K" localSheetId="5" hidden="1">#REF!</definedName>
    <definedName name="BExGLQATG820J44V2O4JEICPUUTR" localSheetId="14" hidden="1">#REF!</definedName>
    <definedName name="BExGLQATG820J44V2O4JEICPUUTR" localSheetId="15" hidden="1">#REF!</definedName>
    <definedName name="BExGLQATG820J44V2O4JEICPUUTR" localSheetId="5" hidden="1">#REF!</definedName>
    <definedName name="BExGLTARRL0J772UD2TXEYAVPY6E" localSheetId="14" hidden="1">#REF!</definedName>
    <definedName name="BExGLTARRL0J772UD2TXEYAVPY6E" localSheetId="15" hidden="1">#REF!</definedName>
    <definedName name="BExGLTARRL0J772UD2TXEYAVPY6E" localSheetId="5" hidden="1">#REF!</definedName>
    <definedName name="BExGLYE6RZTAAWHJBG2QFJPTDS2Q" localSheetId="14" hidden="1">#REF!</definedName>
    <definedName name="BExGLYE6RZTAAWHJBG2QFJPTDS2Q" localSheetId="15" hidden="1">#REF!</definedName>
    <definedName name="BExGLYE6RZTAAWHJBG2QFJPTDS2Q" localSheetId="5" hidden="1">#REF!</definedName>
    <definedName name="BExGM4DZ65OAQP7MA4LN6QMYZOFF" localSheetId="14" hidden="1">#REF!</definedName>
    <definedName name="BExGM4DZ65OAQP7MA4LN6QMYZOFF" localSheetId="15" hidden="1">#REF!</definedName>
    <definedName name="BExGM4DZ65OAQP7MA4LN6QMYZOFF" localSheetId="5" hidden="1">#REF!</definedName>
    <definedName name="BExGMCXCWEC9XNUOEMZ61TMI6CUO" localSheetId="14" hidden="1">#REF!</definedName>
    <definedName name="BExGMCXCWEC9XNUOEMZ61TMI6CUO" localSheetId="15" hidden="1">#REF!</definedName>
    <definedName name="BExGMCXCWEC9XNUOEMZ61TMI6CUO" localSheetId="5" hidden="1">#REF!</definedName>
    <definedName name="BExGMJDGIH0MEPC2TUSFUCY2ROTB" localSheetId="14" hidden="1">#REF!</definedName>
    <definedName name="BExGMJDGIH0MEPC2TUSFUCY2ROTB" localSheetId="15" hidden="1">#REF!</definedName>
    <definedName name="BExGMJDGIH0MEPC2TUSFUCY2ROTB" localSheetId="5" hidden="1">#REF!</definedName>
    <definedName name="BExGMKPW2HPKN0M0XKF3AZ8YP0D6" localSheetId="14" hidden="1">#REF!</definedName>
    <definedName name="BExGMKPW2HPKN0M0XKF3AZ8YP0D6" localSheetId="15" hidden="1">#REF!</definedName>
    <definedName name="BExGMKPW2HPKN0M0XKF3AZ8YP0D6" localSheetId="5" hidden="1">#REF!</definedName>
    <definedName name="BExGMOGUOL3NATNV0TIZH2J6DLLD" localSheetId="14" hidden="1">#REF!</definedName>
    <definedName name="BExGMOGUOL3NATNV0TIZH2J6DLLD" localSheetId="15" hidden="1">#REF!</definedName>
    <definedName name="BExGMOGUOL3NATNV0TIZH2J6DLLD" localSheetId="5" hidden="1">#REF!</definedName>
    <definedName name="BExGMP2F175LGL6QVSJGP6GKYHHA" localSheetId="14" hidden="1">#REF!</definedName>
    <definedName name="BExGMP2F175LGL6QVSJGP6GKYHHA" localSheetId="15" hidden="1">#REF!</definedName>
    <definedName name="BExGMP2F175LGL6QVSJGP6GKYHHA" localSheetId="5" hidden="1">#REF!</definedName>
    <definedName name="BExGMPIIP8GKML2VVA8OEFL43NCS" localSheetId="14" hidden="1">#REF!</definedName>
    <definedName name="BExGMPIIP8GKML2VVA8OEFL43NCS" localSheetId="15" hidden="1">#REF!</definedName>
    <definedName name="BExGMPIIP8GKML2VVA8OEFL43NCS" localSheetId="5" hidden="1">#REF!</definedName>
    <definedName name="BExGMZ3SRIXLXMWBVOXXV3M4U4YL" localSheetId="14" hidden="1">#REF!</definedName>
    <definedName name="BExGMZ3SRIXLXMWBVOXXV3M4U4YL" localSheetId="15" hidden="1">#REF!</definedName>
    <definedName name="BExGMZ3SRIXLXMWBVOXXV3M4U4YL" localSheetId="5" hidden="1">#REF!</definedName>
    <definedName name="BExGMZ3UBN48IXU1ZEFYECEMZ1IM" localSheetId="14" hidden="1">#REF!</definedName>
    <definedName name="BExGMZ3UBN48IXU1ZEFYECEMZ1IM" localSheetId="15" hidden="1">#REF!</definedName>
    <definedName name="BExGMZ3UBN48IXU1ZEFYECEMZ1IM" localSheetId="5" hidden="1">#REF!</definedName>
    <definedName name="BExGN4I0QATXNZCLZJM1KH1OIJQH" localSheetId="14" hidden="1">#REF!</definedName>
    <definedName name="BExGN4I0QATXNZCLZJM1KH1OIJQH" localSheetId="15" hidden="1">#REF!</definedName>
    <definedName name="BExGN4I0QATXNZCLZJM1KH1OIJQH" localSheetId="5" hidden="1">#REF!</definedName>
    <definedName name="BExGN9FZ2RWCMSY1YOBJKZMNIM9R" localSheetId="14" hidden="1">#REF!</definedName>
    <definedName name="BExGN9FZ2RWCMSY1YOBJKZMNIM9R" localSheetId="15" hidden="1">#REF!</definedName>
    <definedName name="BExGN9FZ2RWCMSY1YOBJKZMNIM9R" localSheetId="5" hidden="1">#REF!</definedName>
    <definedName name="BExGNDSIMTHOCXXG6QOGR6DA8SGG" localSheetId="14" hidden="1">#REF!</definedName>
    <definedName name="BExGNDSIMTHOCXXG6QOGR6DA8SGG" localSheetId="15" hidden="1">#REF!</definedName>
    <definedName name="BExGNDSIMTHOCXXG6QOGR6DA8SGG" localSheetId="5" hidden="1">#REF!</definedName>
    <definedName name="BExGNHOS7RBERG1J2M2HVGSRZL5G" localSheetId="14" hidden="1">#REF!</definedName>
    <definedName name="BExGNHOS7RBERG1J2M2HVGSRZL5G" localSheetId="15" hidden="1">#REF!</definedName>
    <definedName name="BExGNHOS7RBERG1J2M2HVGSRZL5G" localSheetId="5" hidden="1">#REF!</definedName>
    <definedName name="BExGNJ18W3Q55XAXY8XTFB80IVMV" localSheetId="14" hidden="1">#REF!</definedName>
    <definedName name="BExGNJ18W3Q55XAXY8XTFB80IVMV" localSheetId="15" hidden="1">#REF!</definedName>
    <definedName name="BExGNJ18W3Q55XAXY8XTFB80IVMV" localSheetId="5" hidden="1">#REF!</definedName>
    <definedName name="BExGNN2YQ9BDAZXT2GLCSAPXKIM7" localSheetId="14" hidden="1">#REF!</definedName>
    <definedName name="BExGNN2YQ9BDAZXT2GLCSAPXKIM7" localSheetId="15" hidden="1">#REF!</definedName>
    <definedName name="BExGNN2YQ9BDAZXT2GLCSAPXKIM7" localSheetId="5" hidden="1">#REF!</definedName>
    <definedName name="BExGNP6INLF5NZFP5ME6K7C9Y0NH" localSheetId="14" hidden="1">#REF!</definedName>
    <definedName name="BExGNP6INLF5NZFP5ME6K7C9Y0NH" localSheetId="15" hidden="1">#REF!</definedName>
    <definedName name="BExGNP6INLF5NZFP5ME6K7C9Y0NH" localSheetId="5" hidden="1">#REF!</definedName>
    <definedName name="BExGNSS0CKRPKHO25R3TDBEL2NHX" localSheetId="14" hidden="1">#REF!</definedName>
    <definedName name="BExGNSS0CKRPKHO25R3TDBEL2NHX" localSheetId="15" hidden="1">#REF!</definedName>
    <definedName name="BExGNSS0CKRPKHO25R3TDBEL2NHX" localSheetId="5" hidden="1">#REF!</definedName>
    <definedName name="BExGNYH0MO8NOVS85L15G0RWX4GW" localSheetId="14" hidden="1">#REF!</definedName>
    <definedName name="BExGNYH0MO8NOVS85L15G0RWX4GW" localSheetId="15" hidden="1">#REF!</definedName>
    <definedName name="BExGNYH0MO8NOVS85L15G0RWX4GW" localSheetId="5" hidden="1">#REF!</definedName>
    <definedName name="BExGNZO44DEG8CGIDYSEGDUQ531R" localSheetId="14" hidden="1">#REF!</definedName>
    <definedName name="BExGNZO44DEG8CGIDYSEGDUQ531R" localSheetId="15" hidden="1">#REF!</definedName>
    <definedName name="BExGNZO44DEG8CGIDYSEGDUQ531R" localSheetId="5" hidden="1">#REF!</definedName>
    <definedName name="BExGO22GMMPZVQY9RQ8MDKZDP5G3" localSheetId="14" hidden="1">#REF!</definedName>
    <definedName name="BExGO22GMMPZVQY9RQ8MDKZDP5G3" localSheetId="15" hidden="1">#REF!</definedName>
    <definedName name="BExGO22GMMPZVQY9RQ8MDKZDP5G3" localSheetId="5" hidden="1">#REF!</definedName>
    <definedName name="BExGO2O0V6UYDY26AX8OSN72F77N" localSheetId="14" hidden="1">#REF!</definedName>
    <definedName name="BExGO2O0V6UYDY26AX8OSN72F77N" localSheetId="15" hidden="1">#REF!</definedName>
    <definedName name="BExGO2O0V6UYDY26AX8OSN72F77N" localSheetId="5" hidden="1">#REF!</definedName>
    <definedName name="BExGO2YUBOVLYHY1QSIHRE1KLAFV" localSheetId="14" hidden="1">#REF!</definedName>
    <definedName name="BExGO2YUBOVLYHY1QSIHRE1KLAFV" localSheetId="15" hidden="1">#REF!</definedName>
    <definedName name="BExGO2YUBOVLYHY1QSIHRE1KLAFV" localSheetId="5" hidden="1">#REF!</definedName>
    <definedName name="BExGO70E2O70LF46V8T26YFPL4V8" localSheetId="14" hidden="1">#REF!</definedName>
    <definedName name="BExGO70E2O70LF46V8T26YFPL4V8" localSheetId="15" hidden="1">#REF!</definedName>
    <definedName name="BExGO70E2O70LF46V8T26YFPL4V8" localSheetId="5" hidden="1">#REF!</definedName>
    <definedName name="BExGOB25QJMQCQE76MRW9X58OIOO" localSheetId="14" hidden="1">#REF!</definedName>
    <definedName name="BExGOB25QJMQCQE76MRW9X58OIOO" localSheetId="15" hidden="1">#REF!</definedName>
    <definedName name="BExGOB25QJMQCQE76MRW9X58OIOO" localSheetId="5" hidden="1">#REF!</definedName>
    <definedName name="BExGODAZKJ9EXMQZNQR5YDBSS525" localSheetId="14" hidden="1">#REF!</definedName>
    <definedName name="BExGODAZKJ9EXMQZNQR5YDBSS525" localSheetId="15" hidden="1">#REF!</definedName>
    <definedName name="BExGODAZKJ9EXMQZNQR5YDBSS525" localSheetId="5" hidden="1">#REF!</definedName>
    <definedName name="BExGODR8ZSMUC11I56QHSZ686XV5" localSheetId="14" hidden="1">#REF!</definedName>
    <definedName name="BExGODR8ZSMUC11I56QHSZ686XV5" localSheetId="15" hidden="1">#REF!</definedName>
    <definedName name="BExGODR8ZSMUC11I56QHSZ686XV5" localSheetId="5" hidden="1">#REF!</definedName>
    <definedName name="BExGOXJDHUDPDT8I8IVGVW9J0R5Q" localSheetId="14" hidden="1">#REF!</definedName>
    <definedName name="BExGOXJDHUDPDT8I8IVGVW9J0R5Q" localSheetId="15" hidden="1">#REF!</definedName>
    <definedName name="BExGOXJDHUDPDT8I8IVGVW9J0R5Q" localSheetId="5" hidden="1">#REF!</definedName>
    <definedName name="BExGPAPYI1N5W3IH8H485BHSVOY3" localSheetId="14" hidden="1">#REF!</definedName>
    <definedName name="BExGPAPYI1N5W3IH8H485BHSVOY3" localSheetId="15" hidden="1">#REF!</definedName>
    <definedName name="BExGPAPYI1N5W3IH8H485BHSVOY3" localSheetId="5" hidden="1">#REF!</definedName>
    <definedName name="BExGPFO3GOKYO2922Y91GMQRCMOA" localSheetId="14" hidden="1">#REF!</definedName>
    <definedName name="BExGPFO3GOKYO2922Y91GMQRCMOA" localSheetId="15" hidden="1">#REF!</definedName>
    <definedName name="BExGPFO3GOKYO2922Y91GMQRCMOA" localSheetId="5" hidden="1">#REF!</definedName>
    <definedName name="BExGPHGT5KDOCMV2EFS4OVKTWBRD" localSheetId="14" hidden="1">#REF!</definedName>
    <definedName name="BExGPHGT5KDOCMV2EFS4OVKTWBRD" localSheetId="15" hidden="1">#REF!</definedName>
    <definedName name="BExGPHGT5KDOCMV2EFS4OVKTWBRD" localSheetId="5" hidden="1">#REF!</definedName>
    <definedName name="BExGPID72Y4Y619LWASUQZKZHJNC" localSheetId="14" hidden="1">#REF!</definedName>
    <definedName name="BExGPID72Y4Y619LWASUQZKZHJNC" localSheetId="15" hidden="1">#REF!</definedName>
    <definedName name="BExGPID72Y4Y619LWASUQZKZHJNC" localSheetId="5" hidden="1">#REF!</definedName>
    <definedName name="BExGPPENQIANVGLVQJ77DK5JPRTB" localSheetId="14" hidden="1">#REF!</definedName>
    <definedName name="BExGPPENQIANVGLVQJ77DK5JPRTB" localSheetId="15" hidden="1">#REF!</definedName>
    <definedName name="BExGPPENQIANVGLVQJ77DK5JPRTB" localSheetId="5" hidden="1">#REF!</definedName>
    <definedName name="BExGPSUUG7TL5F5PTYU6G4HPJV1B" localSheetId="14" hidden="1">#REF!</definedName>
    <definedName name="BExGPSUUG7TL5F5PTYU6G4HPJV1B" localSheetId="15" hidden="1">#REF!</definedName>
    <definedName name="BExGPSUUG7TL5F5PTYU6G4HPJV1B" localSheetId="5" hidden="1">#REF!</definedName>
    <definedName name="BExGQ1E950UYXYWQ84EZEQPWHVYY" localSheetId="14" hidden="1">#REF!</definedName>
    <definedName name="BExGQ1E950UYXYWQ84EZEQPWHVYY" localSheetId="15" hidden="1">#REF!</definedName>
    <definedName name="BExGQ1E950UYXYWQ84EZEQPWHVYY" localSheetId="5" hidden="1">#REF!</definedName>
    <definedName name="BExGQ1ZU4967P72AHF4V1D0FOL5C" localSheetId="14" hidden="1">#REF!</definedName>
    <definedName name="BExGQ1ZU4967P72AHF4V1D0FOL5C" localSheetId="15" hidden="1">#REF!</definedName>
    <definedName name="BExGQ1ZU4967P72AHF4V1D0FOL5C" localSheetId="5" hidden="1">#REF!</definedName>
    <definedName name="BExGQ36ZOMR9GV8T05M605MMOY3Y" localSheetId="14" hidden="1">#REF!</definedName>
    <definedName name="BExGQ36ZOMR9GV8T05M605MMOY3Y" localSheetId="15" hidden="1">#REF!</definedName>
    <definedName name="BExGQ36ZOMR9GV8T05M605MMOY3Y" localSheetId="5" hidden="1">#REF!</definedName>
    <definedName name="BExGQ4ZP0PPMLDNVBUG12W9FFVI9" localSheetId="14" hidden="1">#REF!</definedName>
    <definedName name="BExGQ4ZP0PPMLDNVBUG12W9FFVI9" localSheetId="15" hidden="1">#REF!</definedName>
    <definedName name="BExGQ4ZP0PPMLDNVBUG12W9FFVI9" localSheetId="5" hidden="1">#REF!</definedName>
    <definedName name="BExGQ61DTJ0SBFMDFBAK3XZ9O0ZO" localSheetId="14" hidden="1">#REF!</definedName>
    <definedName name="BExGQ61DTJ0SBFMDFBAK3XZ9O0ZO" localSheetId="15" hidden="1">#REF!</definedName>
    <definedName name="BExGQ61DTJ0SBFMDFBAK3XZ9O0ZO" localSheetId="5" hidden="1">#REF!</definedName>
    <definedName name="BExGQ6SG9XEOD0VMBAR22YPZWSTA" localSheetId="14" hidden="1">#REF!</definedName>
    <definedName name="BExGQ6SG9XEOD0VMBAR22YPZWSTA" localSheetId="15" hidden="1">#REF!</definedName>
    <definedName name="BExGQ6SG9XEOD0VMBAR22YPZWSTA" localSheetId="5" hidden="1">#REF!</definedName>
    <definedName name="BExGQ8FQN3FRAGH5H2V74848P5JX" localSheetId="14" hidden="1">#REF!</definedName>
    <definedName name="BExGQ8FQN3FRAGH5H2V74848P5JX" localSheetId="15" hidden="1">#REF!</definedName>
    <definedName name="BExGQ8FQN3FRAGH5H2V74848P5JX" localSheetId="5" hidden="1">#REF!</definedName>
    <definedName name="BExGQGJ1A7LNZUS8QSMOG8UNGLMK" localSheetId="14" hidden="1">#REF!</definedName>
    <definedName name="BExGQGJ1A7LNZUS8QSMOG8UNGLMK" localSheetId="15" hidden="1">#REF!</definedName>
    <definedName name="BExGQGJ1A7LNZUS8QSMOG8UNGLMK" localSheetId="5" hidden="1">#REF!</definedName>
    <definedName name="BExGQLBNZ35IK2VK33HJUAE4ADX2" localSheetId="14" hidden="1">#REF!</definedName>
    <definedName name="BExGQLBNZ35IK2VK33HJUAE4ADX2" localSheetId="15" hidden="1">#REF!</definedName>
    <definedName name="BExGQLBNZ35IK2VK33HJUAE4ADX2" localSheetId="5" hidden="1">#REF!</definedName>
    <definedName name="BExGQPO7ENFEQC0NC6MC9OZR2LHY" localSheetId="14" hidden="1">#REF!</definedName>
    <definedName name="BExGQPO7ENFEQC0NC6MC9OZR2LHY" localSheetId="15" hidden="1">#REF!</definedName>
    <definedName name="BExGQPO7ENFEQC0NC6MC9OZR2LHY" localSheetId="5" hidden="1">#REF!</definedName>
    <definedName name="BExGQX0H4EZMXBJTKJJE4ICJWN5O" localSheetId="14" hidden="1">#REF!</definedName>
    <definedName name="BExGQX0H4EZMXBJTKJJE4ICJWN5O" localSheetId="15" hidden="1">#REF!</definedName>
    <definedName name="BExGQX0H4EZMXBJTKJJE4ICJWN5O" localSheetId="5" hidden="1">#REF!</definedName>
    <definedName name="BExGR4CW3WRIID17GGX4MI9ZDHFE" localSheetId="14" hidden="1">#REF!</definedName>
    <definedName name="BExGR4CW3WRIID17GGX4MI9ZDHFE" localSheetId="15" hidden="1">#REF!</definedName>
    <definedName name="BExGR4CW3WRIID17GGX4MI9ZDHFE" localSheetId="5" hidden="1">#REF!</definedName>
    <definedName name="BExGR65GJX27MU2OL6NI5PB8XVB4" localSheetId="14" hidden="1">#REF!</definedName>
    <definedName name="BExGR65GJX27MU2OL6NI5PB8XVB4" localSheetId="15" hidden="1">#REF!</definedName>
    <definedName name="BExGR65GJX27MU2OL6NI5PB8XVB4" localSheetId="5" hidden="1">#REF!</definedName>
    <definedName name="BExGR6LQ97HETGS3CT96L4IK0JSH" localSheetId="14" hidden="1">#REF!</definedName>
    <definedName name="BExGR6LQ97HETGS3CT96L4IK0JSH" localSheetId="15" hidden="1">#REF!</definedName>
    <definedName name="BExGR6LQ97HETGS3CT96L4IK0JSH" localSheetId="5" hidden="1">#REF!</definedName>
    <definedName name="BExGR9ATP2LVT7B9OCPSLJ11H9SX" localSheetId="14" hidden="1">#REF!</definedName>
    <definedName name="BExGR9ATP2LVT7B9OCPSLJ11H9SX" localSheetId="15" hidden="1">#REF!</definedName>
    <definedName name="BExGR9ATP2LVT7B9OCPSLJ11H9SX" localSheetId="5" hidden="1">#REF!</definedName>
    <definedName name="BExGRILCZ3BMTGDY72B1Q9BUGW0J" localSheetId="14" hidden="1">#REF!</definedName>
    <definedName name="BExGRILCZ3BMTGDY72B1Q9BUGW0J" localSheetId="15" hidden="1">#REF!</definedName>
    <definedName name="BExGRILCZ3BMTGDY72B1Q9BUGW0J" localSheetId="5" hidden="1">#REF!</definedName>
    <definedName name="BExGRNZJ74Y6OYJB9F9Y9T3CAHOS" localSheetId="14" hidden="1">#REF!</definedName>
    <definedName name="BExGRNZJ74Y6OYJB9F9Y9T3CAHOS" localSheetId="15" hidden="1">#REF!</definedName>
    <definedName name="BExGRNZJ74Y6OYJB9F9Y9T3CAHOS" localSheetId="5" hidden="1">#REF!</definedName>
    <definedName name="BExGRPC5QJQ7UGQ4P7CFWVGRQGFW" localSheetId="14" hidden="1">#REF!</definedName>
    <definedName name="BExGRPC5QJQ7UGQ4P7CFWVGRQGFW" localSheetId="15" hidden="1">#REF!</definedName>
    <definedName name="BExGRPC5QJQ7UGQ4P7CFWVGRQGFW" localSheetId="5" hidden="1">#REF!</definedName>
    <definedName name="BExGRSMULUXOBEN8G0TK90PRKQ9O" localSheetId="14" hidden="1">#REF!</definedName>
    <definedName name="BExGRSMULUXOBEN8G0TK90PRKQ9O" localSheetId="15" hidden="1">#REF!</definedName>
    <definedName name="BExGRSMULUXOBEN8G0TK90PRKQ9O" localSheetId="5" hidden="1">#REF!</definedName>
    <definedName name="BExGRUKVVKDL8483WI70VN2QZDGD" localSheetId="14" hidden="1">#REF!</definedName>
    <definedName name="BExGRUKVVKDL8483WI70VN2QZDGD" localSheetId="15" hidden="1">#REF!</definedName>
    <definedName name="BExGRUKVVKDL8483WI70VN2QZDGD" localSheetId="5" hidden="1">#REF!</definedName>
    <definedName name="BExGS2IWR5DUNJ1U9PAKIV8CMBNI" localSheetId="14" hidden="1">#REF!</definedName>
    <definedName name="BExGS2IWR5DUNJ1U9PAKIV8CMBNI" localSheetId="15" hidden="1">#REF!</definedName>
    <definedName name="BExGS2IWR5DUNJ1U9PAKIV8CMBNI" localSheetId="5" hidden="1">#REF!</definedName>
    <definedName name="BExGS69P9FFTEOPDS0MWFKF45G47" localSheetId="14" hidden="1">#REF!</definedName>
    <definedName name="BExGS69P9FFTEOPDS0MWFKF45G47" localSheetId="15" hidden="1">#REF!</definedName>
    <definedName name="BExGS69P9FFTEOPDS0MWFKF45G47" localSheetId="5" hidden="1">#REF!</definedName>
    <definedName name="BExGS6F1JFHM5MUJ1RFO50WP6D05" localSheetId="14" hidden="1">#REF!</definedName>
    <definedName name="BExGS6F1JFHM5MUJ1RFO50WP6D05" localSheetId="15" hidden="1">#REF!</definedName>
    <definedName name="BExGS6F1JFHM5MUJ1RFO50WP6D05" localSheetId="5" hidden="1">#REF!</definedName>
    <definedName name="BExGSA5YB5ZGE4NHDVCZ55TQAJTL" localSheetId="14" hidden="1">#REF!</definedName>
    <definedName name="BExGSA5YB5ZGE4NHDVCZ55TQAJTL" localSheetId="15" hidden="1">#REF!</definedName>
    <definedName name="BExGSA5YB5ZGE4NHDVCZ55TQAJTL" localSheetId="5" hidden="1">#REF!</definedName>
    <definedName name="BExGSBYPYOBOB218ABCIM2X63GJ8" localSheetId="14" hidden="1">#REF!</definedName>
    <definedName name="BExGSBYPYOBOB218ABCIM2X63GJ8" localSheetId="15" hidden="1">#REF!</definedName>
    <definedName name="BExGSBYPYOBOB218ABCIM2X63GJ8" localSheetId="5" hidden="1">#REF!</definedName>
    <definedName name="BExGSCEUCQQVDEEKWJ677QTGUVTE" localSheetId="14" hidden="1">#REF!</definedName>
    <definedName name="BExGSCEUCQQVDEEKWJ677QTGUVTE" localSheetId="15" hidden="1">#REF!</definedName>
    <definedName name="BExGSCEUCQQVDEEKWJ677QTGUVTE" localSheetId="5" hidden="1">#REF!</definedName>
    <definedName name="BExGSQY65LH1PCKKM5WHDW83F35O" localSheetId="14" hidden="1">#REF!</definedName>
    <definedName name="BExGSQY65LH1PCKKM5WHDW83F35O" localSheetId="15" hidden="1">#REF!</definedName>
    <definedName name="BExGSQY65LH1PCKKM5WHDW83F35O" localSheetId="5" hidden="1">#REF!</definedName>
    <definedName name="BExGSYW1GKISF0PMUAK3XJK9PEW9" localSheetId="14" hidden="1">#REF!</definedName>
    <definedName name="BExGSYW1GKISF0PMUAK3XJK9PEW9" localSheetId="15" hidden="1">#REF!</definedName>
    <definedName name="BExGSYW1GKISF0PMUAK3XJK9PEW9" localSheetId="5" hidden="1">#REF!</definedName>
    <definedName name="BExGT0DZJB6LSF6L693UUB9EY1VQ" localSheetId="14" hidden="1">#REF!</definedName>
    <definedName name="BExGT0DZJB6LSF6L693UUB9EY1VQ" localSheetId="15" hidden="1">#REF!</definedName>
    <definedName name="BExGT0DZJB6LSF6L693UUB9EY1VQ" localSheetId="5" hidden="1">#REF!</definedName>
    <definedName name="BExGTEMKIEF46KBIDWCAOAN5U718" localSheetId="14" hidden="1">#REF!</definedName>
    <definedName name="BExGTEMKIEF46KBIDWCAOAN5U718" localSheetId="15" hidden="1">#REF!</definedName>
    <definedName name="BExGTEMKIEF46KBIDWCAOAN5U718" localSheetId="5" hidden="1">#REF!</definedName>
    <definedName name="BExGTGVFIF8HOQXR54SK065A8M4K" localSheetId="14" hidden="1">#REF!</definedName>
    <definedName name="BExGTGVFIF8HOQXR54SK065A8M4K" localSheetId="15" hidden="1">#REF!</definedName>
    <definedName name="BExGTGVFIF8HOQXR54SK065A8M4K" localSheetId="5" hidden="1">#REF!</definedName>
    <definedName name="BExGTIYX3OWPIINOGY1E4QQYSKHP" localSheetId="14" hidden="1">#REF!</definedName>
    <definedName name="BExGTIYX3OWPIINOGY1E4QQYSKHP" localSheetId="15" hidden="1">#REF!</definedName>
    <definedName name="BExGTIYX3OWPIINOGY1E4QQYSKHP" localSheetId="5" hidden="1">#REF!</definedName>
    <definedName name="BExGTKGUN0KUU3C0RL2LK98D8MEK" localSheetId="14" hidden="1">#REF!</definedName>
    <definedName name="BExGTKGUN0KUU3C0RL2LK98D8MEK" localSheetId="15" hidden="1">#REF!</definedName>
    <definedName name="BExGTKGUN0KUU3C0RL2LK98D8MEK" localSheetId="5" hidden="1">#REF!</definedName>
    <definedName name="BExGTV3U5SZUPLTWEMEY3IIN1L4L" localSheetId="14" hidden="1">#REF!</definedName>
    <definedName name="BExGTV3U5SZUPLTWEMEY3IIN1L4L" localSheetId="15" hidden="1">#REF!</definedName>
    <definedName name="BExGTV3U5SZUPLTWEMEY3IIN1L4L" localSheetId="5" hidden="1">#REF!</definedName>
    <definedName name="BExGTZ046J7VMUG4YPKFN2K8TWB7" localSheetId="14" hidden="1">#REF!</definedName>
    <definedName name="BExGTZ046J7VMUG4YPKFN2K8TWB7" localSheetId="15" hidden="1">#REF!</definedName>
    <definedName name="BExGTZ046J7VMUG4YPKFN2K8TWB7" localSheetId="5" hidden="1">#REF!</definedName>
    <definedName name="BExGTZ04EFFQ3Z3JMM0G35JYWUK3" localSheetId="14" hidden="1">#REF!</definedName>
    <definedName name="BExGTZ04EFFQ3Z3JMM0G35JYWUK3" localSheetId="15" hidden="1">#REF!</definedName>
    <definedName name="BExGTZ04EFFQ3Z3JMM0G35JYWUK3" localSheetId="5" hidden="1">#REF!</definedName>
    <definedName name="BExGU2G9OPRZRIU9YGF6NX9FUW0J" localSheetId="14" hidden="1">#REF!</definedName>
    <definedName name="BExGU2G9OPRZRIU9YGF6NX9FUW0J" localSheetId="15" hidden="1">#REF!</definedName>
    <definedName name="BExGU2G9OPRZRIU9YGF6NX9FUW0J" localSheetId="5" hidden="1">#REF!</definedName>
    <definedName name="BExGU6HTKLRZO8UOI3DTAM5RFDBA" localSheetId="14" hidden="1">#REF!</definedName>
    <definedName name="BExGU6HTKLRZO8UOI3DTAM5RFDBA" localSheetId="15" hidden="1">#REF!</definedName>
    <definedName name="BExGU6HTKLRZO8UOI3DTAM5RFDBA" localSheetId="5" hidden="1">#REF!</definedName>
    <definedName name="BExGUDDZXFFQHAF4UZF8ZB1HO7H6" localSheetId="14" hidden="1">#REF!</definedName>
    <definedName name="BExGUDDZXFFQHAF4UZF8ZB1HO7H6" localSheetId="15" hidden="1">#REF!</definedName>
    <definedName name="BExGUDDZXFFQHAF4UZF8ZB1HO7H6" localSheetId="5" hidden="1">#REF!</definedName>
    <definedName name="BExGUI6NCRHY7EAB6SK6EPPMWFG1" localSheetId="14" hidden="1">#REF!</definedName>
    <definedName name="BExGUI6NCRHY7EAB6SK6EPPMWFG1" localSheetId="15" hidden="1">#REF!</definedName>
    <definedName name="BExGUI6NCRHY7EAB6SK6EPPMWFG1" localSheetId="5" hidden="1">#REF!</definedName>
    <definedName name="BExGUIBXBRHGM97ZX6GBA4ZDQ79C" localSheetId="14" hidden="1">#REF!</definedName>
    <definedName name="BExGUIBXBRHGM97ZX6GBA4ZDQ79C" localSheetId="15" hidden="1">#REF!</definedName>
    <definedName name="BExGUIBXBRHGM97ZX6GBA4ZDQ79C" localSheetId="5" hidden="1">#REF!</definedName>
    <definedName name="BExGUM8D91UNPCOO4TKP9FGX85TF" localSheetId="14" hidden="1">#REF!</definedName>
    <definedName name="BExGUM8D91UNPCOO4TKP9FGX85TF" localSheetId="15" hidden="1">#REF!</definedName>
    <definedName name="BExGUM8D91UNPCOO4TKP9FGX85TF" localSheetId="5" hidden="1">#REF!</definedName>
    <definedName name="BExGUMDP0WYFBZL2MCB36WWJIC04" localSheetId="14" hidden="1">#REF!</definedName>
    <definedName name="BExGUMDP0WYFBZL2MCB36WWJIC04" localSheetId="15" hidden="1">#REF!</definedName>
    <definedName name="BExGUMDP0WYFBZL2MCB36WWJIC04" localSheetId="5" hidden="1">#REF!</definedName>
    <definedName name="BExGUQF9N9FKI7S0H30WUAEB5LPD" localSheetId="14" hidden="1">#REF!</definedName>
    <definedName name="BExGUQF9N9FKI7S0H30WUAEB5LPD" localSheetId="15" hidden="1">#REF!</definedName>
    <definedName name="BExGUQF9N9FKI7S0H30WUAEB5LPD" localSheetId="5" hidden="1">#REF!</definedName>
    <definedName name="BExGUR6BA03XPBK60SQUW197GJ5X" localSheetId="14" hidden="1">#REF!</definedName>
    <definedName name="BExGUR6BA03XPBK60SQUW197GJ5X" localSheetId="15" hidden="1">#REF!</definedName>
    <definedName name="BExGUR6BA03XPBK60SQUW197GJ5X" localSheetId="5" hidden="1">#REF!</definedName>
    <definedName name="BExGUVIP60TA4B7X2PFGMBFUSKGX" localSheetId="14" hidden="1">#REF!</definedName>
    <definedName name="BExGUVIP60TA4B7X2PFGMBFUSKGX" localSheetId="15" hidden="1">#REF!</definedName>
    <definedName name="BExGUVIP60TA4B7X2PFGMBFUSKGX" localSheetId="5" hidden="1">#REF!</definedName>
    <definedName name="BExGUVTIIWAK5T0F5FD428QDO46W" localSheetId="14" hidden="1">#REF!</definedName>
    <definedName name="BExGUVTIIWAK5T0F5FD428QDO46W" localSheetId="15" hidden="1">#REF!</definedName>
    <definedName name="BExGUVTIIWAK5T0F5FD428QDO46W" localSheetId="5" hidden="1">#REF!</definedName>
    <definedName name="BExGUZKF06F209XL1IZWVJEQ82EE" localSheetId="14" hidden="1">#REF!</definedName>
    <definedName name="BExGUZKF06F209XL1IZWVJEQ82EE" localSheetId="15" hidden="1">#REF!</definedName>
    <definedName name="BExGUZKF06F209XL1IZWVJEQ82EE" localSheetId="5" hidden="1">#REF!</definedName>
    <definedName name="BExGUZPWM950OZ8P1A3N86LXK97U" localSheetId="14" hidden="1">#REF!</definedName>
    <definedName name="BExGUZPWM950OZ8P1A3N86LXK97U" localSheetId="15" hidden="1">#REF!</definedName>
    <definedName name="BExGUZPWM950OZ8P1A3N86LXK97U" localSheetId="5" hidden="1">#REF!</definedName>
    <definedName name="BExGV2EVT380QHD4AP2RL9MR8L5L" localSheetId="14" hidden="1">#REF!</definedName>
    <definedName name="BExGV2EVT380QHD4AP2RL9MR8L5L" localSheetId="15" hidden="1">#REF!</definedName>
    <definedName name="BExGV2EVT380QHD4AP2RL9MR8L5L" localSheetId="5" hidden="1">#REF!</definedName>
    <definedName name="BExGVBUSKOI7KB24K40PTXJE6MER" localSheetId="14" hidden="1">#REF!</definedName>
    <definedName name="BExGVBUSKOI7KB24K40PTXJE6MER" localSheetId="15" hidden="1">#REF!</definedName>
    <definedName name="BExGVBUSKOI7KB24K40PTXJE6MER" localSheetId="5" hidden="1">#REF!</definedName>
    <definedName name="BExGVGSQSVWTL2MNI6TT8Y92W3KA" localSheetId="14" hidden="1">#REF!</definedName>
    <definedName name="BExGVGSQSVWTL2MNI6TT8Y92W3KA" localSheetId="15" hidden="1">#REF!</definedName>
    <definedName name="BExGVGSQSVWTL2MNI6TT8Y92W3KA" localSheetId="5" hidden="1">#REF!</definedName>
    <definedName name="BExGVHP63K0GSYU17R73XGX6W2U6" localSheetId="14" hidden="1">#REF!</definedName>
    <definedName name="BExGVHP63K0GSYU17R73XGX6W2U6" localSheetId="15" hidden="1">#REF!</definedName>
    <definedName name="BExGVHP63K0GSYU17R73XGX6W2U6" localSheetId="5" hidden="1">#REF!</definedName>
    <definedName name="BExGVN3DDSLKWSP9MVJS9QMNEUIK" localSheetId="14" hidden="1">#REF!</definedName>
    <definedName name="BExGVN3DDSLKWSP9MVJS9QMNEUIK" localSheetId="15" hidden="1">#REF!</definedName>
    <definedName name="BExGVN3DDSLKWSP9MVJS9QMNEUIK" localSheetId="5" hidden="1">#REF!</definedName>
    <definedName name="BExGVUVVMLOCR9DPVUZSQ141EE4J" localSheetId="14" hidden="1">#REF!</definedName>
    <definedName name="BExGVUVVMLOCR9DPVUZSQ141EE4J" localSheetId="15" hidden="1">#REF!</definedName>
    <definedName name="BExGVUVVMLOCR9DPVUZSQ141EE4J" localSheetId="5" hidden="1">#REF!</definedName>
    <definedName name="BExGVV6OOLDQ3TXZK51TTF3YX0WN" localSheetId="14" hidden="1">#REF!</definedName>
    <definedName name="BExGVV6OOLDQ3TXZK51TTF3YX0WN" localSheetId="15" hidden="1">#REF!</definedName>
    <definedName name="BExGVV6OOLDQ3TXZK51TTF3YX0WN" localSheetId="5" hidden="1">#REF!</definedName>
    <definedName name="BExGW0KVS7U0C87XFZ78QW991IEV" localSheetId="14" hidden="1">#REF!</definedName>
    <definedName name="BExGW0KVS7U0C87XFZ78QW991IEV" localSheetId="15" hidden="1">#REF!</definedName>
    <definedName name="BExGW0KVS7U0C87XFZ78QW991IEV" localSheetId="5" hidden="1">#REF!</definedName>
    <definedName name="BExGW0Q7QHE29TGNWAWQ6GR0V6TQ" localSheetId="14" hidden="1">#REF!</definedName>
    <definedName name="BExGW0Q7QHE29TGNWAWQ6GR0V6TQ" localSheetId="15" hidden="1">#REF!</definedName>
    <definedName name="BExGW0Q7QHE29TGNWAWQ6GR0V6TQ" localSheetId="5" hidden="1">#REF!</definedName>
    <definedName name="BExGW2Z7AMPG6H9EXA9ML6EZVGGA" localSheetId="14" hidden="1">#REF!</definedName>
    <definedName name="BExGW2Z7AMPG6H9EXA9ML6EZVGGA" localSheetId="15" hidden="1">#REF!</definedName>
    <definedName name="BExGW2Z7AMPG6H9EXA9ML6EZVGGA" localSheetId="5" hidden="1">#REF!</definedName>
    <definedName name="BExGWABG5VT5XO1A196RK61AXA8C" localSheetId="14" hidden="1">#REF!</definedName>
    <definedName name="BExGWABG5VT5XO1A196RK61AXA8C" localSheetId="15" hidden="1">#REF!</definedName>
    <definedName name="BExGWABG5VT5XO1A196RK61AXA8C" localSheetId="5" hidden="1">#REF!</definedName>
    <definedName name="BExGWEO0JDG84NYLEAV5NSOAGMJZ" localSheetId="14" hidden="1">#REF!</definedName>
    <definedName name="BExGWEO0JDG84NYLEAV5NSOAGMJZ" localSheetId="15" hidden="1">#REF!</definedName>
    <definedName name="BExGWEO0JDG84NYLEAV5NSOAGMJZ" localSheetId="5" hidden="1">#REF!</definedName>
    <definedName name="BExGWLEOC70Z8QAJTPT2PDHTNM4L" localSheetId="14" hidden="1">#REF!</definedName>
    <definedName name="BExGWLEOC70Z8QAJTPT2PDHTNM4L" localSheetId="15" hidden="1">#REF!</definedName>
    <definedName name="BExGWLEOC70Z8QAJTPT2PDHTNM4L" localSheetId="5" hidden="1">#REF!</definedName>
    <definedName name="BExGWNCXLCRTLBVMTXYJ5PHQI6SS" localSheetId="14" hidden="1">#REF!</definedName>
    <definedName name="BExGWNCXLCRTLBVMTXYJ5PHQI6SS" localSheetId="15" hidden="1">#REF!</definedName>
    <definedName name="BExGWNCXLCRTLBVMTXYJ5PHQI6SS" localSheetId="5" hidden="1">#REF!</definedName>
    <definedName name="BExGX4L8N6ERT0Q4EVVNA97EGD80" localSheetId="14" hidden="1">#REF!</definedName>
    <definedName name="BExGX4L8N6ERT0Q4EVVNA97EGD80" localSheetId="15" hidden="1">#REF!</definedName>
    <definedName name="BExGX4L8N6ERT0Q4EVVNA97EGD80" localSheetId="5" hidden="1">#REF!</definedName>
    <definedName name="BExGX5MWTL78XM0QCP4NT564ML39" localSheetId="14" hidden="1">#REF!</definedName>
    <definedName name="BExGX5MWTL78XM0QCP4NT564ML39" localSheetId="15" hidden="1">#REF!</definedName>
    <definedName name="BExGX5MWTL78XM0QCP4NT564ML39" localSheetId="5" hidden="1">#REF!</definedName>
    <definedName name="BExGX6U988MCFIGDA1282F92U9AA" localSheetId="14" hidden="1">#REF!</definedName>
    <definedName name="BExGX6U988MCFIGDA1282F92U9AA" localSheetId="15" hidden="1">#REF!</definedName>
    <definedName name="BExGX6U988MCFIGDA1282F92U9AA" localSheetId="5" hidden="1">#REF!</definedName>
    <definedName name="BExGX7FTB1CKAT5HUW6H531FIY6I" localSheetId="14" hidden="1">#REF!</definedName>
    <definedName name="BExGX7FTB1CKAT5HUW6H531FIY6I" localSheetId="15" hidden="1">#REF!</definedName>
    <definedName name="BExGX7FTB1CKAT5HUW6H531FIY6I" localSheetId="5" hidden="1">#REF!</definedName>
    <definedName name="BExGX9DVACJQIZ4GH6YAD2A7F70O" localSheetId="14" hidden="1">#REF!</definedName>
    <definedName name="BExGX9DVACJQIZ4GH6YAD2A7F70O" localSheetId="15" hidden="1">#REF!</definedName>
    <definedName name="BExGX9DVACJQIZ4GH6YAD2A7F70O" localSheetId="5" hidden="1">#REF!</definedName>
    <definedName name="BExGXCZBQISQ3IMF6DJH1OXNAQP8" localSheetId="14" hidden="1">#REF!</definedName>
    <definedName name="BExGXCZBQISQ3IMF6DJH1OXNAQP8" localSheetId="15" hidden="1">#REF!</definedName>
    <definedName name="BExGXCZBQISQ3IMF6DJH1OXNAQP8" localSheetId="5" hidden="1">#REF!</definedName>
    <definedName name="BExGXDVP2S2Y8Z8Q43I78RCIK3DD" localSheetId="14" hidden="1">#REF!</definedName>
    <definedName name="BExGXDVP2S2Y8Z8Q43I78RCIK3DD" localSheetId="15" hidden="1">#REF!</definedName>
    <definedName name="BExGXDVP2S2Y8Z8Q43I78RCIK3DD" localSheetId="5" hidden="1">#REF!</definedName>
    <definedName name="BExGXJ9W5JU7TT9S0BKL5Y6VVB39" localSheetId="14" hidden="1">#REF!</definedName>
    <definedName name="BExGXJ9W5JU7TT9S0BKL5Y6VVB39" localSheetId="15" hidden="1">#REF!</definedName>
    <definedName name="BExGXJ9W5JU7TT9S0BKL5Y6VVB39" localSheetId="5" hidden="1">#REF!</definedName>
    <definedName name="BExGXWB73RJ4BASBQTQ8EY0EC1EB" localSheetId="14" hidden="1">#REF!</definedName>
    <definedName name="BExGXWB73RJ4BASBQTQ8EY0EC1EB" localSheetId="15" hidden="1">#REF!</definedName>
    <definedName name="BExGXWB73RJ4BASBQTQ8EY0EC1EB" localSheetId="5" hidden="1">#REF!</definedName>
    <definedName name="BExGXZ0ABB43C7SMRKZHWOSU9EQX" localSheetId="14" hidden="1">#REF!</definedName>
    <definedName name="BExGXZ0ABB43C7SMRKZHWOSU9EQX" localSheetId="15" hidden="1">#REF!</definedName>
    <definedName name="BExGXZ0ABB43C7SMRKZHWOSU9EQX" localSheetId="5" hidden="1">#REF!</definedName>
    <definedName name="BExGY6SU3SYVCJ3AG2ITY59SAZ5A" localSheetId="14" hidden="1">#REF!</definedName>
    <definedName name="BExGY6SU3SYVCJ3AG2ITY59SAZ5A" localSheetId="15" hidden="1">#REF!</definedName>
    <definedName name="BExGY6SU3SYVCJ3AG2ITY59SAZ5A" localSheetId="5" hidden="1">#REF!</definedName>
    <definedName name="BExGY6YA4P5KMY2VHT0DYK3YTFAX" localSheetId="14" hidden="1">#REF!</definedName>
    <definedName name="BExGY6YA4P5KMY2VHT0DYK3YTFAX" localSheetId="15" hidden="1">#REF!</definedName>
    <definedName name="BExGY6YA4P5KMY2VHT0DYK3YTFAX" localSheetId="5" hidden="1">#REF!</definedName>
    <definedName name="BExGY8G88PVVRYHPHRPJZFSX6HSC" localSheetId="14" hidden="1">#REF!</definedName>
    <definedName name="BExGY8G88PVVRYHPHRPJZFSX6HSC" localSheetId="15" hidden="1">#REF!</definedName>
    <definedName name="BExGY8G88PVVRYHPHRPJZFSX6HSC" localSheetId="5" hidden="1">#REF!</definedName>
    <definedName name="BExGYC718HTZ80PNKYPVIYGRJVF6" localSheetId="14" hidden="1">#REF!</definedName>
    <definedName name="BExGYC718HTZ80PNKYPVIYGRJVF6" localSheetId="15" hidden="1">#REF!</definedName>
    <definedName name="BExGYC718HTZ80PNKYPVIYGRJVF6" localSheetId="5" hidden="1">#REF!</definedName>
    <definedName name="BExGYCNATXZY2FID93B17YWIPPRD" localSheetId="14" hidden="1">#REF!</definedName>
    <definedName name="BExGYCNATXZY2FID93B17YWIPPRD" localSheetId="15" hidden="1">#REF!</definedName>
    <definedName name="BExGYCNATXZY2FID93B17YWIPPRD" localSheetId="5" hidden="1">#REF!</definedName>
    <definedName name="BExGYGJJJ3BBCQAOA51WHP01HN73" localSheetId="14" hidden="1">#REF!</definedName>
    <definedName name="BExGYGJJJ3BBCQAOA51WHP01HN73" localSheetId="15" hidden="1">#REF!</definedName>
    <definedName name="BExGYGJJJ3BBCQAOA51WHP01HN73" localSheetId="5" hidden="1">#REF!</definedName>
    <definedName name="BExGYOS6TV2C72PLRFU8RP1I58GY" localSheetId="14" hidden="1">#REF!</definedName>
    <definedName name="BExGYOS6TV2C72PLRFU8RP1I58GY" localSheetId="15" hidden="1">#REF!</definedName>
    <definedName name="BExGYOS6TV2C72PLRFU8RP1I58GY" localSheetId="5" hidden="1">#REF!</definedName>
    <definedName name="BExGYXBM828PX0KPDVAZBWDL6MJZ" localSheetId="14" hidden="1">#REF!</definedName>
    <definedName name="BExGYXBM828PX0KPDVAZBWDL6MJZ" localSheetId="15" hidden="1">#REF!</definedName>
    <definedName name="BExGYXBM828PX0KPDVAZBWDL6MJZ" localSheetId="5" hidden="1">#REF!</definedName>
    <definedName name="BExGZJ78ZWZCVHZ3BKEKFJZ6MAEO" localSheetId="14" hidden="1">#REF!</definedName>
    <definedName name="BExGZJ78ZWZCVHZ3BKEKFJZ6MAEO" localSheetId="15" hidden="1">#REF!</definedName>
    <definedName name="BExGZJ78ZWZCVHZ3BKEKFJZ6MAEO" localSheetId="5" hidden="1">#REF!</definedName>
    <definedName name="BExGZOLH2QV73J3M9IWDDPA62TP4" localSheetId="14" hidden="1">#REF!</definedName>
    <definedName name="BExGZOLH2QV73J3M9IWDDPA62TP4" localSheetId="15" hidden="1">#REF!</definedName>
    <definedName name="BExGZOLH2QV73J3M9IWDDPA62TP4" localSheetId="5" hidden="1">#REF!</definedName>
    <definedName name="BExGZP1PWGFKVVVN4YDIS22DZPCR" localSheetId="14" hidden="1">#REF!</definedName>
    <definedName name="BExGZP1PWGFKVVVN4YDIS22DZPCR" localSheetId="15" hidden="1">#REF!</definedName>
    <definedName name="BExGZP1PWGFKVVVN4YDIS22DZPCR" localSheetId="5" hidden="1">#REF!</definedName>
    <definedName name="BExGZQUHCPM6G5U9OM8JU339JAG6" localSheetId="14" hidden="1">#REF!</definedName>
    <definedName name="BExGZQUHCPM6G5U9OM8JU339JAG6" localSheetId="15" hidden="1">#REF!</definedName>
    <definedName name="BExGZQUHCPM6G5U9OM8JU339JAG6" localSheetId="5" hidden="1">#REF!</definedName>
    <definedName name="BExH00FQKX09BD5WU4DB5KPXAUYA" localSheetId="14" hidden="1">#REF!</definedName>
    <definedName name="BExH00FQKX09BD5WU4DB5KPXAUYA" localSheetId="15" hidden="1">#REF!</definedName>
    <definedName name="BExH00FQKX09BD5WU4DB5KPXAUYA" localSheetId="5" hidden="1">#REF!</definedName>
    <definedName name="BExH00L21GZX5YJJGVMOAWBERLP5" localSheetId="14" hidden="1">#REF!</definedName>
    <definedName name="BExH00L21GZX5YJJGVMOAWBERLP5" localSheetId="15" hidden="1">#REF!</definedName>
    <definedName name="BExH00L21GZX5YJJGVMOAWBERLP5" localSheetId="5" hidden="1">#REF!</definedName>
    <definedName name="BExH02ZD6VAY1KQLAQYBBI6WWIZB" localSheetId="14" hidden="1">#REF!</definedName>
    <definedName name="BExH02ZD6VAY1KQLAQYBBI6WWIZB" localSheetId="15" hidden="1">#REF!</definedName>
    <definedName name="BExH02ZD6VAY1KQLAQYBBI6WWIZB" localSheetId="5" hidden="1">#REF!</definedName>
    <definedName name="BExH08Z6LQCGGSGSAILMHX4X7JMD" localSheetId="14" hidden="1">#REF!</definedName>
    <definedName name="BExH08Z6LQCGGSGSAILMHX4X7JMD" localSheetId="15" hidden="1">#REF!</definedName>
    <definedName name="BExH08Z6LQCGGSGSAILMHX4X7JMD" localSheetId="5" hidden="1">#REF!</definedName>
    <definedName name="BExH0KT9Z8HEVRRQRGQ8YHXRLIJA" localSheetId="14" hidden="1">#REF!</definedName>
    <definedName name="BExH0KT9Z8HEVRRQRGQ8YHXRLIJA" localSheetId="15" hidden="1">#REF!</definedName>
    <definedName name="BExH0KT9Z8HEVRRQRGQ8YHXRLIJA" localSheetId="5" hidden="1">#REF!</definedName>
    <definedName name="BExH0M0FDN12YBOCKL3XL2Z7T7Y8" localSheetId="14" hidden="1">#REF!</definedName>
    <definedName name="BExH0M0FDN12YBOCKL3XL2Z7T7Y8" localSheetId="15" hidden="1">#REF!</definedName>
    <definedName name="BExH0M0FDN12YBOCKL3XL2Z7T7Y8" localSheetId="5" hidden="1">#REF!</definedName>
    <definedName name="BExH0O9G06YPZ5TN9RYT326I1CP2" localSheetId="14" hidden="1">#REF!</definedName>
    <definedName name="BExH0O9G06YPZ5TN9RYT326I1CP2" localSheetId="15" hidden="1">#REF!</definedName>
    <definedName name="BExH0O9G06YPZ5TN9RYT326I1CP2" localSheetId="5" hidden="1">#REF!</definedName>
    <definedName name="BExH0PGM6RG0F3AAGULBIGOH91C2" localSheetId="14" hidden="1">#REF!</definedName>
    <definedName name="BExH0PGM6RG0F3AAGULBIGOH91C2" localSheetId="15" hidden="1">#REF!</definedName>
    <definedName name="BExH0PGM6RG0F3AAGULBIGOH91C2" localSheetId="5" hidden="1">#REF!</definedName>
    <definedName name="BExH0QIB3F0YZLM5XYHBCU5F0OVR" localSheetId="14" hidden="1">#REF!</definedName>
    <definedName name="BExH0QIB3F0YZLM5XYHBCU5F0OVR" localSheetId="15" hidden="1">#REF!</definedName>
    <definedName name="BExH0QIB3F0YZLM5XYHBCU5F0OVR" localSheetId="5" hidden="1">#REF!</definedName>
    <definedName name="BExH0RK5LJAAP7O67ZFB4RG6WPPL" localSheetId="14" hidden="1">#REF!</definedName>
    <definedName name="BExH0RK5LJAAP7O67ZFB4RG6WPPL" localSheetId="15" hidden="1">#REF!</definedName>
    <definedName name="BExH0RK5LJAAP7O67ZFB4RG6WPPL" localSheetId="5" hidden="1">#REF!</definedName>
    <definedName name="BExH0WNJAKTJRCKMTX8O4KNMIIJM" localSheetId="14" hidden="1">#REF!</definedName>
    <definedName name="BExH0WNJAKTJRCKMTX8O4KNMIIJM" localSheetId="15" hidden="1">#REF!</definedName>
    <definedName name="BExH0WNJAKTJRCKMTX8O4KNMIIJM" localSheetId="5" hidden="1">#REF!</definedName>
    <definedName name="BExH12Y4WX542WI3ZEM15AK4UM9J" localSheetId="14" hidden="1">#REF!</definedName>
    <definedName name="BExH12Y4WX542WI3ZEM15AK4UM9J" localSheetId="15" hidden="1">#REF!</definedName>
    <definedName name="BExH12Y4WX542WI3ZEM15AK4UM9J" localSheetId="5" hidden="1">#REF!</definedName>
    <definedName name="BExH18CCU7B8JWO8AWGEQRLWZG6J" localSheetId="14" hidden="1">#REF!</definedName>
    <definedName name="BExH18CCU7B8JWO8AWGEQRLWZG6J" localSheetId="15" hidden="1">#REF!</definedName>
    <definedName name="BExH18CCU7B8JWO8AWGEQRLWZG6J" localSheetId="5" hidden="1">#REF!</definedName>
    <definedName name="BExH1BN2H92IQKKP5IREFSS9FBF2" localSheetId="14" hidden="1">#REF!</definedName>
    <definedName name="BExH1BN2H92IQKKP5IREFSS9FBF2" localSheetId="15" hidden="1">#REF!</definedName>
    <definedName name="BExH1BN2H92IQKKP5IREFSS9FBF2" localSheetId="5" hidden="1">#REF!</definedName>
    <definedName name="BExH1FDTQXR9QQ31WDB7OPXU7MPT" localSheetId="14" hidden="1">#REF!</definedName>
    <definedName name="BExH1FDTQXR9QQ31WDB7OPXU7MPT" localSheetId="15" hidden="1">#REF!</definedName>
    <definedName name="BExH1FDTQXR9QQ31WDB7OPXU7MPT" localSheetId="5" hidden="1">#REF!</definedName>
    <definedName name="BExH1FOMEUIJNIDJAUY0ZQFBJSY9" localSheetId="14" hidden="1">#REF!</definedName>
    <definedName name="BExH1FOMEUIJNIDJAUY0ZQFBJSY9" localSheetId="15" hidden="1">#REF!</definedName>
    <definedName name="BExH1FOMEUIJNIDJAUY0ZQFBJSY9" localSheetId="5" hidden="1">#REF!</definedName>
    <definedName name="BExH1GA6TT290OTIZ8C3N610CYZ1" localSheetId="14" hidden="1">#REF!</definedName>
    <definedName name="BExH1GA6TT290OTIZ8C3N610CYZ1" localSheetId="15" hidden="1">#REF!</definedName>
    <definedName name="BExH1GA6TT290OTIZ8C3N610CYZ1" localSheetId="5" hidden="1">#REF!</definedName>
    <definedName name="BExH1I8E3HJSZLFRZZ1ZKX7TBJEP" localSheetId="14" hidden="1">#REF!</definedName>
    <definedName name="BExH1I8E3HJSZLFRZZ1ZKX7TBJEP" localSheetId="15" hidden="1">#REF!</definedName>
    <definedName name="BExH1I8E3HJSZLFRZZ1ZKX7TBJEP" localSheetId="5" hidden="1">#REF!</definedName>
    <definedName name="BExH1JFFHEBFX9BWJMNIA3N66R3Z" localSheetId="14" hidden="1">#REF!</definedName>
    <definedName name="BExH1JFFHEBFX9BWJMNIA3N66R3Z" localSheetId="15" hidden="1">#REF!</definedName>
    <definedName name="BExH1JFFHEBFX9BWJMNIA3N66R3Z" localSheetId="5" hidden="1">#REF!</definedName>
    <definedName name="BExH1XYRKX51T571O1SRBP9J1D98" localSheetId="14" hidden="1">#REF!</definedName>
    <definedName name="BExH1XYRKX51T571O1SRBP9J1D98" localSheetId="15" hidden="1">#REF!</definedName>
    <definedName name="BExH1XYRKX51T571O1SRBP9J1D98" localSheetId="5" hidden="1">#REF!</definedName>
    <definedName name="BExH1Z0GIUSVTF2H1G1I3PDGBNK2" localSheetId="14" hidden="1">#REF!</definedName>
    <definedName name="BExH1Z0GIUSVTF2H1G1I3PDGBNK2" localSheetId="15" hidden="1">#REF!</definedName>
    <definedName name="BExH1Z0GIUSVTF2H1G1I3PDGBNK2" localSheetId="5" hidden="1">#REF!</definedName>
    <definedName name="BExH225UTM6S9FW4MUDZS7F1PQSH" localSheetId="14" hidden="1">#REF!</definedName>
    <definedName name="BExH225UTM6S9FW4MUDZS7F1PQSH" localSheetId="15" hidden="1">#REF!</definedName>
    <definedName name="BExH225UTM6S9FW4MUDZS7F1PQSH" localSheetId="5" hidden="1">#REF!</definedName>
    <definedName name="BExH23271RF7AYZ542KHQTH68GQ7" localSheetId="14" hidden="1">#REF!</definedName>
    <definedName name="BExH23271RF7AYZ542KHQTH68GQ7" localSheetId="15" hidden="1">#REF!</definedName>
    <definedName name="BExH23271RF7AYZ542KHQTH68GQ7" localSheetId="5" hidden="1">#REF!</definedName>
    <definedName name="BExH2DP58R7D1BGUFBM2FHESVRF0" localSheetId="14" hidden="1">#REF!</definedName>
    <definedName name="BExH2DP58R7D1BGUFBM2FHESVRF0" localSheetId="15" hidden="1">#REF!</definedName>
    <definedName name="BExH2DP58R7D1BGUFBM2FHESVRF0" localSheetId="5" hidden="1">#REF!</definedName>
    <definedName name="BExH2GJQR4JALNB314RY0LDI49VH" localSheetId="14" hidden="1">#REF!</definedName>
    <definedName name="BExH2GJQR4JALNB314RY0LDI49VH" localSheetId="15" hidden="1">#REF!</definedName>
    <definedName name="BExH2GJQR4JALNB314RY0LDI49VH" localSheetId="5" hidden="1">#REF!</definedName>
    <definedName name="BExH2JZR49T7644JFVE7B3N7RZM9" localSheetId="14" hidden="1">#REF!</definedName>
    <definedName name="BExH2JZR49T7644JFVE7B3N7RZM9" localSheetId="15" hidden="1">#REF!</definedName>
    <definedName name="BExH2JZR49T7644JFVE7B3N7RZM9" localSheetId="5" hidden="1">#REF!</definedName>
    <definedName name="BExH2QVWL3AXHSB9EK2GQRD0DBRH" localSheetId="14" hidden="1">#REF!</definedName>
    <definedName name="BExH2QVWL3AXHSB9EK2GQRD0DBRH" localSheetId="15" hidden="1">#REF!</definedName>
    <definedName name="BExH2QVWL3AXHSB9EK2GQRD0DBRH" localSheetId="5" hidden="1">#REF!</definedName>
    <definedName name="BExH2WKXV8X5S2GSBBTWGI0NLNAH" localSheetId="14" hidden="1">#REF!</definedName>
    <definedName name="BExH2WKXV8X5S2GSBBTWGI0NLNAH" localSheetId="15" hidden="1">#REF!</definedName>
    <definedName name="BExH2WKXV8X5S2GSBBTWGI0NLNAH" localSheetId="5" hidden="1">#REF!</definedName>
    <definedName name="BExH2XS1UFYFGU0S0EBXX90W2WE8" localSheetId="14" hidden="1">#REF!</definedName>
    <definedName name="BExH2XS1UFYFGU0S0EBXX90W2WE8" localSheetId="15" hidden="1">#REF!</definedName>
    <definedName name="BExH2XS1UFYFGU0S0EBXX90W2WE8" localSheetId="5" hidden="1">#REF!</definedName>
    <definedName name="BExH2XS1X04DMUN544K5RU4XPDCI" localSheetId="14" hidden="1">#REF!</definedName>
    <definedName name="BExH2XS1X04DMUN544K5RU4XPDCI" localSheetId="15" hidden="1">#REF!</definedName>
    <definedName name="BExH2XS1X04DMUN544K5RU4XPDCI" localSheetId="5" hidden="1">#REF!</definedName>
    <definedName name="BExH2XS2TND9SB0GC295R4FP6K5Y" localSheetId="14" hidden="1">#REF!</definedName>
    <definedName name="BExH2XS2TND9SB0GC295R4FP6K5Y" localSheetId="15" hidden="1">#REF!</definedName>
    <definedName name="BExH2XS2TND9SB0GC295R4FP6K5Y" localSheetId="5" hidden="1">#REF!</definedName>
    <definedName name="BExH2ZA0SZ4SSITL50NA8LZ3OEX6" localSheetId="14" hidden="1">#REF!</definedName>
    <definedName name="BExH2ZA0SZ4SSITL50NA8LZ3OEX6" localSheetId="15" hidden="1">#REF!</definedName>
    <definedName name="BExH2ZA0SZ4SSITL50NA8LZ3OEX6" localSheetId="5" hidden="1">#REF!</definedName>
    <definedName name="BExH31Z3JNVJPESWKXHILGXZHP2M" localSheetId="14" hidden="1">#REF!</definedName>
    <definedName name="BExH31Z3JNVJPESWKXHILGXZHP2M" localSheetId="15" hidden="1">#REF!</definedName>
    <definedName name="BExH31Z3JNVJPESWKXHILGXZHP2M" localSheetId="5" hidden="1">#REF!</definedName>
    <definedName name="BExH3E9HZ3QJCDZW7WI7YACFQCHE" localSheetId="14" hidden="1">#REF!</definedName>
    <definedName name="BExH3E9HZ3QJCDZW7WI7YACFQCHE" localSheetId="15" hidden="1">#REF!</definedName>
    <definedName name="BExH3E9HZ3QJCDZW7WI7YACFQCHE" localSheetId="5" hidden="1">#REF!</definedName>
    <definedName name="BExH3IRB6764RQ5HBYRLH6XCT29X" localSheetId="14" hidden="1">#REF!</definedName>
    <definedName name="BExH3IRB6764RQ5HBYRLH6XCT29X" localSheetId="15" hidden="1">#REF!</definedName>
    <definedName name="BExH3IRB6764RQ5HBYRLH6XCT29X" localSheetId="5" hidden="1">#REF!</definedName>
    <definedName name="BExIG2U8V6RSB47SXLCQG3Q68YRO" localSheetId="14" hidden="1">#REF!</definedName>
    <definedName name="BExIG2U8V6RSB47SXLCQG3Q68YRO" localSheetId="15" hidden="1">#REF!</definedName>
    <definedName name="BExIG2U8V6RSB47SXLCQG3Q68YRO" localSheetId="5" hidden="1">#REF!</definedName>
    <definedName name="BExIGJBO8R13LV7CZ7C1YCP974NN" localSheetId="14" hidden="1">#REF!</definedName>
    <definedName name="BExIGJBO8R13LV7CZ7C1YCP974NN" localSheetId="15" hidden="1">#REF!</definedName>
    <definedName name="BExIGJBO8R13LV7CZ7C1YCP974NN" localSheetId="5" hidden="1">#REF!</definedName>
    <definedName name="BExIGWT86FPOEYTI8GXCGU5Y3KGK" localSheetId="14" hidden="1">#REF!</definedName>
    <definedName name="BExIGWT86FPOEYTI8GXCGU5Y3KGK" localSheetId="15" hidden="1">#REF!</definedName>
    <definedName name="BExIGWT86FPOEYTI8GXCGU5Y3KGK" localSheetId="5" hidden="1">#REF!</definedName>
    <definedName name="BExIHBHXA7E7VUTBVHXXXCH3A5CL" localSheetId="14" hidden="1">#REF!</definedName>
    <definedName name="BExIHBHXA7E7VUTBVHXXXCH3A5CL" localSheetId="15" hidden="1">#REF!</definedName>
    <definedName name="BExIHBHXA7E7VUTBVHXXXCH3A5CL" localSheetId="5" hidden="1">#REF!</definedName>
    <definedName name="BExIHBSOGRSH1GKS6GKBRAJ7GXFQ" localSheetId="14" hidden="1">#REF!</definedName>
    <definedName name="BExIHBSOGRSH1GKS6GKBRAJ7GXFQ" localSheetId="15" hidden="1">#REF!</definedName>
    <definedName name="BExIHBSOGRSH1GKS6GKBRAJ7GXFQ" localSheetId="5" hidden="1">#REF!</definedName>
    <definedName name="BExIHDFY73YM0AHAR2Z5OJTFKSL2" localSheetId="14" hidden="1">#REF!</definedName>
    <definedName name="BExIHDFY73YM0AHAR2Z5OJTFKSL2" localSheetId="15" hidden="1">#REF!</definedName>
    <definedName name="BExIHDFY73YM0AHAR2Z5OJTFKSL2" localSheetId="5" hidden="1">#REF!</definedName>
    <definedName name="BExIHPQCQTGEW8QOJVIQ4VX0P6DX" localSheetId="14" hidden="1">#REF!</definedName>
    <definedName name="BExIHPQCQTGEW8QOJVIQ4VX0P6DX" localSheetId="15" hidden="1">#REF!</definedName>
    <definedName name="BExIHPQCQTGEW8QOJVIQ4VX0P6DX" localSheetId="5" hidden="1">#REF!</definedName>
    <definedName name="BExII1KN91Q7DLW0UB7W2TJ5ACT9" localSheetId="14" hidden="1">#REF!</definedName>
    <definedName name="BExII1KN91Q7DLW0UB7W2TJ5ACT9" localSheetId="15" hidden="1">#REF!</definedName>
    <definedName name="BExII1KN91Q7DLW0UB7W2TJ5ACT9" localSheetId="5" hidden="1">#REF!</definedName>
    <definedName name="BExII50LI8I0CDOOZEMIVHVA2V95" localSheetId="14" hidden="1">#REF!</definedName>
    <definedName name="BExII50LI8I0CDOOZEMIVHVA2V95" localSheetId="15" hidden="1">#REF!</definedName>
    <definedName name="BExII50LI8I0CDOOZEMIVHVA2V95" localSheetId="5" hidden="1">#REF!</definedName>
    <definedName name="BExIINQWABWRGYDT02DOJQ5L7BQF" localSheetId="14" hidden="1">#REF!</definedName>
    <definedName name="BExIINQWABWRGYDT02DOJQ5L7BQF" localSheetId="15" hidden="1">#REF!</definedName>
    <definedName name="BExIINQWABWRGYDT02DOJQ5L7BQF" localSheetId="5" hidden="1">#REF!</definedName>
    <definedName name="BExIIXMY38TQD12CVV4S57L3I809" localSheetId="14" hidden="1">#REF!</definedName>
    <definedName name="BExIIXMY38TQD12CVV4S57L3I809" localSheetId="15" hidden="1">#REF!</definedName>
    <definedName name="BExIIXMY38TQD12CVV4S57L3I809" localSheetId="5" hidden="1">#REF!</definedName>
    <definedName name="BExIIY37NEVU2LGS1JE4VR9AN6W4" localSheetId="14" hidden="1">#REF!</definedName>
    <definedName name="BExIIY37NEVU2LGS1JE4VR9AN6W4" localSheetId="15" hidden="1">#REF!</definedName>
    <definedName name="BExIIY37NEVU2LGS1JE4VR9AN6W4" localSheetId="5" hidden="1">#REF!</definedName>
    <definedName name="BExIIYJAGXR8TPZ1KCYM7EGJ79UW" localSheetId="14" hidden="1">#REF!</definedName>
    <definedName name="BExIIYJAGXR8TPZ1KCYM7EGJ79UW" localSheetId="15" hidden="1">#REF!</definedName>
    <definedName name="BExIIYJAGXR8TPZ1KCYM7EGJ79UW" localSheetId="5" hidden="1">#REF!</definedName>
    <definedName name="BExIJ3160YCWGAVEU0208ZGXXG3P" localSheetId="14" hidden="1">#REF!</definedName>
    <definedName name="BExIJ3160YCWGAVEU0208ZGXXG3P" localSheetId="15" hidden="1">#REF!</definedName>
    <definedName name="BExIJ3160YCWGAVEU0208ZGXXG3P" localSheetId="5" hidden="1">#REF!</definedName>
    <definedName name="BExIJFGZJ5ED9D6KAY4PGQYLELAX" localSheetId="14" hidden="1">#REF!</definedName>
    <definedName name="BExIJFGZJ5ED9D6KAY4PGQYLELAX" localSheetId="15" hidden="1">#REF!</definedName>
    <definedName name="BExIJFGZJ5ED9D6KAY4PGQYLELAX" localSheetId="5" hidden="1">#REF!</definedName>
    <definedName name="BExIJQK80ZEKSTV62E59AYJYUNLI" localSheetId="14" hidden="1">#REF!</definedName>
    <definedName name="BExIJQK80ZEKSTV62E59AYJYUNLI" localSheetId="15" hidden="1">#REF!</definedName>
    <definedName name="BExIJQK80ZEKSTV62E59AYJYUNLI" localSheetId="5" hidden="1">#REF!</definedName>
    <definedName name="BExIJRLX3M0YQLU1D5Y9V7HM5QNM" localSheetId="14" hidden="1">#REF!</definedName>
    <definedName name="BExIJRLX3M0YQLU1D5Y9V7HM5QNM" localSheetId="15" hidden="1">#REF!</definedName>
    <definedName name="BExIJRLX3M0YQLU1D5Y9V7HM5QNM" localSheetId="5" hidden="1">#REF!</definedName>
    <definedName name="BExIJV22J0QA7286KNPMHO1ZUCB3" localSheetId="14" hidden="1">#REF!</definedName>
    <definedName name="BExIJV22J0QA7286KNPMHO1ZUCB3" localSheetId="15" hidden="1">#REF!</definedName>
    <definedName name="BExIJV22J0QA7286KNPMHO1ZUCB3" localSheetId="5" hidden="1">#REF!</definedName>
    <definedName name="BExIJVI6OC7B6ZE9V4PAOYZXKNER" localSheetId="14" hidden="1">#REF!</definedName>
    <definedName name="BExIJVI6OC7B6ZE9V4PAOYZXKNER" localSheetId="15" hidden="1">#REF!</definedName>
    <definedName name="BExIJVI6OC7B6ZE9V4PAOYZXKNER" localSheetId="5" hidden="1">#REF!</definedName>
    <definedName name="BExIJWK0NGTGQ4X7D5VIVXD14JHI" localSheetId="14" hidden="1">#REF!</definedName>
    <definedName name="BExIJWK0NGTGQ4X7D5VIVXD14JHI" localSheetId="15" hidden="1">#REF!</definedName>
    <definedName name="BExIJWK0NGTGQ4X7D5VIVXD14JHI" localSheetId="5" hidden="1">#REF!</definedName>
    <definedName name="BExIJWPCIYINEJUTXU74VK7WG031" localSheetId="14" hidden="1">#REF!</definedName>
    <definedName name="BExIJWPCIYINEJUTXU74VK7WG031" localSheetId="15" hidden="1">#REF!</definedName>
    <definedName name="BExIJWPCIYINEJUTXU74VK7WG031" localSheetId="5" hidden="1">#REF!</definedName>
    <definedName name="BExIKHTXPZR5A8OHB6HDP6QWDHAD" localSheetId="14" hidden="1">#REF!</definedName>
    <definedName name="BExIKHTXPZR5A8OHB6HDP6QWDHAD" localSheetId="15" hidden="1">#REF!</definedName>
    <definedName name="BExIKHTXPZR5A8OHB6HDP6QWDHAD" localSheetId="5" hidden="1">#REF!</definedName>
    <definedName name="BExIKMMJOETSAXJYY1SIKM58LMA2" localSheetId="14" hidden="1">#REF!</definedName>
    <definedName name="BExIKMMJOETSAXJYY1SIKM58LMA2" localSheetId="15" hidden="1">#REF!</definedName>
    <definedName name="BExIKMMJOETSAXJYY1SIKM58LMA2" localSheetId="5" hidden="1">#REF!</definedName>
    <definedName name="BExIKRF6AQ6VOO9KCIWSM6FY8M7D" localSheetId="14" hidden="1">#REF!</definedName>
    <definedName name="BExIKRF6AQ6VOO9KCIWSM6FY8M7D" localSheetId="15" hidden="1">#REF!</definedName>
    <definedName name="BExIKRF6AQ6VOO9KCIWSM6FY8M7D" localSheetId="5" hidden="1">#REF!</definedName>
    <definedName name="BExIKTYZESFT3LC0ASFMFKSE0D1X" localSheetId="14" hidden="1">#REF!</definedName>
    <definedName name="BExIKTYZESFT3LC0ASFMFKSE0D1X" localSheetId="15" hidden="1">#REF!</definedName>
    <definedName name="BExIKTYZESFT3LC0ASFMFKSE0D1X" localSheetId="5" hidden="1">#REF!</definedName>
    <definedName name="BExIKXVA6M8K0PTRYAGXS666L335" localSheetId="14" hidden="1">#REF!</definedName>
    <definedName name="BExIKXVA6M8K0PTRYAGXS666L335" localSheetId="15" hidden="1">#REF!</definedName>
    <definedName name="BExIKXVA6M8K0PTRYAGXS666L335" localSheetId="5" hidden="1">#REF!</definedName>
    <definedName name="BExIL0PMZ2SXK9R6MLP43KBU1J2P" localSheetId="14" hidden="1">#REF!</definedName>
    <definedName name="BExIL0PMZ2SXK9R6MLP43KBU1J2P" localSheetId="15" hidden="1">#REF!</definedName>
    <definedName name="BExIL0PMZ2SXK9R6MLP43KBU1J2P" localSheetId="5" hidden="1">#REF!</definedName>
    <definedName name="BExIL1WSMNNQQK98YHWHV5HVONIZ" localSheetId="14" hidden="1">#REF!</definedName>
    <definedName name="BExIL1WSMNNQQK98YHWHV5HVONIZ" localSheetId="15" hidden="1">#REF!</definedName>
    <definedName name="BExIL1WSMNNQQK98YHWHV5HVONIZ" localSheetId="5" hidden="1">#REF!</definedName>
    <definedName name="BExILAAXRTRAD18K74M6MGUEEPUM" localSheetId="14" hidden="1">#REF!</definedName>
    <definedName name="BExILAAXRTRAD18K74M6MGUEEPUM" localSheetId="15" hidden="1">#REF!</definedName>
    <definedName name="BExILAAXRTRAD18K74M6MGUEEPUM" localSheetId="5" hidden="1">#REF!</definedName>
    <definedName name="BExILG5F338C0FFLMVOKMKF8X5ZP" localSheetId="14" hidden="1">#REF!</definedName>
    <definedName name="BExILG5F338C0FFLMVOKMKF8X5ZP" localSheetId="15" hidden="1">#REF!</definedName>
    <definedName name="BExILG5F338C0FFLMVOKMKF8X5ZP" localSheetId="5" hidden="1">#REF!</definedName>
    <definedName name="BExILGQTQM0HOD0BJI90YO7GOIN3" localSheetId="14" hidden="1">#REF!</definedName>
    <definedName name="BExILGQTQM0HOD0BJI90YO7GOIN3" localSheetId="15" hidden="1">#REF!</definedName>
    <definedName name="BExILGQTQM0HOD0BJI90YO7GOIN3" localSheetId="5" hidden="1">#REF!</definedName>
    <definedName name="BExILPL7P2BNCD7MYCGTQ9F0R5JX" localSheetId="14" hidden="1">#REF!</definedName>
    <definedName name="BExILPL7P2BNCD7MYCGTQ9F0R5JX" localSheetId="15" hidden="1">#REF!</definedName>
    <definedName name="BExILPL7P2BNCD7MYCGTQ9F0R5JX" localSheetId="5" hidden="1">#REF!</definedName>
    <definedName name="BExILVVS4B1B4G7IO0LPUDWY9K8W" localSheetId="14" hidden="1">#REF!</definedName>
    <definedName name="BExILVVS4B1B4G7IO0LPUDWY9K8W" localSheetId="15" hidden="1">#REF!</definedName>
    <definedName name="BExILVVS4B1B4G7IO0LPUDWY9K8W" localSheetId="5" hidden="1">#REF!</definedName>
    <definedName name="BExIM9DBUB7ZGF4B20FVUO9QGOX2" localSheetId="14" hidden="1">#REF!</definedName>
    <definedName name="BExIM9DBUB7ZGF4B20FVUO9QGOX2" localSheetId="15" hidden="1">#REF!</definedName>
    <definedName name="BExIM9DBUB7ZGF4B20FVUO9QGOX2" localSheetId="5" hidden="1">#REF!</definedName>
    <definedName name="BExIMCTBZ4WAESGCDWJ64SB4F0L1" localSheetId="14" hidden="1">#REF!</definedName>
    <definedName name="BExIMCTBZ4WAESGCDWJ64SB4F0L1" localSheetId="15" hidden="1">#REF!</definedName>
    <definedName name="BExIMCTBZ4WAESGCDWJ64SB4F0L1" localSheetId="5" hidden="1">#REF!</definedName>
    <definedName name="BExIMGK9Z94TFPWWZFMD10HV0IF6" localSheetId="14" hidden="1">#REF!</definedName>
    <definedName name="BExIMGK9Z94TFPWWZFMD10HV0IF6" localSheetId="15" hidden="1">#REF!</definedName>
    <definedName name="BExIMGK9Z94TFPWWZFMD10HV0IF6" localSheetId="5" hidden="1">#REF!</definedName>
    <definedName name="BExIMPEGKG18TELVC33T4OQTNBWC" localSheetId="14" hidden="1">#REF!</definedName>
    <definedName name="BExIMPEGKG18TELVC33T4OQTNBWC" localSheetId="15" hidden="1">#REF!</definedName>
    <definedName name="BExIMPEGKG18TELVC33T4OQTNBWC" localSheetId="5" hidden="1">#REF!</definedName>
    <definedName name="BExIN4OR435DL1US13JQPOQK8GD5" localSheetId="14" hidden="1">#REF!</definedName>
    <definedName name="BExIN4OR435DL1US13JQPOQK8GD5" localSheetId="15" hidden="1">#REF!</definedName>
    <definedName name="BExIN4OR435DL1US13JQPOQK8GD5" localSheetId="5" hidden="1">#REF!</definedName>
    <definedName name="BExINI6A7H3KSFRFA6UBBDPKW37F" localSheetId="14" hidden="1">#REF!</definedName>
    <definedName name="BExINI6A7H3KSFRFA6UBBDPKW37F" localSheetId="15" hidden="1">#REF!</definedName>
    <definedName name="BExINI6A7H3KSFRFA6UBBDPKW37F" localSheetId="5" hidden="1">#REF!</definedName>
    <definedName name="BExINIMK8XC3JOBT2EXYFHHH52H0" localSheetId="14" hidden="1">#REF!</definedName>
    <definedName name="BExINIMK8XC3JOBT2EXYFHHH52H0" localSheetId="15" hidden="1">#REF!</definedName>
    <definedName name="BExINIMK8XC3JOBT2EXYFHHH52H0" localSheetId="5" hidden="1">#REF!</definedName>
    <definedName name="BExINLX401ZKEGWU168DS4JUM2J6" localSheetId="14" hidden="1">#REF!</definedName>
    <definedName name="BExINLX401ZKEGWU168DS4JUM2J6" localSheetId="15" hidden="1">#REF!</definedName>
    <definedName name="BExINLX401ZKEGWU168DS4JUM2J6" localSheetId="5" hidden="1">#REF!</definedName>
    <definedName name="BExINMYYJO1FTV1CZF6O5XCFAMQX" localSheetId="14" hidden="1">#REF!</definedName>
    <definedName name="BExINMYYJO1FTV1CZF6O5XCFAMQX" localSheetId="15" hidden="1">#REF!</definedName>
    <definedName name="BExINMYYJO1FTV1CZF6O5XCFAMQX" localSheetId="5" hidden="1">#REF!</definedName>
    <definedName name="BExINP2H4KI05FRFV5PKZFE00HKO" localSheetId="14" hidden="1">#REF!</definedName>
    <definedName name="BExINP2H4KI05FRFV5PKZFE00HKO" localSheetId="15" hidden="1">#REF!</definedName>
    <definedName name="BExINP2H4KI05FRFV5PKZFE00HKO" localSheetId="5" hidden="1">#REF!</definedName>
    <definedName name="BExINPTCEJ9RPDEBJEJH80NATGUQ" localSheetId="14" hidden="1">#REF!</definedName>
    <definedName name="BExINPTCEJ9RPDEBJEJH80NATGUQ" localSheetId="15" hidden="1">#REF!</definedName>
    <definedName name="BExINPTCEJ9RPDEBJEJH80NATGUQ" localSheetId="5" hidden="1">#REF!</definedName>
    <definedName name="BExINWEQMNJ70A6JRXC2LACBX1GX" localSheetId="14" hidden="1">#REF!</definedName>
    <definedName name="BExINWEQMNJ70A6JRXC2LACBX1GX" localSheetId="15" hidden="1">#REF!</definedName>
    <definedName name="BExINWEQMNJ70A6JRXC2LACBX1GX" localSheetId="5" hidden="1">#REF!</definedName>
    <definedName name="BExINZELVWYGU876QUUZCIMXPBQC" localSheetId="14" hidden="1">#REF!</definedName>
    <definedName name="BExINZELVWYGU876QUUZCIMXPBQC" localSheetId="15" hidden="1">#REF!</definedName>
    <definedName name="BExINZELVWYGU876QUUZCIMXPBQC" localSheetId="5" hidden="1">#REF!</definedName>
    <definedName name="BExIO9QZ59ZHRA8SX6QICH2AY8A2" localSheetId="14" hidden="1">#REF!</definedName>
    <definedName name="BExIO9QZ59ZHRA8SX6QICH2AY8A2" localSheetId="15" hidden="1">#REF!</definedName>
    <definedName name="BExIO9QZ59ZHRA8SX6QICH2AY8A2" localSheetId="5" hidden="1">#REF!</definedName>
    <definedName name="BExIOAHV525SMMGFDJFE7456JPBD" localSheetId="14" hidden="1">#REF!</definedName>
    <definedName name="BExIOAHV525SMMGFDJFE7456JPBD" localSheetId="15" hidden="1">#REF!</definedName>
    <definedName name="BExIOAHV525SMMGFDJFE7456JPBD" localSheetId="5" hidden="1">#REF!</definedName>
    <definedName name="BExIOCQUQHKUU1KONGSDOLQTQEIC" localSheetId="14" hidden="1">#REF!</definedName>
    <definedName name="BExIOCQUQHKUU1KONGSDOLQTQEIC" localSheetId="15" hidden="1">#REF!</definedName>
    <definedName name="BExIOCQUQHKUU1KONGSDOLQTQEIC" localSheetId="5" hidden="1">#REF!</definedName>
    <definedName name="BExIOFAGCDQQKALMX3V0KU94KUQO" localSheetId="14" hidden="1">#REF!</definedName>
    <definedName name="BExIOFAGCDQQKALMX3V0KU94KUQO" localSheetId="15" hidden="1">#REF!</definedName>
    <definedName name="BExIOFAGCDQQKALMX3V0KU94KUQO" localSheetId="5" hidden="1">#REF!</definedName>
    <definedName name="BExIOFL8Y5O61VLKTB4H20IJNWS1" localSheetId="14" hidden="1">#REF!</definedName>
    <definedName name="BExIOFL8Y5O61VLKTB4H20IJNWS1" localSheetId="15" hidden="1">#REF!</definedName>
    <definedName name="BExIOFL8Y5O61VLKTB4H20IJNWS1" localSheetId="5" hidden="1">#REF!</definedName>
    <definedName name="BExIOMBXRW5NS4ZPYX9G5QREZ5J6" localSheetId="14" hidden="1">#REF!</definedName>
    <definedName name="BExIOMBXRW5NS4ZPYX9G5QREZ5J6" localSheetId="15" hidden="1">#REF!</definedName>
    <definedName name="BExIOMBXRW5NS4ZPYX9G5QREZ5J6" localSheetId="5" hidden="1">#REF!</definedName>
    <definedName name="BExIORA3GK78T7C7SNBJJUONJ0LS" localSheetId="14" hidden="1">#REF!</definedName>
    <definedName name="BExIORA3GK78T7C7SNBJJUONJ0LS" localSheetId="15" hidden="1">#REF!</definedName>
    <definedName name="BExIORA3GK78T7C7SNBJJUONJ0LS" localSheetId="5" hidden="1">#REF!</definedName>
    <definedName name="BExIORFDXP4AVIEBLSTZ8ETSXMNM" localSheetId="14" hidden="1">#REF!</definedName>
    <definedName name="BExIORFDXP4AVIEBLSTZ8ETSXMNM" localSheetId="15" hidden="1">#REF!</definedName>
    <definedName name="BExIORFDXP4AVIEBLSTZ8ETSXMNM" localSheetId="5" hidden="1">#REF!</definedName>
    <definedName name="BExIOTZ5EFZ2NASVQ05RH15HRSW6" localSheetId="14" hidden="1">#REF!</definedName>
    <definedName name="BExIOTZ5EFZ2NASVQ05RH15HRSW6" localSheetId="15" hidden="1">#REF!</definedName>
    <definedName name="BExIOTZ5EFZ2NASVQ05RH15HRSW6" localSheetId="5" hidden="1">#REF!</definedName>
    <definedName name="BExIP8YNN6UUE1GZ223SWH7DLGKO" localSheetId="14" hidden="1">#REF!</definedName>
    <definedName name="BExIP8YNN6UUE1GZ223SWH7DLGKO" localSheetId="15" hidden="1">#REF!</definedName>
    <definedName name="BExIP8YNN6UUE1GZ223SWH7DLGKO" localSheetId="5" hidden="1">#REF!</definedName>
    <definedName name="BExIPAB4AOL592OJCC1CFAXTLF1A" localSheetId="14" hidden="1">#REF!</definedName>
    <definedName name="BExIPAB4AOL592OJCC1CFAXTLF1A" localSheetId="15" hidden="1">#REF!</definedName>
    <definedName name="BExIPAB4AOL592OJCC1CFAXTLF1A" localSheetId="5" hidden="1">#REF!</definedName>
    <definedName name="BExIPB25DKX4S2ZCKQN7KWSC3JBF" localSheetId="14" hidden="1">#REF!</definedName>
    <definedName name="BExIPB25DKX4S2ZCKQN7KWSC3JBF" localSheetId="15" hidden="1">#REF!</definedName>
    <definedName name="BExIPB25DKX4S2ZCKQN7KWSC3JBF" localSheetId="5" hidden="1">#REF!</definedName>
    <definedName name="BExIPCUX4I4S2N50TLMMLALYLH9S" localSheetId="14" hidden="1">#REF!</definedName>
    <definedName name="BExIPCUX4I4S2N50TLMMLALYLH9S" localSheetId="15" hidden="1">#REF!</definedName>
    <definedName name="BExIPCUX4I4S2N50TLMMLALYLH9S" localSheetId="5" hidden="1">#REF!</definedName>
    <definedName name="BExIPDLT8JYAMGE5HTN4D1YHZF3V" localSheetId="14" hidden="1">#REF!</definedName>
    <definedName name="BExIPDLT8JYAMGE5HTN4D1YHZF3V" localSheetId="15" hidden="1">#REF!</definedName>
    <definedName name="BExIPDLT8JYAMGE5HTN4D1YHZF3V" localSheetId="5" hidden="1">#REF!</definedName>
    <definedName name="BExIPG040Q08EWIWL6CAVR3GRI43" localSheetId="14" hidden="1">#REF!</definedName>
    <definedName name="BExIPG040Q08EWIWL6CAVR3GRI43" localSheetId="15" hidden="1">#REF!</definedName>
    <definedName name="BExIPG040Q08EWIWL6CAVR3GRI43" localSheetId="5" hidden="1">#REF!</definedName>
    <definedName name="BExIPKNFUDPDKOSH5GHDVNA8D66S" localSheetId="14" hidden="1">#REF!</definedName>
    <definedName name="BExIPKNFUDPDKOSH5GHDVNA8D66S" localSheetId="15" hidden="1">#REF!</definedName>
    <definedName name="BExIPKNFUDPDKOSH5GHDVNA8D66S" localSheetId="5" hidden="1">#REF!</definedName>
    <definedName name="BExIQ1VS9A2FHVD9TUHKG9K8EVVP" localSheetId="14" hidden="1">#REF!</definedName>
    <definedName name="BExIQ1VS9A2FHVD9TUHKG9K8EVVP" localSheetId="15" hidden="1">#REF!</definedName>
    <definedName name="BExIQ1VS9A2FHVD9TUHKG9K8EVVP" localSheetId="5" hidden="1">#REF!</definedName>
    <definedName name="BExIQ3J19L30PSQ2CXNT6IHW0I7V" localSheetId="14" hidden="1">#REF!</definedName>
    <definedName name="BExIQ3J19L30PSQ2CXNT6IHW0I7V" localSheetId="15" hidden="1">#REF!</definedName>
    <definedName name="BExIQ3J19L30PSQ2CXNT6IHW0I7V" localSheetId="5" hidden="1">#REF!</definedName>
    <definedName name="BExIQ3OJ7M04XCY276IO0LJA5XUK" localSheetId="14" hidden="1">#REF!</definedName>
    <definedName name="BExIQ3OJ7M04XCY276IO0LJA5XUK" localSheetId="15" hidden="1">#REF!</definedName>
    <definedName name="BExIQ3OJ7M04XCY276IO0LJA5XUK" localSheetId="5" hidden="1">#REF!</definedName>
    <definedName name="BExIQ5S19ITB0NDRUN4XV7B905ED" localSheetId="14" hidden="1">#REF!</definedName>
    <definedName name="BExIQ5S19ITB0NDRUN4XV7B905ED" localSheetId="15" hidden="1">#REF!</definedName>
    <definedName name="BExIQ5S19ITB0NDRUN4XV7B905ED" localSheetId="5" hidden="1">#REF!</definedName>
    <definedName name="BExIQ810MMN2UN0EQ9CRQAFWA19X" localSheetId="14" hidden="1">#REF!</definedName>
    <definedName name="BExIQ810MMN2UN0EQ9CRQAFWA19X" localSheetId="15" hidden="1">#REF!</definedName>
    <definedName name="BExIQ810MMN2UN0EQ9CRQAFWA19X" localSheetId="5" hidden="1">#REF!</definedName>
    <definedName name="BExIQ9TMQT2EIXSVQW7GVSOAW2VJ" localSheetId="14" hidden="1">#REF!</definedName>
    <definedName name="BExIQ9TMQT2EIXSVQW7GVSOAW2VJ" localSheetId="15" hidden="1">#REF!</definedName>
    <definedName name="BExIQ9TMQT2EIXSVQW7GVSOAW2VJ" localSheetId="5" hidden="1">#REF!</definedName>
    <definedName name="BExIQBMDE1L6J4H27K1FMSHQKDSE" localSheetId="14" hidden="1">#REF!</definedName>
    <definedName name="BExIQBMDE1L6J4H27K1FMSHQKDSE" localSheetId="15" hidden="1">#REF!</definedName>
    <definedName name="BExIQBMDE1L6J4H27K1FMSHQKDSE" localSheetId="5" hidden="1">#REF!</definedName>
    <definedName name="BExIQE65LVXUOF3UZFO7SDHFJH22" localSheetId="14" hidden="1">#REF!</definedName>
    <definedName name="BExIQE65LVXUOF3UZFO7SDHFJH22" localSheetId="15" hidden="1">#REF!</definedName>
    <definedName name="BExIQE65LVXUOF3UZFO7SDHFJH22" localSheetId="5" hidden="1">#REF!</definedName>
    <definedName name="BExIQG9OO2KKBOWTMD1OXY36TEGA" localSheetId="14" hidden="1">#REF!</definedName>
    <definedName name="BExIQG9OO2KKBOWTMD1OXY36TEGA" localSheetId="15" hidden="1">#REF!</definedName>
    <definedName name="BExIQG9OO2KKBOWTMD1OXY36TEGA" localSheetId="5" hidden="1">#REF!</definedName>
    <definedName name="BExIQHWZ65ALA9VAFCJEGIL1145G" localSheetId="14" hidden="1">#REF!</definedName>
    <definedName name="BExIQHWZ65ALA9VAFCJEGIL1145G" localSheetId="15" hidden="1">#REF!</definedName>
    <definedName name="BExIQHWZ65ALA9VAFCJEGIL1145G" localSheetId="5" hidden="1">#REF!</definedName>
    <definedName name="BExIQX1XBB31HZTYEEVOBSE3C5A6" localSheetId="14" hidden="1">#REF!</definedName>
    <definedName name="BExIQX1XBB31HZTYEEVOBSE3C5A6" localSheetId="15" hidden="1">#REF!</definedName>
    <definedName name="BExIQX1XBB31HZTYEEVOBSE3C5A6" localSheetId="5" hidden="1">#REF!</definedName>
    <definedName name="BExIR2ALYRP9FW99DK2084J7IIDC" localSheetId="14" hidden="1">#REF!</definedName>
    <definedName name="BExIR2ALYRP9FW99DK2084J7IIDC" localSheetId="15" hidden="1">#REF!</definedName>
    <definedName name="BExIR2ALYRP9FW99DK2084J7IIDC" localSheetId="5" hidden="1">#REF!</definedName>
    <definedName name="BExIR8FQETPTQYW37DBVDWG3J4JW" localSheetId="14" hidden="1">#REF!</definedName>
    <definedName name="BExIR8FQETPTQYW37DBVDWG3J4JW" localSheetId="15" hidden="1">#REF!</definedName>
    <definedName name="BExIR8FQETPTQYW37DBVDWG3J4JW" localSheetId="5" hidden="1">#REF!</definedName>
    <definedName name="BExIRHKWQB1PP4ZLB0C3AVUBAFMD" localSheetId="14" hidden="1">#REF!</definedName>
    <definedName name="BExIRHKWQB1PP4ZLB0C3AVUBAFMD" localSheetId="15" hidden="1">#REF!</definedName>
    <definedName name="BExIRHKWQB1PP4ZLB0C3AVUBAFMD" localSheetId="5" hidden="1">#REF!</definedName>
    <definedName name="BExIRJTRJPQR3OTAGAV7JTA4VMPS" localSheetId="14" hidden="1">#REF!</definedName>
    <definedName name="BExIRJTRJPQR3OTAGAV7JTA4VMPS" localSheetId="15" hidden="1">#REF!</definedName>
    <definedName name="BExIRJTRJPQR3OTAGAV7JTA4VMPS" localSheetId="5" hidden="1">#REF!</definedName>
    <definedName name="BExIROH27RJOG6VI7ZHR0RZGAZZ4" localSheetId="14" hidden="1">#REF!</definedName>
    <definedName name="BExIROH27RJOG6VI7ZHR0RZGAZZ4" localSheetId="15" hidden="1">#REF!</definedName>
    <definedName name="BExIROH27RJOG6VI7ZHR0RZGAZZ4" localSheetId="5" hidden="1">#REF!</definedName>
    <definedName name="BExIRRBGTY01OQOI3U5SW59RFDFI" localSheetId="14" hidden="1">#REF!</definedName>
    <definedName name="BExIRRBGTY01OQOI3U5SW59RFDFI" localSheetId="15" hidden="1">#REF!</definedName>
    <definedName name="BExIRRBGTY01OQOI3U5SW59RFDFI" localSheetId="5" hidden="1">#REF!</definedName>
    <definedName name="BExIS4T0DRF57HYO7OGG72KBOFOI" localSheetId="14" hidden="1">#REF!</definedName>
    <definedName name="BExIS4T0DRF57HYO7OGG72KBOFOI" localSheetId="15" hidden="1">#REF!</definedName>
    <definedName name="BExIS4T0DRF57HYO7OGG72KBOFOI" localSheetId="5" hidden="1">#REF!</definedName>
    <definedName name="BExIS77BJDDK18PGI9DSEYZPIL7P" localSheetId="14" hidden="1">#REF!</definedName>
    <definedName name="BExIS77BJDDK18PGI9DSEYZPIL7P" localSheetId="15" hidden="1">#REF!</definedName>
    <definedName name="BExIS77BJDDK18PGI9DSEYZPIL7P" localSheetId="5" hidden="1">#REF!</definedName>
    <definedName name="BExIS8USL1T3Z97CZ30HJ98E2GXQ" localSheetId="14" hidden="1">#REF!</definedName>
    <definedName name="BExIS8USL1T3Z97CZ30HJ98E2GXQ" localSheetId="15" hidden="1">#REF!</definedName>
    <definedName name="BExIS8USL1T3Z97CZ30HJ98E2GXQ" localSheetId="5" hidden="1">#REF!</definedName>
    <definedName name="BExISC5B700MZUBFTQ9K4IKTF7HR" localSheetId="14" hidden="1">#REF!</definedName>
    <definedName name="BExISC5B700MZUBFTQ9K4IKTF7HR" localSheetId="15" hidden="1">#REF!</definedName>
    <definedName name="BExISC5B700MZUBFTQ9K4IKTF7HR" localSheetId="5" hidden="1">#REF!</definedName>
    <definedName name="BExISDHXS49S1H56ENBPRF1NLD5C" localSheetId="14" hidden="1">#REF!</definedName>
    <definedName name="BExISDHXS49S1H56ENBPRF1NLD5C" localSheetId="15" hidden="1">#REF!</definedName>
    <definedName name="BExISDHXS49S1H56ENBPRF1NLD5C" localSheetId="5" hidden="1">#REF!</definedName>
    <definedName name="BExISM1JLV54A21A164IURMPGUMU" localSheetId="14" hidden="1">#REF!</definedName>
    <definedName name="BExISM1JLV54A21A164IURMPGUMU" localSheetId="15" hidden="1">#REF!</definedName>
    <definedName name="BExISM1JLV54A21A164IURMPGUMU" localSheetId="5" hidden="1">#REF!</definedName>
    <definedName name="BExISRFKJYUZ4AKW44IJF7RF9Y90" localSheetId="14" hidden="1">#REF!</definedName>
    <definedName name="BExISRFKJYUZ4AKW44IJF7RF9Y90" localSheetId="15" hidden="1">#REF!</definedName>
    <definedName name="BExISRFKJYUZ4AKW44IJF7RF9Y90" localSheetId="5" hidden="1">#REF!</definedName>
    <definedName name="BExISSMVV57JAUB6CSGBMBFVNGWK" localSheetId="14" hidden="1">#REF!</definedName>
    <definedName name="BExISSMVV57JAUB6CSGBMBFVNGWK" localSheetId="15" hidden="1">#REF!</definedName>
    <definedName name="BExISSMVV57JAUB6CSGBMBFVNGWK" localSheetId="5" hidden="1">#REF!</definedName>
    <definedName name="BExIT16AD4HCD0WQCCA72AKLQHK1" localSheetId="14" hidden="1">#REF!</definedName>
    <definedName name="BExIT16AD4HCD0WQCCA72AKLQHK1" localSheetId="15" hidden="1">#REF!</definedName>
    <definedName name="BExIT16AD4HCD0WQCCA72AKLQHK1" localSheetId="5" hidden="1">#REF!</definedName>
    <definedName name="BExIT1MK8TBAK3SNP36A8FKDQSOK" localSheetId="14" hidden="1">#REF!</definedName>
    <definedName name="BExIT1MK8TBAK3SNP36A8FKDQSOK" localSheetId="15" hidden="1">#REF!</definedName>
    <definedName name="BExIT1MK8TBAK3SNP36A8FKDQSOK" localSheetId="5" hidden="1">#REF!</definedName>
    <definedName name="BExIT9PPVL7XGGIZS7G6QI6L7H9U" localSheetId="14" hidden="1">#REF!</definedName>
    <definedName name="BExIT9PPVL7XGGIZS7G6QI6L7H9U" localSheetId="15" hidden="1">#REF!</definedName>
    <definedName name="BExIT9PPVL7XGGIZS7G6QI6L7H9U" localSheetId="5" hidden="1">#REF!</definedName>
    <definedName name="BExITBNYANV2S8KD56GOGCKW393R" localSheetId="14" hidden="1">#REF!</definedName>
    <definedName name="BExITBNYANV2S8KD56GOGCKW393R" localSheetId="15" hidden="1">#REF!</definedName>
    <definedName name="BExITBNYANV2S8KD56GOGCKW393R" localSheetId="5" hidden="1">#REF!</definedName>
    <definedName name="BExITGB4FVAV0LE88D7JMX7FBYXI" localSheetId="14" hidden="1">#REF!</definedName>
    <definedName name="BExITGB4FVAV0LE88D7JMX7FBYXI" localSheetId="15" hidden="1">#REF!</definedName>
    <definedName name="BExITGB4FVAV0LE88D7JMX7FBYXI" localSheetId="5" hidden="1">#REF!</definedName>
    <definedName name="BExITI3TQ14K842P38QF0PNWSWNO" localSheetId="14" hidden="1">#REF!</definedName>
    <definedName name="BExITI3TQ14K842P38QF0PNWSWNO" localSheetId="15" hidden="1">#REF!</definedName>
    <definedName name="BExITI3TQ14K842P38QF0PNWSWNO" localSheetId="5" hidden="1">#REF!</definedName>
    <definedName name="BExIU9OGER4TPMETACWUEP1UENK0" localSheetId="14" hidden="1">#REF!</definedName>
    <definedName name="BExIU9OGER4TPMETACWUEP1UENK0" localSheetId="15" hidden="1">#REF!</definedName>
    <definedName name="BExIU9OGER4TPMETACWUEP1UENK0" localSheetId="5" hidden="1">#REF!</definedName>
    <definedName name="BExIUD4OJGH65NFNQ4VMCE3R4J1X" localSheetId="14" hidden="1">#REF!</definedName>
    <definedName name="BExIUD4OJGH65NFNQ4VMCE3R4J1X" localSheetId="15" hidden="1">#REF!</definedName>
    <definedName name="BExIUD4OJGH65NFNQ4VMCE3R4J1X" localSheetId="5" hidden="1">#REF!</definedName>
    <definedName name="BExIUQM0XWNNW3MJD26EOVIT7FSU" localSheetId="14" hidden="1">#REF!</definedName>
    <definedName name="BExIUQM0XWNNW3MJD26EOVIT7FSU" localSheetId="15" hidden="1">#REF!</definedName>
    <definedName name="BExIUQM0XWNNW3MJD26EOVIT7FSU" localSheetId="5" hidden="1">#REF!</definedName>
    <definedName name="BExIUTB5OAAXYW0OFMP0PS40SPOB" localSheetId="14" hidden="1">#REF!</definedName>
    <definedName name="BExIUTB5OAAXYW0OFMP0PS40SPOB" localSheetId="15" hidden="1">#REF!</definedName>
    <definedName name="BExIUTB5OAAXYW0OFMP0PS40SPOB" localSheetId="5" hidden="1">#REF!</definedName>
    <definedName name="BExIUUT2MHIOV6R3WHA0DPM1KBKY" localSheetId="14" hidden="1">#REF!</definedName>
    <definedName name="BExIUUT2MHIOV6R3WHA0DPM1KBKY" localSheetId="15" hidden="1">#REF!</definedName>
    <definedName name="BExIUUT2MHIOV6R3WHA0DPM1KBKY" localSheetId="5" hidden="1">#REF!</definedName>
    <definedName name="BExIUYPDT1AM6MWGWQS646PIZIWC" localSheetId="14" hidden="1">#REF!</definedName>
    <definedName name="BExIUYPDT1AM6MWGWQS646PIZIWC" localSheetId="15" hidden="1">#REF!</definedName>
    <definedName name="BExIUYPDT1AM6MWGWQS646PIZIWC" localSheetId="5" hidden="1">#REF!</definedName>
    <definedName name="BExIV0I2O9F8D1UK1SI8AEYR6U0A" localSheetId="14" hidden="1">#REF!</definedName>
    <definedName name="BExIV0I2O9F8D1UK1SI8AEYR6U0A" localSheetId="15" hidden="1">#REF!</definedName>
    <definedName name="BExIV0I2O9F8D1UK1SI8AEYR6U0A" localSheetId="5" hidden="1">#REF!</definedName>
    <definedName name="BExIV2LM38XPLRTWT0R44TMQ59E5" localSheetId="14" hidden="1">#REF!</definedName>
    <definedName name="BExIV2LM38XPLRTWT0R44TMQ59E5" localSheetId="15" hidden="1">#REF!</definedName>
    <definedName name="BExIV2LM38XPLRTWT0R44TMQ59E5" localSheetId="5" hidden="1">#REF!</definedName>
    <definedName name="BExIV3HY4S0YRV1F7XEMF2YHAR2I" localSheetId="14" hidden="1">#REF!</definedName>
    <definedName name="BExIV3HY4S0YRV1F7XEMF2YHAR2I" localSheetId="15" hidden="1">#REF!</definedName>
    <definedName name="BExIV3HY4S0YRV1F7XEMF2YHAR2I" localSheetId="5" hidden="1">#REF!</definedName>
    <definedName name="BExIV6HUZFRIFLXW2SICKGTAH1PV" localSheetId="14" hidden="1">#REF!</definedName>
    <definedName name="BExIV6HUZFRIFLXW2SICKGTAH1PV" localSheetId="15" hidden="1">#REF!</definedName>
    <definedName name="BExIV6HUZFRIFLXW2SICKGTAH1PV" localSheetId="5" hidden="1">#REF!</definedName>
    <definedName name="BExIVCXWL6H5LD9DHDIA4F5U9TQL" localSheetId="14" hidden="1">#REF!</definedName>
    <definedName name="BExIVCXWL6H5LD9DHDIA4F5U9TQL" localSheetId="15" hidden="1">#REF!</definedName>
    <definedName name="BExIVCXWL6H5LD9DHDIA4F5U9TQL" localSheetId="5" hidden="1">#REF!</definedName>
    <definedName name="BExIVEVYJ7KL8QNR5ZTOSD11I5A6" localSheetId="14" hidden="1">#REF!</definedName>
    <definedName name="BExIVEVYJ7KL8QNR5ZTOSD11I5A6" localSheetId="15" hidden="1">#REF!</definedName>
    <definedName name="BExIVEVYJ7KL8QNR5ZTOSD11I5A6" localSheetId="5" hidden="1">#REF!</definedName>
    <definedName name="BExIVJ30S9U8MA1TUBRND8DGF96D" localSheetId="14" hidden="1">#REF!</definedName>
    <definedName name="BExIVJ30S9U8MA1TUBRND8DGF96D" localSheetId="15" hidden="1">#REF!</definedName>
    <definedName name="BExIVJ30S9U8MA1TUBRND8DGF96D" localSheetId="5" hidden="1">#REF!</definedName>
    <definedName name="BExIVMOIPSEWSIHIDDLOXESQ28A0" localSheetId="14" hidden="1">#REF!</definedName>
    <definedName name="BExIVMOIPSEWSIHIDDLOXESQ28A0" localSheetId="15" hidden="1">#REF!</definedName>
    <definedName name="BExIVMOIPSEWSIHIDDLOXESQ28A0" localSheetId="5" hidden="1">#REF!</definedName>
    <definedName name="BExIVNVNJX9BYDLC88NG09YF5XQ6" localSheetId="14" hidden="1">#REF!</definedName>
    <definedName name="BExIVNVNJX9BYDLC88NG09YF5XQ6" localSheetId="15" hidden="1">#REF!</definedName>
    <definedName name="BExIVNVNJX9BYDLC88NG09YF5XQ6" localSheetId="5" hidden="1">#REF!</definedName>
    <definedName name="BExIVQVKLMGSRYT1LFZH0KUIA4OR" localSheetId="14" hidden="1">#REF!</definedName>
    <definedName name="BExIVQVKLMGSRYT1LFZH0KUIA4OR" localSheetId="15" hidden="1">#REF!</definedName>
    <definedName name="BExIVQVKLMGSRYT1LFZH0KUIA4OR" localSheetId="5" hidden="1">#REF!</definedName>
    <definedName name="BExIVYTFI35KNR2XSA6N8OJYUTUR" localSheetId="14" hidden="1">#REF!</definedName>
    <definedName name="BExIVYTFI35KNR2XSA6N8OJYUTUR" localSheetId="15" hidden="1">#REF!</definedName>
    <definedName name="BExIVYTFI35KNR2XSA6N8OJYUTUR" localSheetId="5" hidden="1">#REF!</definedName>
    <definedName name="BExIVZF05SNB8DE7VLQOFG9S41HS" localSheetId="14" hidden="1">#REF!</definedName>
    <definedName name="BExIVZF05SNB8DE7VLQOFG9S41HS" localSheetId="15" hidden="1">#REF!</definedName>
    <definedName name="BExIVZF05SNB8DE7VLQOFG9S41HS" localSheetId="5" hidden="1">#REF!</definedName>
    <definedName name="BExIWB3SY3WRIVIOF988DNNODBOA" localSheetId="14" hidden="1">#REF!</definedName>
    <definedName name="BExIWB3SY3WRIVIOF988DNNODBOA" localSheetId="15" hidden="1">#REF!</definedName>
    <definedName name="BExIWB3SY3WRIVIOF988DNNODBOA" localSheetId="5" hidden="1">#REF!</definedName>
    <definedName name="BExIWB99CG0H52LRD6QWPN4L6DV2" localSheetId="14" hidden="1">#REF!</definedName>
    <definedName name="BExIWB99CG0H52LRD6QWPN4L6DV2" localSheetId="15" hidden="1">#REF!</definedName>
    <definedName name="BExIWB99CG0H52LRD6QWPN4L6DV2" localSheetId="5" hidden="1">#REF!</definedName>
    <definedName name="BExIWG1W7XP9DFYYSZAIOSHM0QLQ" localSheetId="14" hidden="1">#REF!</definedName>
    <definedName name="BExIWG1W7XP9DFYYSZAIOSHM0QLQ" localSheetId="15" hidden="1">#REF!</definedName>
    <definedName name="BExIWG1W7XP9DFYYSZAIOSHM0QLQ" localSheetId="5" hidden="1">#REF!</definedName>
    <definedName name="BExIWH3KUK94B7833DD4TB0Y6KP9" localSheetId="14" hidden="1">#REF!</definedName>
    <definedName name="BExIWH3KUK94B7833DD4TB0Y6KP9" localSheetId="15" hidden="1">#REF!</definedName>
    <definedName name="BExIWH3KUK94B7833DD4TB0Y6KP9" localSheetId="5" hidden="1">#REF!</definedName>
    <definedName name="BExIWHZXYAALPLS8CSHZHJ82LBOH" localSheetId="14" hidden="1">#REF!</definedName>
    <definedName name="BExIWHZXYAALPLS8CSHZHJ82LBOH" localSheetId="15" hidden="1">#REF!</definedName>
    <definedName name="BExIWHZXYAALPLS8CSHZHJ82LBOH" localSheetId="5" hidden="1">#REF!</definedName>
    <definedName name="BExIWJY6FHR6KOO0P8U4IZ7VD42D" localSheetId="14" hidden="1">#REF!</definedName>
    <definedName name="BExIWJY6FHR6KOO0P8U4IZ7VD42D" localSheetId="15" hidden="1">#REF!</definedName>
    <definedName name="BExIWJY6FHR6KOO0P8U4IZ7VD42D" localSheetId="5" hidden="1">#REF!</definedName>
    <definedName name="BExIWKE9MGIDWORBI43AWTUNYFAN" localSheetId="14" hidden="1">#REF!</definedName>
    <definedName name="BExIWKE9MGIDWORBI43AWTUNYFAN" localSheetId="15" hidden="1">#REF!</definedName>
    <definedName name="BExIWKE9MGIDWORBI43AWTUNYFAN" localSheetId="5" hidden="1">#REF!</definedName>
    <definedName name="BExIWPHOYLSNGZKVD3RRKOEALEUG" localSheetId="14" hidden="1">#REF!</definedName>
    <definedName name="BExIWPHOYLSNGZKVD3RRKOEALEUG" localSheetId="15" hidden="1">#REF!</definedName>
    <definedName name="BExIWPHOYLSNGZKVD3RRKOEALEUG" localSheetId="5" hidden="1">#REF!</definedName>
    <definedName name="BExIWSHLD1QIZPL5ARLXOJ9Y2CAA" localSheetId="14" hidden="1">#REF!</definedName>
    <definedName name="BExIWSHLD1QIZPL5ARLXOJ9Y2CAA" localSheetId="15" hidden="1">#REF!</definedName>
    <definedName name="BExIWSHLD1QIZPL5ARLXOJ9Y2CAA" localSheetId="5" hidden="1">#REF!</definedName>
    <definedName name="BExIX34PM5DBTRHRQWP6PL6WIX88" localSheetId="14" hidden="1">#REF!</definedName>
    <definedName name="BExIX34PM5DBTRHRQWP6PL6WIX88" localSheetId="15" hidden="1">#REF!</definedName>
    <definedName name="BExIX34PM5DBTRHRQWP6PL6WIX88" localSheetId="5" hidden="1">#REF!</definedName>
    <definedName name="BExIX5OAP9KSUE5SIZCW9P39Q4WE" localSheetId="14" hidden="1">#REF!</definedName>
    <definedName name="BExIX5OAP9KSUE5SIZCW9P39Q4WE" localSheetId="15" hidden="1">#REF!</definedName>
    <definedName name="BExIX5OAP9KSUE5SIZCW9P39Q4WE" localSheetId="5" hidden="1">#REF!</definedName>
    <definedName name="BExIXGRJPVJMUDGSG7IHPXPNO69B" localSheetId="14" hidden="1">#REF!</definedName>
    <definedName name="BExIXGRJPVJMUDGSG7IHPXPNO69B" localSheetId="15" hidden="1">#REF!</definedName>
    <definedName name="BExIXGRJPVJMUDGSG7IHPXPNO69B" localSheetId="5" hidden="1">#REF!</definedName>
    <definedName name="BExIXGWVQ9WOO0NCJLXAU4PJPOPM" localSheetId="14" hidden="1">#REF!</definedName>
    <definedName name="BExIXGWVQ9WOO0NCJLXAU4PJPOPM" localSheetId="15" hidden="1">#REF!</definedName>
    <definedName name="BExIXGWVQ9WOO0NCJLXAU4PJPOPM" localSheetId="5" hidden="1">#REF!</definedName>
    <definedName name="BExIXLK6SEOTUWQVNLCH4SAKTVGQ" localSheetId="14" hidden="1">#REF!</definedName>
    <definedName name="BExIXLK6SEOTUWQVNLCH4SAKTVGQ" localSheetId="15" hidden="1">#REF!</definedName>
    <definedName name="BExIXLK6SEOTUWQVNLCH4SAKTVGQ" localSheetId="5" hidden="1">#REF!</definedName>
    <definedName name="BExIXM5R87ZL3FHALWZXYCPHGX3E" localSheetId="14" hidden="1">#REF!</definedName>
    <definedName name="BExIXM5R87ZL3FHALWZXYCPHGX3E" localSheetId="15" hidden="1">#REF!</definedName>
    <definedName name="BExIXM5R87ZL3FHALWZXYCPHGX3E" localSheetId="5" hidden="1">#REF!</definedName>
    <definedName name="BExIXN24YK8MIB3OZ905DHU9CDH1" localSheetId="14" hidden="1">#REF!</definedName>
    <definedName name="BExIXN24YK8MIB3OZ905DHU9CDH1" localSheetId="15" hidden="1">#REF!</definedName>
    <definedName name="BExIXN24YK8MIB3OZ905DHU9CDH1" localSheetId="5" hidden="1">#REF!</definedName>
    <definedName name="BExIXS036ZCKT2Z8XZKLZ8PFWQGL" localSheetId="14" hidden="1">#REF!</definedName>
    <definedName name="BExIXS036ZCKT2Z8XZKLZ8PFWQGL" localSheetId="15" hidden="1">#REF!</definedName>
    <definedName name="BExIXS036ZCKT2Z8XZKLZ8PFWQGL" localSheetId="5" hidden="1">#REF!</definedName>
    <definedName name="BExIXY5CF9PFM0P40AZ4U51TMWV0" localSheetId="14" hidden="1">#REF!</definedName>
    <definedName name="BExIXY5CF9PFM0P40AZ4U51TMWV0" localSheetId="15" hidden="1">#REF!</definedName>
    <definedName name="BExIXY5CF9PFM0P40AZ4U51TMWV0" localSheetId="5" hidden="1">#REF!</definedName>
    <definedName name="BExIYEXJBK8JDWIRSVV4RJSKZVV1" localSheetId="14" hidden="1">#REF!</definedName>
    <definedName name="BExIYEXJBK8JDWIRSVV4RJSKZVV1" localSheetId="15" hidden="1">#REF!</definedName>
    <definedName name="BExIYEXJBK8JDWIRSVV4RJSKZVV1" localSheetId="5" hidden="1">#REF!</definedName>
    <definedName name="BExIYFJ59KLIPRTGIHX9X07UVGT3" localSheetId="14" hidden="1">#REF!</definedName>
    <definedName name="BExIYFJ59KLIPRTGIHX9X07UVGT3" localSheetId="15" hidden="1">#REF!</definedName>
    <definedName name="BExIYFJ59KLIPRTGIHX9X07UVGT3" localSheetId="5" hidden="1">#REF!</definedName>
    <definedName name="BExIYHH7GZO6BU3DC4GRLH3FD3ZS" localSheetId="14" hidden="1">#REF!</definedName>
    <definedName name="BExIYHH7GZO6BU3DC4GRLH3FD3ZS" localSheetId="15" hidden="1">#REF!</definedName>
    <definedName name="BExIYHH7GZO6BU3DC4GRLH3FD3ZS" localSheetId="5" hidden="1">#REF!</definedName>
    <definedName name="BExIYHMPBTD67ZNUL9O76FZQHYPT" localSheetId="14" hidden="1">#REF!</definedName>
    <definedName name="BExIYHMPBTD67ZNUL9O76FZQHYPT" localSheetId="15" hidden="1">#REF!</definedName>
    <definedName name="BExIYHMPBTD67ZNUL9O76FZQHYPT" localSheetId="5" hidden="1">#REF!</definedName>
    <definedName name="BExIYI2RH0K4225XO970K2IQ1E79" localSheetId="14" hidden="1">#REF!</definedName>
    <definedName name="BExIYI2RH0K4225XO970K2IQ1E79" localSheetId="15" hidden="1">#REF!</definedName>
    <definedName name="BExIYI2RH0K4225XO970K2IQ1E79" localSheetId="5" hidden="1">#REF!</definedName>
    <definedName name="BExIYMPZ0KS2KOJFQAUQJ77L7701" localSheetId="14" hidden="1">#REF!</definedName>
    <definedName name="BExIYMPZ0KS2KOJFQAUQJ77L7701" localSheetId="15" hidden="1">#REF!</definedName>
    <definedName name="BExIYMPZ0KS2KOJFQAUQJ77L7701" localSheetId="5" hidden="1">#REF!</definedName>
    <definedName name="BExIYP9Q6FV9T0R9G3UDKLS4TTYX" localSheetId="14" hidden="1">#REF!</definedName>
    <definedName name="BExIYP9Q6FV9T0R9G3UDKLS4TTYX" localSheetId="15" hidden="1">#REF!</definedName>
    <definedName name="BExIYP9Q6FV9T0R9G3UDKLS4TTYX" localSheetId="5" hidden="1">#REF!</definedName>
    <definedName name="BExIYZGLDQ1TN7BIIN4RLDP31GIM" localSheetId="14" hidden="1">#REF!</definedName>
    <definedName name="BExIYZGLDQ1TN7BIIN4RLDP31GIM" localSheetId="15" hidden="1">#REF!</definedName>
    <definedName name="BExIYZGLDQ1TN7BIIN4RLDP31GIM" localSheetId="5" hidden="1">#REF!</definedName>
    <definedName name="BExIZ4K0EZJK6PW3L8SVKTJFSWW9" localSheetId="14" hidden="1">#REF!</definedName>
    <definedName name="BExIZ4K0EZJK6PW3L8SVKTJFSWW9" localSheetId="15" hidden="1">#REF!</definedName>
    <definedName name="BExIZ4K0EZJK6PW3L8SVKTJFSWW9" localSheetId="5" hidden="1">#REF!</definedName>
    <definedName name="BExIZAECOEZGBAO29QMV14E6XDIV" localSheetId="14" hidden="1">#REF!</definedName>
    <definedName name="BExIZAECOEZGBAO29QMV14E6XDIV" localSheetId="15" hidden="1">#REF!</definedName>
    <definedName name="BExIZAECOEZGBAO29QMV14E6XDIV" localSheetId="5" hidden="1">#REF!</definedName>
    <definedName name="BExIZHQR3N1546MQS83ZJ8I6SPZ3" localSheetId="14" hidden="1">#REF!</definedName>
    <definedName name="BExIZHQR3N1546MQS83ZJ8I6SPZ3" localSheetId="15" hidden="1">#REF!</definedName>
    <definedName name="BExIZHQR3N1546MQS83ZJ8I6SPZ3" localSheetId="5" hidden="1">#REF!</definedName>
    <definedName name="BExIZKVXYD5O2JBU81F2UFJZLLSI" localSheetId="14" hidden="1">#REF!</definedName>
    <definedName name="BExIZKVXYD5O2JBU81F2UFJZLLSI" localSheetId="15" hidden="1">#REF!</definedName>
    <definedName name="BExIZKVXYD5O2JBU81F2UFJZLLSI" localSheetId="5" hidden="1">#REF!</definedName>
    <definedName name="BExIZPZDHC8HGER83WHCZAHOX7LK" localSheetId="14" hidden="1">#REF!</definedName>
    <definedName name="BExIZPZDHC8HGER83WHCZAHOX7LK" localSheetId="15" hidden="1">#REF!</definedName>
    <definedName name="BExIZPZDHC8HGER83WHCZAHOX7LK" localSheetId="5" hidden="1">#REF!</definedName>
    <definedName name="BExIZQA5XCS39QKXMYR1MH2ZIGPS" localSheetId="14" hidden="1">#REF!</definedName>
    <definedName name="BExIZQA5XCS39QKXMYR1MH2ZIGPS" localSheetId="15" hidden="1">#REF!</definedName>
    <definedName name="BExIZQA5XCS39QKXMYR1MH2ZIGPS" localSheetId="5" hidden="1">#REF!</definedName>
    <definedName name="BExIZVDLRUNAL32D9KO9X7Y4PB3O" localSheetId="14" hidden="1">#REF!</definedName>
    <definedName name="BExIZVDLRUNAL32D9KO9X7Y4PB3O" localSheetId="15" hidden="1">#REF!</definedName>
    <definedName name="BExIZVDLRUNAL32D9KO9X7Y4PB3O" localSheetId="5" hidden="1">#REF!</definedName>
    <definedName name="BExIZY2PUZ0OF9YKK1B13IW0VS6G" localSheetId="14" hidden="1">#REF!</definedName>
    <definedName name="BExIZY2PUZ0OF9YKK1B13IW0VS6G" localSheetId="15" hidden="1">#REF!</definedName>
    <definedName name="BExIZY2PUZ0OF9YKK1B13IW0VS6G" localSheetId="5" hidden="1">#REF!</definedName>
    <definedName name="BExJ08KBRR2XMWW3VZMPSQKXHZUH" localSheetId="14" hidden="1">#REF!</definedName>
    <definedName name="BExJ08KBRR2XMWW3VZMPSQKXHZUH" localSheetId="15" hidden="1">#REF!</definedName>
    <definedName name="BExJ08KBRR2XMWW3VZMPSQKXHZUH" localSheetId="5" hidden="1">#REF!</definedName>
    <definedName name="BExJ0DYJWXGE7DA39PYL3WM05U9O" localSheetId="14" hidden="1">#REF!</definedName>
    <definedName name="BExJ0DYJWXGE7DA39PYL3WM05U9O" localSheetId="15" hidden="1">#REF!</definedName>
    <definedName name="BExJ0DYJWXGE7DA39PYL3WM05U9O" localSheetId="5" hidden="1">#REF!</definedName>
    <definedName name="BExJ0JYDEZPM2303TRBXOZ74M7N6" localSheetId="14" hidden="1">#REF!</definedName>
    <definedName name="BExJ0JYDEZPM2303TRBXOZ74M7N6" localSheetId="15" hidden="1">#REF!</definedName>
    <definedName name="BExJ0JYDEZPM2303TRBXOZ74M7N6" localSheetId="5" hidden="1">#REF!</definedName>
    <definedName name="BExJ0MY8SY5J5V50H3UKE78ODTVB" localSheetId="14" hidden="1">#REF!</definedName>
    <definedName name="BExJ0MY8SY5J5V50H3UKE78ODTVB" localSheetId="15" hidden="1">#REF!</definedName>
    <definedName name="BExJ0MY8SY5J5V50H3UKE78ODTVB" localSheetId="5" hidden="1">#REF!</definedName>
    <definedName name="BExJ0YC98G37ML4N8FLP8D95EFRF" localSheetId="14" hidden="1">#REF!</definedName>
    <definedName name="BExJ0YC98G37ML4N8FLP8D95EFRF" localSheetId="15" hidden="1">#REF!</definedName>
    <definedName name="BExJ0YC98G37ML4N8FLP8D95EFRF" localSheetId="5" hidden="1">#REF!</definedName>
    <definedName name="BExKCDYKAEV45AFXHVHZZ62E5BM3" localSheetId="14" hidden="1">#REF!</definedName>
    <definedName name="BExKCDYKAEV45AFXHVHZZ62E5BM3" localSheetId="15" hidden="1">#REF!</definedName>
    <definedName name="BExKCDYKAEV45AFXHVHZZ62E5BM3" localSheetId="5" hidden="1">#REF!</definedName>
    <definedName name="BExKCYXU0W2VQVDI3N3N37K2598P" localSheetId="14" hidden="1">#REF!</definedName>
    <definedName name="BExKCYXU0W2VQVDI3N3N37K2598P" localSheetId="15" hidden="1">#REF!</definedName>
    <definedName name="BExKCYXU0W2VQVDI3N3N37K2598P" localSheetId="5" hidden="1">#REF!</definedName>
    <definedName name="BExKDJX3Z1TS0WFDD9EAO42JHL9G" localSheetId="14" hidden="1">#REF!</definedName>
    <definedName name="BExKDJX3Z1TS0WFDD9EAO42JHL9G" localSheetId="15" hidden="1">#REF!</definedName>
    <definedName name="BExKDJX3Z1TS0WFDD9EAO42JHL9G" localSheetId="5" hidden="1">#REF!</definedName>
    <definedName name="BExKDK7WVA5I2WBACAZHAHN35D0I" localSheetId="14" hidden="1">#REF!</definedName>
    <definedName name="BExKDK7WVA5I2WBACAZHAHN35D0I" localSheetId="15" hidden="1">#REF!</definedName>
    <definedName name="BExKDK7WVA5I2WBACAZHAHN35D0I" localSheetId="5" hidden="1">#REF!</definedName>
    <definedName name="BExKDKO0W4AGQO1V7K6Q4VM750FT" localSheetId="14" hidden="1">#REF!</definedName>
    <definedName name="BExKDKO0W4AGQO1V7K6Q4VM750FT" localSheetId="15" hidden="1">#REF!</definedName>
    <definedName name="BExKDKO0W4AGQO1V7K6Q4VM750FT" localSheetId="5" hidden="1">#REF!</definedName>
    <definedName name="BExKDLF10G7W77J87QWH3ZGLUCLW" localSheetId="14" hidden="1">#REF!</definedName>
    <definedName name="BExKDLF10G7W77J87QWH3ZGLUCLW" localSheetId="15" hidden="1">#REF!</definedName>
    <definedName name="BExKDLF10G7W77J87QWH3ZGLUCLW" localSheetId="5" hidden="1">#REF!</definedName>
    <definedName name="BExKE2NDBQ14HOJH945N4W9ZZFJO" localSheetId="14" hidden="1">#REF!</definedName>
    <definedName name="BExKE2NDBQ14HOJH945N4W9ZZFJO" localSheetId="15" hidden="1">#REF!</definedName>
    <definedName name="BExKE2NDBQ14HOJH945N4W9ZZFJO" localSheetId="5" hidden="1">#REF!</definedName>
    <definedName name="BExKEFE0I3MT6ZLC4T1L9465HKTN" localSheetId="14" hidden="1">#REF!</definedName>
    <definedName name="BExKEFE0I3MT6ZLC4T1L9465HKTN" localSheetId="15" hidden="1">#REF!</definedName>
    <definedName name="BExKEFE0I3MT6ZLC4T1L9465HKTN" localSheetId="5" hidden="1">#REF!</definedName>
    <definedName name="BExKEK6O5BVJP4VY02FY7JNAZ6BT" localSheetId="14" hidden="1">#REF!</definedName>
    <definedName name="BExKEK6O5BVJP4VY02FY7JNAZ6BT" localSheetId="15" hidden="1">#REF!</definedName>
    <definedName name="BExKEK6O5BVJP4VY02FY7JNAZ6BT" localSheetId="5" hidden="1">#REF!</definedName>
    <definedName name="BExKEKXK6E6QX339ELPXDIRZSJE0" localSheetId="14" hidden="1">#REF!</definedName>
    <definedName name="BExKEKXK6E6QX339ELPXDIRZSJE0" localSheetId="15" hidden="1">#REF!</definedName>
    <definedName name="BExKEKXK6E6QX339ELPXDIRZSJE0" localSheetId="5" hidden="1">#REF!</definedName>
    <definedName name="BExKEMFI35R0D4WN4A59V9QH7I5S" localSheetId="14" hidden="1">#REF!</definedName>
    <definedName name="BExKEMFI35R0D4WN4A59V9QH7I5S" localSheetId="15" hidden="1">#REF!</definedName>
    <definedName name="BExKEMFI35R0D4WN4A59V9QH7I5S" localSheetId="5" hidden="1">#REF!</definedName>
    <definedName name="BExKEOOIBMP7N8033EY2CJYCBX6H" localSheetId="14" hidden="1">#REF!</definedName>
    <definedName name="BExKEOOIBMP7N8033EY2CJYCBX6H" localSheetId="15" hidden="1">#REF!</definedName>
    <definedName name="BExKEOOIBMP7N8033EY2CJYCBX6H" localSheetId="5" hidden="1">#REF!</definedName>
    <definedName name="BExKEW0RR5LA3VC46A2BEOOMQE56" localSheetId="14" hidden="1">#REF!</definedName>
    <definedName name="BExKEW0RR5LA3VC46A2BEOOMQE56" localSheetId="15" hidden="1">#REF!</definedName>
    <definedName name="BExKEW0RR5LA3VC46A2BEOOMQE56" localSheetId="5" hidden="1">#REF!</definedName>
    <definedName name="BExKF37PTJB4PE1PUQWG20ASBX4E" localSheetId="14" hidden="1">#REF!</definedName>
    <definedName name="BExKF37PTJB4PE1PUQWG20ASBX4E" localSheetId="15" hidden="1">#REF!</definedName>
    <definedName name="BExKF37PTJB4PE1PUQWG20ASBX4E" localSheetId="5" hidden="1">#REF!</definedName>
    <definedName name="BExKFA3VI1CZK21SM0N3LZWT9LA1" localSheetId="14" hidden="1">#REF!</definedName>
    <definedName name="BExKFA3VI1CZK21SM0N3LZWT9LA1" localSheetId="15" hidden="1">#REF!</definedName>
    <definedName name="BExKFA3VI1CZK21SM0N3LZWT9LA1" localSheetId="5" hidden="1">#REF!</definedName>
    <definedName name="BExKFBB29XXT9A2LVUXYSIVKPWGB" localSheetId="14" hidden="1">#REF!</definedName>
    <definedName name="BExKFBB29XXT9A2LVUXYSIVKPWGB" localSheetId="15" hidden="1">#REF!</definedName>
    <definedName name="BExKFBB29XXT9A2LVUXYSIVKPWGB" localSheetId="5" hidden="1">#REF!</definedName>
    <definedName name="BExKFINBFV5J2NFRCL4YUO3YF0ZE" localSheetId="14" hidden="1">#REF!</definedName>
    <definedName name="BExKFINBFV5J2NFRCL4YUO3YF0ZE" localSheetId="15" hidden="1">#REF!</definedName>
    <definedName name="BExKFINBFV5J2NFRCL4YUO3YF0ZE" localSheetId="5" hidden="1">#REF!</definedName>
    <definedName name="BExKFISRBFACTAMJSALEYMY66F6X" localSheetId="14" hidden="1">#REF!</definedName>
    <definedName name="BExKFISRBFACTAMJSALEYMY66F6X" localSheetId="15" hidden="1">#REF!</definedName>
    <definedName name="BExKFISRBFACTAMJSALEYMY66F6X" localSheetId="5" hidden="1">#REF!</definedName>
    <definedName name="BExKFOSK5DJ151C4E8544UWMYTOC" localSheetId="14" hidden="1">#REF!</definedName>
    <definedName name="BExKFOSK5DJ151C4E8544UWMYTOC" localSheetId="15" hidden="1">#REF!</definedName>
    <definedName name="BExKFOSK5DJ151C4E8544UWMYTOC" localSheetId="5" hidden="1">#REF!</definedName>
    <definedName name="BExKFWL3DE1V1VOVHAFYBE85QUB7" localSheetId="14" hidden="1">#REF!</definedName>
    <definedName name="BExKFWL3DE1V1VOVHAFYBE85QUB7" localSheetId="15" hidden="1">#REF!</definedName>
    <definedName name="BExKFWL3DE1V1VOVHAFYBE85QUB7" localSheetId="5" hidden="1">#REF!</definedName>
    <definedName name="BExKFXS9NDEWPZDVGLTMOM3CFO7N" localSheetId="14" hidden="1">#REF!</definedName>
    <definedName name="BExKFXS9NDEWPZDVGLTMOM3CFO7N" localSheetId="15" hidden="1">#REF!</definedName>
    <definedName name="BExKFXS9NDEWPZDVGLTMOM3CFO7N" localSheetId="5" hidden="1">#REF!</definedName>
    <definedName name="BExKFYJC4EVEV54F82K6VKP7Q3OU" localSheetId="14" hidden="1">#REF!</definedName>
    <definedName name="BExKFYJC4EVEV54F82K6VKP7Q3OU" localSheetId="15" hidden="1">#REF!</definedName>
    <definedName name="BExKFYJC4EVEV54F82K6VKP7Q3OU" localSheetId="5" hidden="1">#REF!</definedName>
    <definedName name="BExKG4IYHBKQQ8J8FN10GB2IKO33" localSheetId="14" hidden="1">#REF!</definedName>
    <definedName name="BExKG4IYHBKQQ8J8FN10GB2IKO33" localSheetId="15" hidden="1">#REF!</definedName>
    <definedName name="BExKG4IYHBKQQ8J8FN10GB2IKO33" localSheetId="5" hidden="1">#REF!</definedName>
    <definedName name="BExKGBVDO2JNJUFOFQMF0RJG03ZK" localSheetId="14" hidden="1">#REF!</definedName>
    <definedName name="BExKGBVDO2JNJUFOFQMF0RJG03ZK" localSheetId="15" hidden="1">#REF!</definedName>
    <definedName name="BExKGBVDO2JNJUFOFQMF0RJG03ZK" localSheetId="5" hidden="1">#REF!</definedName>
    <definedName name="BExKGF0L44S78D33WMQ1A75TRKB9" localSheetId="14" hidden="1">#REF!</definedName>
    <definedName name="BExKGF0L44S78D33WMQ1A75TRKB9" localSheetId="15" hidden="1">#REF!</definedName>
    <definedName name="BExKGF0L44S78D33WMQ1A75TRKB9" localSheetId="5" hidden="1">#REF!</definedName>
    <definedName name="BExKGFRN31B3G20LMQ4LRF879J68" localSheetId="14" hidden="1">#REF!</definedName>
    <definedName name="BExKGFRN31B3G20LMQ4LRF879J68" localSheetId="15" hidden="1">#REF!</definedName>
    <definedName name="BExKGFRN31B3G20LMQ4LRF879J68" localSheetId="5" hidden="1">#REF!</definedName>
    <definedName name="BExKGJD3U3ADZILP20U3EURP0UQP" localSheetId="14" hidden="1">#REF!</definedName>
    <definedName name="BExKGJD3U3ADZILP20U3EURP0UQP" localSheetId="15" hidden="1">#REF!</definedName>
    <definedName name="BExKGJD3U3ADZILP20U3EURP0UQP" localSheetId="5" hidden="1">#REF!</definedName>
    <definedName name="BExKGNK5YGKP0YHHTAAOV17Z9EIM" localSheetId="14" hidden="1">#REF!</definedName>
    <definedName name="BExKGNK5YGKP0YHHTAAOV17Z9EIM" localSheetId="15" hidden="1">#REF!</definedName>
    <definedName name="BExKGNK5YGKP0YHHTAAOV17Z9EIM" localSheetId="5" hidden="1">#REF!</definedName>
    <definedName name="BExKGV77YH9YXIQTRKK2331QGYKF" localSheetId="14" hidden="1">#REF!</definedName>
    <definedName name="BExKGV77YH9YXIQTRKK2331QGYKF" localSheetId="15" hidden="1">#REF!</definedName>
    <definedName name="BExKGV77YH9YXIQTRKK2331QGYKF" localSheetId="5" hidden="1">#REF!</definedName>
    <definedName name="BExKH3FTZ5VGTB86W9M4AB39R0G8" localSheetId="14" hidden="1">#REF!</definedName>
    <definedName name="BExKH3FTZ5VGTB86W9M4AB39R0G8" localSheetId="15" hidden="1">#REF!</definedName>
    <definedName name="BExKH3FTZ5VGTB86W9M4AB39R0G8" localSheetId="5" hidden="1">#REF!</definedName>
    <definedName name="BExKH3FV5U5O6XZM7STS3NZKQFGJ" localSheetId="14" hidden="1">#REF!</definedName>
    <definedName name="BExKH3FV5U5O6XZM7STS3NZKQFGJ" localSheetId="15" hidden="1">#REF!</definedName>
    <definedName name="BExKH3FV5U5O6XZM7STS3NZKQFGJ" localSheetId="5" hidden="1">#REF!</definedName>
    <definedName name="BExKH3W5435VN8DZ68OCKI93SEO4" localSheetId="14" hidden="1">#REF!</definedName>
    <definedName name="BExKH3W5435VN8DZ68OCKI93SEO4" localSheetId="15" hidden="1">#REF!</definedName>
    <definedName name="BExKH3W5435VN8DZ68OCKI93SEO4" localSheetId="5" hidden="1">#REF!</definedName>
    <definedName name="BExKH9L4L5ZUAA98QAZ7DB7YH4QE" localSheetId="14" hidden="1">#REF!</definedName>
    <definedName name="BExKH9L4L5ZUAA98QAZ7DB7YH4QE" localSheetId="15" hidden="1">#REF!</definedName>
    <definedName name="BExKH9L4L5ZUAA98QAZ7DB7YH4QE" localSheetId="5" hidden="1">#REF!</definedName>
    <definedName name="BExKHAMUH8NR3HRV0V6FHJE3ROLN" localSheetId="14" hidden="1">#REF!</definedName>
    <definedName name="BExKHAMUH8NR3HRV0V6FHJE3ROLN" localSheetId="15" hidden="1">#REF!</definedName>
    <definedName name="BExKHAMUH8NR3HRV0V6FHJE3ROLN" localSheetId="5" hidden="1">#REF!</definedName>
    <definedName name="BExKHCFKOWFHO2WW0N7Y5XDXEWAO" localSheetId="14" hidden="1">#REF!</definedName>
    <definedName name="BExKHCFKOWFHO2WW0N7Y5XDXEWAO" localSheetId="15" hidden="1">#REF!</definedName>
    <definedName name="BExKHCFKOWFHO2WW0N7Y5XDXEWAO" localSheetId="5" hidden="1">#REF!</definedName>
    <definedName name="BExKHIVLONZ46HLMR50DEXKEUNEP" localSheetId="14" hidden="1">#REF!</definedName>
    <definedName name="BExKHIVLONZ46HLMR50DEXKEUNEP" localSheetId="15" hidden="1">#REF!</definedName>
    <definedName name="BExKHIVLONZ46HLMR50DEXKEUNEP" localSheetId="5" hidden="1">#REF!</definedName>
    <definedName name="BExKHPM9XA0ADDK7TUR0N38EXWEP" localSheetId="14" hidden="1">#REF!</definedName>
    <definedName name="BExKHPM9XA0ADDK7TUR0N38EXWEP" localSheetId="15" hidden="1">#REF!</definedName>
    <definedName name="BExKHPM9XA0ADDK7TUR0N38EXWEP" localSheetId="5" hidden="1">#REF!</definedName>
    <definedName name="BExKHQYXEM47TMIQRQVHE4T5LT8K" localSheetId="14" hidden="1">#REF!</definedName>
    <definedName name="BExKHQYXEM47TMIQRQVHE4T5LT8K" localSheetId="15" hidden="1">#REF!</definedName>
    <definedName name="BExKHQYXEM47TMIQRQVHE4T5LT8K" localSheetId="5" hidden="1">#REF!</definedName>
    <definedName name="BExKI4076KXCDE5KXL79KT36OKLO" localSheetId="14" hidden="1">#REF!</definedName>
    <definedName name="BExKI4076KXCDE5KXL79KT36OKLO" localSheetId="15" hidden="1">#REF!</definedName>
    <definedName name="BExKI4076KXCDE5KXL79KT36OKLO" localSheetId="5" hidden="1">#REF!</definedName>
    <definedName name="BExKI7AUWXBP1WBLFRIYSNQZDWCY" localSheetId="14" hidden="1">#REF!</definedName>
    <definedName name="BExKI7AUWXBP1WBLFRIYSNQZDWCY" localSheetId="15" hidden="1">#REF!</definedName>
    <definedName name="BExKI7AUWXBP1WBLFRIYSNQZDWCY" localSheetId="5" hidden="1">#REF!</definedName>
    <definedName name="BExKI7LO70WYISR7Q0Y1ZDWO9M3B" localSheetId="14" hidden="1">#REF!</definedName>
    <definedName name="BExKI7LO70WYISR7Q0Y1ZDWO9M3B" localSheetId="15" hidden="1">#REF!</definedName>
    <definedName name="BExKI7LO70WYISR7Q0Y1ZDWO9M3B" localSheetId="5" hidden="1">#REF!</definedName>
    <definedName name="BExKIF3EIT434ZQKMDXUBJCRLMK8" localSheetId="14" hidden="1">#REF!</definedName>
    <definedName name="BExKIF3EIT434ZQKMDXUBJCRLMK8" localSheetId="15" hidden="1">#REF!</definedName>
    <definedName name="BExKIF3EIT434ZQKMDXUBJCRLMK8" localSheetId="5" hidden="1">#REF!</definedName>
    <definedName name="BExKIGQV6TXIZG039HBOJU62WP2U" localSheetId="14" hidden="1">#REF!</definedName>
    <definedName name="BExKIGQV6TXIZG039HBOJU62WP2U" localSheetId="15" hidden="1">#REF!</definedName>
    <definedName name="BExKIGQV6TXIZG039HBOJU62WP2U" localSheetId="5" hidden="1">#REF!</definedName>
    <definedName name="BExKILE008SF3KTAN8WML3XKI1NZ" localSheetId="14" hidden="1">#REF!</definedName>
    <definedName name="BExKILE008SF3KTAN8WML3XKI1NZ" localSheetId="15" hidden="1">#REF!</definedName>
    <definedName name="BExKILE008SF3KTAN8WML3XKI1NZ" localSheetId="5" hidden="1">#REF!</definedName>
    <definedName name="BExKINSBB6RS7I489QHMCOMU4Z2X" localSheetId="14" hidden="1">#REF!</definedName>
    <definedName name="BExKINSBB6RS7I489QHMCOMU4Z2X" localSheetId="15" hidden="1">#REF!</definedName>
    <definedName name="BExKINSBB6RS7I489QHMCOMU4Z2X" localSheetId="5" hidden="1">#REF!</definedName>
    <definedName name="BExKINXMPEA03CETGL1VOW1XRJIR" localSheetId="14" hidden="1">#REF!</definedName>
    <definedName name="BExKINXMPEA03CETGL1VOW1XRJIR" localSheetId="15" hidden="1">#REF!</definedName>
    <definedName name="BExKINXMPEA03CETGL1VOW1XRJIR" localSheetId="5" hidden="1">#REF!</definedName>
    <definedName name="BExKITBU5LXLZYDJS3D3BAVWEY3U" localSheetId="14" hidden="1">#REF!</definedName>
    <definedName name="BExKITBU5LXLZYDJS3D3BAVWEY3U" localSheetId="15" hidden="1">#REF!</definedName>
    <definedName name="BExKITBU5LXLZYDJS3D3BAVWEY3U" localSheetId="5" hidden="1">#REF!</definedName>
    <definedName name="BExKIU87ZKSOC2DYZWFK6SAK9I8E" localSheetId="14" hidden="1">#REF!</definedName>
    <definedName name="BExKIU87ZKSOC2DYZWFK6SAK9I8E" localSheetId="15" hidden="1">#REF!</definedName>
    <definedName name="BExKIU87ZKSOC2DYZWFK6SAK9I8E" localSheetId="5" hidden="1">#REF!</definedName>
    <definedName name="BExKJ449HLYX2DJ9UF0H9GTPSQ73" localSheetId="14" hidden="1">#REF!</definedName>
    <definedName name="BExKJ449HLYX2DJ9UF0H9GTPSQ73" localSheetId="15" hidden="1">#REF!</definedName>
    <definedName name="BExKJ449HLYX2DJ9UF0H9GTPSQ73" localSheetId="5" hidden="1">#REF!</definedName>
    <definedName name="BExKJ5649R9IC0GKQD6QI2G7C99Q" localSheetId="14" hidden="1">#REF!</definedName>
    <definedName name="BExKJ5649R9IC0GKQD6QI2G7C99Q" localSheetId="15" hidden="1">#REF!</definedName>
    <definedName name="BExKJ5649R9IC0GKQD6QI2G7C99Q" localSheetId="5" hidden="1">#REF!</definedName>
    <definedName name="BExKJEB4FXIMV2AAE9S3FCGRK1R0" localSheetId="14" hidden="1">#REF!</definedName>
    <definedName name="BExKJEB4FXIMV2AAE9S3FCGRK1R0" localSheetId="15" hidden="1">#REF!</definedName>
    <definedName name="BExKJEB4FXIMV2AAE9S3FCGRK1R0" localSheetId="5" hidden="1">#REF!</definedName>
    <definedName name="BExKJELX2RUC8UEC56IZPYYZXHA7" localSheetId="14" hidden="1">#REF!</definedName>
    <definedName name="BExKJELX2RUC8UEC56IZPYYZXHA7" localSheetId="15" hidden="1">#REF!</definedName>
    <definedName name="BExKJELX2RUC8UEC56IZPYYZXHA7" localSheetId="5" hidden="1">#REF!</definedName>
    <definedName name="BExKJI7CV9I6ILFIZ3SVO4DGK64J" localSheetId="14" hidden="1">#REF!</definedName>
    <definedName name="BExKJI7CV9I6ILFIZ3SVO4DGK64J" localSheetId="15" hidden="1">#REF!</definedName>
    <definedName name="BExKJI7CV9I6ILFIZ3SVO4DGK64J" localSheetId="5" hidden="1">#REF!</definedName>
    <definedName name="BExKJINMXS61G2TZEXCJAWVV4F57" localSheetId="14" hidden="1">#REF!</definedName>
    <definedName name="BExKJINMXS61G2TZEXCJAWVV4F57" localSheetId="15" hidden="1">#REF!</definedName>
    <definedName name="BExKJINMXS61G2TZEXCJAWVV4F57" localSheetId="5" hidden="1">#REF!</definedName>
    <definedName name="BExKJK5ME8KB7HA0180L7OUZDDGV" localSheetId="14" hidden="1">#REF!</definedName>
    <definedName name="BExKJK5ME8KB7HA0180L7OUZDDGV" localSheetId="15" hidden="1">#REF!</definedName>
    <definedName name="BExKJK5ME8KB7HA0180L7OUZDDGV" localSheetId="5" hidden="1">#REF!</definedName>
    <definedName name="BExKJLY652HI5GNEEWQXOB08K2C1" localSheetId="14" hidden="1">#REF!</definedName>
    <definedName name="BExKJLY652HI5GNEEWQXOB08K2C1" localSheetId="15" hidden="1">#REF!</definedName>
    <definedName name="BExKJLY652HI5GNEEWQXOB08K2C1" localSheetId="5" hidden="1">#REF!</definedName>
    <definedName name="BExKJN5IF0VMDILJ5K8ZENF2QYV1" localSheetId="14" hidden="1">#REF!</definedName>
    <definedName name="BExKJN5IF0VMDILJ5K8ZENF2QYV1" localSheetId="15" hidden="1">#REF!</definedName>
    <definedName name="BExKJN5IF0VMDILJ5K8ZENF2QYV1" localSheetId="5" hidden="1">#REF!</definedName>
    <definedName name="BExKJUSJPFUIK20FTVAFJWR2OUYX" localSheetId="14" hidden="1">#REF!</definedName>
    <definedName name="BExKJUSJPFUIK20FTVAFJWR2OUYX" localSheetId="15" hidden="1">#REF!</definedName>
    <definedName name="BExKJUSJPFUIK20FTVAFJWR2OUYX" localSheetId="5" hidden="1">#REF!</definedName>
    <definedName name="BExKJXHNZTE5OMRQ1KTVM1DIQE9I" localSheetId="14" hidden="1">#REF!</definedName>
    <definedName name="BExKJXHNZTE5OMRQ1KTVM1DIQE9I" localSheetId="15" hidden="1">#REF!</definedName>
    <definedName name="BExKJXHNZTE5OMRQ1KTVM1DIQE9I" localSheetId="5" hidden="1">#REF!</definedName>
    <definedName name="BExKK8VP5RS3D0UXZVKA37C4SYBP" localSheetId="14" hidden="1">#REF!</definedName>
    <definedName name="BExKK8VP5RS3D0UXZVKA37C4SYBP" localSheetId="15" hidden="1">#REF!</definedName>
    <definedName name="BExKK8VP5RS3D0UXZVKA37C4SYBP" localSheetId="5" hidden="1">#REF!</definedName>
    <definedName name="BExKKIM9NPF6B3SPMPIQB27HQME4" localSheetId="14" hidden="1">#REF!</definedName>
    <definedName name="BExKKIM9NPF6B3SPMPIQB27HQME4" localSheetId="15" hidden="1">#REF!</definedName>
    <definedName name="BExKKIM9NPF6B3SPMPIQB27HQME4" localSheetId="5" hidden="1">#REF!</definedName>
    <definedName name="BExKKIX1BCBQ4R3K41QD8NTV0OV0" localSheetId="14" hidden="1">#REF!</definedName>
    <definedName name="BExKKIX1BCBQ4R3K41QD8NTV0OV0" localSheetId="15" hidden="1">#REF!</definedName>
    <definedName name="BExKKIX1BCBQ4R3K41QD8NTV0OV0" localSheetId="5" hidden="1">#REF!</definedName>
    <definedName name="BExKKJ2IHMOO66DQ0V2YABR4GV05" localSheetId="14" hidden="1">#REF!</definedName>
    <definedName name="BExKKJ2IHMOO66DQ0V2YABR4GV05" localSheetId="15" hidden="1">#REF!</definedName>
    <definedName name="BExKKJ2IHMOO66DQ0V2YABR4GV05" localSheetId="5" hidden="1">#REF!</definedName>
    <definedName name="BExKKQ3ZWADYV03YHMXDOAMU90EB" localSheetId="14" hidden="1">#REF!</definedName>
    <definedName name="BExKKQ3ZWADYV03YHMXDOAMU90EB" localSheetId="15" hidden="1">#REF!</definedName>
    <definedName name="BExKKQ3ZWADYV03YHMXDOAMU90EB" localSheetId="5" hidden="1">#REF!</definedName>
    <definedName name="BExKKUGD2HMJWQEYZ8H3X1BMXFS9" localSheetId="14" hidden="1">#REF!</definedName>
    <definedName name="BExKKUGD2HMJWQEYZ8H3X1BMXFS9" localSheetId="15" hidden="1">#REF!</definedName>
    <definedName name="BExKKUGD2HMJWQEYZ8H3X1BMXFS9" localSheetId="5" hidden="1">#REF!</definedName>
    <definedName name="BExKKX05KCZZZPKOR1NE5A8RGVT4" localSheetId="14" hidden="1">#REF!</definedName>
    <definedName name="BExKKX05KCZZZPKOR1NE5A8RGVT4" localSheetId="15" hidden="1">#REF!</definedName>
    <definedName name="BExKKX05KCZZZPKOR1NE5A8RGVT4" localSheetId="5" hidden="1">#REF!</definedName>
    <definedName name="BExKL3QUCLQLECGZM555PRF8EN56" localSheetId="14" hidden="1">#REF!</definedName>
    <definedName name="BExKL3QUCLQLECGZM555PRF8EN56" localSheetId="15" hidden="1">#REF!</definedName>
    <definedName name="BExKL3QUCLQLECGZM555PRF8EN56" localSheetId="5" hidden="1">#REF!</definedName>
    <definedName name="BExKL7CGLA62V9UQH9ZDEHIK8W4O" localSheetId="14" hidden="1">#REF!</definedName>
    <definedName name="BExKL7CGLA62V9UQH9ZDEHIK8W4O" localSheetId="15" hidden="1">#REF!</definedName>
    <definedName name="BExKL7CGLA62V9UQH9ZDEHIK8W4O" localSheetId="5" hidden="1">#REF!</definedName>
    <definedName name="BExKLD6S9L66QYREYHBE5J44OK7X" localSheetId="14" hidden="1">#REF!</definedName>
    <definedName name="BExKLD6S9L66QYREYHBE5J44OK7X" localSheetId="15" hidden="1">#REF!</definedName>
    <definedName name="BExKLD6S9L66QYREYHBE5J44OK7X" localSheetId="5" hidden="1">#REF!</definedName>
    <definedName name="BExKLEZK32L28GYJWVO63BZ5E1JD" localSheetId="14" hidden="1">#REF!</definedName>
    <definedName name="BExKLEZK32L28GYJWVO63BZ5E1JD" localSheetId="15" hidden="1">#REF!</definedName>
    <definedName name="BExKLEZK32L28GYJWVO63BZ5E1JD" localSheetId="5" hidden="1">#REF!</definedName>
    <definedName name="BExKLLKVVHT06LA55JB2FC871DC5" localSheetId="14" hidden="1">#REF!</definedName>
    <definedName name="BExKLLKVVHT06LA55JB2FC871DC5" localSheetId="15" hidden="1">#REF!</definedName>
    <definedName name="BExKLLKVVHT06LA55JB2FC871DC5" localSheetId="5" hidden="1">#REF!</definedName>
    <definedName name="BExKMKNALVJRCZS69GFJA4M1J08O" localSheetId="14" hidden="1">#REF!</definedName>
    <definedName name="BExKMKNALVJRCZS69GFJA4M1J08O" localSheetId="15" hidden="1">#REF!</definedName>
    <definedName name="BExKMKNALVJRCZS69GFJA4M1J08O" localSheetId="5" hidden="1">#REF!</definedName>
    <definedName name="BExKMMFZIDRFNSBCWVADJ4S2JE52" localSheetId="14" hidden="1">#REF!</definedName>
    <definedName name="BExKMMFZIDRFNSBCWVADJ4S2JE52" localSheetId="15" hidden="1">#REF!</definedName>
    <definedName name="BExKMMFZIDRFNSBCWVADJ4S2JE52" localSheetId="5" hidden="1">#REF!</definedName>
    <definedName name="BExKMRZJS845FERFW6HUXLFAOMYD" localSheetId="14" hidden="1">#REF!</definedName>
    <definedName name="BExKMRZJS845FERFW6HUXLFAOMYD" localSheetId="15" hidden="1">#REF!</definedName>
    <definedName name="BExKMRZJS845FERFW6HUXLFAOMYD" localSheetId="5" hidden="1">#REF!</definedName>
    <definedName name="BExKMS514WWPGUGRYGTH6XU97T8B" localSheetId="14" hidden="1">#REF!</definedName>
    <definedName name="BExKMS514WWPGUGRYGTH6XU97T8B" localSheetId="15" hidden="1">#REF!</definedName>
    <definedName name="BExKMS514WWPGUGRYGTH6XU97T8B" localSheetId="5" hidden="1">#REF!</definedName>
    <definedName name="BExKMUDV8AH8HQAD5HJVUW7GFDWU" localSheetId="14" hidden="1">#REF!</definedName>
    <definedName name="BExKMUDV8AH8HQAD5HJVUW7GFDWU" localSheetId="15" hidden="1">#REF!</definedName>
    <definedName name="BExKMUDV8AH8HQAD5HJVUW7GFDWU" localSheetId="5" hidden="1">#REF!</definedName>
    <definedName name="BExKMWBX4EH3EYJ07UFEM08NB40Z" localSheetId="14" hidden="1">#REF!</definedName>
    <definedName name="BExKMWBX4EH3EYJ07UFEM08NB40Z" localSheetId="15" hidden="1">#REF!</definedName>
    <definedName name="BExKMWBX4EH3EYJ07UFEM08NB40Z" localSheetId="5" hidden="1">#REF!</definedName>
    <definedName name="BExKN4Q70IU9OY91QRUSK3044MQD" localSheetId="14" hidden="1">#REF!</definedName>
    <definedName name="BExKN4Q70IU9OY91QRUSK3044MQD" localSheetId="15" hidden="1">#REF!</definedName>
    <definedName name="BExKN4Q70IU9OY91QRUSK3044MQD" localSheetId="5" hidden="1">#REF!</definedName>
    <definedName name="BExKNBGV2IR3S7M0BX4810KZB4V3" localSheetId="14" hidden="1">#REF!</definedName>
    <definedName name="BExKNBGV2IR3S7M0BX4810KZB4V3" localSheetId="15" hidden="1">#REF!</definedName>
    <definedName name="BExKNBGV2IR3S7M0BX4810KZB4V3" localSheetId="5" hidden="1">#REF!</definedName>
    <definedName name="BExKNCTBZTSY3MO42VU5PLV6YUHZ" localSheetId="14" hidden="1">#REF!</definedName>
    <definedName name="BExKNCTBZTSY3MO42VU5PLV6YUHZ" localSheetId="15" hidden="1">#REF!</definedName>
    <definedName name="BExKNCTBZTSY3MO42VU5PLV6YUHZ" localSheetId="5" hidden="1">#REF!</definedName>
    <definedName name="BExKNGV2YY749C42AQ2T9QNIE5C3" localSheetId="14" hidden="1">#REF!</definedName>
    <definedName name="BExKNGV2YY749C42AQ2T9QNIE5C3" localSheetId="15" hidden="1">#REF!</definedName>
    <definedName name="BExKNGV2YY749C42AQ2T9QNIE5C3" localSheetId="5" hidden="1">#REF!</definedName>
    <definedName name="BExKNH0F1WPNUEQITIUN5T4NDX9H" localSheetId="14" hidden="1">#REF!</definedName>
    <definedName name="BExKNH0F1WPNUEQITIUN5T4NDX9H" localSheetId="15" hidden="1">#REF!</definedName>
    <definedName name="BExKNH0F1WPNUEQITIUN5T4NDX9H" localSheetId="5" hidden="1">#REF!</definedName>
    <definedName name="BExKNV8UOHVWEHDJWI2WMJ9X6QHZ" localSheetId="14" hidden="1">#REF!</definedName>
    <definedName name="BExKNV8UOHVWEHDJWI2WMJ9X6QHZ" localSheetId="15" hidden="1">#REF!</definedName>
    <definedName name="BExKNV8UOHVWEHDJWI2WMJ9X6QHZ" localSheetId="5" hidden="1">#REF!</definedName>
    <definedName name="BExKNZLD7UATC1MYRNJD8H2NH4KU" localSheetId="14" hidden="1">#REF!</definedName>
    <definedName name="BExKNZLD7UATC1MYRNJD8H2NH4KU" localSheetId="15" hidden="1">#REF!</definedName>
    <definedName name="BExKNZLD7UATC1MYRNJD8H2NH4KU" localSheetId="5" hidden="1">#REF!</definedName>
    <definedName name="BExKNZQUKQQG2Y97R74G4O4BJP1L" localSheetId="14" hidden="1">#REF!</definedName>
    <definedName name="BExKNZQUKQQG2Y97R74G4O4BJP1L" localSheetId="15" hidden="1">#REF!</definedName>
    <definedName name="BExKNZQUKQQG2Y97R74G4O4BJP1L" localSheetId="5" hidden="1">#REF!</definedName>
    <definedName name="BExKO06X0EAD3ABEG1E8PWLDWHBA" localSheetId="14" hidden="1">#REF!</definedName>
    <definedName name="BExKO06X0EAD3ABEG1E8PWLDWHBA" localSheetId="15" hidden="1">#REF!</definedName>
    <definedName name="BExKO06X0EAD3ABEG1E8PWLDWHBA" localSheetId="5" hidden="1">#REF!</definedName>
    <definedName name="BExKO2AHHSGNI1AZOIOW21KPXKPE" localSheetId="14" hidden="1">#REF!</definedName>
    <definedName name="BExKO2AHHSGNI1AZOIOW21KPXKPE" localSheetId="15" hidden="1">#REF!</definedName>
    <definedName name="BExKO2AHHSGNI1AZOIOW21KPXKPE" localSheetId="5" hidden="1">#REF!</definedName>
    <definedName name="BExKO2FXWJWC5IZLDN8JHYILQJ2N" localSheetId="14" hidden="1">#REF!</definedName>
    <definedName name="BExKO2FXWJWC5IZLDN8JHYILQJ2N" localSheetId="15" hidden="1">#REF!</definedName>
    <definedName name="BExKO2FXWJWC5IZLDN8JHYILQJ2N" localSheetId="5" hidden="1">#REF!</definedName>
    <definedName name="BExKO438WZ8FKOU00NURGFMOYXWN" localSheetId="14" hidden="1">#REF!</definedName>
    <definedName name="BExKO438WZ8FKOU00NURGFMOYXWN" localSheetId="15" hidden="1">#REF!</definedName>
    <definedName name="BExKO438WZ8FKOU00NURGFMOYXWN" localSheetId="5" hidden="1">#REF!</definedName>
    <definedName name="BExKO551EZ73M80UFHBQE7BQVU4L" localSheetId="14" hidden="1">#REF!</definedName>
    <definedName name="BExKO551EZ73M80UFHBQE7BQVU4L" localSheetId="15" hidden="1">#REF!</definedName>
    <definedName name="BExKO551EZ73M80UFHBQE7BQVU4L" localSheetId="5" hidden="1">#REF!</definedName>
    <definedName name="BExKOBA4VTRV9YG31IM1PDDO3J9M" localSheetId="14" hidden="1">#REF!</definedName>
    <definedName name="BExKOBA4VTRV9YG31IM1PDDO3J9M" localSheetId="15" hidden="1">#REF!</definedName>
    <definedName name="BExKOBA4VTRV9YG31IM1PDDO3J9M" localSheetId="5" hidden="1">#REF!</definedName>
    <definedName name="BExKODIZGWW2EQD0FEYW6WK6XLCM" localSheetId="14" hidden="1">#REF!</definedName>
    <definedName name="BExKODIZGWW2EQD0FEYW6WK6XLCM" localSheetId="15" hidden="1">#REF!</definedName>
    <definedName name="BExKODIZGWW2EQD0FEYW6WK6XLCM" localSheetId="5" hidden="1">#REF!</definedName>
    <definedName name="BExKOPO2HPWVQGAKW8LOZMPIDEFG" localSheetId="14" hidden="1">#REF!</definedName>
    <definedName name="BExKOPO2HPWVQGAKW8LOZMPIDEFG" localSheetId="15" hidden="1">#REF!</definedName>
    <definedName name="BExKOPO2HPWVQGAKW8LOZMPIDEFG" localSheetId="5" hidden="1">#REF!</definedName>
    <definedName name="BExKP7SRQ3MN5BDYXV2XMBQNUH23" localSheetId="14" hidden="1">#REF!</definedName>
    <definedName name="BExKP7SRQ3MN5BDYXV2XMBQNUH23" localSheetId="15" hidden="1">#REF!</definedName>
    <definedName name="BExKP7SRQ3MN5BDYXV2XMBQNUH23" localSheetId="5" hidden="1">#REF!</definedName>
    <definedName name="BExKPEZP0QTKOTLIMMIFSVTHQEEK" localSheetId="14" hidden="1">#REF!</definedName>
    <definedName name="BExKPEZP0QTKOTLIMMIFSVTHQEEK" localSheetId="15" hidden="1">#REF!</definedName>
    <definedName name="BExKPEZP0QTKOTLIMMIFSVTHQEEK" localSheetId="5" hidden="1">#REF!</definedName>
    <definedName name="BExKPFFSVTL757PNITV8R9RN4452" localSheetId="14" hidden="1">#REF!</definedName>
    <definedName name="BExKPFFSVTL757PNITV8R9RN4452" localSheetId="15" hidden="1">#REF!</definedName>
    <definedName name="BExKPFFSVTL757PNITV8R9RN4452" localSheetId="5" hidden="1">#REF!</definedName>
    <definedName name="BExKPJHKPVROP9QX9BMBZMU2HEZ1" localSheetId="14" hidden="1">#REF!</definedName>
    <definedName name="BExKPJHKPVROP9QX9BMBZMU2HEZ1" localSheetId="15" hidden="1">#REF!</definedName>
    <definedName name="BExKPJHKPVROP9QX9BMBZMU2HEZ1" localSheetId="5" hidden="1">#REF!</definedName>
    <definedName name="BExKPLQJX0HJ8OTXBXH9IC9J2V0W" localSheetId="14" hidden="1">#REF!</definedName>
    <definedName name="BExKPLQJX0HJ8OTXBXH9IC9J2V0W" localSheetId="15" hidden="1">#REF!</definedName>
    <definedName name="BExKPLQJX0HJ8OTXBXH9IC9J2V0W" localSheetId="5" hidden="1">#REF!</definedName>
    <definedName name="BExKPN8C7GN36ZJZHLOB74LU6KT0" localSheetId="14" hidden="1">#REF!</definedName>
    <definedName name="BExKPN8C7GN36ZJZHLOB74LU6KT0" localSheetId="15" hidden="1">#REF!</definedName>
    <definedName name="BExKPN8C7GN36ZJZHLOB74LU6KT0" localSheetId="5" hidden="1">#REF!</definedName>
    <definedName name="BExKPX9VZ1J5021Q98K60HMPJU58" localSheetId="14" hidden="1">#REF!</definedName>
    <definedName name="BExKPX9VZ1J5021Q98K60HMPJU58" localSheetId="15" hidden="1">#REF!</definedName>
    <definedName name="BExKPX9VZ1J5021Q98K60HMPJU58" localSheetId="5" hidden="1">#REF!</definedName>
    <definedName name="BExKQGGEP203MUWSJVORTY7RFOFT" localSheetId="14" hidden="1">#REF!</definedName>
    <definedName name="BExKQGGEP203MUWSJVORTY7RFOFT" localSheetId="15" hidden="1">#REF!</definedName>
    <definedName name="BExKQGGEP203MUWSJVORTY7RFOFT" localSheetId="5" hidden="1">#REF!</definedName>
    <definedName name="BExKQJGAAWNM3NT19E9I0CQDBTU0" localSheetId="14" hidden="1">#REF!</definedName>
    <definedName name="BExKQJGAAWNM3NT19E9I0CQDBTU0" localSheetId="15" hidden="1">#REF!</definedName>
    <definedName name="BExKQJGAAWNM3NT19E9I0CQDBTU0" localSheetId="5" hidden="1">#REF!</definedName>
    <definedName name="BExKQM5GJ1ZN5REKFE7YVBQ0KXWF" localSheetId="14" hidden="1">#REF!</definedName>
    <definedName name="BExKQM5GJ1ZN5REKFE7YVBQ0KXWF" localSheetId="15" hidden="1">#REF!</definedName>
    <definedName name="BExKQM5GJ1ZN5REKFE7YVBQ0KXWF" localSheetId="5" hidden="1">#REF!</definedName>
    <definedName name="BExKQQ71278061G7ZFYGPWOMOMY2" localSheetId="14" hidden="1">#REF!</definedName>
    <definedName name="BExKQQ71278061G7ZFYGPWOMOMY2" localSheetId="15" hidden="1">#REF!</definedName>
    <definedName name="BExKQQ71278061G7ZFYGPWOMOMY2" localSheetId="5" hidden="1">#REF!</definedName>
    <definedName name="BExKQTXRG3ECU8NT47UR7643LO5G" localSheetId="14" hidden="1">#REF!</definedName>
    <definedName name="BExKQTXRG3ECU8NT47UR7643LO5G" localSheetId="15" hidden="1">#REF!</definedName>
    <definedName name="BExKQTXRG3ECU8NT47UR7643LO5G" localSheetId="5" hidden="1">#REF!</definedName>
    <definedName name="BExKQVL7HPOIZ4FHANDFMVOJLEPR" localSheetId="14" hidden="1">#REF!</definedName>
    <definedName name="BExKQVL7HPOIZ4FHANDFMVOJLEPR" localSheetId="15" hidden="1">#REF!</definedName>
    <definedName name="BExKQVL7HPOIZ4FHANDFMVOJLEPR" localSheetId="5" hidden="1">#REF!</definedName>
    <definedName name="BExKR3ZAJRYXZB4M7XZPK0I7E55W" localSheetId="14" hidden="1">#REF!</definedName>
    <definedName name="BExKR3ZAJRYXZB4M7XZPK0I7E55W" localSheetId="15" hidden="1">#REF!</definedName>
    <definedName name="BExKR3ZAJRYXZB4M7XZPK0I7E55W" localSheetId="5" hidden="1">#REF!</definedName>
    <definedName name="BExKR8RZSEHW184G0Z56B4EGNU72" localSheetId="14" hidden="1">#REF!</definedName>
    <definedName name="BExKR8RZSEHW184G0Z56B4EGNU72" localSheetId="15" hidden="1">#REF!</definedName>
    <definedName name="BExKR8RZSEHW184G0Z56B4EGNU72" localSheetId="5" hidden="1">#REF!</definedName>
    <definedName name="BExKRHM60KUPM7RGAAFRSKX4TMS5" localSheetId="14" hidden="1">#REF!</definedName>
    <definedName name="BExKRHM60KUPM7RGAAFRSKX4TMS5" localSheetId="15" hidden="1">#REF!</definedName>
    <definedName name="BExKRHM60KUPM7RGAAFRSKX4TMS5" localSheetId="5" hidden="1">#REF!</definedName>
    <definedName name="BExKRQB2LX164R610N3VXJPD3C1W" localSheetId="14" hidden="1">#REF!</definedName>
    <definedName name="BExKRQB2LX164R610N3VXJPD3C1W" localSheetId="15" hidden="1">#REF!</definedName>
    <definedName name="BExKRQB2LX164R610N3VXJPD3C1W" localSheetId="5" hidden="1">#REF!</definedName>
    <definedName name="BExKRVUSQ6PA7ZYQSTEQL3X7PB9P" localSheetId="14" hidden="1">#REF!</definedName>
    <definedName name="BExKRVUSQ6PA7ZYQSTEQL3X7PB9P" localSheetId="15" hidden="1">#REF!</definedName>
    <definedName name="BExKRVUSQ6PA7ZYQSTEQL3X7PB9P" localSheetId="5" hidden="1">#REF!</definedName>
    <definedName name="BExKRY3KZ7F7RB2KH8HXSQ85IEQO" localSheetId="14" hidden="1">#REF!</definedName>
    <definedName name="BExKRY3KZ7F7RB2KH8HXSQ85IEQO" localSheetId="15" hidden="1">#REF!</definedName>
    <definedName name="BExKRY3KZ7F7RB2KH8HXSQ85IEQO" localSheetId="5" hidden="1">#REF!</definedName>
    <definedName name="BExKS91CCVW1YKNE1EQ4MCE1E9JX" localSheetId="14" hidden="1">#REF!</definedName>
    <definedName name="BExKS91CCVW1YKNE1EQ4MCE1E9JX" localSheetId="15" hidden="1">#REF!</definedName>
    <definedName name="BExKS91CCVW1YKNE1EQ4MCE1E9JX" localSheetId="5" hidden="1">#REF!</definedName>
    <definedName name="BExKSA37DZTCK6H13HPIKR0ZFVL8" localSheetId="14" hidden="1">#REF!</definedName>
    <definedName name="BExKSA37DZTCK6H13HPIKR0ZFVL8" localSheetId="15" hidden="1">#REF!</definedName>
    <definedName name="BExKSA37DZTCK6H13HPIKR0ZFVL8" localSheetId="5" hidden="1">#REF!</definedName>
    <definedName name="BExKSB51O073JLM4PEU353GBBSMI" localSheetId="14" hidden="1">#REF!</definedName>
    <definedName name="BExKSB51O073JLM4PEU353GBBSMI" localSheetId="15" hidden="1">#REF!</definedName>
    <definedName name="BExKSB51O073JLM4PEU353GBBSMI" localSheetId="5" hidden="1">#REF!</definedName>
    <definedName name="BExKSC1EDUXA6RM44LZV6HMMHKLX" localSheetId="14" hidden="1">#REF!</definedName>
    <definedName name="BExKSC1EDUXA6RM44LZV6HMMHKLX" localSheetId="15" hidden="1">#REF!</definedName>
    <definedName name="BExKSC1EDUXA6RM44LZV6HMMHKLX" localSheetId="5" hidden="1">#REF!</definedName>
    <definedName name="BExKSFMOMSZYDE0WNC94F40S6636" localSheetId="14" hidden="1">#REF!</definedName>
    <definedName name="BExKSFMOMSZYDE0WNC94F40S6636" localSheetId="15" hidden="1">#REF!</definedName>
    <definedName name="BExKSFMOMSZYDE0WNC94F40S6636" localSheetId="5" hidden="1">#REF!</definedName>
    <definedName name="BExKSHQ9K79S8KYUWIV5M5LAHHF1" localSheetId="14" hidden="1">#REF!</definedName>
    <definedName name="BExKSHQ9K79S8KYUWIV5M5LAHHF1" localSheetId="15" hidden="1">#REF!</definedName>
    <definedName name="BExKSHQ9K79S8KYUWIV5M5LAHHF1" localSheetId="5" hidden="1">#REF!</definedName>
    <definedName name="BExKSJTWG9L3FCX8FLK4EMUJMF27" localSheetId="14" hidden="1">#REF!</definedName>
    <definedName name="BExKSJTWG9L3FCX8FLK4EMUJMF27" localSheetId="15" hidden="1">#REF!</definedName>
    <definedName name="BExKSJTWG9L3FCX8FLK4EMUJMF27" localSheetId="5" hidden="1">#REF!</definedName>
    <definedName name="BExKSU0MKNAVZYYPKCYTZDWQX4R8" localSheetId="14" hidden="1">#REF!</definedName>
    <definedName name="BExKSU0MKNAVZYYPKCYTZDWQX4R8" localSheetId="15" hidden="1">#REF!</definedName>
    <definedName name="BExKSU0MKNAVZYYPKCYTZDWQX4R8" localSheetId="5" hidden="1">#REF!</definedName>
    <definedName name="BExKSX60G1MUS689FXIGYP2F7C62" localSheetId="14" hidden="1">#REF!</definedName>
    <definedName name="BExKSX60G1MUS689FXIGYP2F7C62" localSheetId="15" hidden="1">#REF!</definedName>
    <definedName name="BExKSX60G1MUS689FXIGYP2F7C62" localSheetId="5" hidden="1">#REF!</definedName>
    <definedName name="BExKT2UZ7Y2VWF5NQE18SJRLD2RN" localSheetId="14" hidden="1">#REF!</definedName>
    <definedName name="BExKT2UZ7Y2VWF5NQE18SJRLD2RN" localSheetId="15" hidden="1">#REF!</definedName>
    <definedName name="BExKT2UZ7Y2VWF5NQE18SJRLD2RN" localSheetId="5" hidden="1">#REF!</definedName>
    <definedName name="BExKT3GJFNGAM09H5F615E36A38C" localSheetId="14" hidden="1">#REF!</definedName>
    <definedName name="BExKT3GJFNGAM09H5F615E36A38C" localSheetId="15" hidden="1">#REF!</definedName>
    <definedName name="BExKT3GJFNGAM09H5F615E36A38C" localSheetId="5" hidden="1">#REF!</definedName>
    <definedName name="BExKTD1UM9PTLYETG1RM502XDNC0" localSheetId="14" hidden="1">#REF!</definedName>
    <definedName name="BExKTD1UM9PTLYETG1RM502XDNC0" localSheetId="15" hidden="1">#REF!</definedName>
    <definedName name="BExKTD1UM9PTLYETG1RM502XDNC0" localSheetId="5" hidden="1">#REF!</definedName>
    <definedName name="BExKTJN26AY45CE6JUAX3OIL48F7" localSheetId="14" hidden="1">#REF!</definedName>
    <definedName name="BExKTJN26AY45CE6JUAX3OIL48F7" localSheetId="15" hidden="1">#REF!</definedName>
    <definedName name="BExKTJN26AY45CE6JUAX3OIL48F7" localSheetId="5" hidden="1">#REF!</definedName>
    <definedName name="BExKTQZGN8GI3XGSEXMPCCA3S19H" localSheetId="14" hidden="1">#REF!</definedName>
    <definedName name="BExKTQZGN8GI3XGSEXMPCCA3S19H" localSheetId="15" hidden="1">#REF!</definedName>
    <definedName name="BExKTQZGN8GI3XGSEXMPCCA3S19H" localSheetId="5" hidden="1">#REF!</definedName>
    <definedName name="BExKTUKYYU0F6TUW1RXV24LRAZFE" localSheetId="14" hidden="1">#REF!</definedName>
    <definedName name="BExKTUKYYU0F6TUW1RXV24LRAZFE" localSheetId="15" hidden="1">#REF!</definedName>
    <definedName name="BExKTUKYYU0F6TUW1RXV24LRAZFE" localSheetId="5" hidden="1">#REF!</definedName>
    <definedName name="BExKU3FBLHQBIUTN6XEZW5GC9OG1" localSheetId="14" hidden="1">#REF!</definedName>
    <definedName name="BExKU3FBLHQBIUTN6XEZW5GC9OG1" localSheetId="15" hidden="1">#REF!</definedName>
    <definedName name="BExKU3FBLHQBIUTN6XEZW5GC9OG1" localSheetId="5" hidden="1">#REF!</definedName>
    <definedName name="BExKU82I99FEUIZLODXJDOJC96CQ" localSheetId="14" hidden="1">#REF!</definedName>
    <definedName name="BExKU82I99FEUIZLODXJDOJC96CQ" localSheetId="15" hidden="1">#REF!</definedName>
    <definedName name="BExKU82I99FEUIZLODXJDOJC96CQ" localSheetId="5" hidden="1">#REF!</definedName>
    <definedName name="BExKUDM0DFSCM3D91SH0XLXJSL18" localSheetId="14" hidden="1">#REF!</definedName>
    <definedName name="BExKUDM0DFSCM3D91SH0XLXJSL18" localSheetId="15" hidden="1">#REF!</definedName>
    <definedName name="BExKUDM0DFSCM3D91SH0XLXJSL18" localSheetId="5" hidden="1">#REF!</definedName>
    <definedName name="BExKUHYKD9TJTMQOOBS4EX04FCEZ" localSheetId="14" hidden="1">#REF!</definedName>
    <definedName name="BExKUHYKD9TJTMQOOBS4EX04FCEZ" localSheetId="15" hidden="1">#REF!</definedName>
    <definedName name="BExKUHYKD9TJTMQOOBS4EX04FCEZ" localSheetId="5" hidden="1">#REF!</definedName>
    <definedName name="BExKULEKJLA77AUQPDUHSM94Y76Z" localSheetId="14" hidden="1">#REF!</definedName>
    <definedName name="BExKULEKJLA77AUQPDUHSM94Y76Z" localSheetId="15" hidden="1">#REF!</definedName>
    <definedName name="BExKULEKJLA77AUQPDUHSM94Y76Z" localSheetId="5" hidden="1">#REF!</definedName>
    <definedName name="BExKUXE506JSYMR4CV866RHRDYR9" localSheetId="14" hidden="1">#REF!</definedName>
    <definedName name="BExKUXE506JSYMR4CV866RHRDYR9" localSheetId="15" hidden="1">#REF!</definedName>
    <definedName name="BExKUXE506JSYMR4CV866RHRDYR9" localSheetId="5" hidden="1">#REF!</definedName>
    <definedName name="BExKV08R85MKI3MAX9E2HERNQUNL" localSheetId="14" hidden="1">#REF!</definedName>
    <definedName name="BExKV08R85MKI3MAX9E2HERNQUNL" localSheetId="15" hidden="1">#REF!</definedName>
    <definedName name="BExKV08R85MKI3MAX9E2HERNQUNL" localSheetId="5" hidden="1">#REF!</definedName>
    <definedName name="BExKV4AAUNNJL5JWD7PX6BFKVS6O" localSheetId="14" hidden="1">#REF!</definedName>
    <definedName name="BExKV4AAUNNJL5JWD7PX6BFKVS6O" localSheetId="15" hidden="1">#REF!</definedName>
    <definedName name="BExKV4AAUNNJL5JWD7PX6BFKVS6O" localSheetId="5" hidden="1">#REF!</definedName>
    <definedName name="BExKVDVK6HN74GQPTXICP9BFC8CF" localSheetId="14" hidden="1">#REF!</definedName>
    <definedName name="BExKVDVK6HN74GQPTXICP9BFC8CF" localSheetId="15" hidden="1">#REF!</definedName>
    <definedName name="BExKVDVK6HN74GQPTXICP9BFC8CF" localSheetId="5" hidden="1">#REF!</definedName>
    <definedName name="BExKVFZ3ZZGIC1QI8XN6BYFWN0ZY" localSheetId="14" hidden="1">#REF!</definedName>
    <definedName name="BExKVFZ3ZZGIC1QI8XN6BYFWN0ZY" localSheetId="15" hidden="1">#REF!</definedName>
    <definedName name="BExKVFZ3ZZGIC1QI8XN6BYFWN0ZY" localSheetId="5" hidden="1">#REF!</definedName>
    <definedName name="BExKVG4KGO28KPGTAFL1R8TTZ10N" localSheetId="14" hidden="1">#REF!</definedName>
    <definedName name="BExKVG4KGO28KPGTAFL1R8TTZ10N" localSheetId="15" hidden="1">#REF!</definedName>
    <definedName name="BExKVG4KGO28KPGTAFL1R8TTZ10N" localSheetId="5" hidden="1">#REF!</definedName>
    <definedName name="BExKW0CSH7DA02YSNV64PSEIXB2P" localSheetId="14" hidden="1">#REF!</definedName>
    <definedName name="BExKW0CSH7DA02YSNV64PSEIXB2P" localSheetId="15" hidden="1">#REF!</definedName>
    <definedName name="BExKW0CSH7DA02YSNV64PSEIXB2P" localSheetId="5" hidden="1">#REF!</definedName>
    <definedName name="BExM9NUG3Q31X01AI9ZJCZIX25CS" localSheetId="14" hidden="1">#REF!</definedName>
    <definedName name="BExM9NUG3Q31X01AI9ZJCZIX25CS" localSheetId="15" hidden="1">#REF!</definedName>
    <definedName name="BExM9NUG3Q31X01AI9ZJCZIX25CS" localSheetId="5" hidden="1">#REF!</definedName>
    <definedName name="BExM9OG182RP30MY23PG49LVPZ1C" localSheetId="14" hidden="1">#REF!</definedName>
    <definedName name="BExM9OG182RP30MY23PG49LVPZ1C" localSheetId="15" hidden="1">#REF!</definedName>
    <definedName name="BExM9OG182RP30MY23PG49LVPZ1C" localSheetId="5" hidden="1">#REF!</definedName>
    <definedName name="BExMA64MW1S18NH8DCKPCCEI5KCB" localSheetId="14" hidden="1">#REF!</definedName>
    <definedName name="BExMA64MW1S18NH8DCKPCCEI5KCB" localSheetId="15" hidden="1">#REF!</definedName>
    <definedName name="BExMA64MW1S18NH8DCKPCCEI5KCB" localSheetId="5" hidden="1">#REF!</definedName>
    <definedName name="BExMALEWFUEM8Y686IT03ECURUBR" localSheetId="14" hidden="1">#REF!</definedName>
    <definedName name="BExMALEWFUEM8Y686IT03ECURUBR" localSheetId="15" hidden="1">#REF!</definedName>
    <definedName name="BExMALEWFUEM8Y686IT03ECURUBR" localSheetId="5" hidden="1">#REF!</definedName>
    <definedName name="BExMAS0AQY7KMMTBTBPK0SWWDITB" localSheetId="14" hidden="1">#REF!</definedName>
    <definedName name="BExMAS0AQY7KMMTBTBPK0SWWDITB" localSheetId="15" hidden="1">#REF!</definedName>
    <definedName name="BExMAS0AQY7KMMTBTBPK0SWWDITB" localSheetId="5" hidden="1">#REF!</definedName>
    <definedName name="BExMAXJS82ZJ8RS22VLE0V0LDUII" localSheetId="14" hidden="1">#REF!</definedName>
    <definedName name="BExMAXJS82ZJ8RS22VLE0V0LDUII" localSheetId="15" hidden="1">#REF!</definedName>
    <definedName name="BExMAXJS82ZJ8RS22VLE0V0LDUII" localSheetId="5" hidden="1">#REF!</definedName>
    <definedName name="BExMB4QRS0R3MTB4CMUHFZ84LNZQ" localSheetId="14" hidden="1">#REF!</definedName>
    <definedName name="BExMB4QRS0R3MTB4CMUHFZ84LNZQ" localSheetId="15" hidden="1">#REF!</definedName>
    <definedName name="BExMB4QRS0R3MTB4CMUHFZ84LNZQ" localSheetId="5" hidden="1">#REF!</definedName>
    <definedName name="BExMB7AICZ233JKSCEUSR9RQXRS0" localSheetId="14" hidden="1">#REF!</definedName>
    <definedName name="BExMB7AICZ233JKSCEUSR9RQXRS0" localSheetId="15" hidden="1">#REF!</definedName>
    <definedName name="BExMB7AICZ233JKSCEUSR9RQXRS0" localSheetId="5" hidden="1">#REF!</definedName>
    <definedName name="BExMBC35WKQY5CWQJLV4D05O6971" localSheetId="14" hidden="1">#REF!</definedName>
    <definedName name="BExMBC35WKQY5CWQJLV4D05O6971" localSheetId="15" hidden="1">#REF!</definedName>
    <definedName name="BExMBC35WKQY5CWQJLV4D05O6971" localSheetId="5" hidden="1">#REF!</definedName>
    <definedName name="BExMBFTZV4Q1A5KG25C1N9PHQNSW" localSheetId="14" hidden="1">#REF!</definedName>
    <definedName name="BExMBFTZV4Q1A5KG25C1N9PHQNSW" localSheetId="15" hidden="1">#REF!</definedName>
    <definedName name="BExMBFTZV4Q1A5KG25C1N9PHQNSW" localSheetId="5" hidden="1">#REF!</definedName>
    <definedName name="BExMBFZFXQDH3H55R89930TFTU36" localSheetId="14" hidden="1">#REF!</definedName>
    <definedName name="BExMBFZFXQDH3H55R89930TFTU36" localSheetId="15" hidden="1">#REF!</definedName>
    <definedName name="BExMBFZFXQDH3H55R89930TFTU36" localSheetId="5" hidden="1">#REF!</definedName>
    <definedName name="BExMBK6ISK3U7KHZKUJXIDKGF6VW" localSheetId="14" hidden="1">#REF!</definedName>
    <definedName name="BExMBK6ISK3U7KHZKUJXIDKGF6VW" localSheetId="15" hidden="1">#REF!</definedName>
    <definedName name="BExMBK6ISK3U7KHZKUJXIDKGF6VW" localSheetId="5" hidden="1">#REF!</definedName>
    <definedName name="BExMBYPQDG9AYDQ5E8IECVFREPO6" localSheetId="14" hidden="1">#REF!</definedName>
    <definedName name="BExMBYPQDG9AYDQ5E8IECVFREPO6" localSheetId="15" hidden="1">#REF!</definedName>
    <definedName name="BExMBYPQDG9AYDQ5E8IECVFREPO6" localSheetId="5" hidden="1">#REF!</definedName>
    <definedName name="BExMC8AZUTX8LG89K2JJR7ZG62XX" localSheetId="14" hidden="1">#REF!</definedName>
    <definedName name="BExMC8AZUTX8LG89K2JJR7ZG62XX" localSheetId="15" hidden="1">#REF!</definedName>
    <definedName name="BExMC8AZUTX8LG89K2JJR7ZG62XX" localSheetId="5" hidden="1">#REF!</definedName>
    <definedName name="BExMCA96YR10V72G2R0SCIKPZLIZ" localSheetId="14" hidden="1">#REF!</definedName>
    <definedName name="BExMCA96YR10V72G2R0SCIKPZLIZ" localSheetId="15" hidden="1">#REF!</definedName>
    <definedName name="BExMCA96YR10V72G2R0SCIKPZLIZ" localSheetId="5" hidden="1">#REF!</definedName>
    <definedName name="BExMCB5JU5I2VQDUBS4O42BTEVKI" localSheetId="14" hidden="1">#REF!</definedName>
    <definedName name="BExMCB5JU5I2VQDUBS4O42BTEVKI" localSheetId="15" hidden="1">#REF!</definedName>
    <definedName name="BExMCB5JU5I2VQDUBS4O42BTEVKI" localSheetId="5" hidden="1">#REF!</definedName>
    <definedName name="BExMCFSQFSEMPY5IXDIRKZDASDBR" localSheetId="14" hidden="1">#REF!</definedName>
    <definedName name="BExMCFSQFSEMPY5IXDIRKZDASDBR" localSheetId="15" hidden="1">#REF!</definedName>
    <definedName name="BExMCFSQFSEMPY5IXDIRKZDASDBR" localSheetId="5" hidden="1">#REF!</definedName>
    <definedName name="BExMCH58I9XOLK7WEE6VSJGYPJGL" localSheetId="14" hidden="1">#REF!</definedName>
    <definedName name="BExMCH58I9XOLK7WEE6VSJGYPJGL" localSheetId="15" hidden="1">#REF!</definedName>
    <definedName name="BExMCH58I9XOLK7WEE6VSJGYPJGL" localSheetId="5" hidden="1">#REF!</definedName>
    <definedName name="BExMCMZOEYWVOOJ98TBHTTCS7XB8" localSheetId="14" hidden="1">#REF!</definedName>
    <definedName name="BExMCMZOEYWVOOJ98TBHTTCS7XB8" localSheetId="15" hidden="1">#REF!</definedName>
    <definedName name="BExMCMZOEYWVOOJ98TBHTTCS7XB8" localSheetId="5" hidden="1">#REF!</definedName>
    <definedName name="BExMCS8EF2W3FS9QADNKREYSI8P0" localSheetId="14" hidden="1">#REF!</definedName>
    <definedName name="BExMCS8EF2W3FS9QADNKREYSI8P0" localSheetId="15" hidden="1">#REF!</definedName>
    <definedName name="BExMCS8EF2W3FS9QADNKREYSI8P0" localSheetId="5" hidden="1">#REF!</definedName>
    <definedName name="BExMCSU0KZGHALEL7N5DJBVL94K7" localSheetId="14" hidden="1">#REF!</definedName>
    <definedName name="BExMCSU0KZGHALEL7N5DJBVL94K7" localSheetId="15" hidden="1">#REF!</definedName>
    <definedName name="BExMCSU0KZGHALEL7N5DJBVL94K7" localSheetId="5" hidden="1">#REF!</definedName>
    <definedName name="BExMCUS7GSOM96J0HJ7EH0FFM2AC" localSheetId="14" hidden="1">#REF!</definedName>
    <definedName name="BExMCUS7GSOM96J0HJ7EH0FFM2AC" localSheetId="15" hidden="1">#REF!</definedName>
    <definedName name="BExMCUS7GSOM96J0HJ7EH0FFM2AC" localSheetId="5" hidden="1">#REF!</definedName>
    <definedName name="BExMCYTT6TVDWMJXO1NZANRTVNAN" localSheetId="14" hidden="1">#REF!</definedName>
    <definedName name="BExMCYTT6TVDWMJXO1NZANRTVNAN" localSheetId="15" hidden="1">#REF!</definedName>
    <definedName name="BExMCYTT6TVDWMJXO1NZANRTVNAN" localSheetId="5" hidden="1">#REF!</definedName>
    <definedName name="BExMD54CT1VTE5YGBM90H90NF28M" localSheetId="14" hidden="1">#REF!</definedName>
    <definedName name="BExMD54CT1VTE5YGBM90H90NF28M" localSheetId="15" hidden="1">#REF!</definedName>
    <definedName name="BExMD54CT1VTE5YGBM90H90NF28M" localSheetId="5" hidden="1">#REF!</definedName>
    <definedName name="BExMD5F6IAV108XYJLXUO9HD0IT6" localSheetId="14" hidden="1">#REF!</definedName>
    <definedName name="BExMD5F6IAV108XYJLXUO9HD0IT6" localSheetId="15" hidden="1">#REF!</definedName>
    <definedName name="BExMD5F6IAV108XYJLXUO9HD0IT6" localSheetId="5" hidden="1">#REF!</definedName>
    <definedName name="BExMDANV66W9T3XAXID40XFJ0J93" localSheetId="14" hidden="1">#REF!</definedName>
    <definedName name="BExMDANV66W9T3XAXID40XFJ0J93" localSheetId="15" hidden="1">#REF!</definedName>
    <definedName name="BExMDANV66W9T3XAXID40XFJ0J93" localSheetId="5" hidden="1">#REF!</definedName>
    <definedName name="BExMDGD1KQP7NNR78X2ZX4FCBQ1S" localSheetId="14" hidden="1">#REF!</definedName>
    <definedName name="BExMDGD1KQP7NNR78X2ZX4FCBQ1S" localSheetId="15" hidden="1">#REF!</definedName>
    <definedName name="BExMDGD1KQP7NNR78X2ZX4FCBQ1S" localSheetId="5" hidden="1">#REF!</definedName>
    <definedName name="BExMDIRDK0DI8P86HB7WPH8QWLSQ" localSheetId="14" hidden="1">#REF!</definedName>
    <definedName name="BExMDIRDK0DI8P86HB7WPH8QWLSQ" localSheetId="15" hidden="1">#REF!</definedName>
    <definedName name="BExMDIRDK0DI8P86HB7WPH8QWLSQ" localSheetId="5" hidden="1">#REF!</definedName>
    <definedName name="BExMDOWGDLP3BZZB4ZPI31VS10FP" localSheetId="14" hidden="1">#REF!</definedName>
    <definedName name="BExMDOWGDLP3BZZB4ZPI31VS10FP" localSheetId="15" hidden="1">#REF!</definedName>
    <definedName name="BExMDOWGDLP3BZZB4ZPI31VS10FP" localSheetId="5" hidden="1">#REF!</definedName>
    <definedName name="BExMDPI2FVMORSWDDCVAJ85WYAYO" localSheetId="14" hidden="1">#REF!</definedName>
    <definedName name="BExMDPI2FVMORSWDDCVAJ85WYAYO" localSheetId="15" hidden="1">#REF!</definedName>
    <definedName name="BExMDPI2FVMORSWDDCVAJ85WYAYO" localSheetId="5" hidden="1">#REF!</definedName>
    <definedName name="BExMDUWB7VWHFFR266QXO46BNV2S" localSheetId="14" hidden="1">#REF!</definedName>
    <definedName name="BExMDUWB7VWHFFR266QXO46BNV2S" localSheetId="15" hidden="1">#REF!</definedName>
    <definedName name="BExMDUWB7VWHFFR266QXO46BNV2S" localSheetId="5" hidden="1">#REF!</definedName>
    <definedName name="BExME2U47N8LZG0BPJ49ANY5QVV2" localSheetId="14" hidden="1">#REF!</definedName>
    <definedName name="BExME2U47N8LZG0BPJ49ANY5QVV2" localSheetId="15" hidden="1">#REF!</definedName>
    <definedName name="BExME2U47N8LZG0BPJ49ANY5QVV2" localSheetId="5" hidden="1">#REF!</definedName>
    <definedName name="BExME88DH5DUKMUFI9FNVECXFD2E" localSheetId="14" hidden="1">#REF!</definedName>
    <definedName name="BExME88DH5DUKMUFI9FNVECXFD2E" localSheetId="15" hidden="1">#REF!</definedName>
    <definedName name="BExME88DH5DUKMUFI9FNVECXFD2E" localSheetId="5" hidden="1">#REF!</definedName>
    <definedName name="BExME9A7MOGAK7YTTQYXP5DL6VYA" localSheetId="14" hidden="1">#REF!</definedName>
    <definedName name="BExME9A7MOGAK7YTTQYXP5DL6VYA" localSheetId="15" hidden="1">#REF!</definedName>
    <definedName name="BExME9A7MOGAK7YTTQYXP5DL6VYA" localSheetId="5" hidden="1">#REF!</definedName>
    <definedName name="BExMEOV9YFRY5C3GDLU60GIX10BY" localSheetId="14" hidden="1">#REF!</definedName>
    <definedName name="BExMEOV9YFRY5C3GDLU60GIX10BY" localSheetId="15" hidden="1">#REF!</definedName>
    <definedName name="BExMEOV9YFRY5C3GDLU60GIX10BY" localSheetId="5" hidden="1">#REF!</definedName>
    <definedName name="BExMEUK2Q5GZGZFZ77Z2IYUKOOYW" localSheetId="14" hidden="1">#REF!</definedName>
    <definedName name="BExMEUK2Q5GZGZFZ77Z2IYUKOOYW" localSheetId="15" hidden="1">#REF!</definedName>
    <definedName name="BExMEUK2Q5GZGZFZ77Z2IYUKOOYW" localSheetId="5" hidden="1">#REF!</definedName>
    <definedName name="BExMEWT36INWIP0VNS94NEP3WZ4U" localSheetId="14" hidden="1">#REF!</definedName>
    <definedName name="BExMEWT36INWIP0VNS94NEP3WZ4U" localSheetId="15" hidden="1">#REF!</definedName>
    <definedName name="BExMEWT36INWIP0VNS94NEP3WZ4U" localSheetId="5" hidden="1">#REF!</definedName>
    <definedName name="BExMEY09ESM4H2YGKEQQRYUD114R" localSheetId="14" hidden="1">#REF!</definedName>
    <definedName name="BExMEY09ESM4H2YGKEQQRYUD114R" localSheetId="15" hidden="1">#REF!</definedName>
    <definedName name="BExMEY09ESM4H2YGKEQQRYUD114R" localSheetId="5" hidden="1">#REF!</definedName>
    <definedName name="BExMF0UU4SBJHOJ4SG09QMF1TC7H" localSheetId="14" hidden="1">#REF!</definedName>
    <definedName name="BExMF0UU4SBJHOJ4SG09QMF1TC7H" localSheetId="15" hidden="1">#REF!</definedName>
    <definedName name="BExMF0UU4SBJHOJ4SG09QMF1TC7H" localSheetId="5" hidden="1">#REF!</definedName>
    <definedName name="BExMF2YDPQWGK3CSN8LJG16MLFQZ" localSheetId="14" hidden="1">#REF!</definedName>
    <definedName name="BExMF2YDPQWGK3CSN8LJG16MLFQZ" localSheetId="15" hidden="1">#REF!</definedName>
    <definedName name="BExMF2YDPQWGK3CSN8LJG16MLFQZ" localSheetId="5" hidden="1">#REF!</definedName>
    <definedName name="BExMF4G4IUPQY1Y5GEY5N3E04CL6" localSheetId="14" hidden="1">#REF!</definedName>
    <definedName name="BExMF4G4IUPQY1Y5GEY5N3E04CL6" localSheetId="15" hidden="1">#REF!</definedName>
    <definedName name="BExMF4G4IUPQY1Y5GEY5N3E04CL6" localSheetId="5" hidden="1">#REF!</definedName>
    <definedName name="BExMF9UIGYMOAQK0ELUWP0S0HZZY" localSheetId="14" hidden="1">#REF!</definedName>
    <definedName name="BExMF9UIGYMOAQK0ELUWP0S0HZZY" localSheetId="15" hidden="1">#REF!</definedName>
    <definedName name="BExMF9UIGYMOAQK0ELUWP0S0HZZY" localSheetId="5" hidden="1">#REF!</definedName>
    <definedName name="BExMFDLBSWFMRDYJ2DZETI3EXKN2" localSheetId="14" hidden="1">#REF!</definedName>
    <definedName name="BExMFDLBSWFMRDYJ2DZETI3EXKN2" localSheetId="15" hidden="1">#REF!</definedName>
    <definedName name="BExMFDLBSWFMRDYJ2DZETI3EXKN2" localSheetId="5" hidden="1">#REF!</definedName>
    <definedName name="BExMFLDTMRTCHKA37LQW67BG8D5C" localSheetId="14" hidden="1">#REF!</definedName>
    <definedName name="BExMFLDTMRTCHKA37LQW67BG8D5C" localSheetId="15" hidden="1">#REF!</definedName>
    <definedName name="BExMFLDTMRTCHKA37LQW67BG8D5C" localSheetId="5" hidden="1">#REF!</definedName>
    <definedName name="BExMFTH63LTWA2JYJTJYMT5K2OF2" localSheetId="14" hidden="1">#REF!</definedName>
    <definedName name="BExMFTH63LTWA2JYJTJYMT5K2OF2" localSheetId="15" hidden="1">#REF!</definedName>
    <definedName name="BExMFTH63LTWA2JYJTJYMT5K2OF2" localSheetId="5" hidden="1">#REF!</definedName>
    <definedName name="BExMFY4AG5T27EVMCCNE00GOAR66" localSheetId="14" hidden="1">#REF!</definedName>
    <definedName name="BExMFY4AG5T27EVMCCNE00GOAR66" localSheetId="15" hidden="1">#REF!</definedName>
    <definedName name="BExMFY4AG5T27EVMCCNE00GOAR66" localSheetId="5" hidden="1">#REF!</definedName>
    <definedName name="BExMGQQNOFER1MEVQ961XARTRIOB" localSheetId="14" hidden="1">#REF!</definedName>
    <definedName name="BExMGQQNOFER1MEVQ961XARTRIOB" localSheetId="15" hidden="1">#REF!</definedName>
    <definedName name="BExMGQQNOFER1MEVQ961XARTRIOB" localSheetId="5" hidden="1">#REF!</definedName>
    <definedName name="BExMH189E60TZBQFN2UWVA1UZA7X" localSheetId="14" hidden="1">#REF!</definedName>
    <definedName name="BExMH189E60TZBQFN2UWVA1UZA7X" localSheetId="15" hidden="1">#REF!</definedName>
    <definedName name="BExMH189E60TZBQFN2UWVA1UZA7X" localSheetId="5" hidden="1">#REF!</definedName>
    <definedName name="BExMH3H9TW5TJCNU5Z1EWXP3BAEP" localSheetId="14" hidden="1">#REF!</definedName>
    <definedName name="BExMH3H9TW5TJCNU5Z1EWXP3BAEP" localSheetId="15" hidden="1">#REF!</definedName>
    <definedName name="BExMH3H9TW5TJCNU5Z1EWXP3BAEP" localSheetId="5" hidden="1">#REF!</definedName>
    <definedName name="BExMH5A1B01SYXROP70DOKTQ5D6Z" localSheetId="14" hidden="1">#REF!</definedName>
    <definedName name="BExMH5A1B01SYXROP70DOKTQ5D6Z" localSheetId="15" hidden="1">#REF!</definedName>
    <definedName name="BExMH5A1B01SYXROP70DOKTQ5D6Z" localSheetId="5" hidden="1">#REF!</definedName>
    <definedName name="BExMHCGUJ8A3L31NU0XU0FGXE4P3" localSheetId="14" hidden="1">#REF!</definedName>
    <definedName name="BExMHCGUJ8A3L31NU0XU0FGXE4P3" localSheetId="15" hidden="1">#REF!</definedName>
    <definedName name="BExMHCGUJ8A3L31NU0XU0FGXE4P3" localSheetId="5" hidden="1">#REF!</definedName>
    <definedName name="BExMHOWPB34KPZ76M2KIX2C9R2VB" localSheetId="14" hidden="1">#REF!</definedName>
    <definedName name="BExMHOWPB34KPZ76M2KIX2C9R2VB" localSheetId="15" hidden="1">#REF!</definedName>
    <definedName name="BExMHOWPB34KPZ76M2KIX2C9R2VB" localSheetId="5" hidden="1">#REF!</definedName>
    <definedName name="BExMHSSYC6KVHA3QDTSYPN92TWMI" localSheetId="14" hidden="1">#REF!</definedName>
    <definedName name="BExMHSSYC6KVHA3QDTSYPN92TWMI" localSheetId="15" hidden="1">#REF!</definedName>
    <definedName name="BExMHSSYC6KVHA3QDTSYPN92TWMI" localSheetId="5" hidden="1">#REF!</definedName>
    <definedName name="BExMI3AJ9477KDL4T9DHET4LJJTW" localSheetId="14" hidden="1">#REF!</definedName>
    <definedName name="BExMI3AJ9477KDL4T9DHET4LJJTW" localSheetId="15" hidden="1">#REF!</definedName>
    <definedName name="BExMI3AJ9477KDL4T9DHET4LJJTW" localSheetId="5" hidden="1">#REF!</definedName>
    <definedName name="BExMI6QQ20XHD0NWJUN741B37182" localSheetId="14" hidden="1">#REF!</definedName>
    <definedName name="BExMI6QQ20XHD0NWJUN741B37182" localSheetId="15" hidden="1">#REF!</definedName>
    <definedName name="BExMI6QQ20XHD0NWJUN741B37182" localSheetId="5" hidden="1">#REF!</definedName>
    <definedName name="BExMI7MYDIMC9K16SBAFUY33RHK6" localSheetId="14" hidden="1">#REF!</definedName>
    <definedName name="BExMI7MYDIMC9K16SBAFUY33RHK6" localSheetId="15" hidden="1">#REF!</definedName>
    <definedName name="BExMI7MYDIMC9K16SBAFUY33RHK6" localSheetId="5" hidden="1">#REF!</definedName>
    <definedName name="BExMI8JB94SBD9EMNJEK7Y2T6GYU" localSheetId="14" hidden="1">#REF!</definedName>
    <definedName name="BExMI8JB94SBD9EMNJEK7Y2T6GYU" localSheetId="15" hidden="1">#REF!</definedName>
    <definedName name="BExMI8JB94SBD9EMNJEK7Y2T6GYU" localSheetId="5" hidden="1">#REF!</definedName>
    <definedName name="BExMI8OS85YTW3KYVE4YD0R7Z6UV" localSheetId="14" hidden="1">#REF!</definedName>
    <definedName name="BExMI8OS85YTW3KYVE4YD0R7Z6UV" localSheetId="15" hidden="1">#REF!</definedName>
    <definedName name="BExMI8OS85YTW3KYVE4YD0R7Z6UV" localSheetId="5" hidden="1">#REF!</definedName>
    <definedName name="BExMI9QNOMVZ44I3BFMGU1EL1RSY" localSheetId="14" hidden="1">#REF!</definedName>
    <definedName name="BExMI9QNOMVZ44I3BFMGU1EL1RSY" localSheetId="15" hidden="1">#REF!</definedName>
    <definedName name="BExMI9QNOMVZ44I3BFMGU1EL1RSY" localSheetId="5" hidden="1">#REF!</definedName>
    <definedName name="BExMIBOOZU40JS3F89OMPSRCE9MM" localSheetId="14" hidden="1">#REF!</definedName>
    <definedName name="BExMIBOOZU40JS3F89OMPSRCE9MM" localSheetId="15" hidden="1">#REF!</definedName>
    <definedName name="BExMIBOOZU40JS3F89OMPSRCE9MM" localSheetId="5" hidden="1">#REF!</definedName>
    <definedName name="BExMIIQ5MBWSIHTFWAQADXMZC22Q" localSheetId="14" hidden="1">#REF!</definedName>
    <definedName name="BExMIIQ5MBWSIHTFWAQADXMZC22Q" localSheetId="15" hidden="1">#REF!</definedName>
    <definedName name="BExMIIQ5MBWSIHTFWAQADXMZC22Q" localSheetId="5" hidden="1">#REF!</definedName>
    <definedName name="BExMIL4I2GE866I25CR5JBLJWJ6A" localSheetId="14" hidden="1">#REF!</definedName>
    <definedName name="BExMIL4I2GE866I25CR5JBLJWJ6A" localSheetId="15" hidden="1">#REF!</definedName>
    <definedName name="BExMIL4I2GE866I25CR5JBLJWJ6A" localSheetId="5" hidden="1">#REF!</definedName>
    <definedName name="BExMIRKIPF27SNO82SPFSB3T5U17" localSheetId="14" hidden="1">#REF!</definedName>
    <definedName name="BExMIRKIPF27SNO82SPFSB3T5U17" localSheetId="15" hidden="1">#REF!</definedName>
    <definedName name="BExMIRKIPF27SNO82SPFSB3T5U17" localSheetId="5" hidden="1">#REF!</definedName>
    <definedName name="BExMIV0KC8555D5E42ZGWG15Y0MO" localSheetId="14" hidden="1">#REF!</definedName>
    <definedName name="BExMIV0KC8555D5E42ZGWG15Y0MO" localSheetId="15" hidden="1">#REF!</definedName>
    <definedName name="BExMIV0KC8555D5E42ZGWG15Y0MO" localSheetId="5" hidden="1">#REF!</definedName>
    <definedName name="BExMIZT6AN7E6YMW2S87CTCN2UXH" localSheetId="14" hidden="1">#REF!</definedName>
    <definedName name="BExMIZT6AN7E6YMW2S87CTCN2UXH" localSheetId="15" hidden="1">#REF!</definedName>
    <definedName name="BExMIZT6AN7E6YMW2S87CTCN2UXH" localSheetId="5" hidden="1">#REF!</definedName>
    <definedName name="BExMJB76UESLVRD81AJBOB78JDTT" localSheetId="14" hidden="1">#REF!</definedName>
    <definedName name="BExMJB76UESLVRD81AJBOB78JDTT" localSheetId="15" hidden="1">#REF!</definedName>
    <definedName name="BExMJB76UESLVRD81AJBOB78JDTT" localSheetId="5" hidden="1">#REF!</definedName>
    <definedName name="BExMJI8OLFZQCGOW3F99ETW8A21E" localSheetId="14" hidden="1">#REF!</definedName>
    <definedName name="BExMJI8OLFZQCGOW3F99ETW8A21E" localSheetId="15" hidden="1">#REF!</definedName>
    <definedName name="BExMJI8OLFZQCGOW3F99ETW8A21E" localSheetId="5" hidden="1">#REF!</definedName>
    <definedName name="BExMJNC8ZFB9DRFOJ961ZAJ8U3A8" localSheetId="14" hidden="1">#REF!</definedName>
    <definedName name="BExMJNC8ZFB9DRFOJ961ZAJ8U3A8" localSheetId="15" hidden="1">#REF!</definedName>
    <definedName name="BExMJNC8ZFB9DRFOJ961ZAJ8U3A8" localSheetId="5" hidden="1">#REF!</definedName>
    <definedName name="BExMJTBV8A3D31W2IQHP9RDFPPHQ" localSheetId="14" hidden="1">#REF!</definedName>
    <definedName name="BExMJTBV8A3D31W2IQHP9RDFPPHQ" localSheetId="15" hidden="1">#REF!</definedName>
    <definedName name="BExMJTBV8A3D31W2IQHP9RDFPPHQ" localSheetId="5" hidden="1">#REF!</definedName>
    <definedName name="BExMK2RTXN4QJWEUNX002XK8VQP8" localSheetId="14" hidden="1">#REF!</definedName>
    <definedName name="BExMK2RTXN4QJWEUNX002XK8VQP8" localSheetId="15" hidden="1">#REF!</definedName>
    <definedName name="BExMK2RTXN4QJWEUNX002XK8VQP8" localSheetId="5" hidden="1">#REF!</definedName>
    <definedName name="BExMKBGQDUZ8AWXYHA3QVMSDVZ3D" localSheetId="14" hidden="1">#REF!</definedName>
    <definedName name="BExMKBGQDUZ8AWXYHA3QVMSDVZ3D" localSheetId="15" hidden="1">#REF!</definedName>
    <definedName name="BExMKBGQDUZ8AWXYHA3QVMSDVZ3D" localSheetId="5" hidden="1">#REF!</definedName>
    <definedName name="BExMKBM1467553LDFZRRKVSHN374" localSheetId="14" hidden="1">#REF!</definedName>
    <definedName name="BExMKBM1467553LDFZRRKVSHN374" localSheetId="15" hidden="1">#REF!</definedName>
    <definedName name="BExMKBM1467553LDFZRRKVSHN374" localSheetId="5" hidden="1">#REF!</definedName>
    <definedName name="BExMKGK5FJUC0AU8MABRGDC5ZM70" localSheetId="14" hidden="1">#REF!</definedName>
    <definedName name="BExMKGK5FJUC0AU8MABRGDC5ZM70" localSheetId="15" hidden="1">#REF!</definedName>
    <definedName name="BExMKGK5FJUC0AU8MABRGDC5ZM70" localSheetId="5" hidden="1">#REF!</definedName>
    <definedName name="BExMKP92JGBM5BJO174H9A4HQIB9" localSheetId="14" hidden="1">#REF!</definedName>
    <definedName name="BExMKP92JGBM5BJO174H9A4HQIB9" localSheetId="15" hidden="1">#REF!</definedName>
    <definedName name="BExMKP92JGBM5BJO174H9A4HQIB9" localSheetId="5" hidden="1">#REF!</definedName>
    <definedName name="BExMKTW7R5SOV4PHAFGHU3W73DYE" localSheetId="14" hidden="1">#REF!</definedName>
    <definedName name="BExMKTW7R5SOV4PHAFGHU3W73DYE" localSheetId="15" hidden="1">#REF!</definedName>
    <definedName name="BExMKTW7R5SOV4PHAFGHU3W73DYE" localSheetId="5" hidden="1">#REF!</definedName>
    <definedName name="BExMKU7051J2W1RQXGZGE62NBRUZ" localSheetId="14" hidden="1">#REF!</definedName>
    <definedName name="BExMKU7051J2W1RQXGZGE62NBRUZ" localSheetId="15" hidden="1">#REF!</definedName>
    <definedName name="BExMKU7051J2W1RQXGZGE62NBRUZ" localSheetId="5" hidden="1">#REF!</definedName>
    <definedName name="BExMKUN3WPECJR2XRID2R7GZRGNX" localSheetId="14" hidden="1">#REF!</definedName>
    <definedName name="BExMKUN3WPECJR2XRID2R7GZRGNX" localSheetId="15" hidden="1">#REF!</definedName>
    <definedName name="BExMKUN3WPECJR2XRID2R7GZRGNX" localSheetId="5" hidden="1">#REF!</definedName>
    <definedName name="BExMKZ535P011X4TNV16GCOH4H21" localSheetId="14" hidden="1">#REF!</definedName>
    <definedName name="BExMKZ535P011X4TNV16GCOH4H21" localSheetId="15" hidden="1">#REF!</definedName>
    <definedName name="BExMKZ535P011X4TNV16GCOH4H21" localSheetId="5" hidden="1">#REF!</definedName>
    <definedName name="BExML3XQNDIMX55ZCHHXKUV3D6E6" localSheetId="14" hidden="1">#REF!</definedName>
    <definedName name="BExML3XQNDIMX55ZCHHXKUV3D6E6" localSheetId="15" hidden="1">#REF!</definedName>
    <definedName name="BExML3XQNDIMX55ZCHHXKUV3D6E6" localSheetId="5" hidden="1">#REF!</definedName>
    <definedName name="BExML5QGSWHLI18BGY4CGOTD3UWH" localSheetId="14" hidden="1">#REF!</definedName>
    <definedName name="BExML5QGSWHLI18BGY4CGOTD3UWH" localSheetId="15" hidden="1">#REF!</definedName>
    <definedName name="BExML5QGSWHLI18BGY4CGOTD3UWH" localSheetId="5" hidden="1">#REF!</definedName>
    <definedName name="BExML6BVFCV80776USR7X70HVRZT" localSheetId="14" hidden="1">#REF!</definedName>
    <definedName name="BExML6BVFCV80776USR7X70HVRZT" localSheetId="15" hidden="1">#REF!</definedName>
    <definedName name="BExML6BVFCV80776USR7X70HVRZT" localSheetId="5" hidden="1">#REF!</definedName>
    <definedName name="BExMLO5Z61RE85X8HHX2G4IU3AZW" localSheetId="14" hidden="1">#REF!</definedName>
    <definedName name="BExMLO5Z61RE85X8HHX2G4IU3AZW" localSheetId="15" hidden="1">#REF!</definedName>
    <definedName name="BExMLO5Z61RE85X8HHX2G4IU3AZW" localSheetId="5" hidden="1">#REF!</definedName>
    <definedName name="BExMLVI7UORSHM9FMO8S2EI0TMTS" localSheetId="14" hidden="1">#REF!</definedName>
    <definedName name="BExMLVI7UORSHM9FMO8S2EI0TMTS" localSheetId="15" hidden="1">#REF!</definedName>
    <definedName name="BExMLVI7UORSHM9FMO8S2EI0TMTS" localSheetId="5" hidden="1">#REF!</definedName>
    <definedName name="BExMM5UCOT2HSSN0ZIPZW55GSOVO" localSheetId="14" hidden="1">#REF!</definedName>
    <definedName name="BExMM5UCOT2HSSN0ZIPZW55GSOVO" localSheetId="15" hidden="1">#REF!</definedName>
    <definedName name="BExMM5UCOT2HSSN0ZIPZW55GSOVO" localSheetId="5" hidden="1">#REF!</definedName>
    <definedName name="BExMM8ZRS5RQ8H1H55RVPVTDL5NL" localSheetId="14" hidden="1">#REF!</definedName>
    <definedName name="BExMM8ZRS5RQ8H1H55RVPVTDL5NL" localSheetId="15" hidden="1">#REF!</definedName>
    <definedName name="BExMM8ZRS5RQ8H1H55RVPVTDL5NL" localSheetId="5" hidden="1">#REF!</definedName>
    <definedName name="BExMMH8EAZB09XXQ5X4LR0P4NHG9" localSheetId="14" hidden="1">#REF!</definedName>
    <definedName name="BExMMH8EAZB09XXQ5X4LR0P4NHG9" localSheetId="15" hidden="1">#REF!</definedName>
    <definedName name="BExMMH8EAZB09XXQ5X4LR0P4NHG9" localSheetId="5" hidden="1">#REF!</definedName>
    <definedName name="BExMMIQH5BABNZVCIQ7TBCQ10AY5" localSheetId="14" hidden="1">#REF!</definedName>
    <definedName name="BExMMIQH5BABNZVCIQ7TBCQ10AY5" localSheetId="15" hidden="1">#REF!</definedName>
    <definedName name="BExMMIQH5BABNZVCIQ7TBCQ10AY5" localSheetId="5" hidden="1">#REF!</definedName>
    <definedName name="BExMMNIZ2T7M22WECMUQXEF4NJ71" localSheetId="14" hidden="1">#REF!</definedName>
    <definedName name="BExMMNIZ2T7M22WECMUQXEF4NJ71" localSheetId="15" hidden="1">#REF!</definedName>
    <definedName name="BExMMNIZ2T7M22WECMUQXEF4NJ71" localSheetId="5" hidden="1">#REF!</definedName>
    <definedName name="BExMMPMIOU7BURTV0L1K6ACW9X73" localSheetId="14" hidden="1">#REF!</definedName>
    <definedName name="BExMMPMIOU7BURTV0L1K6ACW9X73" localSheetId="15" hidden="1">#REF!</definedName>
    <definedName name="BExMMPMIOU7BURTV0L1K6ACW9X73" localSheetId="5" hidden="1">#REF!</definedName>
    <definedName name="BExMMQ835AJDHS4B419SS645P67Q" localSheetId="14" hidden="1">#REF!</definedName>
    <definedName name="BExMMQ835AJDHS4B419SS645P67Q" localSheetId="15" hidden="1">#REF!</definedName>
    <definedName name="BExMMQ835AJDHS4B419SS645P67Q" localSheetId="5" hidden="1">#REF!</definedName>
    <definedName name="BExMMQIUVPCOBISTEJJYNCCLUCPY" localSheetId="14" hidden="1">#REF!</definedName>
    <definedName name="BExMMQIUVPCOBISTEJJYNCCLUCPY" localSheetId="15" hidden="1">#REF!</definedName>
    <definedName name="BExMMQIUVPCOBISTEJJYNCCLUCPY" localSheetId="5" hidden="1">#REF!</definedName>
    <definedName name="BExMMTIXETA5VAKBSOFDD5SRU887" localSheetId="14" hidden="1">#REF!</definedName>
    <definedName name="BExMMTIXETA5VAKBSOFDD5SRU887" localSheetId="15" hidden="1">#REF!</definedName>
    <definedName name="BExMMTIXETA5VAKBSOFDD5SRU887" localSheetId="5" hidden="1">#REF!</definedName>
    <definedName name="BExMMV0P6P5YS3C35G0JYYHI7992" localSheetId="14" hidden="1">#REF!</definedName>
    <definedName name="BExMMV0P6P5YS3C35G0JYYHI7992" localSheetId="15" hidden="1">#REF!</definedName>
    <definedName name="BExMMV0P6P5YS3C35G0JYYHI7992" localSheetId="5" hidden="1">#REF!</definedName>
    <definedName name="BExMNJLFWZBRN9PZF1IO9CYWV1B2" localSheetId="14" hidden="1">#REF!</definedName>
    <definedName name="BExMNJLFWZBRN9PZF1IO9CYWV1B2" localSheetId="15" hidden="1">#REF!</definedName>
    <definedName name="BExMNJLFWZBRN9PZF1IO9CYWV1B2" localSheetId="5" hidden="1">#REF!</definedName>
    <definedName name="BExMNKCJ0FA57YEUUAJE43U1QN5P" localSheetId="14" hidden="1">#REF!</definedName>
    <definedName name="BExMNKCJ0FA57YEUUAJE43U1QN5P" localSheetId="15" hidden="1">#REF!</definedName>
    <definedName name="BExMNKCJ0FA57YEUUAJE43U1QN5P" localSheetId="5" hidden="1">#REF!</definedName>
    <definedName name="BExMNKN5D1WEF2OOJVP6LZ6DLU3Y" localSheetId="14" hidden="1">#REF!</definedName>
    <definedName name="BExMNKN5D1WEF2OOJVP6LZ6DLU3Y" localSheetId="15" hidden="1">#REF!</definedName>
    <definedName name="BExMNKN5D1WEF2OOJVP6LZ6DLU3Y" localSheetId="5" hidden="1">#REF!</definedName>
    <definedName name="BExMNR38HMPLWAJRQ9MMS3ZAZ9IU" localSheetId="14" hidden="1">#REF!</definedName>
    <definedName name="BExMNR38HMPLWAJRQ9MMS3ZAZ9IU" localSheetId="15" hidden="1">#REF!</definedName>
    <definedName name="BExMNR38HMPLWAJRQ9MMS3ZAZ9IU" localSheetId="5" hidden="1">#REF!</definedName>
    <definedName name="BExMNRDZULKJMVY2VKIIRM2M5A1M" localSheetId="14" hidden="1">#REF!</definedName>
    <definedName name="BExMNRDZULKJMVY2VKIIRM2M5A1M" localSheetId="15" hidden="1">#REF!</definedName>
    <definedName name="BExMNRDZULKJMVY2VKIIRM2M5A1M" localSheetId="5" hidden="1">#REF!</definedName>
    <definedName name="BExMNVFKZIBQSCAH71DIF1CJG89T" localSheetId="14" hidden="1">#REF!</definedName>
    <definedName name="BExMNVFKZIBQSCAH71DIF1CJG89T" localSheetId="15" hidden="1">#REF!</definedName>
    <definedName name="BExMNVFKZIBQSCAH71DIF1CJG89T" localSheetId="5" hidden="1">#REF!</definedName>
    <definedName name="BExMNVVUQAGQY9SA29FGI7D7R5MN" localSheetId="14" hidden="1">#REF!</definedName>
    <definedName name="BExMNVVUQAGQY9SA29FGI7D7R5MN" localSheetId="15" hidden="1">#REF!</definedName>
    <definedName name="BExMNVVUQAGQY9SA29FGI7D7R5MN" localSheetId="5" hidden="1">#REF!</definedName>
    <definedName name="BExMO9IOWKTWHO8LQJJQI5P3INWY" localSheetId="14" hidden="1">#REF!</definedName>
    <definedName name="BExMO9IOWKTWHO8LQJJQI5P3INWY" localSheetId="15" hidden="1">#REF!</definedName>
    <definedName name="BExMO9IOWKTWHO8LQJJQI5P3INWY" localSheetId="5" hidden="1">#REF!</definedName>
    <definedName name="BExMOI29DOEK5R1A5QZPUDKF7N6T" localSheetId="14" hidden="1">#REF!</definedName>
    <definedName name="BExMOI29DOEK5R1A5QZPUDKF7N6T" localSheetId="15" hidden="1">#REF!</definedName>
    <definedName name="BExMOI29DOEK5R1A5QZPUDKF7N6T" localSheetId="5" hidden="1">#REF!</definedName>
    <definedName name="BExMONRAU0S904NLJHPI47RVQDBH" localSheetId="14" hidden="1">#REF!</definedName>
    <definedName name="BExMONRAU0S904NLJHPI47RVQDBH" localSheetId="15" hidden="1">#REF!</definedName>
    <definedName name="BExMONRAU0S904NLJHPI47RVQDBH" localSheetId="5" hidden="1">#REF!</definedName>
    <definedName name="BExMPAJ5AJAXGKGK3F6H3ODS6RF4" localSheetId="14" hidden="1">#REF!</definedName>
    <definedName name="BExMPAJ5AJAXGKGK3F6H3ODS6RF4" localSheetId="15" hidden="1">#REF!</definedName>
    <definedName name="BExMPAJ5AJAXGKGK3F6H3ODS6RF4" localSheetId="5" hidden="1">#REF!</definedName>
    <definedName name="BExMPD2X55FFBVJ6CBUKNPROIOEU" localSheetId="14" hidden="1">#REF!</definedName>
    <definedName name="BExMPD2X55FFBVJ6CBUKNPROIOEU" localSheetId="15" hidden="1">#REF!</definedName>
    <definedName name="BExMPD2X55FFBVJ6CBUKNPROIOEU" localSheetId="5" hidden="1">#REF!</definedName>
    <definedName name="BExMPGZ848E38FUH1JBQN97DGWAT" localSheetId="14" hidden="1">#REF!</definedName>
    <definedName name="BExMPGZ848E38FUH1JBQN97DGWAT" localSheetId="15" hidden="1">#REF!</definedName>
    <definedName name="BExMPGZ848E38FUH1JBQN97DGWAT" localSheetId="5" hidden="1">#REF!</definedName>
    <definedName name="BExMPMTICOSMQENOFKQ18K0ZT4S8" localSheetId="14" hidden="1">#REF!</definedName>
    <definedName name="BExMPMTICOSMQENOFKQ18K0ZT4S8" localSheetId="15" hidden="1">#REF!</definedName>
    <definedName name="BExMPMTICOSMQENOFKQ18K0ZT4S8" localSheetId="5" hidden="1">#REF!</definedName>
    <definedName name="BExMPMZ07II0R4KGWQQ7PGS3RZS4" localSheetId="14" hidden="1">#REF!</definedName>
    <definedName name="BExMPMZ07II0R4KGWQQ7PGS3RZS4" localSheetId="15" hidden="1">#REF!</definedName>
    <definedName name="BExMPMZ07II0R4KGWQQ7PGS3RZS4" localSheetId="5" hidden="1">#REF!</definedName>
    <definedName name="BExMPOBH04JMDO6Z8DMSEJZM4ANN" localSheetId="14" hidden="1">#REF!</definedName>
    <definedName name="BExMPOBH04JMDO6Z8DMSEJZM4ANN" localSheetId="15" hidden="1">#REF!</definedName>
    <definedName name="BExMPOBH04JMDO6Z8DMSEJZM4ANN" localSheetId="5" hidden="1">#REF!</definedName>
    <definedName name="BExMPSD77XQ3HA6A4FZOJK8G2JP3" localSheetId="14" hidden="1">#REF!</definedName>
    <definedName name="BExMPSD77XQ3HA6A4FZOJK8G2JP3" localSheetId="15" hidden="1">#REF!</definedName>
    <definedName name="BExMPSD77XQ3HA6A4FZOJK8G2JP3" localSheetId="5" hidden="1">#REF!</definedName>
    <definedName name="BExMQ4I3Q7F0BMPHSFMFW9TZ87UD" localSheetId="14" hidden="1">#REF!</definedName>
    <definedName name="BExMQ4I3Q7F0BMPHSFMFW9TZ87UD" localSheetId="15" hidden="1">#REF!</definedName>
    <definedName name="BExMQ4I3Q7F0BMPHSFMFW9TZ87UD" localSheetId="5" hidden="1">#REF!</definedName>
    <definedName name="BExMQ4SWDWI4N16AZ0T5CJ6HH8WC" localSheetId="14" hidden="1">#REF!</definedName>
    <definedName name="BExMQ4SWDWI4N16AZ0T5CJ6HH8WC" localSheetId="15" hidden="1">#REF!</definedName>
    <definedName name="BExMQ4SWDWI4N16AZ0T5CJ6HH8WC" localSheetId="5" hidden="1">#REF!</definedName>
    <definedName name="BExMQ71WHW50GVX45JU951AGPLFQ" localSheetId="14" hidden="1">#REF!</definedName>
    <definedName name="BExMQ71WHW50GVX45JU951AGPLFQ" localSheetId="15" hidden="1">#REF!</definedName>
    <definedName name="BExMQ71WHW50GVX45JU951AGPLFQ" localSheetId="5" hidden="1">#REF!</definedName>
    <definedName name="BExMQGXSLPT4A6N47LE6FBVHWBOF" localSheetId="14" hidden="1">#REF!</definedName>
    <definedName name="BExMQGXSLPT4A6N47LE6FBVHWBOF" localSheetId="15" hidden="1">#REF!</definedName>
    <definedName name="BExMQGXSLPT4A6N47LE6FBVHWBOF" localSheetId="5" hidden="1">#REF!</definedName>
    <definedName name="BExMQNZGFHW75W9HWRCR0FEF0XF0" localSheetId="14" hidden="1">#REF!</definedName>
    <definedName name="BExMQNZGFHW75W9HWRCR0FEF0XF0" localSheetId="15" hidden="1">#REF!</definedName>
    <definedName name="BExMQNZGFHW75W9HWRCR0FEF0XF0" localSheetId="5" hidden="1">#REF!</definedName>
    <definedName name="BExMQRKVQPDFPD0WQUA9QND8OV7P" localSheetId="14" hidden="1">#REF!</definedName>
    <definedName name="BExMQRKVQPDFPD0WQUA9QND8OV7P" localSheetId="15" hidden="1">#REF!</definedName>
    <definedName name="BExMQRKVQPDFPD0WQUA9QND8OV7P" localSheetId="5" hidden="1">#REF!</definedName>
    <definedName name="BExMQSBR7PL4KLB1Q4961QO45Y4G" localSheetId="14" hidden="1">#REF!</definedName>
    <definedName name="BExMQSBR7PL4KLB1Q4961QO45Y4G" localSheetId="15" hidden="1">#REF!</definedName>
    <definedName name="BExMQSBR7PL4KLB1Q4961QO45Y4G" localSheetId="5" hidden="1">#REF!</definedName>
    <definedName name="BExMR1MA4I1X77714ZEPUVC8W398" localSheetId="14" hidden="1">#REF!</definedName>
    <definedName name="BExMR1MA4I1X77714ZEPUVC8W398" localSheetId="15" hidden="1">#REF!</definedName>
    <definedName name="BExMR1MA4I1X77714ZEPUVC8W398" localSheetId="5" hidden="1">#REF!</definedName>
    <definedName name="BExMR8YQHA7N77HGHY4Y6R30I3XT" localSheetId="14" hidden="1">#REF!</definedName>
    <definedName name="BExMR8YQHA7N77HGHY4Y6R30I3XT" localSheetId="15" hidden="1">#REF!</definedName>
    <definedName name="BExMR8YQHA7N77HGHY4Y6R30I3XT" localSheetId="5" hidden="1">#REF!</definedName>
    <definedName name="BExMRENOIARWRYOIVPDIEBVNRDO7" localSheetId="14" hidden="1">#REF!</definedName>
    <definedName name="BExMRENOIARWRYOIVPDIEBVNRDO7" localSheetId="15" hidden="1">#REF!</definedName>
    <definedName name="BExMRENOIARWRYOIVPDIEBVNRDO7" localSheetId="5" hidden="1">#REF!</definedName>
    <definedName name="BExMRF3SCIUZL945WMMDCT29MTLN" localSheetId="14" hidden="1">#REF!</definedName>
    <definedName name="BExMRF3SCIUZL945WMMDCT29MTLN" localSheetId="15" hidden="1">#REF!</definedName>
    <definedName name="BExMRF3SCIUZL945WMMDCT29MTLN" localSheetId="5" hidden="1">#REF!</definedName>
    <definedName name="BExMRRJNUMGRSDD5GGKKGEIZ6FTS" localSheetId="14" hidden="1">#REF!</definedName>
    <definedName name="BExMRRJNUMGRSDD5GGKKGEIZ6FTS" localSheetId="15" hidden="1">#REF!</definedName>
    <definedName name="BExMRRJNUMGRSDD5GGKKGEIZ6FTS" localSheetId="5" hidden="1">#REF!</definedName>
    <definedName name="BExMRU3ACIU0RD2BNWO55LH5U2BR" localSheetId="14" hidden="1">#REF!</definedName>
    <definedName name="BExMRU3ACIU0RD2BNWO55LH5U2BR" localSheetId="15" hidden="1">#REF!</definedName>
    <definedName name="BExMRU3ACIU0RD2BNWO55LH5U2BR" localSheetId="5" hidden="1">#REF!</definedName>
    <definedName name="BExMRWC9LD1LDAVIUQHQWIYMK129" localSheetId="14" hidden="1">#REF!</definedName>
    <definedName name="BExMRWC9LD1LDAVIUQHQWIYMK129" localSheetId="15" hidden="1">#REF!</definedName>
    <definedName name="BExMRWC9LD1LDAVIUQHQWIYMK129" localSheetId="5" hidden="1">#REF!</definedName>
    <definedName name="BExMSBH3T898ERC4BT51ZURKDCH1" localSheetId="14" hidden="1">#REF!</definedName>
    <definedName name="BExMSBH3T898ERC4BT51ZURKDCH1" localSheetId="15" hidden="1">#REF!</definedName>
    <definedName name="BExMSBH3T898ERC4BT51ZURKDCH1" localSheetId="5" hidden="1">#REF!</definedName>
    <definedName name="BExMSQRCC40AP8BDUPL2I2DNC210" localSheetId="14" hidden="1">#REF!</definedName>
    <definedName name="BExMSQRCC40AP8BDUPL2I2DNC210" localSheetId="15" hidden="1">#REF!</definedName>
    <definedName name="BExMSQRCC40AP8BDUPL2I2DNC210" localSheetId="5" hidden="1">#REF!</definedName>
    <definedName name="BExO4J9LR712G00TVA82VNTG8O7H" localSheetId="14" hidden="1">#REF!</definedName>
    <definedName name="BExO4J9LR712G00TVA82VNTG8O7H" localSheetId="15" hidden="1">#REF!</definedName>
    <definedName name="BExO4J9LR712G00TVA82VNTG8O7H" localSheetId="5" hidden="1">#REF!</definedName>
    <definedName name="BExO55G2KVZ7MIJ30N827CLH0I2A" localSheetId="14" hidden="1">#REF!</definedName>
    <definedName name="BExO55G2KVZ7MIJ30N827CLH0I2A" localSheetId="15" hidden="1">#REF!</definedName>
    <definedName name="BExO55G2KVZ7MIJ30N827CLH0I2A" localSheetId="5" hidden="1">#REF!</definedName>
    <definedName name="BExO5A8PZD9EUHC5CMPU6N3SQ15L" localSheetId="14" hidden="1">#REF!</definedName>
    <definedName name="BExO5A8PZD9EUHC5CMPU6N3SQ15L" localSheetId="15" hidden="1">#REF!</definedName>
    <definedName name="BExO5A8PZD9EUHC5CMPU6N3SQ15L" localSheetId="5" hidden="1">#REF!</definedName>
    <definedName name="BExO5XMAHL7CY3X0B1OPKZ28DCJ5" localSheetId="14" hidden="1">#REF!</definedName>
    <definedName name="BExO5XMAHL7CY3X0B1OPKZ28DCJ5" localSheetId="15" hidden="1">#REF!</definedName>
    <definedName name="BExO5XMAHL7CY3X0B1OPKZ28DCJ5" localSheetId="5" hidden="1">#REF!</definedName>
    <definedName name="BExO66LZJKY4PTQVREELI6POS4AY" localSheetId="14" hidden="1">#REF!</definedName>
    <definedName name="BExO66LZJKY4PTQVREELI6POS4AY" localSheetId="15" hidden="1">#REF!</definedName>
    <definedName name="BExO66LZJKY4PTQVREELI6POS4AY" localSheetId="5" hidden="1">#REF!</definedName>
    <definedName name="BExO6LLHCYTF7CIVHKAO0NMET14Q" localSheetId="14" hidden="1">#REF!</definedName>
    <definedName name="BExO6LLHCYTF7CIVHKAO0NMET14Q" localSheetId="15" hidden="1">#REF!</definedName>
    <definedName name="BExO6LLHCYTF7CIVHKAO0NMET14Q" localSheetId="5" hidden="1">#REF!</definedName>
    <definedName name="BExO6NOZIPWELHV0XX25APL9UNOP" localSheetId="14" hidden="1">#REF!</definedName>
    <definedName name="BExO6NOZIPWELHV0XX25APL9UNOP" localSheetId="15" hidden="1">#REF!</definedName>
    <definedName name="BExO6NOZIPWELHV0XX25APL9UNOP" localSheetId="5" hidden="1">#REF!</definedName>
    <definedName name="BExO71MMHEBC11LG4HXDEQNHOII2" localSheetId="14" hidden="1">#REF!</definedName>
    <definedName name="BExO71MMHEBC11LG4HXDEQNHOII2" localSheetId="15" hidden="1">#REF!</definedName>
    <definedName name="BExO71MMHEBC11LG4HXDEQNHOII2" localSheetId="5" hidden="1">#REF!</definedName>
    <definedName name="BExO71S28H4XYOYYLAXOO93QV4TF" localSheetId="14" hidden="1">#REF!</definedName>
    <definedName name="BExO71S28H4XYOYYLAXOO93QV4TF" localSheetId="15" hidden="1">#REF!</definedName>
    <definedName name="BExO71S28H4XYOYYLAXOO93QV4TF" localSheetId="5" hidden="1">#REF!</definedName>
    <definedName name="BExO7BIP1737MIY7S6K4XYMTIO95" localSheetId="14" hidden="1">#REF!</definedName>
    <definedName name="BExO7BIP1737MIY7S6K4XYMTIO95" localSheetId="15" hidden="1">#REF!</definedName>
    <definedName name="BExO7BIP1737MIY7S6K4XYMTIO95" localSheetId="5" hidden="1">#REF!</definedName>
    <definedName name="BExO7OUQS3XTUQ2LDKGQ8AAQ3OJJ" localSheetId="14" hidden="1">#REF!</definedName>
    <definedName name="BExO7OUQS3XTUQ2LDKGQ8AAQ3OJJ" localSheetId="15" hidden="1">#REF!</definedName>
    <definedName name="BExO7OUQS3XTUQ2LDKGQ8AAQ3OJJ" localSheetId="5" hidden="1">#REF!</definedName>
    <definedName name="BExO85HMYXZJ7SONWBKKIAXMCI3C" localSheetId="14" hidden="1">#REF!</definedName>
    <definedName name="BExO85HMYXZJ7SONWBKKIAXMCI3C" localSheetId="15" hidden="1">#REF!</definedName>
    <definedName name="BExO85HMYXZJ7SONWBKKIAXMCI3C" localSheetId="5" hidden="1">#REF!</definedName>
    <definedName name="BExO863922O4PBGQMUNEQKGN3K96" localSheetId="14" hidden="1">#REF!</definedName>
    <definedName name="BExO863922O4PBGQMUNEQKGN3K96" localSheetId="15" hidden="1">#REF!</definedName>
    <definedName name="BExO863922O4PBGQMUNEQKGN3K96" localSheetId="5" hidden="1">#REF!</definedName>
    <definedName name="BExO89ZIOXN0HOKHY24F7HDZ87UT" localSheetId="14" hidden="1">#REF!</definedName>
    <definedName name="BExO89ZIOXN0HOKHY24F7HDZ87UT" localSheetId="15" hidden="1">#REF!</definedName>
    <definedName name="BExO89ZIOXN0HOKHY24F7HDZ87UT" localSheetId="5" hidden="1">#REF!</definedName>
    <definedName name="BExO8A4SWOKD9WI5E6DITCL3LZZC" localSheetId="14" hidden="1">#REF!</definedName>
    <definedName name="BExO8A4SWOKD9WI5E6DITCL3LZZC" localSheetId="15" hidden="1">#REF!</definedName>
    <definedName name="BExO8A4SWOKD9WI5E6DITCL3LZZC" localSheetId="5" hidden="1">#REF!</definedName>
    <definedName name="BExO8CDTBCABLEUD6PE2UM2EZ6C4" localSheetId="14" hidden="1">#REF!</definedName>
    <definedName name="BExO8CDTBCABLEUD6PE2UM2EZ6C4" localSheetId="15" hidden="1">#REF!</definedName>
    <definedName name="BExO8CDTBCABLEUD6PE2UM2EZ6C4" localSheetId="5" hidden="1">#REF!</definedName>
    <definedName name="BExO8UTAGQWDBQZEEF4HUNMLQCVU" localSheetId="14" hidden="1">#REF!</definedName>
    <definedName name="BExO8UTAGQWDBQZEEF4HUNMLQCVU" localSheetId="15" hidden="1">#REF!</definedName>
    <definedName name="BExO8UTAGQWDBQZEEF4HUNMLQCVU" localSheetId="5" hidden="1">#REF!</definedName>
    <definedName name="BExO937E20IHMGQOZMECL3VZC7OX" localSheetId="14" hidden="1">#REF!</definedName>
    <definedName name="BExO937E20IHMGQOZMECL3VZC7OX" localSheetId="15" hidden="1">#REF!</definedName>
    <definedName name="BExO937E20IHMGQOZMECL3VZC7OX" localSheetId="5" hidden="1">#REF!</definedName>
    <definedName name="BExO94UTJKQQ7TJTTJRTSR70YVJC" localSheetId="14" hidden="1">#REF!</definedName>
    <definedName name="BExO94UTJKQQ7TJTTJRTSR70YVJC" localSheetId="15" hidden="1">#REF!</definedName>
    <definedName name="BExO94UTJKQQ7TJTTJRTSR70YVJC" localSheetId="5" hidden="1">#REF!</definedName>
    <definedName name="BExO9EALFB2R8VULHML1AVRPHME0" localSheetId="14" hidden="1">#REF!</definedName>
    <definedName name="BExO9EALFB2R8VULHML1AVRPHME0" localSheetId="15" hidden="1">#REF!</definedName>
    <definedName name="BExO9EALFB2R8VULHML1AVRPHME0" localSheetId="5" hidden="1">#REF!</definedName>
    <definedName name="BExO9J3A438976RXIUX5U9SU5T55" localSheetId="14" hidden="1">#REF!</definedName>
    <definedName name="BExO9J3A438976RXIUX5U9SU5T55" localSheetId="15" hidden="1">#REF!</definedName>
    <definedName name="BExO9J3A438976RXIUX5U9SU5T55" localSheetId="5" hidden="1">#REF!</definedName>
    <definedName name="BExO9RS5RXFJ1911HL3CCK6M74EP" localSheetId="14" hidden="1">#REF!</definedName>
    <definedName name="BExO9RS5RXFJ1911HL3CCK6M74EP" localSheetId="15" hidden="1">#REF!</definedName>
    <definedName name="BExO9RS5RXFJ1911HL3CCK6M74EP" localSheetId="5" hidden="1">#REF!</definedName>
    <definedName name="BExO9SDRI1M6KMHXSG3AE5L0F2U3" localSheetId="14" hidden="1">#REF!</definedName>
    <definedName name="BExO9SDRI1M6KMHXSG3AE5L0F2U3" localSheetId="15" hidden="1">#REF!</definedName>
    <definedName name="BExO9SDRI1M6KMHXSG3AE5L0F2U3" localSheetId="5" hidden="1">#REF!</definedName>
    <definedName name="BExO9US253B9UNAYT7DWLMK2BO44" localSheetId="14" hidden="1">#REF!</definedName>
    <definedName name="BExO9US253B9UNAYT7DWLMK2BO44" localSheetId="15" hidden="1">#REF!</definedName>
    <definedName name="BExO9US253B9UNAYT7DWLMK2BO44" localSheetId="5" hidden="1">#REF!</definedName>
    <definedName name="BExO9V2U2YXAY904GYYGU6TD8Y7M" localSheetId="14" hidden="1">#REF!</definedName>
    <definedName name="BExO9V2U2YXAY904GYYGU6TD8Y7M" localSheetId="15" hidden="1">#REF!</definedName>
    <definedName name="BExO9V2U2YXAY904GYYGU6TD8Y7M" localSheetId="5" hidden="1">#REF!</definedName>
    <definedName name="BExOAAIG18X4V98C7122L5F65P5C" localSheetId="14" hidden="1">#REF!</definedName>
    <definedName name="BExOAAIG18X4V98C7122L5F65P5C" localSheetId="15" hidden="1">#REF!</definedName>
    <definedName name="BExOAAIG18X4V98C7122L5F65P5C" localSheetId="5" hidden="1">#REF!</definedName>
    <definedName name="BExOAQ3GKCT7YZW1EMVU3EILSZL2" localSheetId="14" hidden="1">#REF!</definedName>
    <definedName name="BExOAQ3GKCT7YZW1EMVU3EILSZL2" localSheetId="15" hidden="1">#REF!</definedName>
    <definedName name="BExOAQ3GKCT7YZW1EMVU3EILSZL2" localSheetId="5" hidden="1">#REF!</definedName>
    <definedName name="BExOATZQ6SF8DASYLBQ0Z6D2WPSC" localSheetId="14" hidden="1">#REF!</definedName>
    <definedName name="BExOATZQ6SF8DASYLBQ0Z6D2WPSC" localSheetId="15" hidden="1">#REF!</definedName>
    <definedName name="BExOATZQ6SF8DASYLBQ0Z6D2WPSC" localSheetId="5" hidden="1">#REF!</definedName>
    <definedName name="BExOB9KT2THGV4SPLDVFTFXS4B14" localSheetId="14" hidden="1">#REF!</definedName>
    <definedName name="BExOB9KT2THGV4SPLDVFTFXS4B14" localSheetId="15" hidden="1">#REF!</definedName>
    <definedName name="BExOB9KT2THGV4SPLDVFTFXS4B14" localSheetId="5" hidden="1">#REF!</definedName>
    <definedName name="BExOBEZ0IE2WBEYY3D3CMRI72N1K" localSheetId="14" hidden="1">#REF!</definedName>
    <definedName name="BExOBEZ0IE2WBEYY3D3CMRI72N1K" localSheetId="15" hidden="1">#REF!</definedName>
    <definedName name="BExOBEZ0IE2WBEYY3D3CMRI72N1K" localSheetId="5" hidden="1">#REF!</definedName>
    <definedName name="BExOBF9TFH4NSBTR7JD2Q1165NIU" localSheetId="14" hidden="1">#REF!</definedName>
    <definedName name="BExOBF9TFH4NSBTR7JD2Q1165NIU" localSheetId="15" hidden="1">#REF!</definedName>
    <definedName name="BExOBF9TFH4NSBTR7JD2Q1165NIU" localSheetId="5" hidden="1">#REF!</definedName>
    <definedName name="BExOBIPU8760ITY0C8N27XZ3KWEF" localSheetId="14" hidden="1">#REF!</definedName>
    <definedName name="BExOBIPU8760ITY0C8N27XZ3KWEF" localSheetId="15" hidden="1">#REF!</definedName>
    <definedName name="BExOBIPU8760ITY0C8N27XZ3KWEF" localSheetId="5" hidden="1">#REF!</definedName>
    <definedName name="BExOBM0I5L0MZ1G4H9MGMD87SBMZ" localSheetId="14" hidden="1">#REF!</definedName>
    <definedName name="BExOBM0I5L0MZ1G4H9MGMD87SBMZ" localSheetId="15" hidden="1">#REF!</definedName>
    <definedName name="BExOBM0I5L0MZ1G4H9MGMD87SBMZ" localSheetId="5" hidden="1">#REF!</definedName>
    <definedName name="BExOBOUXMP88KJY2BX2JLUJH5N0K" localSheetId="14" hidden="1">#REF!</definedName>
    <definedName name="BExOBOUXMP88KJY2BX2JLUJH5N0K" localSheetId="15" hidden="1">#REF!</definedName>
    <definedName name="BExOBOUXMP88KJY2BX2JLUJH5N0K" localSheetId="5" hidden="1">#REF!</definedName>
    <definedName name="BExOBP0FKQ4SVR59FB48UNLKCOR6" localSheetId="14" hidden="1">#REF!</definedName>
    <definedName name="BExOBP0FKQ4SVR59FB48UNLKCOR6" localSheetId="15" hidden="1">#REF!</definedName>
    <definedName name="BExOBP0FKQ4SVR59FB48UNLKCOR6" localSheetId="5" hidden="1">#REF!</definedName>
    <definedName name="BExOBTNR0XX9V82O76VVWUQABHT8" localSheetId="14" hidden="1">#REF!</definedName>
    <definedName name="BExOBTNR0XX9V82O76VVWUQABHT8" localSheetId="15" hidden="1">#REF!</definedName>
    <definedName name="BExOBTNR0XX9V82O76VVWUQABHT8" localSheetId="5" hidden="1">#REF!</definedName>
    <definedName name="BExOBYAVUCQ0IGM0Y6A75QHP0Q1A" localSheetId="14" hidden="1">#REF!</definedName>
    <definedName name="BExOBYAVUCQ0IGM0Y6A75QHP0Q1A" localSheetId="15" hidden="1">#REF!</definedName>
    <definedName name="BExOBYAVUCQ0IGM0Y6A75QHP0Q1A" localSheetId="5" hidden="1">#REF!</definedName>
    <definedName name="BExOC3UEHB1CZNINSQHZANWJYKR8" localSheetId="14" hidden="1">#REF!</definedName>
    <definedName name="BExOC3UEHB1CZNINSQHZANWJYKR8" localSheetId="15" hidden="1">#REF!</definedName>
    <definedName name="BExOC3UEHB1CZNINSQHZANWJYKR8" localSheetId="5" hidden="1">#REF!</definedName>
    <definedName name="BExOCBSF3XGO9YJ23LX2H78VOUR7" localSheetId="14" hidden="1">#REF!</definedName>
    <definedName name="BExOCBSF3XGO9YJ23LX2H78VOUR7" localSheetId="15" hidden="1">#REF!</definedName>
    <definedName name="BExOCBSF3XGO9YJ23LX2H78VOUR7" localSheetId="5" hidden="1">#REF!</definedName>
    <definedName name="BExOCEHJCLIUR23CB4TC9OEFJGFX" localSheetId="14" hidden="1">#REF!</definedName>
    <definedName name="BExOCEHJCLIUR23CB4TC9OEFJGFX" localSheetId="15" hidden="1">#REF!</definedName>
    <definedName name="BExOCEHJCLIUR23CB4TC9OEFJGFX" localSheetId="5" hidden="1">#REF!</definedName>
    <definedName name="BExOCKXFMOW6WPFEVX1I7R7FNDSS" localSheetId="14" hidden="1">#REF!</definedName>
    <definedName name="BExOCKXFMOW6WPFEVX1I7R7FNDSS" localSheetId="15" hidden="1">#REF!</definedName>
    <definedName name="BExOCKXFMOW6WPFEVX1I7R7FNDSS" localSheetId="5" hidden="1">#REF!</definedName>
    <definedName name="BExOCM4L30L6FV3N2PR4O6X8WY2M" localSheetId="14" hidden="1">#REF!</definedName>
    <definedName name="BExOCM4L30L6FV3N2PR4O6X8WY2M" localSheetId="15" hidden="1">#REF!</definedName>
    <definedName name="BExOCM4L30L6FV3N2PR4O6X8WY2M" localSheetId="5" hidden="1">#REF!</definedName>
    <definedName name="BExOCYEXOB95DH5NOB0M5NOYX398" localSheetId="14" hidden="1">#REF!</definedName>
    <definedName name="BExOCYEXOB95DH5NOB0M5NOYX398" localSheetId="15" hidden="1">#REF!</definedName>
    <definedName name="BExOCYEXOB95DH5NOB0M5NOYX398" localSheetId="5" hidden="1">#REF!</definedName>
    <definedName name="BExOD4ERMDMFD8X1016N4EXOUR0S" localSheetId="14" hidden="1">#REF!</definedName>
    <definedName name="BExOD4ERMDMFD8X1016N4EXOUR0S" localSheetId="15" hidden="1">#REF!</definedName>
    <definedName name="BExOD4ERMDMFD8X1016N4EXOUR0S" localSheetId="5" hidden="1">#REF!</definedName>
    <definedName name="BExOD55RS7BQUHRQ6H3USVGKR0P7" localSheetId="14" hidden="1">#REF!</definedName>
    <definedName name="BExOD55RS7BQUHRQ6H3USVGKR0P7" localSheetId="15" hidden="1">#REF!</definedName>
    <definedName name="BExOD55RS7BQUHRQ6H3USVGKR0P7" localSheetId="5" hidden="1">#REF!</definedName>
    <definedName name="BExODEWDDEABM4ZY3XREJIBZ8IVP" localSheetId="14" hidden="1">#REF!</definedName>
    <definedName name="BExODEWDDEABM4ZY3XREJIBZ8IVP" localSheetId="15" hidden="1">#REF!</definedName>
    <definedName name="BExODEWDDEABM4ZY3XREJIBZ8IVP" localSheetId="5" hidden="1">#REF!</definedName>
    <definedName name="BExODICDVVLFKWA22B3L0CKKTAZA" localSheetId="14" hidden="1">#REF!</definedName>
    <definedName name="BExODICDVVLFKWA22B3L0CKKTAZA" localSheetId="15" hidden="1">#REF!</definedName>
    <definedName name="BExODICDVVLFKWA22B3L0CKKTAZA" localSheetId="5" hidden="1">#REF!</definedName>
    <definedName name="BExODZFEIWV26E8RFU7XQYX1J458" localSheetId="14" hidden="1">#REF!</definedName>
    <definedName name="BExODZFEIWV26E8RFU7XQYX1J458" localSheetId="15" hidden="1">#REF!</definedName>
    <definedName name="BExODZFEIWV26E8RFU7XQYX1J458" localSheetId="5" hidden="1">#REF!</definedName>
    <definedName name="BExOE0S111KPTELH26PPXE94J3GJ" localSheetId="14" hidden="1">#REF!</definedName>
    <definedName name="BExOE0S111KPTELH26PPXE94J3GJ" localSheetId="15" hidden="1">#REF!</definedName>
    <definedName name="BExOE0S111KPTELH26PPXE94J3GJ" localSheetId="5" hidden="1">#REF!</definedName>
    <definedName name="BExOE5KH3JKKPZO401YAB3A11G1U" localSheetId="14" hidden="1">#REF!</definedName>
    <definedName name="BExOE5KH3JKKPZO401YAB3A11G1U" localSheetId="15" hidden="1">#REF!</definedName>
    <definedName name="BExOE5KH3JKKPZO401YAB3A11G1U" localSheetId="5" hidden="1">#REF!</definedName>
    <definedName name="BExOEBKG55EROA2VL360A06LKASE" localSheetId="14" hidden="1">#REF!</definedName>
    <definedName name="BExOEBKG55EROA2VL360A06LKASE" localSheetId="15" hidden="1">#REF!</definedName>
    <definedName name="BExOEBKG55EROA2VL360A06LKASE" localSheetId="5" hidden="1">#REF!</definedName>
    <definedName name="BExOEFWUBETCPIYF89P9SBDOI3X5" localSheetId="14" hidden="1">#REF!</definedName>
    <definedName name="BExOEFWUBETCPIYF89P9SBDOI3X5" localSheetId="15" hidden="1">#REF!</definedName>
    <definedName name="BExOEFWUBETCPIYF89P9SBDOI3X5" localSheetId="5" hidden="1">#REF!</definedName>
    <definedName name="BExOEL08MN74RQKVY0P43PFHPTVB" localSheetId="14" hidden="1">#REF!</definedName>
    <definedName name="BExOEL08MN74RQKVY0P43PFHPTVB" localSheetId="15" hidden="1">#REF!</definedName>
    <definedName name="BExOEL08MN74RQKVY0P43PFHPTVB" localSheetId="5" hidden="1">#REF!</definedName>
    <definedName name="BExOERG5LWXYYEN1DY1H2FWRJS9T" localSheetId="14" hidden="1">#REF!</definedName>
    <definedName name="BExOERG5LWXYYEN1DY1H2FWRJS9T" localSheetId="15" hidden="1">#REF!</definedName>
    <definedName name="BExOERG5LWXYYEN1DY1H2FWRJS9T" localSheetId="5" hidden="1">#REF!</definedName>
    <definedName name="BExOEV1S6JJVO5PP4BZ20SNGZR7D" localSheetId="14" hidden="1">#REF!</definedName>
    <definedName name="BExOEV1S6JJVO5PP4BZ20SNGZR7D" localSheetId="15" hidden="1">#REF!</definedName>
    <definedName name="BExOEV1S6JJVO5PP4BZ20SNGZR7D" localSheetId="5" hidden="1">#REF!</definedName>
    <definedName name="BExOEVNDLRXW33RF3AMMCDLTLROJ" localSheetId="14" hidden="1">#REF!</definedName>
    <definedName name="BExOEVNDLRXW33RF3AMMCDLTLROJ" localSheetId="15" hidden="1">#REF!</definedName>
    <definedName name="BExOEVNDLRXW33RF3AMMCDLTLROJ" localSheetId="5" hidden="1">#REF!</definedName>
    <definedName name="BExOEZOXV3VXUB6VGSS85GXATYAC" localSheetId="14" hidden="1">#REF!</definedName>
    <definedName name="BExOEZOXV3VXUB6VGSS85GXATYAC" localSheetId="15" hidden="1">#REF!</definedName>
    <definedName name="BExOEZOXV3VXUB6VGSS85GXATYAC" localSheetId="5" hidden="1">#REF!</definedName>
    <definedName name="BExOFDBSAZV60157PIDWCSSUN3MJ" localSheetId="14" hidden="1">#REF!</definedName>
    <definedName name="BExOFDBSAZV60157PIDWCSSUN3MJ" localSheetId="15" hidden="1">#REF!</definedName>
    <definedName name="BExOFDBSAZV60157PIDWCSSUN3MJ" localSheetId="5" hidden="1">#REF!</definedName>
    <definedName name="BExOFEDNCYI2TPTMQ8SJN3AW4YMF" localSheetId="14" hidden="1">#REF!</definedName>
    <definedName name="BExOFEDNCYI2TPTMQ8SJN3AW4YMF" localSheetId="15" hidden="1">#REF!</definedName>
    <definedName name="BExOFEDNCYI2TPTMQ8SJN3AW4YMF" localSheetId="5" hidden="1">#REF!</definedName>
    <definedName name="BExOFVLXVD6RVHSQO8KZOOACSV24" localSheetId="14" hidden="1">#REF!</definedName>
    <definedName name="BExOFVLXVD6RVHSQO8KZOOACSV24" localSheetId="15" hidden="1">#REF!</definedName>
    <definedName name="BExOFVLXVD6RVHSQO8KZOOACSV24" localSheetId="5" hidden="1">#REF!</definedName>
    <definedName name="BExOG2SW3XOGP9VAPQ3THV3VWV12" localSheetId="14" hidden="1">#REF!</definedName>
    <definedName name="BExOG2SW3XOGP9VAPQ3THV3VWV12" localSheetId="15" hidden="1">#REF!</definedName>
    <definedName name="BExOG2SW3XOGP9VAPQ3THV3VWV12" localSheetId="5" hidden="1">#REF!</definedName>
    <definedName name="BExOG45J81K4OPA40KW5VQU54KY3" localSheetId="14" hidden="1">#REF!</definedName>
    <definedName name="BExOG45J81K4OPA40KW5VQU54KY3" localSheetId="15" hidden="1">#REF!</definedName>
    <definedName name="BExOG45J81K4OPA40KW5VQU54KY3" localSheetId="5" hidden="1">#REF!</definedName>
    <definedName name="BExOGFE2SCL8HHT4DFAXKLUTJZOG" localSheetId="14" hidden="1">#REF!</definedName>
    <definedName name="BExOGFE2SCL8HHT4DFAXKLUTJZOG" localSheetId="15" hidden="1">#REF!</definedName>
    <definedName name="BExOGFE2SCL8HHT4DFAXKLUTJZOG" localSheetId="5" hidden="1">#REF!</definedName>
    <definedName name="BExOGH1IMADJCZMFDE6NMBBKO558" localSheetId="14" hidden="1">#REF!</definedName>
    <definedName name="BExOGH1IMADJCZMFDE6NMBBKO558" localSheetId="15" hidden="1">#REF!</definedName>
    <definedName name="BExOGH1IMADJCZMFDE6NMBBKO558" localSheetId="5" hidden="1">#REF!</definedName>
    <definedName name="BExOGT6D0LJ3C22RDW8COECKB1J5" localSheetId="14" hidden="1">#REF!</definedName>
    <definedName name="BExOGT6D0LJ3C22RDW8COECKB1J5" localSheetId="15" hidden="1">#REF!</definedName>
    <definedName name="BExOGT6D0LJ3C22RDW8COECKB1J5" localSheetId="5" hidden="1">#REF!</definedName>
    <definedName name="BExOGTMI1HT31M1RGWVRAVHAK7DE" localSheetId="14" hidden="1">#REF!</definedName>
    <definedName name="BExOGTMI1HT31M1RGWVRAVHAK7DE" localSheetId="15" hidden="1">#REF!</definedName>
    <definedName name="BExOGTMI1HT31M1RGWVRAVHAK7DE" localSheetId="5" hidden="1">#REF!</definedName>
    <definedName name="BExOGXO9JE5XSE9GC3I6O21UEKAO" localSheetId="14" hidden="1">#REF!</definedName>
    <definedName name="BExOGXO9JE5XSE9GC3I6O21UEKAO" localSheetId="15" hidden="1">#REF!</definedName>
    <definedName name="BExOGXO9JE5XSE9GC3I6O21UEKAO" localSheetId="5" hidden="1">#REF!</definedName>
    <definedName name="BExOH9ICQA5WPLVJIKJVPWUPKSYO" localSheetId="14" hidden="1">#REF!</definedName>
    <definedName name="BExOH9ICQA5WPLVJIKJVPWUPKSYO" localSheetId="15" hidden="1">#REF!</definedName>
    <definedName name="BExOH9ICQA5WPLVJIKJVPWUPKSYO" localSheetId="5" hidden="1">#REF!</definedName>
    <definedName name="BExOH9ICZ13C1LAW8OTYTR9S7ZP3" localSheetId="14" hidden="1">#REF!</definedName>
    <definedName name="BExOH9ICZ13C1LAW8OTYTR9S7ZP3" localSheetId="15" hidden="1">#REF!</definedName>
    <definedName name="BExOH9ICZ13C1LAW8OTYTR9S7ZP3" localSheetId="5" hidden="1">#REF!</definedName>
    <definedName name="BExOHGEJ8V8OXT32FSU173XLXBDH" localSheetId="14" hidden="1">#REF!</definedName>
    <definedName name="BExOHGEJ8V8OXT32FSU173XLXBDH" localSheetId="15" hidden="1">#REF!</definedName>
    <definedName name="BExOHGEJ8V8OXT32FSU173XLXBDH" localSheetId="5" hidden="1">#REF!</definedName>
    <definedName name="BExOHL75H3OT4WAKKPUXIVXWFVDS" localSheetId="14" hidden="1">#REF!</definedName>
    <definedName name="BExOHL75H3OT4WAKKPUXIVXWFVDS" localSheetId="15" hidden="1">#REF!</definedName>
    <definedName name="BExOHL75H3OT4WAKKPUXIVXWFVDS" localSheetId="5" hidden="1">#REF!</definedName>
    <definedName name="BExOHLHXXJL6363CC082M9M5VVXQ" localSheetId="14" hidden="1">#REF!</definedName>
    <definedName name="BExOHLHXXJL6363CC082M9M5VVXQ" localSheetId="15" hidden="1">#REF!</definedName>
    <definedName name="BExOHLHXXJL6363CC082M9M5VVXQ" localSheetId="5" hidden="1">#REF!</definedName>
    <definedName name="BExOHNAO5UDXSO73BK2ARHWKS90Y" localSheetId="14" hidden="1">#REF!</definedName>
    <definedName name="BExOHNAO5UDXSO73BK2ARHWKS90Y" localSheetId="15" hidden="1">#REF!</definedName>
    <definedName name="BExOHNAO5UDXSO73BK2ARHWKS90Y" localSheetId="5" hidden="1">#REF!</definedName>
    <definedName name="BExOHR1G1I9A9CI1HG94EWBLWNM2" localSheetId="14" hidden="1">#REF!</definedName>
    <definedName name="BExOHR1G1I9A9CI1HG94EWBLWNM2" localSheetId="15" hidden="1">#REF!</definedName>
    <definedName name="BExOHR1G1I9A9CI1HG94EWBLWNM2" localSheetId="5" hidden="1">#REF!</definedName>
    <definedName name="BExOHTQPP8LQ98L6PYUI6QW08YID" localSheetId="14" hidden="1">#REF!</definedName>
    <definedName name="BExOHTQPP8LQ98L6PYUI6QW08YID" localSheetId="15" hidden="1">#REF!</definedName>
    <definedName name="BExOHTQPP8LQ98L6PYUI6QW08YID" localSheetId="5" hidden="1">#REF!</definedName>
    <definedName name="BExOHUHN7UXHYAJFJJFU805UZ0NB" localSheetId="14" hidden="1">#REF!</definedName>
    <definedName name="BExOHUHN7UXHYAJFJJFU805UZ0NB" localSheetId="15" hidden="1">#REF!</definedName>
    <definedName name="BExOHUHN7UXHYAJFJJFU805UZ0NB" localSheetId="5" hidden="1">#REF!</definedName>
    <definedName name="BExOHX6Q6NJI793PGX59O5EKTP4G" localSheetId="14" hidden="1">#REF!</definedName>
    <definedName name="BExOHX6Q6NJI793PGX59O5EKTP4G" localSheetId="15" hidden="1">#REF!</definedName>
    <definedName name="BExOHX6Q6NJI793PGX59O5EKTP4G" localSheetId="5" hidden="1">#REF!</definedName>
    <definedName name="BExOI5VMTHH7Y8MQQ1N635CHYI0P" localSheetId="14" hidden="1">#REF!</definedName>
    <definedName name="BExOI5VMTHH7Y8MQQ1N635CHYI0P" localSheetId="15" hidden="1">#REF!</definedName>
    <definedName name="BExOI5VMTHH7Y8MQQ1N635CHYI0P" localSheetId="5" hidden="1">#REF!</definedName>
    <definedName name="BExOIEVCP4Y6VDS23AK84MCYYHRT" localSheetId="14" hidden="1">#REF!</definedName>
    <definedName name="BExOIEVCP4Y6VDS23AK84MCYYHRT" localSheetId="15" hidden="1">#REF!</definedName>
    <definedName name="BExOIEVCP4Y6VDS23AK84MCYYHRT" localSheetId="5" hidden="1">#REF!</definedName>
    <definedName name="BExOIFRP0HEHF5D7JSZ0X8ADJ79U" localSheetId="14" hidden="1">#REF!</definedName>
    <definedName name="BExOIFRP0HEHF5D7JSZ0X8ADJ79U" localSheetId="15" hidden="1">#REF!</definedName>
    <definedName name="BExOIFRP0HEHF5D7JSZ0X8ADJ79U" localSheetId="5" hidden="1">#REF!</definedName>
    <definedName name="BExOIHPQIXR0NDR5WD01BZKPKEO3" localSheetId="14" hidden="1">#REF!</definedName>
    <definedName name="BExOIHPQIXR0NDR5WD01BZKPKEO3" localSheetId="15" hidden="1">#REF!</definedName>
    <definedName name="BExOIHPQIXR0NDR5WD01BZKPKEO3" localSheetId="5" hidden="1">#REF!</definedName>
    <definedName name="BExOIM7L0Z3LSII9P7ZTV4KJ8RMA" localSheetId="14" hidden="1">#REF!</definedName>
    <definedName name="BExOIM7L0Z3LSII9P7ZTV4KJ8RMA" localSheetId="15" hidden="1">#REF!</definedName>
    <definedName name="BExOIM7L0Z3LSII9P7ZTV4KJ8RMA" localSheetId="5" hidden="1">#REF!</definedName>
    <definedName name="BExOIWJVMJ6MG6JC4SPD1L00OHU1" localSheetId="14" hidden="1">#REF!</definedName>
    <definedName name="BExOIWJVMJ6MG6JC4SPD1L00OHU1" localSheetId="15" hidden="1">#REF!</definedName>
    <definedName name="BExOIWJVMJ6MG6JC4SPD1L00OHU1" localSheetId="5" hidden="1">#REF!</definedName>
    <definedName name="BExOIYCN8Z4JK3OOG86KYUCV0ME8" localSheetId="14" hidden="1">#REF!</definedName>
    <definedName name="BExOIYCN8Z4JK3OOG86KYUCV0ME8" localSheetId="15" hidden="1">#REF!</definedName>
    <definedName name="BExOIYCN8Z4JK3OOG86KYUCV0ME8" localSheetId="5" hidden="1">#REF!</definedName>
    <definedName name="BExOJ3AKZ9BCBZT3KD8WMSLK6MN2" localSheetId="14" hidden="1">#REF!</definedName>
    <definedName name="BExOJ3AKZ9BCBZT3KD8WMSLK6MN2" localSheetId="15" hidden="1">#REF!</definedName>
    <definedName name="BExOJ3AKZ9BCBZT3KD8WMSLK6MN2" localSheetId="5" hidden="1">#REF!</definedName>
    <definedName name="BExOJ7XQK71I4YZDD29AKOOWZ47E" localSheetId="14" hidden="1">#REF!</definedName>
    <definedName name="BExOJ7XQK71I4YZDD29AKOOWZ47E" localSheetId="15" hidden="1">#REF!</definedName>
    <definedName name="BExOJ7XQK71I4YZDD29AKOOWZ47E" localSheetId="5" hidden="1">#REF!</definedName>
    <definedName name="BExOJAXS2THXXIJMV2F2LZKMI589" localSheetId="14" hidden="1">#REF!</definedName>
    <definedName name="BExOJAXS2THXXIJMV2F2LZKMI589" localSheetId="15" hidden="1">#REF!</definedName>
    <definedName name="BExOJAXS2THXXIJMV2F2LZKMI589" localSheetId="5" hidden="1">#REF!</definedName>
    <definedName name="BExOJDXKJ43BMD5CFWEMSU5R1BP9" localSheetId="14" hidden="1">#REF!</definedName>
    <definedName name="BExOJDXKJ43BMD5CFWEMSU5R1BP9" localSheetId="15" hidden="1">#REF!</definedName>
    <definedName name="BExOJDXKJ43BMD5CFWEMSU5R1BP9" localSheetId="5" hidden="1">#REF!</definedName>
    <definedName name="BExOJHZ9KOD9LEP7ES426LHOCXEY" localSheetId="14" hidden="1">#REF!</definedName>
    <definedName name="BExOJHZ9KOD9LEP7ES426LHOCXEY" localSheetId="15" hidden="1">#REF!</definedName>
    <definedName name="BExOJHZ9KOD9LEP7ES426LHOCXEY" localSheetId="5" hidden="1">#REF!</definedName>
    <definedName name="BExOJM0W6XGSW5MXPTTX0GNF6SFT" localSheetId="14" hidden="1">#REF!</definedName>
    <definedName name="BExOJM0W6XGSW5MXPTTX0GNF6SFT" localSheetId="15" hidden="1">#REF!</definedName>
    <definedName name="BExOJM0W6XGSW5MXPTTX0GNF6SFT" localSheetId="5" hidden="1">#REF!</definedName>
    <definedName name="BExOJQ7XL1X94G2GP88DSU6OTRKY" localSheetId="14" hidden="1">#REF!</definedName>
    <definedName name="BExOJQ7XL1X94G2GP88DSU6OTRKY" localSheetId="15" hidden="1">#REF!</definedName>
    <definedName name="BExOJQ7XL1X94G2GP88DSU6OTRKY" localSheetId="5" hidden="1">#REF!</definedName>
    <definedName name="BExOJXEUJJ9SYRJXKYYV2NCCDT2R" localSheetId="14" hidden="1">#REF!</definedName>
    <definedName name="BExOJXEUJJ9SYRJXKYYV2NCCDT2R" localSheetId="15" hidden="1">#REF!</definedName>
    <definedName name="BExOJXEUJJ9SYRJXKYYV2NCCDT2R" localSheetId="5" hidden="1">#REF!</definedName>
    <definedName name="BExOK0EQYM9JUMAGWOUN7QDH7VMZ" localSheetId="14" hidden="1">#REF!</definedName>
    <definedName name="BExOK0EQYM9JUMAGWOUN7QDH7VMZ" localSheetId="15" hidden="1">#REF!</definedName>
    <definedName name="BExOK0EQYM9JUMAGWOUN7QDH7VMZ" localSheetId="5" hidden="1">#REF!</definedName>
    <definedName name="BExOK10DBCM0O0CLRF8BB6EEWGB2" localSheetId="14" hidden="1">#REF!</definedName>
    <definedName name="BExOK10DBCM0O0CLRF8BB6EEWGB2" localSheetId="15" hidden="1">#REF!</definedName>
    <definedName name="BExOK10DBCM0O0CLRF8BB6EEWGB2" localSheetId="5" hidden="1">#REF!</definedName>
    <definedName name="BExOK45QZPFPJ08Z5BZOFLNGPHCZ" localSheetId="14" hidden="1">#REF!</definedName>
    <definedName name="BExOK45QZPFPJ08Z5BZOFLNGPHCZ" localSheetId="15" hidden="1">#REF!</definedName>
    <definedName name="BExOK45QZPFPJ08Z5BZOFLNGPHCZ" localSheetId="5" hidden="1">#REF!</definedName>
    <definedName name="BExOK4WM9O7QNG6O57FOASI5QSN1" localSheetId="14" hidden="1">#REF!</definedName>
    <definedName name="BExOK4WM9O7QNG6O57FOASI5QSN1" localSheetId="15" hidden="1">#REF!</definedName>
    <definedName name="BExOK4WM9O7QNG6O57FOASI5QSN1" localSheetId="5" hidden="1">#REF!</definedName>
    <definedName name="BExOK57E3HXBUDOQB4M87JK9OPNE" localSheetId="14" hidden="1">#REF!</definedName>
    <definedName name="BExOK57E3HXBUDOQB4M87JK9OPNE" localSheetId="15" hidden="1">#REF!</definedName>
    <definedName name="BExOK57E3HXBUDOQB4M87JK9OPNE" localSheetId="5" hidden="1">#REF!</definedName>
    <definedName name="BExOKJLBFD15HACQ01HQLY1U5SE2" localSheetId="14" hidden="1">#REF!</definedName>
    <definedName name="BExOKJLBFD15HACQ01HQLY1U5SE2" localSheetId="15" hidden="1">#REF!</definedName>
    <definedName name="BExOKJLBFD15HACQ01HQLY1U5SE2" localSheetId="5" hidden="1">#REF!</definedName>
    <definedName name="BExOKTXMJP351VXKH8VT6SXUNIMF" localSheetId="14" hidden="1">#REF!</definedName>
    <definedName name="BExOKTXMJP351VXKH8VT6SXUNIMF" localSheetId="15" hidden="1">#REF!</definedName>
    <definedName name="BExOKTXMJP351VXKH8VT6SXUNIMF" localSheetId="5" hidden="1">#REF!</definedName>
    <definedName name="BExOKU8GMLOCNVORDE329819XN67" localSheetId="14" hidden="1">#REF!</definedName>
    <definedName name="BExOKU8GMLOCNVORDE329819XN67" localSheetId="15" hidden="1">#REF!</definedName>
    <definedName name="BExOKU8GMLOCNVORDE329819XN67" localSheetId="5" hidden="1">#REF!</definedName>
    <definedName name="BExOL0Z3Z7IAMHPB91EO2MF49U57" localSheetId="14" hidden="1">#REF!</definedName>
    <definedName name="BExOL0Z3Z7IAMHPB91EO2MF49U57" localSheetId="15" hidden="1">#REF!</definedName>
    <definedName name="BExOL0Z3Z7IAMHPB91EO2MF49U57" localSheetId="5" hidden="1">#REF!</definedName>
    <definedName name="BExOL7KH12VAR0LG741SIOJTLWFD" localSheetId="14" hidden="1">#REF!</definedName>
    <definedName name="BExOL7KH12VAR0LG741SIOJTLWFD" localSheetId="15" hidden="1">#REF!</definedName>
    <definedName name="BExOL7KH12VAR0LG741SIOJTLWFD" localSheetId="5" hidden="1">#REF!</definedName>
    <definedName name="BExOLGUYDBS2V3UOK4DVPUW5JZN7" localSheetId="14" hidden="1">#REF!</definedName>
    <definedName name="BExOLGUYDBS2V3UOK4DVPUW5JZN7" localSheetId="15" hidden="1">#REF!</definedName>
    <definedName name="BExOLGUYDBS2V3UOK4DVPUW5JZN7" localSheetId="5" hidden="1">#REF!</definedName>
    <definedName name="BExOLICXFHJLILCJVFMJE5MGGWKR" localSheetId="14" hidden="1">#REF!</definedName>
    <definedName name="BExOLICXFHJLILCJVFMJE5MGGWKR" localSheetId="15" hidden="1">#REF!</definedName>
    <definedName name="BExOLICXFHJLILCJVFMJE5MGGWKR" localSheetId="5" hidden="1">#REF!</definedName>
    <definedName name="BExOLOI0WJS3QC12I3ISL0D9AWOF" localSheetId="14" hidden="1">#REF!</definedName>
    <definedName name="BExOLOI0WJS3QC12I3ISL0D9AWOF" localSheetId="15" hidden="1">#REF!</definedName>
    <definedName name="BExOLOI0WJS3QC12I3ISL0D9AWOF" localSheetId="5" hidden="1">#REF!</definedName>
    <definedName name="BExOLQ5A7IWI0W12J7315E7LBI0O" localSheetId="14" hidden="1">#REF!</definedName>
    <definedName name="BExOLQ5A7IWI0W12J7315E7LBI0O" localSheetId="15" hidden="1">#REF!</definedName>
    <definedName name="BExOLQ5A7IWI0W12J7315E7LBI0O" localSheetId="5" hidden="1">#REF!</definedName>
    <definedName name="BExOLYZNG5RBD0BTS1OEZJNU92Q5" localSheetId="14" hidden="1">#REF!</definedName>
    <definedName name="BExOLYZNG5RBD0BTS1OEZJNU92Q5" localSheetId="15" hidden="1">#REF!</definedName>
    <definedName name="BExOLYZNG5RBD0BTS1OEZJNU92Q5" localSheetId="5" hidden="1">#REF!</definedName>
    <definedName name="BExOM136CSOYSV2NE3NAU04Z4414" localSheetId="14" hidden="1">#REF!</definedName>
    <definedName name="BExOM136CSOYSV2NE3NAU04Z4414" localSheetId="15" hidden="1">#REF!</definedName>
    <definedName name="BExOM136CSOYSV2NE3NAU04Z4414" localSheetId="5" hidden="1">#REF!</definedName>
    <definedName name="BExOM3HIJ3UZPOKJI68KPBJAHPDC" localSheetId="14" hidden="1">#REF!</definedName>
    <definedName name="BExOM3HIJ3UZPOKJI68KPBJAHPDC" localSheetId="15" hidden="1">#REF!</definedName>
    <definedName name="BExOM3HIJ3UZPOKJI68KPBJAHPDC" localSheetId="5" hidden="1">#REF!</definedName>
    <definedName name="BExOM5QC0I90GVJG1G7NFAIINKAQ" localSheetId="14" hidden="1">#REF!</definedName>
    <definedName name="BExOM5QC0I90GVJG1G7NFAIINKAQ" localSheetId="15" hidden="1">#REF!</definedName>
    <definedName name="BExOM5QC0I90GVJG1G7NFAIINKAQ" localSheetId="5" hidden="1">#REF!</definedName>
    <definedName name="BExOMKPURE33YQ3K1JG9NVQD4W49" localSheetId="14" hidden="1">#REF!</definedName>
    <definedName name="BExOMKPURE33YQ3K1JG9NVQD4W49" localSheetId="15" hidden="1">#REF!</definedName>
    <definedName name="BExOMKPURE33YQ3K1JG9NVQD4W49" localSheetId="5" hidden="1">#REF!</definedName>
    <definedName name="BExOMP7NGCLUNFK50QD2LPKRG078" localSheetId="14" hidden="1">#REF!</definedName>
    <definedName name="BExOMP7NGCLUNFK50QD2LPKRG078" localSheetId="15" hidden="1">#REF!</definedName>
    <definedName name="BExOMP7NGCLUNFK50QD2LPKRG078" localSheetId="5" hidden="1">#REF!</definedName>
    <definedName name="BExOMPNX2853XA8AUM0BLA7CS86A" localSheetId="14" hidden="1">#REF!</definedName>
    <definedName name="BExOMPNX2853XA8AUM0BLA7CS86A" localSheetId="15" hidden="1">#REF!</definedName>
    <definedName name="BExOMPNX2853XA8AUM0BLA7CS86A" localSheetId="5" hidden="1">#REF!</definedName>
    <definedName name="BExOMU0A6XMY48SZRYL4WQZD13BI" localSheetId="14" hidden="1">#REF!</definedName>
    <definedName name="BExOMU0A6XMY48SZRYL4WQZD13BI" localSheetId="15" hidden="1">#REF!</definedName>
    <definedName name="BExOMU0A6XMY48SZRYL4WQZD13BI" localSheetId="5" hidden="1">#REF!</definedName>
    <definedName name="BExOMVT0HSNC59DJP4CLISASGHKL" localSheetId="14" hidden="1">#REF!</definedName>
    <definedName name="BExOMVT0HSNC59DJP4CLISASGHKL" localSheetId="15" hidden="1">#REF!</definedName>
    <definedName name="BExOMVT0HSNC59DJP4CLISASGHKL" localSheetId="5" hidden="1">#REF!</definedName>
    <definedName name="BExON0AX35F2SI0UCVMGWGVIUNI3" localSheetId="14" hidden="1">#REF!</definedName>
    <definedName name="BExON0AX35F2SI0UCVMGWGVIUNI3" localSheetId="15" hidden="1">#REF!</definedName>
    <definedName name="BExON0AX35F2SI0UCVMGWGVIUNI3" localSheetId="5" hidden="1">#REF!</definedName>
    <definedName name="BExON1I19LN0T10YIIYC5NE9UGMR" localSheetId="14" hidden="1">#REF!</definedName>
    <definedName name="BExON1I19LN0T10YIIYC5NE9UGMR" localSheetId="15" hidden="1">#REF!</definedName>
    <definedName name="BExON1I19LN0T10YIIYC5NE9UGMR" localSheetId="5" hidden="1">#REF!</definedName>
    <definedName name="BExON41U4296DV3DPG6I5EF3OEYF" localSheetId="14" hidden="1">#REF!</definedName>
    <definedName name="BExON41U4296DV3DPG6I5EF3OEYF" localSheetId="15" hidden="1">#REF!</definedName>
    <definedName name="BExON41U4296DV3DPG6I5EF3OEYF" localSheetId="5" hidden="1">#REF!</definedName>
    <definedName name="BExONB3A7CO4YD8RB41PHC93BQ9M" localSheetId="14" hidden="1">#REF!</definedName>
    <definedName name="BExONB3A7CO4YD8RB41PHC93BQ9M" localSheetId="15" hidden="1">#REF!</definedName>
    <definedName name="BExONB3A7CO4YD8RB41PHC93BQ9M" localSheetId="5" hidden="1">#REF!</definedName>
    <definedName name="BExONFQH6UUXF8V0GI4BRIST9RFO" localSheetId="14" hidden="1">#REF!</definedName>
    <definedName name="BExONFQH6UUXF8V0GI4BRIST9RFO" localSheetId="15" hidden="1">#REF!</definedName>
    <definedName name="BExONFQH6UUXF8V0GI4BRIST9RFO" localSheetId="5" hidden="1">#REF!</definedName>
    <definedName name="BExONIL31DZWU7IFVN3VV0XTXJA1" localSheetId="14" hidden="1">#REF!</definedName>
    <definedName name="BExONIL31DZWU7IFVN3VV0XTXJA1" localSheetId="15" hidden="1">#REF!</definedName>
    <definedName name="BExONIL31DZWU7IFVN3VV0XTXJA1" localSheetId="5" hidden="1">#REF!</definedName>
    <definedName name="BExONJ1BU17R0F5A2UP1UGJBOGKS" localSheetId="14" hidden="1">#REF!</definedName>
    <definedName name="BExONJ1BU17R0F5A2UP1UGJBOGKS" localSheetId="15" hidden="1">#REF!</definedName>
    <definedName name="BExONJ1BU17R0F5A2UP1UGJBOGKS" localSheetId="5" hidden="1">#REF!</definedName>
    <definedName name="BExONKZDHE8SS0P4YRLGEQR9KYHF" localSheetId="14" hidden="1">#REF!</definedName>
    <definedName name="BExONKZDHE8SS0P4YRLGEQR9KYHF" localSheetId="15" hidden="1">#REF!</definedName>
    <definedName name="BExONKZDHE8SS0P4YRLGEQR9KYHF" localSheetId="5" hidden="1">#REF!</definedName>
    <definedName name="BExONNZ9VMHVX3J6NLNJY7KZA61O" localSheetId="14" hidden="1">#REF!</definedName>
    <definedName name="BExONNZ9VMHVX3J6NLNJY7KZA61O" localSheetId="15" hidden="1">#REF!</definedName>
    <definedName name="BExONNZ9VMHVX3J6NLNJY7KZA61O" localSheetId="5" hidden="1">#REF!</definedName>
    <definedName name="BExONRQ1BAA4F3TXP2MYQ4YCZ09S" localSheetId="14" hidden="1">#REF!</definedName>
    <definedName name="BExONRQ1BAA4F3TXP2MYQ4YCZ09S" localSheetId="15" hidden="1">#REF!</definedName>
    <definedName name="BExONRQ1BAA4F3TXP2MYQ4YCZ09S" localSheetId="5" hidden="1">#REF!</definedName>
    <definedName name="BExONU4ENMND8RLZX0L5EHPYQQSB" localSheetId="14" hidden="1">#REF!</definedName>
    <definedName name="BExONU4ENMND8RLZX0L5EHPYQQSB" localSheetId="15" hidden="1">#REF!</definedName>
    <definedName name="BExONU4ENMND8RLZX0L5EHPYQQSB" localSheetId="5" hidden="1">#REF!</definedName>
    <definedName name="BExONXPUEU6ZRSIX4PDJ1DXY679I" localSheetId="14" hidden="1">#REF!</definedName>
    <definedName name="BExONXPUEU6ZRSIX4PDJ1DXY679I" localSheetId="15" hidden="1">#REF!</definedName>
    <definedName name="BExONXPUEU6ZRSIX4PDJ1DXY679I" localSheetId="5" hidden="1">#REF!</definedName>
    <definedName name="BExOO0KEG2WL5WKKMHN0S2UTIUNG" localSheetId="14" hidden="1">#REF!</definedName>
    <definedName name="BExOO0KEG2WL5WKKMHN0S2UTIUNG" localSheetId="15" hidden="1">#REF!</definedName>
    <definedName name="BExOO0KEG2WL5WKKMHN0S2UTIUNG" localSheetId="5" hidden="1">#REF!</definedName>
    <definedName name="BExOO1WWIZSGB0YTGKESB45TSVMZ" localSheetId="14" hidden="1">#REF!</definedName>
    <definedName name="BExOO1WWIZSGB0YTGKESB45TSVMZ" localSheetId="15" hidden="1">#REF!</definedName>
    <definedName name="BExOO1WWIZSGB0YTGKESB45TSVMZ" localSheetId="5" hidden="1">#REF!</definedName>
    <definedName name="BExOO4B8FPAFYPHCTYTX37P1TQM5" localSheetId="14" hidden="1">#REF!</definedName>
    <definedName name="BExOO4B8FPAFYPHCTYTX37P1TQM5" localSheetId="15" hidden="1">#REF!</definedName>
    <definedName name="BExOO4B8FPAFYPHCTYTX37P1TQM5" localSheetId="5" hidden="1">#REF!</definedName>
    <definedName name="BExOOIULUDOJRMYABWV5CCL906X6" localSheetId="14" hidden="1">#REF!</definedName>
    <definedName name="BExOOIULUDOJRMYABWV5CCL906X6" localSheetId="15" hidden="1">#REF!</definedName>
    <definedName name="BExOOIULUDOJRMYABWV5CCL906X6" localSheetId="5" hidden="1">#REF!</definedName>
    <definedName name="BExOOJLIWKJW5S7XWJXD8TYV5HQ9" localSheetId="14" hidden="1">#REF!</definedName>
    <definedName name="BExOOJLIWKJW5S7XWJXD8TYV5HQ9" localSheetId="15" hidden="1">#REF!</definedName>
    <definedName name="BExOOJLIWKJW5S7XWJXD8TYV5HQ9" localSheetId="5" hidden="1">#REF!</definedName>
    <definedName name="BExOOQ1JVWQ9LYXD0V94BRXKTA1I" localSheetId="14" hidden="1">#REF!</definedName>
    <definedName name="BExOOQ1JVWQ9LYXD0V94BRXKTA1I" localSheetId="15" hidden="1">#REF!</definedName>
    <definedName name="BExOOQ1JVWQ9LYXD0V94BRXKTA1I" localSheetId="5" hidden="1">#REF!</definedName>
    <definedName name="BExOOTN0KTXJCL7E476XBN1CJ553" localSheetId="14" hidden="1">#REF!</definedName>
    <definedName name="BExOOTN0KTXJCL7E476XBN1CJ553" localSheetId="15" hidden="1">#REF!</definedName>
    <definedName name="BExOOTN0KTXJCL7E476XBN1CJ553" localSheetId="5" hidden="1">#REF!</definedName>
    <definedName name="BExOOVVUJIJNAYDICUUQQ9O7O3TW" localSheetId="14" hidden="1">#REF!</definedName>
    <definedName name="BExOOVVUJIJNAYDICUUQQ9O7O3TW" localSheetId="15" hidden="1">#REF!</definedName>
    <definedName name="BExOOVVUJIJNAYDICUUQQ9O7O3TW" localSheetId="5" hidden="1">#REF!</definedName>
    <definedName name="BExOP9DDU5MZJKWGFT0MKL44YKIV" localSheetId="14" hidden="1">#REF!</definedName>
    <definedName name="BExOP9DDU5MZJKWGFT0MKL44YKIV" localSheetId="15" hidden="1">#REF!</definedName>
    <definedName name="BExOP9DDU5MZJKWGFT0MKL44YKIV" localSheetId="5" hidden="1">#REF!</definedName>
    <definedName name="BExOP9DEBV5W5P4Q25J3XCJBP5S9" localSheetId="14" hidden="1">#REF!</definedName>
    <definedName name="BExOP9DEBV5W5P4Q25J3XCJBP5S9" localSheetId="15" hidden="1">#REF!</definedName>
    <definedName name="BExOP9DEBV5W5P4Q25J3XCJBP5S9" localSheetId="5" hidden="1">#REF!</definedName>
    <definedName name="BExOPFNYRBL0BFM23LZBJTADNOE4" localSheetId="14" hidden="1">#REF!</definedName>
    <definedName name="BExOPFNYRBL0BFM23LZBJTADNOE4" localSheetId="15" hidden="1">#REF!</definedName>
    <definedName name="BExOPFNYRBL0BFM23LZBJTADNOE4" localSheetId="5" hidden="1">#REF!</definedName>
    <definedName name="BExOPINVFSIZMCVT9YGT2AODVCX3" localSheetId="14" hidden="1">#REF!</definedName>
    <definedName name="BExOPINVFSIZMCVT9YGT2AODVCX3" localSheetId="15" hidden="1">#REF!</definedName>
    <definedName name="BExOPINVFSIZMCVT9YGT2AODVCX3" localSheetId="5" hidden="1">#REF!</definedName>
    <definedName name="BExOQ1JN4SAC44RTMZIGHSW023WA" localSheetId="14" hidden="1">#REF!</definedName>
    <definedName name="BExOQ1JN4SAC44RTMZIGHSW023WA" localSheetId="15" hidden="1">#REF!</definedName>
    <definedName name="BExOQ1JN4SAC44RTMZIGHSW023WA" localSheetId="5" hidden="1">#REF!</definedName>
    <definedName name="BExOQ256YMF115DJL3KBPNKABJ90" localSheetId="14" hidden="1">#REF!</definedName>
    <definedName name="BExOQ256YMF115DJL3KBPNKABJ90" localSheetId="15" hidden="1">#REF!</definedName>
    <definedName name="BExOQ256YMF115DJL3KBPNKABJ90" localSheetId="5" hidden="1">#REF!</definedName>
    <definedName name="BExQ19DEUOLC11IW32E2AMVZLFF1" localSheetId="14" hidden="1">#REF!</definedName>
    <definedName name="BExQ19DEUOLC11IW32E2AMVZLFF1" localSheetId="15" hidden="1">#REF!</definedName>
    <definedName name="BExQ19DEUOLC11IW32E2AMVZLFF1" localSheetId="5" hidden="1">#REF!</definedName>
    <definedName name="BExQ1OCW3L24TN0BYVRE2NE3IK1O" localSheetId="14" hidden="1">#REF!</definedName>
    <definedName name="BExQ1OCW3L24TN0BYVRE2NE3IK1O" localSheetId="15" hidden="1">#REF!</definedName>
    <definedName name="BExQ1OCW3L24TN0BYVRE2NE3IK1O" localSheetId="5" hidden="1">#REF!</definedName>
    <definedName name="BExQ29C73XR33S3668YYSYZAIHTG" localSheetId="14" hidden="1">#REF!</definedName>
    <definedName name="BExQ29C73XR33S3668YYSYZAIHTG" localSheetId="15" hidden="1">#REF!</definedName>
    <definedName name="BExQ29C73XR33S3668YYSYZAIHTG" localSheetId="5" hidden="1">#REF!</definedName>
    <definedName name="BExQ2FS228IUDUP2023RA1D4AO4C" localSheetId="14" hidden="1">#REF!</definedName>
    <definedName name="BExQ2FS228IUDUP2023RA1D4AO4C" localSheetId="15" hidden="1">#REF!</definedName>
    <definedName name="BExQ2FS228IUDUP2023RA1D4AO4C" localSheetId="5" hidden="1">#REF!</definedName>
    <definedName name="BExQ2L0XYWLY9VPZWXYYFRIRQRJ1" localSheetId="14" hidden="1">#REF!</definedName>
    <definedName name="BExQ2L0XYWLY9VPZWXYYFRIRQRJ1" localSheetId="15" hidden="1">#REF!</definedName>
    <definedName name="BExQ2L0XYWLY9VPZWXYYFRIRQRJ1" localSheetId="5" hidden="1">#REF!</definedName>
    <definedName name="BExQ2M841F5Z1BQYR8DG5FKK0LIU" localSheetId="14" hidden="1">#REF!</definedName>
    <definedName name="BExQ2M841F5Z1BQYR8DG5FKK0LIU" localSheetId="15" hidden="1">#REF!</definedName>
    <definedName name="BExQ2M841F5Z1BQYR8DG5FKK0LIU" localSheetId="5" hidden="1">#REF!</definedName>
    <definedName name="BExQ2STHO7AXYTS1VPPHQMX1WT30" localSheetId="14" hidden="1">#REF!</definedName>
    <definedName name="BExQ2STHO7AXYTS1VPPHQMX1WT30" localSheetId="15" hidden="1">#REF!</definedName>
    <definedName name="BExQ2STHO7AXYTS1VPPHQMX1WT30" localSheetId="5" hidden="1">#REF!</definedName>
    <definedName name="BExQ2XWXHMQMQ99FF9293AEQHABB" localSheetId="14" hidden="1">#REF!</definedName>
    <definedName name="BExQ2XWXHMQMQ99FF9293AEQHABB" localSheetId="15" hidden="1">#REF!</definedName>
    <definedName name="BExQ2XWXHMQMQ99FF9293AEQHABB" localSheetId="5" hidden="1">#REF!</definedName>
    <definedName name="BExQ300G8I8TK45A0MVHV15422EU" localSheetId="14" hidden="1">#REF!</definedName>
    <definedName name="BExQ300G8I8TK45A0MVHV15422EU" localSheetId="15" hidden="1">#REF!</definedName>
    <definedName name="BExQ300G8I8TK45A0MVHV15422EU" localSheetId="5" hidden="1">#REF!</definedName>
    <definedName name="BExQ305RBEODGNAETZ0EZQLLDZZD" localSheetId="14" hidden="1">#REF!</definedName>
    <definedName name="BExQ305RBEODGNAETZ0EZQLLDZZD" localSheetId="15" hidden="1">#REF!</definedName>
    <definedName name="BExQ305RBEODGNAETZ0EZQLLDZZD" localSheetId="5" hidden="1">#REF!</definedName>
    <definedName name="BExQ37SZQJSC2C73FY2IJY852LVP" localSheetId="14" hidden="1">#REF!</definedName>
    <definedName name="BExQ37SZQJSC2C73FY2IJY852LVP" localSheetId="15" hidden="1">#REF!</definedName>
    <definedName name="BExQ37SZQJSC2C73FY2IJY852LVP" localSheetId="5" hidden="1">#REF!</definedName>
    <definedName name="BExQ39R28MXSG2SEV956F0KZ20AN" localSheetId="14" hidden="1">#REF!</definedName>
    <definedName name="BExQ39R28MXSG2SEV956F0KZ20AN" localSheetId="15" hidden="1">#REF!</definedName>
    <definedName name="BExQ39R28MXSG2SEV956F0KZ20AN" localSheetId="5" hidden="1">#REF!</definedName>
    <definedName name="BExQ3D1P3M5Z3HLMEZ17E0BLEE4U" localSheetId="14" hidden="1">#REF!</definedName>
    <definedName name="BExQ3D1P3M5Z3HLMEZ17E0BLEE4U" localSheetId="15" hidden="1">#REF!</definedName>
    <definedName name="BExQ3D1P3M5Z3HLMEZ17E0BLEE4U" localSheetId="5" hidden="1">#REF!</definedName>
    <definedName name="BExQ3EZX6BA2WHKI84SG78UPRTSE" localSheetId="14" hidden="1">#REF!</definedName>
    <definedName name="BExQ3EZX6BA2WHKI84SG78UPRTSE" localSheetId="15" hidden="1">#REF!</definedName>
    <definedName name="BExQ3EZX6BA2WHKI84SG78UPRTSE" localSheetId="5" hidden="1">#REF!</definedName>
    <definedName name="BExQ3KOX6620WUSBG7PGACNC936P" localSheetId="14" hidden="1">#REF!</definedName>
    <definedName name="BExQ3KOX6620WUSBG7PGACNC936P" localSheetId="15" hidden="1">#REF!</definedName>
    <definedName name="BExQ3KOX6620WUSBG7PGACNC936P" localSheetId="5" hidden="1">#REF!</definedName>
    <definedName name="BExQ3O4W7QF8BOXTUT4IOGF6YKUD" localSheetId="14" hidden="1">#REF!</definedName>
    <definedName name="BExQ3O4W7QF8BOXTUT4IOGF6YKUD" localSheetId="15" hidden="1">#REF!</definedName>
    <definedName name="BExQ3O4W7QF8BOXTUT4IOGF6YKUD" localSheetId="5" hidden="1">#REF!</definedName>
    <definedName name="BExQ3PXOWSN8561ZR8IEY8ZASI3B" localSheetId="14" hidden="1">#REF!</definedName>
    <definedName name="BExQ3PXOWSN8561ZR8IEY8ZASI3B" localSheetId="15" hidden="1">#REF!</definedName>
    <definedName name="BExQ3PXOWSN8561ZR8IEY8ZASI3B" localSheetId="5" hidden="1">#REF!</definedName>
    <definedName name="BExQ3TZF04IPY0B0UG9CQQ5736UA" localSheetId="14" hidden="1">#REF!</definedName>
    <definedName name="BExQ3TZF04IPY0B0UG9CQQ5736UA" localSheetId="15" hidden="1">#REF!</definedName>
    <definedName name="BExQ3TZF04IPY0B0UG9CQQ5736UA" localSheetId="5" hidden="1">#REF!</definedName>
    <definedName name="BExQ42IU9MNDYLODP41DL6YTZMAR" localSheetId="14" hidden="1">#REF!</definedName>
    <definedName name="BExQ42IU9MNDYLODP41DL6YTZMAR" localSheetId="15" hidden="1">#REF!</definedName>
    <definedName name="BExQ42IU9MNDYLODP41DL6YTZMAR" localSheetId="5" hidden="1">#REF!</definedName>
    <definedName name="BExQ42O4PHH156IHXSW0JAYAC0NJ" localSheetId="14" hidden="1">#REF!</definedName>
    <definedName name="BExQ42O4PHH156IHXSW0JAYAC0NJ" localSheetId="15" hidden="1">#REF!</definedName>
    <definedName name="BExQ42O4PHH156IHXSW0JAYAC0NJ" localSheetId="5" hidden="1">#REF!</definedName>
    <definedName name="BExQ452HF7N1HYPXJXQ8WD6SOWUV" localSheetId="14" hidden="1">#REF!</definedName>
    <definedName name="BExQ452HF7N1HYPXJXQ8WD6SOWUV" localSheetId="15" hidden="1">#REF!</definedName>
    <definedName name="BExQ452HF7N1HYPXJXQ8WD6SOWUV" localSheetId="5" hidden="1">#REF!</definedName>
    <definedName name="BExQ4BTBSHPHVEDRCXC2ROW8PLFC" localSheetId="14" hidden="1">#REF!</definedName>
    <definedName name="BExQ4BTBSHPHVEDRCXC2ROW8PLFC" localSheetId="15" hidden="1">#REF!</definedName>
    <definedName name="BExQ4BTBSHPHVEDRCXC2ROW8PLFC" localSheetId="5" hidden="1">#REF!</definedName>
    <definedName name="BExQ4DGKF54SRKQUTUT4B1CZSS62" localSheetId="14" hidden="1">#REF!</definedName>
    <definedName name="BExQ4DGKF54SRKQUTUT4B1CZSS62" localSheetId="15" hidden="1">#REF!</definedName>
    <definedName name="BExQ4DGKF54SRKQUTUT4B1CZSS62" localSheetId="5" hidden="1">#REF!</definedName>
    <definedName name="BExQ4T74LQ5PYTV1MUQUW75A4BDY" localSheetId="14" hidden="1">#REF!</definedName>
    <definedName name="BExQ4T74LQ5PYTV1MUQUW75A4BDY" localSheetId="15" hidden="1">#REF!</definedName>
    <definedName name="BExQ4T74LQ5PYTV1MUQUW75A4BDY" localSheetId="5" hidden="1">#REF!</definedName>
    <definedName name="BExQ4XJHD7EJCNH7S1MJDZJ2MNWG" localSheetId="14" hidden="1">#REF!</definedName>
    <definedName name="BExQ4XJHD7EJCNH7S1MJDZJ2MNWG" localSheetId="15" hidden="1">#REF!</definedName>
    <definedName name="BExQ4XJHD7EJCNH7S1MJDZJ2MNWG" localSheetId="5" hidden="1">#REF!</definedName>
    <definedName name="BExQ5039ZCEWBUJHU682G4S89J03" localSheetId="14" hidden="1">#REF!</definedName>
    <definedName name="BExQ5039ZCEWBUJHU682G4S89J03" localSheetId="15" hidden="1">#REF!</definedName>
    <definedName name="BExQ5039ZCEWBUJHU682G4S89J03" localSheetId="5" hidden="1">#REF!</definedName>
    <definedName name="BExQ56Z9W6YHZHRXOFFI8EFA7CDI" localSheetId="14" hidden="1">#REF!</definedName>
    <definedName name="BExQ56Z9W6YHZHRXOFFI8EFA7CDI" localSheetId="15" hidden="1">#REF!</definedName>
    <definedName name="BExQ56Z9W6YHZHRXOFFI8EFA7CDI" localSheetId="5" hidden="1">#REF!</definedName>
    <definedName name="BExQ58MP5FO5Q5CIXVMMYWWPEFW3" localSheetId="14" hidden="1">#REF!</definedName>
    <definedName name="BExQ58MP5FO5Q5CIXVMMYWWPEFW3" localSheetId="15" hidden="1">#REF!</definedName>
    <definedName name="BExQ58MP5FO5Q5CIXVMMYWWPEFW3" localSheetId="5" hidden="1">#REF!</definedName>
    <definedName name="BExQ5KX3Z668H1KUCKZ9J24HUQ1F" localSheetId="14" hidden="1">#REF!</definedName>
    <definedName name="BExQ5KX3Z668H1KUCKZ9J24HUQ1F" localSheetId="15" hidden="1">#REF!</definedName>
    <definedName name="BExQ5KX3Z668H1KUCKZ9J24HUQ1F" localSheetId="5" hidden="1">#REF!</definedName>
    <definedName name="BExQ5SPMSOCJYLAY20NB5A6O32RE" localSheetId="14" hidden="1">#REF!</definedName>
    <definedName name="BExQ5SPMSOCJYLAY20NB5A6O32RE" localSheetId="15" hidden="1">#REF!</definedName>
    <definedName name="BExQ5SPMSOCJYLAY20NB5A6O32RE" localSheetId="5" hidden="1">#REF!</definedName>
    <definedName name="BExQ5UICMGTMK790KTLK49MAGXRC" localSheetId="14" hidden="1">#REF!</definedName>
    <definedName name="BExQ5UICMGTMK790KTLK49MAGXRC" localSheetId="15" hidden="1">#REF!</definedName>
    <definedName name="BExQ5UICMGTMK790KTLK49MAGXRC" localSheetId="5" hidden="1">#REF!</definedName>
    <definedName name="BExQ5YUUK9FD0QGTY4WD0W90O7OL" localSheetId="14" hidden="1">#REF!</definedName>
    <definedName name="BExQ5YUUK9FD0QGTY4WD0W90O7OL" localSheetId="15" hidden="1">#REF!</definedName>
    <definedName name="BExQ5YUUK9FD0QGTY4WD0W90O7OL" localSheetId="5" hidden="1">#REF!</definedName>
    <definedName name="BExQ62WGBSDPG7ZU34W0N8X45R3X" localSheetId="14" hidden="1">#REF!</definedName>
    <definedName name="BExQ62WGBSDPG7ZU34W0N8X45R3X" localSheetId="15" hidden="1">#REF!</definedName>
    <definedName name="BExQ62WGBSDPG7ZU34W0N8X45R3X" localSheetId="5" hidden="1">#REF!</definedName>
    <definedName name="BExQ63793YQ9BH7JLCNRIATIGTRG" localSheetId="14" hidden="1">#REF!</definedName>
    <definedName name="BExQ63793YQ9BH7JLCNRIATIGTRG" localSheetId="15" hidden="1">#REF!</definedName>
    <definedName name="BExQ63793YQ9BH7JLCNRIATIGTRG" localSheetId="5" hidden="1">#REF!</definedName>
    <definedName name="BExQ6CN1EF2UPZ57ZYMGK8TUJQSS" localSheetId="14" hidden="1">#REF!</definedName>
    <definedName name="BExQ6CN1EF2UPZ57ZYMGK8TUJQSS" localSheetId="15" hidden="1">#REF!</definedName>
    <definedName name="BExQ6CN1EF2UPZ57ZYMGK8TUJQSS" localSheetId="5" hidden="1">#REF!</definedName>
    <definedName name="BExQ6FSF8BMWVLJI7Y7MKPG9SU5O" localSheetId="14" hidden="1">#REF!</definedName>
    <definedName name="BExQ6FSF8BMWVLJI7Y7MKPG9SU5O" localSheetId="15" hidden="1">#REF!</definedName>
    <definedName name="BExQ6FSF8BMWVLJI7Y7MKPG9SU5O" localSheetId="5" hidden="1">#REF!</definedName>
    <definedName name="BExQ6M2YXJ8AMRJF3QGHC40ADAHZ" localSheetId="14" hidden="1">#REF!</definedName>
    <definedName name="BExQ6M2YXJ8AMRJF3QGHC40ADAHZ" localSheetId="15" hidden="1">#REF!</definedName>
    <definedName name="BExQ6M2YXJ8AMRJF3QGHC40ADAHZ" localSheetId="5" hidden="1">#REF!</definedName>
    <definedName name="BExQ6M8B0X44N9TV56ATUVHGDI00" localSheetId="14" hidden="1">#REF!</definedName>
    <definedName name="BExQ6M8B0X44N9TV56ATUVHGDI00" localSheetId="15" hidden="1">#REF!</definedName>
    <definedName name="BExQ6M8B0X44N9TV56ATUVHGDI00" localSheetId="5" hidden="1">#REF!</definedName>
    <definedName name="BExQ6POH065GV0I74XXVD0VUPBJW" localSheetId="14" hidden="1">#REF!</definedName>
    <definedName name="BExQ6POH065GV0I74XXVD0VUPBJW" localSheetId="15" hidden="1">#REF!</definedName>
    <definedName name="BExQ6POH065GV0I74XXVD0VUPBJW" localSheetId="5" hidden="1">#REF!</definedName>
    <definedName name="BExQ6WV9KPSMXPPLGZ3KK4WNYTHU" localSheetId="14" hidden="1">#REF!</definedName>
    <definedName name="BExQ6WV9KPSMXPPLGZ3KK4WNYTHU" localSheetId="15" hidden="1">#REF!</definedName>
    <definedName name="BExQ6WV9KPSMXPPLGZ3KK4WNYTHU" localSheetId="5" hidden="1">#REF!</definedName>
    <definedName name="BExQ7541G92R52ECOIYO6UXIWJJ4" localSheetId="14" hidden="1">#REF!</definedName>
    <definedName name="BExQ7541G92R52ECOIYO6UXIWJJ4" localSheetId="15" hidden="1">#REF!</definedName>
    <definedName name="BExQ7541G92R52ECOIYO6UXIWJJ4" localSheetId="5" hidden="1">#REF!</definedName>
    <definedName name="BExQ783XTMM2A9I3UKCFWJH1PP2N" localSheetId="14" hidden="1">#REF!</definedName>
    <definedName name="BExQ783XTMM2A9I3UKCFWJH1PP2N" localSheetId="15" hidden="1">#REF!</definedName>
    <definedName name="BExQ783XTMM2A9I3UKCFWJH1PP2N" localSheetId="5" hidden="1">#REF!</definedName>
    <definedName name="BExQ79LX01ZPQB8EGD1ZHR2VK2H3" localSheetId="14" hidden="1">#REF!</definedName>
    <definedName name="BExQ79LX01ZPQB8EGD1ZHR2VK2H3" localSheetId="15" hidden="1">#REF!</definedName>
    <definedName name="BExQ79LX01ZPQB8EGD1ZHR2VK2H3" localSheetId="5" hidden="1">#REF!</definedName>
    <definedName name="BExQ7B3V9MGDK2OIJ61XXFBFLJFZ" localSheetId="14" hidden="1">#REF!</definedName>
    <definedName name="BExQ7B3V9MGDK2OIJ61XXFBFLJFZ" localSheetId="15" hidden="1">#REF!</definedName>
    <definedName name="BExQ7B3V9MGDK2OIJ61XXFBFLJFZ" localSheetId="5" hidden="1">#REF!</definedName>
    <definedName name="BExQ7CB046NVPF9ZXDGA7OXOLSLX" localSheetId="14" hidden="1">#REF!</definedName>
    <definedName name="BExQ7CB046NVPF9ZXDGA7OXOLSLX" localSheetId="15" hidden="1">#REF!</definedName>
    <definedName name="BExQ7CB046NVPF9ZXDGA7OXOLSLX" localSheetId="5" hidden="1">#REF!</definedName>
    <definedName name="BExQ7IWDCGGOO1HTJ97YGO1CK3R9" localSheetId="14" hidden="1">#REF!</definedName>
    <definedName name="BExQ7IWDCGGOO1HTJ97YGO1CK3R9" localSheetId="15" hidden="1">#REF!</definedName>
    <definedName name="BExQ7IWDCGGOO1HTJ97YGO1CK3R9" localSheetId="5" hidden="1">#REF!</definedName>
    <definedName name="BExQ7JNFIEGS2HKNBALH3Q2N5G7Z" localSheetId="14" hidden="1">#REF!</definedName>
    <definedName name="BExQ7JNFIEGS2HKNBALH3Q2N5G7Z" localSheetId="15" hidden="1">#REF!</definedName>
    <definedName name="BExQ7JNFIEGS2HKNBALH3Q2N5G7Z" localSheetId="5" hidden="1">#REF!</definedName>
    <definedName name="BExQ7MY3U2Z1IZ71U5LJUD00VVB4" localSheetId="14" hidden="1">#REF!</definedName>
    <definedName name="BExQ7MY3U2Z1IZ71U5LJUD00VVB4" localSheetId="15" hidden="1">#REF!</definedName>
    <definedName name="BExQ7MY3U2Z1IZ71U5LJUD00VVB4" localSheetId="5" hidden="1">#REF!</definedName>
    <definedName name="BExQ7XL2Q1GVUFL1F9KK0K0EXMWG" localSheetId="14" hidden="1">#REF!</definedName>
    <definedName name="BExQ7XL2Q1GVUFL1F9KK0K0EXMWG" localSheetId="15" hidden="1">#REF!</definedName>
    <definedName name="BExQ7XL2Q1GVUFL1F9KK0K0EXMWG" localSheetId="5" hidden="1">#REF!</definedName>
    <definedName name="BExQ8469L3ZRZ3KYZPYMSJIDL7Y5" localSheetId="14" hidden="1">#REF!</definedName>
    <definedName name="BExQ8469L3ZRZ3KYZPYMSJIDL7Y5" localSheetId="15" hidden="1">#REF!</definedName>
    <definedName name="BExQ8469L3ZRZ3KYZPYMSJIDL7Y5" localSheetId="5" hidden="1">#REF!</definedName>
    <definedName name="BExQ84MJB94HL3BWRN50M4NCB6Z0" localSheetId="14" hidden="1">#REF!</definedName>
    <definedName name="BExQ84MJB94HL3BWRN50M4NCB6Z0" localSheetId="15" hidden="1">#REF!</definedName>
    <definedName name="BExQ84MJB94HL3BWRN50M4NCB6Z0" localSheetId="5" hidden="1">#REF!</definedName>
    <definedName name="BExQ8583ZE00NW7T9OF11OT9IA14" localSheetId="14" hidden="1">#REF!</definedName>
    <definedName name="BExQ8583ZE00NW7T9OF11OT9IA14" localSheetId="15" hidden="1">#REF!</definedName>
    <definedName name="BExQ8583ZE00NW7T9OF11OT9IA14" localSheetId="5" hidden="1">#REF!</definedName>
    <definedName name="BExQ8A0RPE3IMIFIZLUE7KD2N21W" localSheetId="14" hidden="1">#REF!</definedName>
    <definedName name="BExQ8A0RPE3IMIFIZLUE7KD2N21W" localSheetId="15" hidden="1">#REF!</definedName>
    <definedName name="BExQ8A0RPE3IMIFIZLUE7KD2N21W" localSheetId="5" hidden="1">#REF!</definedName>
    <definedName name="BExQ8ABK6H1ADV2R2OYT8NFFYG2N" localSheetId="14" hidden="1">#REF!</definedName>
    <definedName name="BExQ8ABK6H1ADV2R2OYT8NFFYG2N" localSheetId="15" hidden="1">#REF!</definedName>
    <definedName name="BExQ8ABK6H1ADV2R2OYT8NFFYG2N" localSheetId="5" hidden="1">#REF!</definedName>
    <definedName name="BExQ8DM90XJ6GCJIK9LC5O82I2TJ" localSheetId="14" hidden="1">#REF!</definedName>
    <definedName name="BExQ8DM90XJ6GCJIK9LC5O82I2TJ" localSheetId="15" hidden="1">#REF!</definedName>
    <definedName name="BExQ8DM90XJ6GCJIK9LC5O82I2TJ" localSheetId="5" hidden="1">#REF!</definedName>
    <definedName name="BExQ8G0K46ZORA0QVQTDI7Z8LXGF" localSheetId="14" hidden="1">#REF!</definedName>
    <definedName name="BExQ8G0K46ZORA0QVQTDI7Z8LXGF" localSheetId="15" hidden="1">#REF!</definedName>
    <definedName name="BExQ8G0K46ZORA0QVQTDI7Z8LXGF" localSheetId="5" hidden="1">#REF!</definedName>
    <definedName name="BExQ8O3WEU8HNTTGKTW5T0QSKCLP" localSheetId="14" hidden="1">#REF!</definedName>
    <definedName name="BExQ8O3WEU8HNTTGKTW5T0QSKCLP" localSheetId="15" hidden="1">#REF!</definedName>
    <definedName name="BExQ8O3WEU8HNTTGKTW5T0QSKCLP" localSheetId="5" hidden="1">#REF!</definedName>
    <definedName name="BExQ8ZCEDBOBJA3D9LDP5TU2WYGR" localSheetId="14" hidden="1">#REF!</definedName>
    <definedName name="BExQ8ZCEDBOBJA3D9LDP5TU2WYGR" localSheetId="15" hidden="1">#REF!</definedName>
    <definedName name="BExQ8ZCEDBOBJA3D9LDP5TU2WYGR" localSheetId="5" hidden="1">#REF!</definedName>
    <definedName name="BExQ94LAW6MAQBWY25WTBFV5PPZJ" localSheetId="14" hidden="1">#REF!</definedName>
    <definedName name="BExQ94LAW6MAQBWY25WTBFV5PPZJ" localSheetId="15" hidden="1">#REF!</definedName>
    <definedName name="BExQ94LAW6MAQBWY25WTBFV5PPZJ" localSheetId="5" hidden="1">#REF!</definedName>
    <definedName name="BExQ968K8V66L55PCVI3B4VR4FW6" localSheetId="14" hidden="1">#REF!</definedName>
    <definedName name="BExQ968K8V66L55PCVI3B4VR4FW6" localSheetId="15" hidden="1">#REF!</definedName>
    <definedName name="BExQ968K8V66L55PCVI3B4VR4FW6" localSheetId="5" hidden="1">#REF!</definedName>
    <definedName name="BExQ97QIPOSSRK978N8P234Y1XA4" localSheetId="14" hidden="1">#REF!</definedName>
    <definedName name="BExQ97QIPOSSRK978N8P234Y1XA4" localSheetId="15" hidden="1">#REF!</definedName>
    <definedName name="BExQ97QIPOSSRK978N8P234Y1XA4" localSheetId="5" hidden="1">#REF!</definedName>
    <definedName name="BExQ9DFHXLBKBS9DWH05G83SL12Z" localSheetId="14" hidden="1">#REF!</definedName>
    <definedName name="BExQ9DFHXLBKBS9DWH05G83SL12Z" localSheetId="15" hidden="1">#REF!</definedName>
    <definedName name="BExQ9DFHXLBKBS9DWH05G83SL12Z" localSheetId="5" hidden="1">#REF!</definedName>
    <definedName name="BExQ9E6FBAXTHGF3RXANFIA77GXP" localSheetId="14" hidden="1">#REF!</definedName>
    <definedName name="BExQ9E6FBAXTHGF3RXANFIA77GXP" localSheetId="15" hidden="1">#REF!</definedName>
    <definedName name="BExQ9E6FBAXTHGF3RXANFIA77GXP" localSheetId="5" hidden="1">#REF!</definedName>
    <definedName name="BExQ9J4ID0TGFFFJSQ9PFAMXOYZ1" localSheetId="14" hidden="1">#REF!</definedName>
    <definedName name="BExQ9J4ID0TGFFFJSQ9PFAMXOYZ1" localSheetId="15" hidden="1">#REF!</definedName>
    <definedName name="BExQ9J4ID0TGFFFJSQ9PFAMXOYZ1" localSheetId="5" hidden="1">#REF!</definedName>
    <definedName name="BExQ9KX9734KIAK7IMRLHCPYDHO2" localSheetId="14" hidden="1">#REF!</definedName>
    <definedName name="BExQ9KX9734KIAK7IMRLHCPYDHO2" localSheetId="15" hidden="1">#REF!</definedName>
    <definedName name="BExQ9KX9734KIAK7IMRLHCPYDHO2" localSheetId="5" hidden="1">#REF!</definedName>
    <definedName name="BExQ9L81FF4I7816VTPFBDWVU4CW" localSheetId="14" hidden="1">#REF!</definedName>
    <definedName name="BExQ9L81FF4I7816VTPFBDWVU4CW" localSheetId="15" hidden="1">#REF!</definedName>
    <definedName name="BExQ9L81FF4I7816VTPFBDWVU4CW" localSheetId="5" hidden="1">#REF!</definedName>
    <definedName name="BExQ9M4E2ACZOWWWP1JJIQO8AHUM" localSheetId="14" hidden="1">#REF!</definedName>
    <definedName name="BExQ9M4E2ACZOWWWP1JJIQO8AHUM" localSheetId="15" hidden="1">#REF!</definedName>
    <definedName name="BExQ9M4E2ACZOWWWP1JJIQO8AHUM" localSheetId="5" hidden="1">#REF!</definedName>
    <definedName name="BExQ9TBCP5IJKSQLYEBE6FQLF16I" localSheetId="14" hidden="1">#REF!</definedName>
    <definedName name="BExQ9TBCP5IJKSQLYEBE6FQLF16I" localSheetId="15" hidden="1">#REF!</definedName>
    <definedName name="BExQ9TBCP5IJKSQLYEBE6FQLF16I" localSheetId="5" hidden="1">#REF!</definedName>
    <definedName name="BExQ9UTANMJCK7LJ4OQMD6F2Q01L" localSheetId="14" hidden="1">#REF!</definedName>
    <definedName name="BExQ9UTANMJCK7LJ4OQMD6F2Q01L" localSheetId="15" hidden="1">#REF!</definedName>
    <definedName name="BExQ9UTANMJCK7LJ4OQMD6F2Q01L" localSheetId="5" hidden="1">#REF!</definedName>
    <definedName name="BExQ9ZLYHWABXAA9NJDW8ZS0UQ9P" localSheetId="14" hidden="1">#REF!</definedName>
    <definedName name="BExQ9ZLYHWABXAA9NJDW8ZS0UQ9P" localSheetId="15" hidden="1">#REF!</definedName>
    <definedName name="BExQ9ZLYHWABXAA9NJDW8ZS0UQ9P" localSheetId="5" hidden="1">#REF!</definedName>
    <definedName name="BExQ9ZWQ19KSRZNZNPY6ZNWEST1J" localSheetId="14" hidden="1">#REF!</definedName>
    <definedName name="BExQ9ZWQ19KSRZNZNPY6ZNWEST1J" localSheetId="15" hidden="1">#REF!</definedName>
    <definedName name="BExQ9ZWQ19KSRZNZNPY6ZNWEST1J" localSheetId="5" hidden="1">#REF!</definedName>
    <definedName name="BExQA324HSCK40ENJUT9CS9EC71B" localSheetId="14" hidden="1">#REF!</definedName>
    <definedName name="BExQA324HSCK40ENJUT9CS9EC71B" localSheetId="15" hidden="1">#REF!</definedName>
    <definedName name="BExQA324HSCK40ENJUT9CS9EC71B" localSheetId="5" hidden="1">#REF!</definedName>
    <definedName name="BExQA55GY0STSNBWQCWN8E31ZXCS" localSheetId="14" hidden="1">#REF!</definedName>
    <definedName name="BExQA55GY0STSNBWQCWN8E31ZXCS" localSheetId="15" hidden="1">#REF!</definedName>
    <definedName name="BExQA55GY0STSNBWQCWN8E31ZXCS" localSheetId="5" hidden="1">#REF!</definedName>
    <definedName name="BExQA7URC7M82I0T9RUF90GCS15S" localSheetId="14" hidden="1">#REF!</definedName>
    <definedName name="BExQA7URC7M82I0T9RUF90GCS15S" localSheetId="15" hidden="1">#REF!</definedName>
    <definedName name="BExQA7URC7M82I0T9RUF90GCS15S" localSheetId="5" hidden="1">#REF!</definedName>
    <definedName name="BExQA9HZIN9XEMHEEVHT99UU9Z82" localSheetId="14" hidden="1">#REF!</definedName>
    <definedName name="BExQA9HZIN9XEMHEEVHT99UU9Z82" localSheetId="15" hidden="1">#REF!</definedName>
    <definedName name="BExQA9HZIN9XEMHEEVHT99UU9Z82" localSheetId="5" hidden="1">#REF!</definedName>
    <definedName name="BExQAELFYH92K8CJL155181UDORO" localSheetId="14" hidden="1">#REF!</definedName>
    <definedName name="BExQAELFYH92K8CJL155181UDORO" localSheetId="15" hidden="1">#REF!</definedName>
    <definedName name="BExQAELFYH92K8CJL155181UDORO" localSheetId="5" hidden="1">#REF!</definedName>
    <definedName name="BExQAG8PP8R5NJKNQD1U4QOSD6X5" localSheetId="14" hidden="1">#REF!</definedName>
    <definedName name="BExQAG8PP8R5NJKNQD1U4QOSD6X5" localSheetId="15" hidden="1">#REF!</definedName>
    <definedName name="BExQAG8PP8R5NJKNQD1U4QOSD6X5" localSheetId="5" hidden="1">#REF!</definedName>
    <definedName name="BExQAVTR32SDHZQ69KNYF6UXXKS2" localSheetId="14" hidden="1">#REF!</definedName>
    <definedName name="BExQAVTR32SDHZQ69KNYF6UXXKS2" localSheetId="15" hidden="1">#REF!</definedName>
    <definedName name="BExQAVTR32SDHZQ69KNYF6UXXKS2" localSheetId="5" hidden="1">#REF!</definedName>
    <definedName name="BExQBBETZJ7LHJ9CLAL3GEKQFEGR" localSheetId="14" hidden="1">#REF!</definedName>
    <definedName name="BExQBBETZJ7LHJ9CLAL3GEKQFEGR" localSheetId="15" hidden="1">#REF!</definedName>
    <definedName name="BExQBBETZJ7LHJ9CLAL3GEKQFEGR" localSheetId="5" hidden="1">#REF!</definedName>
    <definedName name="BExQBDICMZTSA1X73TMHNO4JSFLN" localSheetId="14" hidden="1">#REF!</definedName>
    <definedName name="BExQBDICMZTSA1X73TMHNO4JSFLN" localSheetId="15" hidden="1">#REF!</definedName>
    <definedName name="BExQBDICMZTSA1X73TMHNO4JSFLN" localSheetId="5" hidden="1">#REF!</definedName>
    <definedName name="BExQBEER6CRCRPSSL61S0OMH57ZA" localSheetId="14" hidden="1">#REF!</definedName>
    <definedName name="BExQBEER6CRCRPSSL61S0OMH57ZA" localSheetId="15" hidden="1">#REF!</definedName>
    <definedName name="BExQBEER6CRCRPSSL61S0OMH57ZA" localSheetId="5" hidden="1">#REF!</definedName>
    <definedName name="BExQBFR753FNBMC27WEQJT8UKANJ" localSheetId="14" hidden="1">#REF!</definedName>
    <definedName name="BExQBFR753FNBMC27WEQJT8UKANJ" localSheetId="15" hidden="1">#REF!</definedName>
    <definedName name="BExQBFR753FNBMC27WEQJT8UKANJ" localSheetId="5" hidden="1">#REF!</definedName>
    <definedName name="BExQBIGGY5TXI2FJVVZSLZ0LTZYH" localSheetId="14" hidden="1">#REF!</definedName>
    <definedName name="BExQBIGGY5TXI2FJVVZSLZ0LTZYH" localSheetId="15" hidden="1">#REF!</definedName>
    <definedName name="BExQBIGGY5TXI2FJVVZSLZ0LTZYH" localSheetId="5" hidden="1">#REF!</definedName>
    <definedName name="BExQBM1RUSIQ85LLMM2159BYDPIP" localSheetId="14" hidden="1">#REF!</definedName>
    <definedName name="BExQBM1RUSIQ85LLMM2159BYDPIP" localSheetId="15" hidden="1">#REF!</definedName>
    <definedName name="BExQBM1RUSIQ85LLMM2159BYDPIP" localSheetId="5" hidden="1">#REF!</definedName>
    <definedName name="BExQBOWE543K7PGA5S7SVU2QKPM3" localSheetId="14" hidden="1">#REF!</definedName>
    <definedName name="BExQBOWE543K7PGA5S7SVU2QKPM3" localSheetId="15" hidden="1">#REF!</definedName>
    <definedName name="BExQBOWE543K7PGA5S7SVU2QKPM3" localSheetId="5" hidden="1">#REF!</definedName>
    <definedName name="BExQBPSOZ47V81YAEURP0NQJNTJH" localSheetId="14" hidden="1">#REF!</definedName>
    <definedName name="BExQBPSOZ47V81YAEURP0NQJNTJH" localSheetId="15" hidden="1">#REF!</definedName>
    <definedName name="BExQBPSOZ47V81YAEURP0NQJNTJH" localSheetId="5" hidden="1">#REF!</definedName>
    <definedName name="BExQC5TWT21CGBKD0IHAXTIN2QB8" localSheetId="14" hidden="1">#REF!</definedName>
    <definedName name="BExQC5TWT21CGBKD0IHAXTIN2QB8" localSheetId="15" hidden="1">#REF!</definedName>
    <definedName name="BExQC5TWT21CGBKD0IHAXTIN2QB8" localSheetId="5" hidden="1">#REF!</definedName>
    <definedName name="BExQC94JL9F5GW4S8DQCAF4WB2DA" localSheetId="14" hidden="1">#REF!</definedName>
    <definedName name="BExQC94JL9F5GW4S8DQCAF4WB2DA" localSheetId="15" hidden="1">#REF!</definedName>
    <definedName name="BExQC94JL9F5GW4S8DQCAF4WB2DA" localSheetId="5" hidden="1">#REF!</definedName>
    <definedName name="BExQCKTD8AT0824LGWREXM1B5D1X" localSheetId="14" hidden="1">#REF!</definedName>
    <definedName name="BExQCKTD8AT0824LGWREXM1B5D1X" localSheetId="15" hidden="1">#REF!</definedName>
    <definedName name="BExQCKTD8AT0824LGWREXM1B5D1X" localSheetId="5" hidden="1">#REF!</definedName>
    <definedName name="BExQCQ7KF4HVXSD72FF3DJGNNO3M" localSheetId="14" hidden="1">#REF!</definedName>
    <definedName name="BExQCQ7KF4HVXSD72FF3DJGNNO3M" localSheetId="15" hidden="1">#REF!</definedName>
    <definedName name="BExQCQ7KF4HVXSD72FF3DJGNNO3M" localSheetId="5" hidden="1">#REF!</definedName>
    <definedName name="BExQCRPJXI0WNJUFFAC39C0PFUFK" localSheetId="14" hidden="1">#REF!</definedName>
    <definedName name="BExQCRPJXI0WNJUFFAC39C0PFUFK" localSheetId="15" hidden="1">#REF!</definedName>
    <definedName name="BExQCRPJXI0WNJUFFAC39C0PFUFK" localSheetId="5" hidden="1">#REF!</definedName>
    <definedName name="BExQD571YWOXKR2SX85K5MKQ0AO2" localSheetId="14" hidden="1">#REF!</definedName>
    <definedName name="BExQD571YWOXKR2SX85K5MKQ0AO2" localSheetId="15" hidden="1">#REF!</definedName>
    <definedName name="BExQD571YWOXKR2SX85K5MKQ0AO2" localSheetId="5" hidden="1">#REF!</definedName>
    <definedName name="BExQDB6VCHN8PNX8EA6JNIEQ2JC2" localSheetId="14" hidden="1">#REF!</definedName>
    <definedName name="BExQDB6VCHN8PNX8EA6JNIEQ2JC2" localSheetId="15" hidden="1">#REF!</definedName>
    <definedName name="BExQDB6VCHN8PNX8EA6JNIEQ2JC2" localSheetId="5" hidden="1">#REF!</definedName>
    <definedName name="BExQDE1B6U2Q9B73KBENABP71YM1" localSheetId="14" hidden="1">#REF!</definedName>
    <definedName name="BExQDE1B6U2Q9B73KBENABP71YM1" localSheetId="15" hidden="1">#REF!</definedName>
    <definedName name="BExQDE1B6U2Q9B73KBENABP71YM1" localSheetId="5" hidden="1">#REF!</definedName>
    <definedName name="BExQDGQCN7ZW41QDUHOBJUGQAX40" localSheetId="14" hidden="1">#REF!</definedName>
    <definedName name="BExQDGQCN7ZW41QDUHOBJUGQAX40" localSheetId="15" hidden="1">#REF!</definedName>
    <definedName name="BExQDGQCN7ZW41QDUHOBJUGQAX40" localSheetId="5" hidden="1">#REF!</definedName>
    <definedName name="BExQED8ZZUEH0WRNOHXI7V9TVC8K" localSheetId="14" hidden="1">#REF!</definedName>
    <definedName name="BExQED8ZZUEH0WRNOHXI7V9TVC8K" localSheetId="15" hidden="1">#REF!</definedName>
    <definedName name="BExQED8ZZUEH0WRNOHXI7V9TVC8K" localSheetId="5" hidden="1">#REF!</definedName>
    <definedName name="BExQEF1PIJIB9J24OB0M4X1WLBB0" localSheetId="14" hidden="1">#REF!</definedName>
    <definedName name="BExQEF1PIJIB9J24OB0M4X1WLBB0" localSheetId="15" hidden="1">#REF!</definedName>
    <definedName name="BExQEF1PIJIB9J24OB0M4X1WLBB0" localSheetId="5" hidden="1">#REF!</definedName>
    <definedName name="BExQEMUA4HEFM4OVO8M8MA8PIAW1" localSheetId="14" hidden="1">#REF!</definedName>
    <definedName name="BExQEMUA4HEFM4OVO8M8MA8PIAW1" localSheetId="15" hidden="1">#REF!</definedName>
    <definedName name="BExQEMUA4HEFM4OVO8M8MA8PIAW1" localSheetId="5" hidden="1">#REF!</definedName>
    <definedName name="BExQEP38QPDKB85WG2WOL17IMB5S" localSheetId="14" hidden="1">#REF!</definedName>
    <definedName name="BExQEP38QPDKB85WG2WOL17IMB5S" localSheetId="15" hidden="1">#REF!</definedName>
    <definedName name="BExQEP38QPDKB85WG2WOL17IMB5S" localSheetId="5" hidden="1">#REF!</definedName>
    <definedName name="BExQEQ4XZQFIKUXNU9H7WE7AMZ1U" localSheetId="14" hidden="1">#REF!</definedName>
    <definedName name="BExQEQ4XZQFIKUXNU9H7WE7AMZ1U" localSheetId="15" hidden="1">#REF!</definedName>
    <definedName name="BExQEQ4XZQFIKUXNU9H7WE7AMZ1U" localSheetId="5" hidden="1">#REF!</definedName>
    <definedName name="BExQF1OEB07CRAP6ALNNMJNJ3P2D" localSheetId="14" hidden="1">#REF!</definedName>
    <definedName name="BExQF1OEB07CRAP6ALNNMJNJ3P2D" localSheetId="15" hidden="1">#REF!</definedName>
    <definedName name="BExQF1OEB07CRAP6ALNNMJNJ3P2D" localSheetId="5" hidden="1">#REF!</definedName>
    <definedName name="BExQF8KKL224NYD20XYLLM2RE7EW" localSheetId="14" hidden="1">#REF!</definedName>
    <definedName name="BExQF8KKL224NYD20XYLLM2RE7EW" localSheetId="15" hidden="1">#REF!</definedName>
    <definedName name="BExQF8KKL224NYD20XYLLM2RE7EW" localSheetId="5" hidden="1">#REF!</definedName>
    <definedName name="BExQF9X2AQPFJZTCHTU5PTTR0JAH" localSheetId="14" hidden="1">#REF!</definedName>
    <definedName name="BExQF9X2AQPFJZTCHTU5PTTR0JAH" localSheetId="15" hidden="1">#REF!</definedName>
    <definedName name="BExQF9X2AQPFJZTCHTU5PTTR0JAH" localSheetId="5" hidden="1">#REF!</definedName>
    <definedName name="BExQFAINO9ODQZX6NSM8EBTRD04E" localSheetId="14" hidden="1">#REF!</definedName>
    <definedName name="BExQFAINO9ODQZX6NSM8EBTRD04E" localSheetId="15" hidden="1">#REF!</definedName>
    <definedName name="BExQFAINO9ODQZX6NSM8EBTRD04E" localSheetId="5" hidden="1">#REF!</definedName>
    <definedName name="BExQFC0M9KKFMQKPLPEO2RQDB7MM" localSheetId="14" hidden="1">#REF!</definedName>
    <definedName name="BExQFC0M9KKFMQKPLPEO2RQDB7MM" localSheetId="15" hidden="1">#REF!</definedName>
    <definedName name="BExQFC0M9KKFMQKPLPEO2RQDB7MM" localSheetId="5" hidden="1">#REF!</definedName>
    <definedName name="BExQFEEV7627R8TYZCM28C6V6WHE" localSheetId="14" hidden="1">#REF!</definedName>
    <definedName name="BExQFEEV7627R8TYZCM28C6V6WHE" localSheetId="15" hidden="1">#REF!</definedName>
    <definedName name="BExQFEEV7627R8TYZCM28C6V6WHE" localSheetId="5" hidden="1">#REF!</definedName>
    <definedName name="BExQFEK8NUD04X2OBRA275ADPSDL" localSheetId="14" hidden="1">#REF!</definedName>
    <definedName name="BExQFEK8NUD04X2OBRA275ADPSDL" localSheetId="15" hidden="1">#REF!</definedName>
    <definedName name="BExQFEK8NUD04X2OBRA275ADPSDL" localSheetId="5" hidden="1">#REF!</definedName>
    <definedName name="BExQFGYIWDR4W0YF7XR6E4EWWJ02" localSheetId="14" hidden="1">#REF!</definedName>
    <definedName name="BExQFGYIWDR4W0YF7XR6E4EWWJ02" localSheetId="15" hidden="1">#REF!</definedName>
    <definedName name="BExQFGYIWDR4W0YF7XR6E4EWWJ02" localSheetId="5" hidden="1">#REF!</definedName>
    <definedName name="BExQFPNFKA36IAPS22LAUMBDI4KE" localSheetId="14" hidden="1">#REF!</definedName>
    <definedName name="BExQFPNFKA36IAPS22LAUMBDI4KE" localSheetId="15" hidden="1">#REF!</definedName>
    <definedName name="BExQFPNFKA36IAPS22LAUMBDI4KE" localSheetId="5" hidden="1">#REF!</definedName>
    <definedName name="BExQFPSWEMA8WBUZ4WK20LR13VSU" localSheetId="14" hidden="1">#REF!</definedName>
    <definedName name="BExQFPSWEMA8WBUZ4WK20LR13VSU" localSheetId="15" hidden="1">#REF!</definedName>
    <definedName name="BExQFPSWEMA8WBUZ4WK20LR13VSU" localSheetId="5" hidden="1">#REF!</definedName>
    <definedName name="BExQFVSPOSCCPF1TLJPIWYWYB8A9" localSheetId="14" hidden="1">#REF!</definedName>
    <definedName name="BExQFVSPOSCCPF1TLJPIWYWYB8A9" localSheetId="15" hidden="1">#REF!</definedName>
    <definedName name="BExQFVSPOSCCPF1TLJPIWYWYB8A9" localSheetId="5" hidden="1">#REF!</definedName>
    <definedName name="BExQFWJQXNQAW6LUMOEDS6KMJMYL" localSheetId="14" hidden="1">#REF!</definedName>
    <definedName name="BExQFWJQXNQAW6LUMOEDS6KMJMYL" localSheetId="15" hidden="1">#REF!</definedName>
    <definedName name="BExQFWJQXNQAW6LUMOEDS6KMJMYL" localSheetId="5" hidden="1">#REF!</definedName>
    <definedName name="BExQG8TYRD2G42UA5ZPCRLNKUDMX" localSheetId="14" hidden="1">#REF!</definedName>
    <definedName name="BExQG8TYRD2G42UA5ZPCRLNKUDMX" localSheetId="15" hidden="1">#REF!</definedName>
    <definedName name="BExQG8TYRD2G42UA5ZPCRLNKUDMX" localSheetId="5" hidden="1">#REF!</definedName>
    <definedName name="BExQGGBQ2CMSPV4NV4RA7NMBQER6" localSheetId="14" hidden="1">#REF!</definedName>
    <definedName name="BExQGGBQ2CMSPV4NV4RA7NMBQER6" localSheetId="15" hidden="1">#REF!</definedName>
    <definedName name="BExQGGBQ2CMSPV4NV4RA7NMBQER6" localSheetId="5" hidden="1">#REF!</definedName>
    <definedName name="BExQGO48J9MPCDQ96RBB9UN9AIGT" localSheetId="14" hidden="1">#REF!</definedName>
    <definedName name="BExQGO48J9MPCDQ96RBB9UN9AIGT" localSheetId="15" hidden="1">#REF!</definedName>
    <definedName name="BExQGO48J9MPCDQ96RBB9UN9AIGT" localSheetId="5" hidden="1">#REF!</definedName>
    <definedName name="BExQGSBB6MJWDW7AYWA0MSFTXKRR" localSheetId="14" hidden="1">#REF!</definedName>
    <definedName name="BExQGSBB6MJWDW7AYWA0MSFTXKRR" localSheetId="15" hidden="1">#REF!</definedName>
    <definedName name="BExQGSBB6MJWDW7AYWA0MSFTXKRR" localSheetId="5" hidden="1">#REF!</definedName>
    <definedName name="BExQH0UURAJ13AVO5UI04HSRGVYW" localSheetId="14" hidden="1">#REF!</definedName>
    <definedName name="BExQH0UURAJ13AVO5UI04HSRGVYW" localSheetId="15" hidden="1">#REF!</definedName>
    <definedName name="BExQH0UURAJ13AVO5UI04HSRGVYW" localSheetId="5" hidden="1">#REF!</definedName>
    <definedName name="BExQH5I0FUT0822E2ITR6M5724UF" localSheetId="14" hidden="1">#REF!</definedName>
    <definedName name="BExQH5I0FUT0822E2ITR6M5724UF" localSheetId="15" hidden="1">#REF!</definedName>
    <definedName name="BExQH5I0FUT0822E2ITR6M5724UF" localSheetId="5" hidden="1">#REF!</definedName>
    <definedName name="BExQH6ZZY0NR8SE48PSI9D0CU1TC" localSheetId="14" hidden="1">#REF!</definedName>
    <definedName name="BExQH6ZZY0NR8SE48PSI9D0CU1TC" localSheetId="15" hidden="1">#REF!</definedName>
    <definedName name="BExQH6ZZY0NR8SE48PSI9D0CU1TC" localSheetId="5" hidden="1">#REF!</definedName>
    <definedName name="BExQH9P2MCXAJOVEO4GFQT6MNW22" localSheetId="14" hidden="1">#REF!</definedName>
    <definedName name="BExQH9P2MCXAJOVEO4GFQT6MNW22" localSheetId="15" hidden="1">#REF!</definedName>
    <definedName name="BExQH9P2MCXAJOVEO4GFQT6MNW22" localSheetId="5" hidden="1">#REF!</definedName>
    <definedName name="BExQHCZSBYUY8OKKJXFYWKBBM6AH" localSheetId="14" hidden="1">#REF!</definedName>
    <definedName name="BExQHCZSBYUY8OKKJXFYWKBBM6AH" localSheetId="15" hidden="1">#REF!</definedName>
    <definedName name="BExQHCZSBYUY8OKKJXFYWKBBM6AH" localSheetId="5" hidden="1">#REF!</definedName>
    <definedName name="BExQHML1J3V7M9VZ3S2S198637RP" localSheetId="14" hidden="1">#REF!</definedName>
    <definedName name="BExQHML1J3V7M9VZ3S2S198637RP" localSheetId="15" hidden="1">#REF!</definedName>
    <definedName name="BExQHML1J3V7M9VZ3S2S198637RP" localSheetId="5" hidden="1">#REF!</definedName>
    <definedName name="BExQHPKXZ1K33V2F90NZIQRZYIAW" localSheetId="14" hidden="1">#REF!</definedName>
    <definedName name="BExQHPKXZ1K33V2F90NZIQRZYIAW" localSheetId="15" hidden="1">#REF!</definedName>
    <definedName name="BExQHPKXZ1K33V2F90NZIQRZYIAW" localSheetId="5" hidden="1">#REF!</definedName>
    <definedName name="BExQHRDNW8YFGT2B35K9CYSS1VAI" localSheetId="14" hidden="1">#REF!</definedName>
    <definedName name="BExQHRDNW8YFGT2B35K9CYSS1VAI" localSheetId="15" hidden="1">#REF!</definedName>
    <definedName name="BExQHRDNW8YFGT2B35K9CYSS1VAI" localSheetId="5" hidden="1">#REF!</definedName>
    <definedName name="BExQHRZ9FBLUG6G6CC88UZA6V39L" localSheetId="14" hidden="1">#REF!</definedName>
    <definedName name="BExQHRZ9FBLUG6G6CC88UZA6V39L" localSheetId="15" hidden="1">#REF!</definedName>
    <definedName name="BExQHRZ9FBLUG6G6CC88UZA6V39L" localSheetId="5" hidden="1">#REF!</definedName>
    <definedName name="BExQHVF9KD06AG2RXUQJ9X4PVGX4" localSheetId="14" hidden="1">#REF!</definedName>
    <definedName name="BExQHVF9KD06AG2RXUQJ9X4PVGX4" localSheetId="15" hidden="1">#REF!</definedName>
    <definedName name="BExQHVF9KD06AG2RXUQJ9X4PVGX4" localSheetId="5" hidden="1">#REF!</definedName>
    <definedName name="BExQHZBHVN2L4HC7ACTR73T5OCV0" localSheetId="14" hidden="1">#REF!</definedName>
    <definedName name="BExQHZBHVN2L4HC7ACTR73T5OCV0" localSheetId="15" hidden="1">#REF!</definedName>
    <definedName name="BExQHZBHVN2L4HC7ACTR73T5OCV0" localSheetId="5" hidden="1">#REF!</definedName>
    <definedName name="BExQI3O3BBL6MXZNJD1S3UD8WBUU" localSheetId="14" hidden="1">#REF!</definedName>
    <definedName name="BExQI3O3BBL6MXZNJD1S3UD8WBUU" localSheetId="15" hidden="1">#REF!</definedName>
    <definedName name="BExQI3O3BBL6MXZNJD1S3UD8WBUU" localSheetId="5" hidden="1">#REF!</definedName>
    <definedName name="BExQI7431UOEBYKYPVVMNXBZ2ZP2" localSheetId="14" hidden="1">#REF!</definedName>
    <definedName name="BExQI7431UOEBYKYPVVMNXBZ2ZP2" localSheetId="15" hidden="1">#REF!</definedName>
    <definedName name="BExQI7431UOEBYKYPVVMNXBZ2ZP2" localSheetId="5" hidden="1">#REF!</definedName>
    <definedName name="BExQI85V9TNLDJT5LTRZS10Y26SG" localSheetId="14" hidden="1">#REF!</definedName>
    <definedName name="BExQI85V9TNLDJT5LTRZS10Y26SG" localSheetId="15" hidden="1">#REF!</definedName>
    <definedName name="BExQI85V9TNLDJT5LTRZS10Y26SG" localSheetId="5" hidden="1">#REF!</definedName>
    <definedName name="BExQI9ICYVAAXE7L1BQSE1VWSQA9" localSheetId="14" hidden="1">#REF!</definedName>
    <definedName name="BExQI9ICYVAAXE7L1BQSE1VWSQA9" localSheetId="15" hidden="1">#REF!</definedName>
    <definedName name="BExQI9ICYVAAXE7L1BQSE1VWSQA9" localSheetId="5" hidden="1">#REF!</definedName>
    <definedName name="BExQIAPKHVEV8CU1L3TTHJW67FJ5" localSheetId="14" hidden="1">#REF!</definedName>
    <definedName name="BExQIAPKHVEV8CU1L3TTHJW67FJ5" localSheetId="15" hidden="1">#REF!</definedName>
    <definedName name="BExQIAPKHVEV8CU1L3TTHJW67FJ5" localSheetId="5" hidden="1">#REF!</definedName>
    <definedName name="BExQIAV02RGEQG6AF0CWXU3MS9BZ" localSheetId="14" hidden="1">#REF!</definedName>
    <definedName name="BExQIAV02RGEQG6AF0CWXU3MS9BZ" localSheetId="15" hidden="1">#REF!</definedName>
    <definedName name="BExQIAV02RGEQG6AF0CWXU3MS9BZ" localSheetId="5" hidden="1">#REF!</definedName>
    <definedName name="BExQIBB4I3Z6AUU0HYV1DHRS13M4" localSheetId="14" hidden="1">#REF!</definedName>
    <definedName name="BExQIBB4I3Z6AUU0HYV1DHRS13M4" localSheetId="15" hidden="1">#REF!</definedName>
    <definedName name="BExQIBB4I3Z6AUU0HYV1DHRS13M4" localSheetId="5" hidden="1">#REF!</definedName>
    <definedName name="BExQIBWPAXU7HJZLKGJZY3EB7MIS" localSheetId="14" hidden="1">#REF!</definedName>
    <definedName name="BExQIBWPAXU7HJZLKGJZY3EB7MIS" localSheetId="15" hidden="1">#REF!</definedName>
    <definedName name="BExQIBWPAXU7HJZLKGJZY3EB7MIS" localSheetId="5" hidden="1">#REF!</definedName>
    <definedName name="BExQIHLP9AT969BKBF22IGW76GLI" localSheetId="14" hidden="1">#REF!</definedName>
    <definedName name="BExQIHLP9AT969BKBF22IGW76GLI" localSheetId="15" hidden="1">#REF!</definedName>
    <definedName name="BExQIHLP9AT969BKBF22IGW76GLI" localSheetId="5" hidden="1">#REF!</definedName>
    <definedName name="BExQIS8O6R36CI01XRY9ISM99TW9" localSheetId="14" hidden="1">#REF!</definedName>
    <definedName name="BExQIS8O6R36CI01XRY9ISM99TW9" localSheetId="15" hidden="1">#REF!</definedName>
    <definedName name="BExQIS8O6R36CI01XRY9ISM99TW9" localSheetId="5" hidden="1">#REF!</definedName>
    <definedName name="BExQIVJB9MJ25NDUHTCVMSODJY2C" localSheetId="14" hidden="1">#REF!</definedName>
    <definedName name="BExQIVJB9MJ25NDUHTCVMSODJY2C" localSheetId="15" hidden="1">#REF!</definedName>
    <definedName name="BExQIVJB9MJ25NDUHTCVMSODJY2C" localSheetId="5" hidden="1">#REF!</definedName>
    <definedName name="BExQIWAEMVTWAU39DWIXT17K2A9Z" localSheetId="14" hidden="1">#REF!</definedName>
    <definedName name="BExQIWAEMVTWAU39DWIXT17K2A9Z" localSheetId="15" hidden="1">#REF!</definedName>
    <definedName name="BExQIWAEMVTWAU39DWIXT17K2A9Z" localSheetId="5" hidden="1">#REF!</definedName>
    <definedName name="BExQJ72T8UR0U461ZLEGOOEPCDIG" localSheetId="14" hidden="1">#REF!</definedName>
    <definedName name="BExQJ72T8UR0U461ZLEGOOEPCDIG" localSheetId="15" hidden="1">#REF!</definedName>
    <definedName name="BExQJ72T8UR0U461ZLEGOOEPCDIG" localSheetId="5" hidden="1">#REF!</definedName>
    <definedName name="BExQJAZ2QDORCR0K8PR9VHQZ4Y3P" localSheetId="14" hidden="1">#REF!</definedName>
    <definedName name="BExQJAZ2QDORCR0K8PR9VHQZ4Y3P" localSheetId="15" hidden="1">#REF!</definedName>
    <definedName name="BExQJAZ2QDORCR0K8PR9VHQZ4Y3P" localSheetId="5" hidden="1">#REF!</definedName>
    <definedName name="BExQJBF7LAX128WR7VTMJC88ZLPG" localSheetId="14" hidden="1">#REF!</definedName>
    <definedName name="BExQJBF7LAX128WR7VTMJC88ZLPG" localSheetId="15" hidden="1">#REF!</definedName>
    <definedName name="BExQJBF7LAX128WR7VTMJC88ZLPG" localSheetId="5" hidden="1">#REF!</definedName>
    <definedName name="BExQJEVCKX6KZHNCLYXY7D0MX5KN" localSheetId="14" hidden="1">#REF!</definedName>
    <definedName name="BExQJEVCKX6KZHNCLYXY7D0MX5KN" localSheetId="15" hidden="1">#REF!</definedName>
    <definedName name="BExQJEVCKX6KZHNCLYXY7D0MX5KN" localSheetId="5" hidden="1">#REF!</definedName>
    <definedName name="BExQJJYSDX8B0J1QGF2HL071KKA3" localSheetId="14" hidden="1">#REF!</definedName>
    <definedName name="BExQJJYSDX8B0J1QGF2HL071KKA3" localSheetId="15" hidden="1">#REF!</definedName>
    <definedName name="BExQJJYSDX8B0J1QGF2HL071KKA3" localSheetId="5" hidden="1">#REF!</definedName>
    <definedName name="BExQK1HV6SQQ7CP8H8IUKI9TYXTD" localSheetId="14" hidden="1">#REF!</definedName>
    <definedName name="BExQK1HV6SQQ7CP8H8IUKI9TYXTD" localSheetId="15" hidden="1">#REF!</definedName>
    <definedName name="BExQK1HV6SQQ7CP8H8IUKI9TYXTD" localSheetId="5" hidden="1">#REF!</definedName>
    <definedName name="BExQK3LE5CSBW1E4H4KHW548FL2R" localSheetId="14" hidden="1">#REF!</definedName>
    <definedName name="BExQK3LE5CSBW1E4H4KHW548FL2R" localSheetId="15" hidden="1">#REF!</definedName>
    <definedName name="BExQK3LE5CSBW1E4H4KHW548FL2R" localSheetId="5" hidden="1">#REF!</definedName>
    <definedName name="BExQKG6LD6PLNDGNGO9DJXY865BR" localSheetId="14" hidden="1">#REF!</definedName>
    <definedName name="BExQKG6LD6PLNDGNGO9DJXY865BR" localSheetId="15" hidden="1">#REF!</definedName>
    <definedName name="BExQKG6LD6PLNDGNGO9DJXY865BR" localSheetId="5" hidden="1">#REF!</definedName>
    <definedName name="BExQKUKG8I4CGS9QYSD0H7NHP4JN" localSheetId="14" hidden="1">#REF!</definedName>
    <definedName name="BExQKUKG8I4CGS9QYSD0H7NHP4JN" localSheetId="15" hidden="1">#REF!</definedName>
    <definedName name="BExQKUKG8I4CGS9QYSD0H7NHP4JN" localSheetId="5" hidden="1">#REF!</definedName>
    <definedName name="BExQL2NSE8OYZFXQH8A23RMVMFW7" localSheetId="14" hidden="1">#REF!</definedName>
    <definedName name="BExQL2NSE8OYZFXQH8A23RMVMFW7" localSheetId="15" hidden="1">#REF!</definedName>
    <definedName name="BExQL2NSE8OYZFXQH8A23RMVMFW7" localSheetId="5" hidden="1">#REF!</definedName>
    <definedName name="BExQLE1TOW3A287TQB0AVWENT8O1" localSheetId="14" hidden="1">#REF!</definedName>
    <definedName name="BExQLE1TOW3A287TQB0AVWENT8O1" localSheetId="15" hidden="1">#REF!</definedName>
    <definedName name="BExQLE1TOW3A287TQB0AVWENT8O1" localSheetId="5" hidden="1">#REF!</definedName>
    <definedName name="BExRYOYB4A3E5F6MTROY69LR0PMG" localSheetId="14" hidden="1">#REF!</definedName>
    <definedName name="BExRYOYB4A3E5F6MTROY69LR0PMG" localSheetId="15" hidden="1">#REF!</definedName>
    <definedName name="BExRYOYB4A3E5F6MTROY69LR0PMG" localSheetId="5" hidden="1">#REF!</definedName>
    <definedName name="BExRYZLA9EW71H4SXQR525S72LLP" localSheetId="14" hidden="1">#REF!</definedName>
    <definedName name="BExRYZLA9EW71H4SXQR525S72LLP" localSheetId="15" hidden="1">#REF!</definedName>
    <definedName name="BExRYZLA9EW71H4SXQR525S72LLP" localSheetId="5" hidden="1">#REF!</definedName>
    <definedName name="BExRZ66M8G9FQ0VFP077QSZBSOA5" localSheetId="14" hidden="1">#REF!</definedName>
    <definedName name="BExRZ66M8G9FQ0VFP077QSZBSOA5" localSheetId="15" hidden="1">#REF!</definedName>
    <definedName name="BExRZ66M8G9FQ0VFP077QSZBSOA5" localSheetId="5" hidden="1">#REF!</definedName>
    <definedName name="BExRZ8FMQQL46I8AQWU17LRNZD5T" localSheetId="14" hidden="1">#REF!</definedName>
    <definedName name="BExRZ8FMQQL46I8AQWU17LRNZD5T" localSheetId="15" hidden="1">#REF!</definedName>
    <definedName name="BExRZ8FMQQL46I8AQWU17LRNZD5T" localSheetId="5" hidden="1">#REF!</definedName>
    <definedName name="BExRZIRRIXRUMZ5GOO95S7460BMP" localSheetId="14" hidden="1">#REF!</definedName>
    <definedName name="BExRZIRRIXRUMZ5GOO95S7460BMP" localSheetId="15" hidden="1">#REF!</definedName>
    <definedName name="BExRZIRRIXRUMZ5GOO95S7460BMP" localSheetId="5" hidden="1">#REF!</definedName>
    <definedName name="BExRZJTNBKKPK7SB4LA31O3OH6PO" localSheetId="14" hidden="1">#REF!</definedName>
    <definedName name="BExRZJTNBKKPK7SB4LA31O3OH6PO" localSheetId="15" hidden="1">#REF!</definedName>
    <definedName name="BExRZJTNBKKPK7SB4LA31O3OH6PO" localSheetId="5" hidden="1">#REF!</definedName>
    <definedName name="BExRZK9RAHMM0ZLTNSK7A4LDC42D" localSheetId="14" hidden="1">#REF!</definedName>
    <definedName name="BExRZK9RAHMM0ZLTNSK7A4LDC42D" localSheetId="15" hidden="1">#REF!</definedName>
    <definedName name="BExRZK9RAHMM0ZLTNSK7A4LDC42D" localSheetId="5" hidden="1">#REF!</definedName>
    <definedName name="BExRZNF461H0WDF36L3U0UQSJGZB" localSheetId="14" hidden="1">#REF!</definedName>
    <definedName name="BExRZNF461H0WDF36L3U0UQSJGZB" localSheetId="15" hidden="1">#REF!</definedName>
    <definedName name="BExRZNF461H0WDF36L3U0UQSJGZB" localSheetId="5" hidden="1">#REF!</definedName>
    <definedName name="BExRZOGSR69INI6GAEPHDWSNK5Q4" localSheetId="14" hidden="1">#REF!</definedName>
    <definedName name="BExRZOGSR69INI6GAEPHDWSNK5Q4" localSheetId="15" hidden="1">#REF!</definedName>
    <definedName name="BExRZOGSR69INI6GAEPHDWSNK5Q4" localSheetId="5" hidden="1">#REF!</definedName>
    <definedName name="BExS0ASQBKRTPDWFK0KUDFOS9LE5" localSheetId="14" hidden="1">#REF!</definedName>
    <definedName name="BExS0ASQBKRTPDWFK0KUDFOS9LE5" localSheetId="15" hidden="1">#REF!</definedName>
    <definedName name="BExS0ASQBKRTPDWFK0KUDFOS9LE5" localSheetId="5" hidden="1">#REF!</definedName>
    <definedName name="BExS0GHQUF6YT0RU3TKDEO8CSJYB" localSheetId="14" hidden="1">#REF!</definedName>
    <definedName name="BExS0GHQUF6YT0RU3TKDEO8CSJYB" localSheetId="15" hidden="1">#REF!</definedName>
    <definedName name="BExS0GHQUF6YT0RU3TKDEO8CSJYB" localSheetId="5" hidden="1">#REF!</definedName>
    <definedName name="BExS0K8IHC45I78DMZBOJ1P13KQA" localSheetId="14" hidden="1">#REF!</definedName>
    <definedName name="BExS0K8IHC45I78DMZBOJ1P13KQA" localSheetId="15" hidden="1">#REF!</definedName>
    <definedName name="BExS0K8IHC45I78DMZBOJ1P13KQA" localSheetId="5" hidden="1">#REF!</definedName>
    <definedName name="BExS0L4WP69XXUFHED98XIEPB593" localSheetId="14" hidden="1">#REF!</definedName>
    <definedName name="BExS0L4WP69XXUFHED98XIEPB593" localSheetId="15" hidden="1">#REF!</definedName>
    <definedName name="BExS0L4WP69XXUFHED98XIEPB593" localSheetId="5" hidden="1">#REF!</definedName>
    <definedName name="BExS0Z2O2N4AJXFEPN87NU9ZGAHG" localSheetId="14" hidden="1">#REF!</definedName>
    <definedName name="BExS0Z2O2N4AJXFEPN87NU9ZGAHG" localSheetId="15" hidden="1">#REF!</definedName>
    <definedName name="BExS0Z2O2N4AJXFEPN87NU9ZGAHG" localSheetId="5" hidden="1">#REF!</definedName>
    <definedName name="BExS15IJV0WW662NXQUVT3FGP4ST" localSheetId="14" hidden="1">#REF!</definedName>
    <definedName name="BExS15IJV0WW662NXQUVT3FGP4ST" localSheetId="15" hidden="1">#REF!</definedName>
    <definedName name="BExS15IJV0WW662NXQUVT3FGP4ST" localSheetId="5" hidden="1">#REF!</definedName>
    <definedName name="BExS18T8TBNEPF4AU1VJ268XLF3L" localSheetId="14" hidden="1">#REF!</definedName>
    <definedName name="BExS18T8TBNEPF4AU1VJ268XLF3L" localSheetId="15" hidden="1">#REF!</definedName>
    <definedName name="BExS18T8TBNEPF4AU1VJ268XLF3L" localSheetId="5" hidden="1">#REF!</definedName>
    <definedName name="BExS194110MR25BYJI3CJ2EGZ8XT" localSheetId="14" hidden="1">#REF!</definedName>
    <definedName name="BExS194110MR25BYJI3CJ2EGZ8XT" localSheetId="15" hidden="1">#REF!</definedName>
    <definedName name="BExS194110MR25BYJI3CJ2EGZ8XT" localSheetId="5" hidden="1">#REF!</definedName>
    <definedName name="BExS1BNVGNSGD4EP90QL8WXYWZ66" localSheetId="14" hidden="1">#REF!</definedName>
    <definedName name="BExS1BNVGNSGD4EP90QL8WXYWZ66" localSheetId="15" hidden="1">#REF!</definedName>
    <definedName name="BExS1BNVGNSGD4EP90QL8WXYWZ66" localSheetId="5" hidden="1">#REF!</definedName>
    <definedName name="BExS1UE39N6NCND7MAARSBWXS6HU" localSheetId="14" hidden="1">#REF!</definedName>
    <definedName name="BExS1UE39N6NCND7MAARSBWXS6HU" localSheetId="15" hidden="1">#REF!</definedName>
    <definedName name="BExS1UE39N6NCND7MAARSBWXS6HU" localSheetId="5" hidden="1">#REF!</definedName>
    <definedName name="BExS226HTWL5WVC76MP5A1IBI8WD" localSheetId="14" hidden="1">#REF!</definedName>
    <definedName name="BExS226HTWL5WVC76MP5A1IBI8WD" localSheetId="15" hidden="1">#REF!</definedName>
    <definedName name="BExS226HTWL5WVC76MP5A1IBI8WD" localSheetId="5" hidden="1">#REF!</definedName>
    <definedName name="BExS26OI2QNNAH2WMDD95Z400048" localSheetId="14" hidden="1">#REF!</definedName>
    <definedName name="BExS26OI2QNNAH2WMDD95Z400048" localSheetId="15" hidden="1">#REF!</definedName>
    <definedName name="BExS26OI2QNNAH2WMDD95Z400048" localSheetId="5" hidden="1">#REF!</definedName>
    <definedName name="BExS2D4EI622QRKZKVDPRE66M4XA" localSheetId="14" hidden="1">#REF!</definedName>
    <definedName name="BExS2D4EI622QRKZKVDPRE66M4XA" localSheetId="15" hidden="1">#REF!</definedName>
    <definedName name="BExS2D4EI622QRKZKVDPRE66M4XA" localSheetId="5" hidden="1">#REF!</definedName>
    <definedName name="BExS2DF6B4ZUF3VZLI4G6LJ3BF38" localSheetId="14" hidden="1">#REF!</definedName>
    <definedName name="BExS2DF6B4ZUF3VZLI4G6LJ3BF38" localSheetId="15" hidden="1">#REF!</definedName>
    <definedName name="BExS2DF6B4ZUF3VZLI4G6LJ3BF38" localSheetId="5" hidden="1">#REF!</definedName>
    <definedName name="BExS2GKEA6VM3PDWKD7XI0KRUHTW" localSheetId="14" hidden="1">#REF!</definedName>
    <definedName name="BExS2GKEA6VM3PDWKD7XI0KRUHTW" localSheetId="15" hidden="1">#REF!</definedName>
    <definedName name="BExS2GKEA6VM3PDWKD7XI0KRUHTW" localSheetId="5" hidden="1">#REF!</definedName>
    <definedName name="BExS2I2HVU314TXI2DYFRY8XV913" localSheetId="14" hidden="1">#REF!</definedName>
    <definedName name="BExS2I2HVU314TXI2DYFRY8XV913" localSheetId="15" hidden="1">#REF!</definedName>
    <definedName name="BExS2I2HVU314TXI2DYFRY8XV913" localSheetId="5" hidden="1">#REF!</definedName>
    <definedName name="BExS2QB5FS5LYTFYO4BROTWG3OV5" localSheetId="14" hidden="1">#REF!</definedName>
    <definedName name="BExS2QB5FS5LYTFYO4BROTWG3OV5" localSheetId="15" hidden="1">#REF!</definedName>
    <definedName name="BExS2QB5FS5LYTFYO4BROTWG3OV5" localSheetId="5" hidden="1">#REF!</definedName>
    <definedName name="BExS2TLU1HONYV6S3ZD9T12D7CIG" localSheetId="14" hidden="1">#REF!</definedName>
    <definedName name="BExS2TLU1HONYV6S3ZD9T12D7CIG" localSheetId="15" hidden="1">#REF!</definedName>
    <definedName name="BExS2TLU1HONYV6S3ZD9T12D7CIG" localSheetId="5" hidden="1">#REF!</definedName>
    <definedName name="BExS2WLQUVBRZJWQTWUU4CYDY4IN" localSheetId="14" hidden="1">#REF!</definedName>
    <definedName name="BExS2WLQUVBRZJWQTWUU4CYDY4IN" localSheetId="15" hidden="1">#REF!</definedName>
    <definedName name="BExS2WLQUVBRZJWQTWUU4CYDY4IN" localSheetId="5" hidden="1">#REF!</definedName>
    <definedName name="BExS2YJQV4NUX6135T90Z1Y5R26Q" localSheetId="14" hidden="1">#REF!</definedName>
    <definedName name="BExS2YJQV4NUX6135T90Z1Y5R26Q" localSheetId="15" hidden="1">#REF!</definedName>
    <definedName name="BExS2YJQV4NUX6135T90Z1Y5R26Q" localSheetId="5" hidden="1">#REF!</definedName>
    <definedName name="BExS318UV9I2FXPQQWUKKX00QLPJ" localSheetId="14" hidden="1">#REF!</definedName>
    <definedName name="BExS318UV9I2FXPQQWUKKX00QLPJ" localSheetId="15" hidden="1">#REF!</definedName>
    <definedName name="BExS318UV9I2FXPQQWUKKX00QLPJ" localSheetId="5" hidden="1">#REF!</definedName>
    <definedName name="BExS3LBS0SMTHALVM4NRI1BAV1NP" localSheetId="14" hidden="1">#REF!</definedName>
    <definedName name="BExS3LBS0SMTHALVM4NRI1BAV1NP" localSheetId="15" hidden="1">#REF!</definedName>
    <definedName name="BExS3LBS0SMTHALVM4NRI1BAV1NP" localSheetId="5" hidden="1">#REF!</definedName>
    <definedName name="BExS3MTQ75VBXDGEBURP6YT8RROE" localSheetId="14" hidden="1">#REF!</definedName>
    <definedName name="BExS3MTQ75VBXDGEBURP6YT8RROE" localSheetId="15" hidden="1">#REF!</definedName>
    <definedName name="BExS3MTQ75VBXDGEBURP6YT8RROE" localSheetId="5" hidden="1">#REF!</definedName>
    <definedName name="BExS3OMGYO0DFN5186UFKEXZ2RX3" localSheetId="14" hidden="1">#REF!</definedName>
    <definedName name="BExS3OMGYO0DFN5186UFKEXZ2RX3" localSheetId="15" hidden="1">#REF!</definedName>
    <definedName name="BExS3OMGYO0DFN5186UFKEXZ2RX3" localSheetId="5" hidden="1">#REF!</definedName>
    <definedName name="BExS3SDERJ27OER67TIGOVZU13A2" localSheetId="14" hidden="1">#REF!</definedName>
    <definedName name="BExS3SDERJ27OER67TIGOVZU13A2" localSheetId="15" hidden="1">#REF!</definedName>
    <definedName name="BExS3SDERJ27OER67TIGOVZU13A2" localSheetId="5" hidden="1">#REF!</definedName>
    <definedName name="BExS3STIH9SFG0R6H30P191QZE98" localSheetId="14" hidden="1">#REF!</definedName>
    <definedName name="BExS3STIH9SFG0R6H30P191QZE98" localSheetId="15" hidden="1">#REF!</definedName>
    <definedName name="BExS3STIH9SFG0R6H30P191QZE98" localSheetId="5" hidden="1">#REF!</definedName>
    <definedName name="BExS46R5WDNU5KL04FKY5LHJUCB8" localSheetId="14" hidden="1">#REF!</definedName>
    <definedName name="BExS46R5WDNU5KL04FKY5LHJUCB8" localSheetId="15" hidden="1">#REF!</definedName>
    <definedName name="BExS46R5WDNU5KL04FKY5LHJUCB8" localSheetId="5" hidden="1">#REF!</definedName>
    <definedName name="BExS4ASWKM93XA275AXHYP8AG6SU" localSheetId="14" hidden="1">#REF!</definedName>
    <definedName name="BExS4ASWKM93XA275AXHYP8AG6SU" localSheetId="15" hidden="1">#REF!</definedName>
    <definedName name="BExS4ASWKM93XA275AXHYP8AG6SU" localSheetId="5" hidden="1">#REF!</definedName>
    <definedName name="BExS4IANBC4RO7HIK0MZZ2RPQU78" localSheetId="14" hidden="1">#REF!</definedName>
    <definedName name="BExS4IANBC4RO7HIK0MZZ2RPQU78" localSheetId="15" hidden="1">#REF!</definedName>
    <definedName name="BExS4IANBC4RO7HIK0MZZ2RPQU78" localSheetId="5" hidden="1">#REF!</definedName>
    <definedName name="BExS4JN3Y6SVBKILQK0R9HS45Y52" localSheetId="14" hidden="1">#REF!</definedName>
    <definedName name="BExS4JN3Y6SVBKILQK0R9HS45Y52" localSheetId="15" hidden="1">#REF!</definedName>
    <definedName name="BExS4JN3Y6SVBKILQK0R9HS45Y52" localSheetId="5" hidden="1">#REF!</definedName>
    <definedName name="BExS4P6S41O6Z6BED77U3GD9PNH1" localSheetId="14" hidden="1">#REF!</definedName>
    <definedName name="BExS4P6S41O6Z6BED77U3GD9PNH1" localSheetId="15" hidden="1">#REF!</definedName>
    <definedName name="BExS4P6S41O6Z6BED77U3GD9PNH1" localSheetId="5" hidden="1">#REF!</definedName>
    <definedName name="BExS4PXPURUHFBOKYFJD5J1J2RXC" localSheetId="14" hidden="1">#REF!</definedName>
    <definedName name="BExS4PXPURUHFBOKYFJD5J1J2RXC" localSheetId="15" hidden="1">#REF!</definedName>
    <definedName name="BExS4PXPURUHFBOKYFJD5J1J2RXC" localSheetId="5" hidden="1">#REF!</definedName>
    <definedName name="BExS4T32HD3YGJ91HTJ2IGVX6V4O" localSheetId="14" hidden="1">#REF!</definedName>
    <definedName name="BExS4T32HD3YGJ91HTJ2IGVX6V4O" localSheetId="15" hidden="1">#REF!</definedName>
    <definedName name="BExS4T32HD3YGJ91HTJ2IGVX6V4O" localSheetId="5" hidden="1">#REF!</definedName>
    <definedName name="BExS51H0N51UT0FZOPZRCF1GU063" localSheetId="14" hidden="1">#REF!</definedName>
    <definedName name="BExS51H0N51UT0FZOPZRCF1GU063" localSheetId="15" hidden="1">#REF!</definedName>
    <definedName name="BExS51H0N51UT0FZOPZRCF1GU063" localSheetId="5" hidden="1">#REF!</definedName>
    <definedName name="BExS54X72TJFC41FJK72MLRR2OO7" localSheetId="14" hidden="1">#REF!</definedName>
    <definedName name="BExS54X72TJFC41FJK72MLRR2OO7" localSheetId="15" hidden="1">#REF!</definedName>
    <definedName name="BExS54X72TJFC41FJK72MLRR2OO7" localSheetId="5" hidden="1">#REF!</definedName>
    <definedName name="BExS59F0PA1V2ZC7S5TN6IT41SXP" localSheetId="14" hidden="1">#REF!</definedName>
    <definedName name="BExS59F0PA1V2ZC7S5TN6IT41SXP" localSheetId="15" hidden="1">#REF!</definedName>
    <definedName name="BExS59F0PA1V2ZC7S5TN6IT41SXP" localSheetId="5" hidden="1">#REF!</definedName>
    <definedName name="BExS5L3TGB8JVW9ROYWTKYTUPW27" localSheetId="14" hidden="1">#REF!</definedName>
    <definedName name="BExS5L3TGB8JVW9ROYWTKYTUPW27" localSheetId="15" hidden="1">#REF!</definedName>
    <definedName name="BExS5L3TGB8JVW9ROYWTKYTUPW27" localSheetId="5" hidden="1">#REF!</definedName>
    <definedName name="BExS6GKQ96EHVLYWNJDWXZXUZW90" localSheetId="14" hidden="1">#REF!</definedName>
    <definedName name="BExS6GKQ96EHVLYWNJDWXZXUZW90" localSheetId="15" hidden="1">#REF!</definedName>
    <definedName name="BExS6GKQ96EHVLYWNJDWXZXUZW90" localSheetId="5" hidden="1">#REF!</definedName>
    <definedName name="BExS6ITKSZFRR01YD5B0F676SYN7" localSheetId="14" hidden="1">#REF!</definedName>
    <definedName name="BExS6ITKSZFRR01YD5B0F676SYN7" localSheetId="15" hidden="1">#REF!</definedName>
    <definedName name="BExS6ITKSZFRR01YD5B0F676SYN7" localSheetId="5" hidden="1">#REF!</definedName>
    <definedName name="BExS6N0LI574IAC89EFW6CLTCQ33" localSheetId="14" hidden="1">#REF!</definedName>
    <definedName name="BExS6N0LI574IAC89EFW6CLTCQ33" localSheetId="15" hidden="1">#REF!</definedName>
    <definedName name="BExS6N0LI574IAC89EFW6CLTCQ33" localSheetId="5" hidden="1">#REF!</definedName>
    <definedName name="BExS6N0NEF7XCTT5R600QZ71A44O" localSheetId="14" hidden="1">#REF!</definedName>
    <definedName name="BExS6N0NEF7XCTT5R600QZ71A44O" localSheetId="15" hidden="1">#REF!</definedName>
    <definedName name="BExS6N0NEF7XCTT5R600QZ71A44O" localSheetId="5" hidden="1">#REF!</definedName>
    <definedName name="BExS6WRDBF3ST86ZOBBUL3GTCR11" localSheetId="14" hidden="1">#REF!</definedName>
    <definedName name="BExS6WRDBF3ST86ZOBBUL3GTCR11" localSheetId="15" hidden="1">#REF!</definedName>
    <definedName name="BExS6WRDBF3ST86ZOBBUL3GTCR11" localSheetId="5" hidden="1">#REF!</definedName>
    <definedName name="BExS6XNRKR0C3MTA0LV5B60UB908" localSheetId="14" hidden="1">#REF!</definedName>
    <definedName name="BExS6XNRKR0C3MTA0LV5B60UB908" localSheetId="15" hidden="1">#REF!</definedName>
    <definedName name="BExS6XNRKR0C3MTA0LV5B60UB908" localSheetId="5" hidden="1">#REF!</definedName>
    <definedName name="BExS73NELZEK2MDOLXO2Q7H3EG71" localSheetId="14" hidden="1">#REF!</definedName>
    <definedName name="BExS73NELZEK2MDOLXO2Q7H3EG71" localSheetId="15" hidden="1">#REF!</definedName>
    <definedName name="BExS73NELZEK2MDOLXO2Q7H3EG71" localSheetId="5" hidden="1">#REF!</definedName>
    <definedName name="BExS7DJF6AXTWAJD7K4ZCD7L6BHV" localSheetId="14" hidden="1">#REF!</definedName>
    <definedName name="BExS7DJF6AXTWAJD7K4ZCD7L6BHV" localSheetId="15" hidden="1">#REF!</definedName>
    <definedName name="BExS7DJF6AXTWAJD7K4ZCD7L6BHV" localSheetId="5" hidden="1">#REF!</definedName>
    <definedName name="BExS7GOTHHOK287MX2RC853NWQAL" localSheetId="14" hidden="1">#REF!</definedName>
    <definedName name="BExS7GOTHHOK287MX2RC853NWQAL" localSheetId="15" hidden="1">#REF!</definedName>
    <definedName name="BExS7GOTHHOK287MX2RC853NWQAL" localSheetId="5" hidden="1">#REF!</definedName>
    <definedName name="BExS7TKQYLRZGM93UY3ZJZJBQNFJ" localSheetId="14" hidden="1">#REF!</definedName>
    <definedName name="BExS7TKQYLRZGM93UY3ZJZJBQNFJ" localSheetId="15" hidden="1">#REF!</definedName>
    <definedName name="BExS7TKQYLRZGM93UY3ZJZJBQNFJ" localSheetId="5" hidden="1">#REF!</definedName>
    <definedName name="BExS7Y2LNGVHSIBKC7C3R6X4LDR6" localSheetId="14" hidden="1">#REF!</definedName>
    <definedName name="BExS7Y2LNGVHSIBKC7C3R6X4LDR6" localSheetId="15" hidden="1">#REF!</definedName>
    <definedName name="BExS7Y2LNGVHSIBKC7C3R6X4LDR6" localSheetId="5" hidden="1">#REF!</definedName>
    <definedName name="BExS81TE0EY44Y3W2M4Z4MGNP5OM" localSheetId="14" hidden="1">#REF!</definedName>
    <definedName name="BExS81TE0EY44Y3W2M4Z4MGNP5OM" localSheetId="15" hidden="1">#REF!</definedName>
    <definedName name="BExS81TE0EY44Y3W2M4Z4MGNP5OM" localSheetId="5" hidden="1">#REF!</definedName>
    <definedName name="BExS81YPDZDVJJVS15HV2HDXAC3Y" localSheetId="14" hidden="1">#REF!</definedName>
    <definedName name="BExS81YPDZDVJJVS15HV2HDXAC3Y" localSheetId="15" hidden="1">#REF!</definedName>
    <definedName name="BExS81YPDZDVJJVS15HV2HDXAC3Y" localSheetId="5" hidden="1">#REF!</definedName>
    <definedName name="BExS82PRVNUTEKQZS56YT2DVF6C2" localSheetId="14" hidden="1">#REF!</definedName>
    <definedName name="BExS82PRVNUTEKQZS56YT2DVF6C2" localSheetId="15" hidden="1">#REF!</definedName>
    <definedName name="BExS82PRVNUTEKQZS56YT2DVF6C2" localSheetId="5" hidden="1">#REF!</definedName>
    <definedName name="BExS83BCNFAV6DRCB1VTUF96491J" localSheetId="14" hidden="1">#REF!</definedName>
    <definedName name="BExS83BCNFAV6DRCB1VTUF96491J" localSheetId="15" hidden="1">#REF!</definedName>
    <definedName name="BExS83BCNFAV6DRCB1VTUF96491J" localSheetId="5" hidden="1">#REF!</definedName>
    <definedName name="BExS86GKM9ISCSNZD15BQ5E5L6A5" localSheetId="14" hidden="1">#REF!</definedName>
    <definedName name="BExS86GKM9ISCSNZD15BQ5E5L6A5" localSheetId="15" hidden="1">#REF!</definedName>
    <definedName name="BExS86GKM9ISCSNZD15BQ5E5L6A5" localSheetId="5" hidden="1">#REF!</definedName>
    <definedName name="BExS89GGRJ55EK546SM31UGE2K8T" localSheetId="14" hidden="1">#REF!</definedName>
    <definedName name="BExS89GGRJ55EK546SM31UGE2K8T" localSheetId="15" hidden="1">#REF!</definedName>
    <definedName name="BExS89GGRJ55EK546SM31UGE2K8T" localSheetId="5" hidden="1">#REF!</definedName>
    <definedName name="BExS8BPG5A0GR5AO1U951NDGGR0L" localSheetId="14" hidden="1">#REF!</definedName>
    <definedName name="BExS8BPG5A0GR5AO1U951NDGGR0L" localSheetId="15" hidden="1">#REF!</definedName>
    <definedName name="BExS8BPG5A0GR5AO1U951NDGGR0L" localSheetId="5" hidden="1">#REF!</definedName>
    <definedName name="BExS8CGI0JXFUBD41VFLI0SZSV8F" localSheetId="14" hidden="1">#REF!</definedName>
    <definedName name="BExS8CGI0JXFUBD41VFLI0SZSV8F" localSheetId="15" hidden="1">#REF!</definedName>
    <definedName name="BExS8CGI0JXFUBD41VFLI0SZSV8F" localSheetId="5" hidden="1">#REF!</definedName>
    <definedName name="BExS8D22FXVQKOEJP01LT0CDI3PS" localSheetId="14" hidden="1">#REF!</definedName>
    <definedName name="BExS8D22FXVQKOEJP01LT0CDI3PS" localSheetId="15" hidden="1">#REF!</definedName>
    <definedName name="BExS8D22FXVQKOEJP01LT0CDI3PS" localSheetId="5" hidden="1">#REF!</definedName>
    <definedName name="BExS8EEJOZFBUWZDOM3O25AJRUVU" localSheetId="14" hidden="1">#REF!</definedName>
    <definedName name="BExS8EEJOZFBUWZDOM3O25AJRUVU" localSheetId="15" hidden="1">#REF!</definedName>
    <definedName name="BExS8EEJOZFBUWZDOM3O25AJRUVU" localSheetId="5" hidden="1">#REF!</definedName>
    <definedName name="BExS8GSUS17UY50TEM2AWF36BR9Z" localSheetId="14" hidden="1">#REF!</definedName>
    <definedName name="BExS8GSUS17UY50TEM2AWF36BR9Z" localSheetId="15" hidden="1">#REF!</definedName>
    <definedName name="BExS8GSUS17UY50TEM2AWF36BR9Z" localSheetId="5" hidden="1">#REF!</definedName>
    <definedName name="BExS8HJRBVG0XI6PWA9KTMJZMQXK" localSheetId="14" hidden="1">#REF!</definedName>
    <definedName name="BExS8HJRBVG0XI6PWA9KTMJZMQXK" localSheetId="15" hidden="1">#REF!</definedName>
    <definedName name="BExS8HJRBVG0XI6PWA9KTMJZMQXK" localSheetId="5" hidden="1">#REF!</definedName>
    <definedName name="BExS8NE9HUZJH13OXLREOV1BX0OZ" localSheetId="14" hidden="1">#REF!</definedName>
    <definedName name="BExS8NE9HUZJH13OXLREOV1BX0OZ" localSheetId="15" hidden="1">#REF!</definedName>
    <definedName name="BExS8NE9HUZJH13OXLREOV1BX0OZ" localSheetId="5" hidden="1">#REF!</definedName>
    <definedName name="BExS8R51C8RM2FS6V6IRTYO9GA4A" localSheetId="14" hidden="1">#REF!</definedName>
    <definedName name="BExS8R51C8RM2FS6V6IRTYO9GA4A" localSheetId="15" hidden="1">#REF!</definedName>
    <definedName name="BExS8R51C8RM2FS6V6IRTYO9GA4A" localSheetId="5" hidden="1">#REF!</definedName>
    <definedName name="BExS8WDX408F60MH1X9B9UZ2H4R7" localSheetId="14" hidden="1">#REF!</definedName>
    <definedName name="BExS8WDX408F60MH1X9B9UZ2H4R7" localSheetId="15" hidden="1">#REF!</definedName>
    <definedName name="BExS8WDX408F60MH1X9B9UZ2H4R7" localSheetId="5" hidden="1">#REF!</definedName>
    <definedName name="BExS8X4UTVOFE2YEVLO8LTKMSI3A" localSheetId="14" hidden="1">#REF!</definedName>
    <definedName name="BExS8X4UTVOFE2YEVLO8LTKMSI3A" localSheetId="15" hidden="1">#REF!</definedName>
    <definedName name="BExS8X4UTVOFE2YEVLO8LTKMSI3A" localSheetId="5" hidden="1">#REF!</definedName>
    <definedName name="BExS8Z2W2QEC3MH0BZIYLDFQNUIP" localSheetId="14" hidden="1">#REF!</definedName>
    <definedName name="BExS8Z2W2QEC3MH0BZIYLDFQNUIP" localSheetId="15" hidden="1">#REF!</definedName>
    <definedName name="BExS8Z2W2QEC3MH0BZIYLDFQNUIP" localSheetId="5" hidden="1">#REF!</definedName>
    <definedName name="BExS92DKGRFFCIA9C0IXDOLO57EP" localSheetId="14" hidden="1">#REF!</definedName>
    <definedName name="BExS92DKGRFFCIA9C0IXDOLO57EP" localSheetId="15" hidden="1">#REF!</definedName>
    <definedName name="BExS92DKGRFFCIA9C0IXDOLO57EP" localSheetId="5" hidden="1">#REF!</definedName>
    <definedName name="BExS98OB4321YCHLCQ022PXKTT2W" localSheetId="14" hidden="1">#REF!</definedName>
    <definedName name="BExS98OB4321YCHLCQ022PXKTT2W" localSheetId="15" hidden="1">#REF!</definedName>
    <definedName name="BExS98OB4321YCHLCQ022PXKTT2W" localSheetId="5" hidden="1">#REF!</definedName>
    <definedName name="BExS9C9N8GFISC6HUERJ0EI06GB2" localSheetId="14" hidden="1">#REF!</definedName>
    <definedName name="BExS9C9N8GFISC6HUERJ0EI06GB2" localSheetId="15" hidden="1">#REF!</definedName>
    <definedName name="BExS9C9N8GFISC6HUERJ0EI06GB2" localSheetId="5" hidden="1">#REF!</definedName>
    <definedName name="BExS9D6619QNINF06KHZHYUAH0S9" localSheetId="14" hidden="1">#REF!</definedName>
    <definedName name="BExS9D6619QNINF06KHZHYUAH0S9" localSheetId="15" hidden="1">#REF!</definedName>
    <definedName name="BExS9D6619QNINF06KHZHYUAH0S9" localSheetId="5" hidden="1">#REF!</definedName>
    <definedName name="BExS9DX13CACP3J8JDREK30JB1SQ" localSheetId="14" hidden="1">#REF!</definedName>
    <definedName name="BExS9DX13CACP3J8JDREK30JB1SQ" localSheetId="15" hidden="1">#REF!</definedName>
    <definedName name="BExS9DX13CACP3J8JDREK30JB1SQ" localSheetId="5" hidden="1">#REF!</definedName>
    <definedName name="BExS9FPRS2KRRCS33SE6WFNF5GYL" localSheetId="14" hidden="1">#REF!</definedName>
    <definedName name="BExS9FPRS2KRRCS33SE6WFNF5GYL" localSheetId="15" hidden="1">#REF!</definedName>
    <definedName name="BExS9FPRS2KRRCS33SE6WFNF5GYL" localSheetId="5" hidden="1">#REF!</definedName>
    <definedName name="BExS9M5VN3VE822UH6TLACVY24CJ" localSheetId="14" hidden="1">#REF!</definedName>
    <definedName name="BExS9M5VN3VE822UH6TLACVY24CJ" localSheetId="15" hidden="1">#REF!</definedName>
    <definedName name="BExS9M5VN3VE822UH6TLACVY24CJ" localSheetId="5" hidden="1">#REF!</definedName>
    <definedName name="BExS9WI0A6PSEB8N9GPXF2Z7MWHM" localSheetId="14" hidden="1">#REF!</definedName>
    <definedName name="BExS9WI0A6PSEB8N9GPXF2Z7MWHM" localSheetId="15" hidden="1">#REF!</definedName>
    <definedName name="BExS9WI0A6PSEB8N9GPXF2Z7MWHM" localSheetId="5" hidden="1">#REF!</definedName>
    <definedName name="BExS9XJPZ07ND34OHX60QD382FV6" localSheetId="14" hidden="1">#REF!</definedName>
    <definedName name="BExS9XJPZ07ND34OHX60QD382FV6" localSheetId="15" hidden="1">#REF!</definedName>
    <definedName name="BExS9XJPZ07ND34OHX60QD382FV6" localSheetId="5" hidden="1">#REF!</definedName>
    <definedName name="BExSA4AJLEEN4R7HU4FRSMYR17TR" localSheetId="14" hidden="1">#REF!</definedName>
    <definedName name="BExSA4AJLEEN4R7HU4FRSMYR17TR" localSheetId="15" hidden="1">#REF!</definedName>
    <definedName name="BExSA4AJLEEN4R7HU4FRSMYR17TR" localSheetId="5" hidden="1">#REF!</definedName>
    <definedName name="BExSA5HP306TN9XJS0TU619DLRR7" localSheetId="14" hidden="1">#REF!</definedName>
    <definedName name="BExSA5HP306TN9XJS0TU619DLRR7" localSheetId="15" hidden="1">#REF!</definedName>
    <definedName name="BExSA5HP306TN9XJS0TU619DLRR7" localSheetId="5" hidden="1">#REF!</definedName>
    <definedName name="BExSAAVWQOOIA6B3JHQVGP08HFEM" localSheetId="14" hidden="1">#REF!</definedName>
    <definedName name="BExSAAVWQOOIA6B3JHQVGP08HFEM" localSheetId="15" hidden="1">#REF!</definedName>
    <definedName name="BExSAAVWQOOIA6B3JHQVGP08HFEM" localSheetId="5" hidden="1">#REF!</definedName>
    <definedName name="BExSAFJ3IICU2M7QPVE4ARYMXZKX" localSheetId="14" hidden="1">#REF!</definedName>
    <definedName name="BExSAFJ3IICU2M7QPVE4ARYMXZKX" localSheetId="15" hidden="1">#REF!</definedName>
    <definedName name="BExSAFJ3IICU2M7QPVE4ARYMXZKX" localSheetId="5" hidden="1">#REF!</definedName>
    <definedName name="BExSAH6ID8OHX379UXVNGFO8J6KQ" localSheetId="14" hidden="1">#REF!</definedName>
    <definedName name="BExSAH6ID8OHX379UXVNGFO8J6KQ" localSheetId="15" hidden="1">#REF!</definedName>
    <definedName name="BExSAH6ID8OHX379UXVNGFO8J6KQ" localSheetId="5" hidden="1">#REF!</definedName>
    <definedName name="BExSAQBHIXGQRNIRGCJMBXUPCZQA" localSheetId="14" hidden="1">#REF!</definedName>
    <definedName name="BExSAQBHIXGQRNIRGCJMBXUPCZQA" localSheetId="15" hidden="1">#REF!</definedName>
    <definedName name="BExSAQBHIXGQRNIRGCJMBXUPCZQA" localSheetId="5" hidden="1">#REF!</definedName>
    <definedName name="BExSAUTCT4P7JP57NOR9MTX33QJZ" localSheetId="14" hidden="1">#REF!</definedName>
    <definedName name="BExSAUTCT4P7JP57NOR9MTX33QJZ" localSheetId="15" hidden="1">#REF!</definedName>
    <definedName name="BExSAUTCT4P7JP57NOR9MTX33QJZ" localSheetId="5" hidden="1">#REF!</definedName>
    <definedName name="BExSAY9CA9TFXQ9M9FBJRGJO9T9E" localSheetId="14" hidden="1">#REF!</definedName>
    <definedName name="BExSAY9CA9TFXQ9M9FBJRGJO9T9E" localSheetId="15" hidden="1">#REF!</definedName>
    <definedName name="BExSAY9CA9TFXQ9M9FBJRGJO9T9E" localSheetId="5" hidden="1">#REF!</definedName>
    <definedName name="BExSB4JYKQ3MINI7RAYK5M8BLJDC" localSheetId="14" hidden="1">#REF!</definedName>
    <definedName name="BExSB4JYKQ3MINI7RAYK5M8BLJDC" localSheetId="15" hidden="1">#REF!</definedName>
    <definedName name="BExSB4JYKQ3MINI7RAYK5M8BLJDC" localSheetId="5" hidden="1">#REF!</definedName>
    <definedName name="BExSBCY73CG3Q15P5BDLDT994XRL" localSheetId="14" hidden="1">#REF!</definedName>
    <definedName name="BExSBCY73CG3Q15P5BDLDT994XRL" localSheetId="15" hidden="1">#REF!</definedName>
    <definedName name="BExSBCY73CG3Q15P5BDLDT994XRL" localSheetId="5" hidden="1">#REF!</definedName>
    <definedName name="BExSBMOS41ZRLWYLOU29V6Y7YORR" localSheetId="14" hidden="1">#REF!</definedName>
    <definedName name="BExSBMOS41ZRLWYLOU29V6Y7YORR" localSheetId="15" hidden="1">#REF!</definedName>
    <definedName name="BExSBMOS41ZRLWYLOU29V6Y7YORR" localSheetId="5" hidden="1">#REF!</definedName>
    <definedName name="BExSBPZG22WAMZYIF7CZ686E8X80" localSheetId="14" hidden="1">#REF!</definedName>
    <definedName name="BExSBPZG22WAMZYIF7CZ686E8X80" localSheetId="15" hidden="1">#REF!</definedName>
    <definedName name="BExSBPZG22WAMZYIF7CZ686E8X80" localSheetId="5" hidden="1">#REF!</definedName>
    <definedName name="BExSBRBXXQMBU1TYDW1BXTEVEPRU" localSheetId="14" hidden="1">#REF!</definedName>
    <definedName name="BExSBRBXXQMBU1TYDW1BXTEVEPRU" localSheetId="15" hidden="1">#REF!</definedName>
    <definedName name="BExSBRBXXQMBU1TYDW1BXTEVEPRU" localSheetId="5" hidden="1">#REF!</definedName>
    <definedName name="BExSC54998WTZ21DSL0R8UN0Y9JH" localSheetId="14" hidden="1">#REF!</definedName>
    <definedName name="BExSC54998WTZ21DSL0R8UN0Y9JH" localSheetId="15" hidden="1">#REF!</definedName>
    <definedName name="BExSC54998WTZ21DSL0R8UN0Y9JH" localSheetId="5" hidden="1">#REF!</definedName>
    <definedName name="BExSC60N7WR9PJSNC9B7ORCX9NGY" localSheetId="14" hidden="1">#REF!</definedName>
    <definedName name="BExSC60N7WR9PJSNC9B7ORCX9NGY" localSheetId="15" hidden="1">#REF!</definedName>
    <definedName name="BExSC60N7WR9PJSNC9B7ORCX9NGY" localSheetId="5" hidden="1">#REF!</definedName>
    <definedName name="BExSCE99EZTILTTCE4NJJF96OYYM" localSheetId="14" hidden="1">#REF!</definedName>
    <definedName name="BExSCE99EZTILTTCE4NJJF96OYYM" localSheetId="15" hidden="1">#REF!</definedName>
    <definedName name="BExSCE99EZTILTTCE4NJJF96OYYM" localSheetId="5" hidden="1">#REF!</definedName>
    <definedName name="BExSCFWOMYELUEPWVJIRGIQZH5BV" localSheetId="14" hidden="1">#REF!</definedName>
    <definedName name="BExSCFWOMYELUEPWVJIRGIQZH5BV" localSheetId="15" hidden="1">#REF!</definedName>
    <definedName name="BExSCFWOMYELUEPWVJIRGIQZH5BV" localSheetId="5" hidden="1">#REF!</definedName>
    <definedName name="BExSCHUQZ2HFEWS54X67DIS8OSXZ" localSheetId="14" hidden="1">#REF!</definedName>
    <definedName name="BExSCHUQZ2HFEWS54X67DIS8OSXZ" localSheetId="15" hidden="1">#REF!</definedName>
    <definedName name="BExSCHUQZ2HFEWS54X67DIS8OSXZ" localSheetId="5" hidden="1">#REF!</definedName>
    <definedName name="BExSCOG41SKKG4GYU76WRWW1CTE6" localSheetId="14" hidden="1">#REF!</definedName>
    <definedName name="BExSCOG41SKKG4GYU76WRWW1CTE6" localSheetId="15" hidden="1">#REF!</definedName>
    <definedName name="BExSCOG41SKKG4GYU76WRWW1CTE6" localSheetId="5" hidden="1">#REF!</definedName>
    <definedName name="BExSCVC9P86YVFMRKKUVRV29MZXZ" localSheetId="14" hidden="1">#REF!</definedName>
    <definedName name="BExSCVC9P86YVFMRKKUVRV29MZXZ" localSheetId="15" hidden="1">#REF!</definedName>
    <definedName name="BExSCVC9P86YVFMRKKUVRV29MZXZ" localSheetId="5" hidden="1">#REF!</definedName>
    <definedName name="BExSD233CH4MU9ZMGNRF97ZV7KWU" localSheetId="14" hidden="1">#REF!</definedName>
    <definedName name="BExSD233CH4MU9ZMGNRF97ZV7KWU" localSheetId="15" hidden="1">#REF!</definedName>
    <definedName name="BExSD233CH4MU9ZMGNRF97ZV7KWU" localSheetId="5" hidden="1">#REF!</definedName>
    <definedName name="BExSD2U0F3BN6IN9N4R2DTTJG15H" localSheetId="14" hidden="1">#REF!</definedName>
    <definedName name="BExSD2U0F3BN6IN9N4R2DTTJG15H" localSheetId="15" hidden="1">#REF!</definedName>
    <definedName name="BExSD2U0F3BN6IN9N4R2DTTJG15H" localSheetId="5" hidden="1">#REF!</definedName>
    <definedName name="BExSD6A6NY15YSMFH51ST6XJY429" localSheetId="14" hidden="1">#REF!</definedName>
    <definedName name="BExSD6A6NY15YSMFH51ST6XJY429" localSheetId="15" hidden="1">#REF!</definedName>
    <definedName name="BExSD6A6NY15YSMFH51ST6XJY429" localSheetId="5" hidden="1">#REF!</definedName>
    <definedName name="BExSD9VH6PF6RQ135VOEE08YXPAW" localSheetId="14" hidden="1">#REF!</definedName>
    <definedName name="BExSD9VH6PF6RQ135VOEE08YXPAW" localSheetId="15" hidden="1">#REF!</definedName>
    <definedName name="BExSD9VH6PF6RQ135VOEE08YXPAW" localSheetId="5" hidden="1">#REF!</definedName>
    <definedName name="BExSDI9QWFD49GEZWZ3KOGM27XRB" localSheetId="14" hidden="1">#REF!</definedName>
    <definedName name="BExSDI9QWFD49GEZWZ3KOGM27XRB" localSheetId="15" hidden="1">#REF!</definedName>
    <definedName name="BExSDI9QWFD49GEZWZ3KOGM27XRB" localSheetId="5" hidden="1">#REF!</definedName>
    <definedName name="BExSDP5Y04WWMX2WWRITWOX8R5I9" localSheetId="14" hidden="1">#REF!</definedName>
    <definedName name="BExSDP5Y04WWMX2WWRITWOX8R5I9" localSheetId="15" hidden="1">#REF!</definedName>
    <definedName name="BExSDP5Y04WWMX2WWRITWOX8R5I9" localSheetId="5" hidden="1">#REF!</definedName>
    <definedName name="BExSDSGM203BJTNS9MKCBX453HMD" localSheetId="14" hidden="1">#REF!</definedName>
    <definedName name="BExSDSGM203BJTNS9MKCBX453HMD" localSheetId="15" hidden="1">#REF!</definedName>
    <definedName name="BExSDSGM203BJTNS9MKCBX453HMD" localSheetId="5" hidden="1">#REF!</definedName>
    <definedName name="BExSDT20XUFXTDM37M148AXAP7HN" localSheetId="14" hidden="1">#REF!</definedName>
    <definedName name="BExSDT20XUFXTDM37M148AXAP7HN" localSheetId="15" hidden="1">#REF!</definedName>
    <definedName name="BExSDT20XUFXTDM37M148AXAP7HN" localSheetId="5" hidden="1">#REF!</definedName>
    <definedName name="BExSDYLOWNTKCY92LFEDAV8LO7D3" localSheetId="14" hidden="1">#REF!</definedName>
    <definedName name="BExSDYLOWNTKCY92LFEDAV8LO7D3" localSheetId="15" hidden="1">#REF!</definedName>
    <definedName name="BExSDYLOWNTKCY92LFEDAV8LO7D3" localSheetId="5" hidden="1">#REF!</definedName>
    <definedName name="BExSE277VXZ807WBUB6A1UGQ1SF9" localSheetId="14" hidden="1">#REF!</definedName>
    <definedName name="BExSE277VXZ807WBUB6A1UGQ1SF9" localSheetId="15" hidden="1">#REF!</definedName>
    <definedName name="BExSE277VXZ807WBUB6A1UGQ1SF9" localSheetId="5" hidden="1">#REF!</definedName>
    <definedName name="BExSE3EDSP4UL6G0I3DZ5SBHMUBU" localSheetId="14" hidden="1">#REF!</definedName>
    <definedName name="BExSE3EDSP4UL6G0I3DZ5SBHMUBU" localSheetId="15" hidden="1">#REF!</definedName>
    <definedName name="BExSE3EDSP4UL6G0I3DZ5SBHMUBU" localSheetId="5" hidden="1">#REF!</definedName>
    <definedName name="BExSEEHK1VLWD7JBV9SVVVIKQZ3I" localSheetId="14" hidden="1">#REF!</definedName>
    <definedName name="BExSEEHK1VLWD7JBV9SVVVIKQZ3I" localSheetId="15" hidden="1">#REF!</definedName>
    <definedName name="BExSEEHK1VLWD7JBV9SVVVIKQZ3I" localSheetId="5" hidden="1">#REF!</definedName>
    <definedName name="BExSEITYG8XAMWJ1C8VKU1MB4TEO" localSheetId="14" hidden="1">#REF!</definedName>
    <definedName name="BExSEITYG8XAMWJ1C8VKU1MB4TEO" localSheetId="15" hidden="1">#REF!</definedName>
    <definedName name="BExSEITYG8XAMWJ1C8VKU1MB4TEO" localSheetId="5" hidden="1">#REF!</definedName>
    <definedName name="BExSEJKZLX37P3V33TRTFJ30BFRK" localSheetId="14" hidden="1">#REF!</definedName>
    <definedName name="BExSEJKZLX37P3V33TRTFJ30BFRK" localSheetId="15" hidden="1">#REF!</definedName>
    <definedName name="BExSEJKZLX37P3V33TRTFJ30BFRK" localSheetId="5" hidden="1">#REF!</definedName>
    <definedName name="BExSEKXG1AW54E28IG5EODEM0JJV" localSheetId="14" hidden="1">#REF!</definedName>
    <definedName name="BExSEKXG1AW54E28IG5EODEM0JJV" localSheetId="15" hidden="1">#REF!</definedName>
    <definedName name="BExSEKXG1AW54E28IG5EODEM0JJV" localSheetId="5" hidden="1">#REF!</definedName>
    <definedName name="BExSEO84KVM8R2IV5MFH0XI3IZSN" localSheetId="14" hidden="1">#REF!</definedName>
    <definedName name="BExSEO84KVM8R2IV5MFH0XI3IZSN" localSheetId="15" hidden="1">#REF!</definedName>
    <definedName name="BExSEO84KVM8R2IV5MFH0XI3IZSN" localSheetId="5" hidden="1">#REF!</definedName>
    <definedName name="BExSEP9UVOAI6TMXKNK587PQ3328" localSheetId="14" hidden="1">#REF!</definedName>
    <definedName name="BExSEP9UVOAI6TMXKNK587PQ3328" localSheetId="15" hidden="1">#REF!</definedName>
    <definedName name="BExSEP9UVOAI6TMXKNK587PQ3328" localSheetId="5" hidden="1">#REF!</definedName>
    <definedName name="BExSERIU9MUGR4NPZAUJCVXUZ74I" localSheetId="14" hidden="1">#REF!</definedName>
    <definedName name="BExSERIU9MUGR4NPZAUJCVXUZ74I" localSheetId="15" hidden="1">#REF!</definedName>
    <definedName name="BExSERIU9MUGR4NPZAUJCVXUZ74I" localSheetId="5" hidden="1">#REF!</definedName>
    <definedName name="BExSF07QFLZCO4P6K6QF05XG7PH1" localSheetId="14" hidden="1">#REF!</definedName>
    <definedName name="BExSF07QFLZCO4P6K6QF05XG7PH1" localSheetId="15" hidden="1">#REF!</definedName>
    <definedName name="BExSF07QFLZCO4P6K6QF05XG7PH1" localSheetId="5" hidden="1">#REF!</definedName>
    <definedName name="BExSFJ8ZAGQ63A4MVMZRQWLVRGQ5" localSheetId="14" hidden="1">#REF!</definedName>
    <definedName name="BExSFJ8ZAGQ63A4MVMZRQWLVRGQ5" localSheetId="15" hidden="1">#REF!</definedName>
    <definedName name="BExSFJ8ZAGQ63A4MVMZRQWLVRGQ5" localSheetId="5" hidden="1">#REF!</definedName>
    <definedName name="BExSFKQRST2S9KXWWLCXYLKSF4G1" localSheetId="14" hidden="1">#REF!</definedName>
    <definedName name="BExSFKQRST2S9KXWWLCXYLKSF4G1" localSheetId="15" hidden="1">#REF!</definedName>
    <definedName name="BExSFKQRST2S9KXWWLCXYLKSF4G1" localSheetId="5" hidden="1">#REF!</definedName>
    <definedName name="BExSFOHO6VZ5Y463KL3XYTZBVE3P" localSheetId="14" hidden="1">#REF!</definedName>
    <definedName name="BExSFOHO6VZ5Y463KL3XYTZBVE3P" localSheetId="15" hidden="1">#REF!</definedName>
    <definedName name="BExSFOHO6VZ5Y463KL3XYTZBVE3P" localSheetId="5" hidden="1">#REF!</definedName>
    <definedName name="BExSFY2ZJOYUEYBX21QZ7AMN2WK1" localSheetId="14" hidden="1">#REF!</definedName>
    <definedName name="BExSFY2ZJOYUEYBX21QZ7AMN2WK1" localSheetId="15" hidden="1">#REF!</definedName>
    <definedName name="BExSFY2ZJOYUEYBX21QZ7AMN2WK1" localSheetId="5" hidden="1">#REF!</definedName>
    <definedName name="BExSFYDRRTAZVPXRWUF5PDQ97WFF" localSheetId="14" hidden="1">#REF!</definedName>
    <definedName name="BExSFYDRRTAZVPXRWUF5PDQ97WFF" localSheetId="15" hidden="1">#REF!</definedName>
    <definedName name="BExSFYDRRTAZVPXRWUF5PDQ97WFF" localSheetId="5" hidden="1">#REF!</definedName>
    <definedName name="BExSFZVPFTXA3F0IJ2NGH1GXX9R7" localSheetId="14" hidden="1">#REF!</definedName>
    <definedName name="BExSFZVPFTXA3F0IJ2NGH1GXX9R7" localSheetId="15" hidden="1">#REF!</definedName>
    <definedName name="BExSFZVPFTXA3F0IJ2NGH1GXX9R7" localSheetId="5" hidden="1">#REF!</definedName>
    <definedName name="BExSG2Q34XRC1K28H4XG6PQM3FTW" localSheetId="14" hidden="1">#REF!</definedName>
    <definedName name="BExSG2Q34XRC1K28H4XG6PQM3FTW" localSheetId="15" hidden="1">#REF!</definedName>
    <definedName name="BExSG2Q34XRC1K28H4XG6PQM3FTW" localSheetId="5" hidden="1">#REF!</definedName>
    <definedName name="BExSG90Q4ZUU2IPGDYOM169NJV9S" localSheetId="14" hidden="1">#REF!</definedName>
    <definedName name="BExSG90Q4ZUU2IPGDYOM169NJV9S" localSheetId="15" hidden="1">#REF!</definedName>
    <definedName name="BExSG90Q4ZUU2IPGDYOM169NJV9S" localSheetId="5" hidden="1">#REF!</definedName>
    <definedName name="BExSG9X3DU845PNXYJGGLBQY2UHG" localSheetId="14" hidden="1">#REF!</definedName>
    <definedName name="BExSG9X3DU845PNXYJGGLBQY2UHG" localSheetId="15" hidden="1">#REF!</definedName>
    <definedName name="BExSG9X3DU845PNXYJGGLBQY2UHG" localSheetId="5" hidden="1">#REF!</definedName>
    <definedName name="BExSGE45J27MDUUNXW7Z8Q33UAON" localSheetId="14" hidden="1">#REF!</definedName>
    <definedName name="BExSGE45J27MDUUNXW7Z8Q33UAON" localSheetId="15" hidden="1">#REF!</definedName>
    <definedName name="BExSGE45J27MDUUNXW7Z8Q33UAON" localSheetId="5" hidden="1">#REF!</definedName>
    <definedName name="BExSGE9LY91Q0URHB4YAMX0UAMYI" localSheetId="14" hidden="1">#REF!</definedName>
    <definedName name="BExSGE9LY91Q0URHB4YAMX0UAMYI" localSheetId="15" hidden="1">#REF!</definedName>
    <definedName name="BExSGE9LY91Q0URHB4YAMX0UAMYI" localSheetId="5" hidden="1">#REF!</definedName>
    <definedName name="BExSGLB2URTLBCKBB4Y885W925F2" localSheetId="14" hidden="1">#REF!</definedName>
    <definedName name="BExSGLB2URTLBCKBB4Y885W925F2" localSheetId="15" hidden="1">#REF!</definedName>
    <definedName name="BExSGLB2URTLBCKBB4Y885W925F2" localSheetId="5" hidden="1">#REF!</definedName>
    <definedName name="BExSGNEL2G0PC04ATVS20W5179EK" localSheetId="14" hidden="1">#REF!</definedName>
    <definedName name="BExSGNEL2G0PC04ATVS20W5179EK" localSheetId="15" hidden="1">#REF!</definedName>
    <definedName name="BExSGNEL2G0PC04ATVS20W5179EK" localSheetId="5" hidden="1">#REF!</definedName>
    <definedName name="BExSGOAYG73SFWOPAQV80P710GID" localSheetId="14" hidden="1">#REF!</definedName>
    <definedName name="BExSGOAYG73SFWOPAQV80P710GID" localSheetId="15" hidden="1">#REF!</definedName>
    <definedName name="BExSGOAYG73SFWOPAQV80P710GID" localSheetId="5" hidden="1">#REF!</definedName>
    <definedName name="BExSGOWJHRW7FWKLO2EHUOOGHNAF" localSheetId="14" hidden="1">#REF!</definedName>
    <definedName name="BExSGOWJHRW7FWKLO2EHUOOGHNAF" localSheetId="15" hidden="1">#REF!</definedName>
    <definedName name="BExSGOWJHRW7FWKLO2EHUOOGHNAF" localSheetId="5" hidden="1">#REF!</definedName>
    <definedName name="BExSGOWJTAP41ZV5Q23H7MI9C76W" localSheetId="14" hidden="1">#REF!</definedName>
    <definedName name="BExSGOWJTAP41ZV5Q23H7MI9C76W" localSheetId="15" hidden="1">#REF!</definedName>
    <definedName name="BExSGOWJTAP41ZV5Q23H7MI9C76W" localSheetId="5" hidden="1">#REF!</definedName>
    <definedName name="BExSGR5JQVX2HQ0PKCGZNSSUM1RV" localSheetId="14" hidden="1">#REF!</definedName>
    <definedName name="BExSGR5JQVX2HQ0PKCGZNSSUM1RV" localSheetId="15" hidden="1">#REF!</definedName>
    <definedName name="BExSGR5JQVX2HQ0PKCGZNSSUM1RV" localSheetId="5" hidden="1">#REF!</definedName>
    <definedName name="BExSGT3MKX7YVLVP6YLL6KVO8UGV" localSheetId="14" hidden="1">#REF!</definedName>
    <definedName name="BExSGT3MKX7YVLVP6YLL6KVO8UGV" localSheetId="15" hidden="1">#REF!</definedName>
    <definedName name="BExSGT3MKX7YVLVP6YLL6KVO8UGV" localSheetId="5" hidden="1">#REF!</definedName>
    <definedName name="BExSGVHX69GJZHD99DKE4RZ042B1" localSheetId="14" hidden="1">#REF!</definedName>
    <definedName name="BExSGVHX69GJZHD99DKE4RZ042B1" localSheetId="15" hidden="1">#REF!</definedName>
    <definedName name="BExSGVHX69GJZHD99DKE4RZ042B1" localSheetId="5" hidden="1">#REF!</definedName>
    <definedName name="BExSGZJO4J4ZO04E2N2ECVYS9DEZ" localSheetId="14" hidden="1">#REF!</definedName>
    <definedName name="BExSGZJO4J4ZO04E2N2ECVYS9DEZ" localSheetId="15" hidden="1">#REF!</definedName>
    <definedName name="BExSGZJO4J4ZO04E2N2ECVYS9DEZ" localSheetId="5" hidden="1">#REF!</definedName>
    <definedName name="BExSHAHFHS7MMNJR8JPVABRGBVIT" localSheetId="14" hidden="1">#REF!</definedName>
    <definedName name="BExSHAHFHS7MMNJR8JPVABRGBVIT" localSheetId="15" hidden="1">#REF!</definedName>
    <definedName name="BExSHAHFHS7MMNJR8JPVABRGBVIT" localSheetId="5" hidden="1">#REF!</definedName>
    <definedName name="BExSHGH88QZWW4RNAX4YKAZ5JEBL" localSheetId="14" hidden="1">#REF!</definedName>
    <definedName name="BExSHGH88QZWW4RNAX4YKAZ5JEBL" localSheetId="15" hidden="1">#REF!</definedName>
    <definedName name="BExSHGH88QZWW4RNAX4YKAZ5JEBL" localSheetId="5" hidden="1">#REF!</definedName>
    <definedName name="BExSHOKK1OO3CX9Z28C58E5J1D9W" localSheetId="14" hidden="1">#REF!</definedName>
    <definedName name="BExSHOKK1OO3CX9Z28C58E5J1D9W" localSheetId="15" hidden="1">#REF!</definedName>
    <definedName name="BExSHOKK1OO3CX9Z28C58E5J1D9W" localSheetId="5" hidden="1">#REF!</definedName>
    <definedName name="BExSHQD8KYLTQGDXIRKCHQQ7MKIH" localSheetId="14" hidden="1">#REF!</definedName>
    <definedName name="BExSHQD8KYLTQGDXIRKCHQQ7MKIH" localSheetId="15" hidden="1">#REF!</definedName>
    <definedName name="BExSHQD8KYLTQGDXIRKCHQQ7MKIH" localSheetId="5" hidden="1">#REF!</definedName>
    <definedName name="BExSHVGPIAHXI97UBLI9G4I4M29F" localSheetId="14" hidden="1">#REF!</definedName>
    <definedName name="BExSHVGPIAHXI97UBLI9G4I4M29F" localSheetId="15" hidden="1">#REF!</definedName>
    <definedName name="BExSHVGPIAHXI97UBLI9G4I4M29F" localSheetId="5" hidden="1">#REF!</definedName>
    <definedName name="BExSI0K2YL3HTCQAD8A7TR4QCUR6" localSheetId="14" hidden="1">#REF!</definedName>
    <definedName name="BExSI0K2YL3HTCQAD8A7TR4QCUR6" localSheetId="15" hidden="1">#REF!</definedName>
    <definedName name="BExSI0K2YL3HTCQAD8A7TR4QCUR6" localSheetId="5" hidden="1">#REF!</definedName>
    <definedName name="BExSIFUDNRWXWIWNGCCFOOD8WIAZ" localSheetId="14" hidden="1">#REF!</definedName>
    <definedName name="BExSIFUDNRWXWIWNGCCFOOD8WIAZ" localSheetId="15" hidden="1">#REF!</definedName>
    <definedName name="BExSIFUDNRWXWIWNGCCFOOD8WIAZ" localSheetId="5" hidden="1">#REF!</definedName>
    <definedName name="BExTTZNS2PBCR93C9IUW49UZ4I6T" localSheetId="14" hidden="1">#REF!</definedName>
    <definedName name="BExTTZNS2PBCR93C9IUW49UZ4I6T" localSheetId="15" hidden="1">#REF!</definedName>
    <definedName name="BExTTZNS2PBCR93C9IUW49UZ4I6T" localSheetId="5" hidden="1">#REF!</definedName>
    <definedName name="BExTU2YFQ25JQ6MEMRHHN66VLTPJ" localSheetId="14" hidden="1">#REF!</definedName>
    <definedName name="BExTU2YFQ25JQ6MEMRHHN66VLTPJ" localSheetId="15" hidden="1">#REF!</definedName>
    <definedName name="BExTU2YFQ25JQ6MEMRHHN66VLTPJ" localSheetId="5" hidden="1">#REF!</definedName>
    <definedName name="BExTU75IOII1V5O0C9X2VAYYVJUG" localSheetId="14" hidden="1">#REF!</definedName>
    <definedName name="BExTU75IOII1V5O0C9X2VAYYVJUG" localSheetId="15" hidden="1">#REF!</definedName>
    <definedName name="BExTU75IOII1V5O0C9X2VAYYVJUG" localSheetId="5" hidden="1">#REF!</definedName>
    <definedName name="BExTUA5F7V4LUIIAM17J3A8XF3JE" localSheetId="14" hidden="1">#REF!</definedName>
    <definedName name="BExTUA5F7V4LUIIAM17J3A8XF3JE" localSheetId="15" hidden="1">#REF!</definedName>
    <definedName name="BExTUA5F7V4LUIIAM17J3A8XF3JE" localSheetId="5" hidden="1">#REF!</definedName>
    <definedName name="BExTUBY3AA9B91YRRWFOT21LUL8Q" localSheetId="14" hidden="1">#REF!</definedName>
    <definedName name="BExTUBY3AA9B91YRRWFOT21LUL8Q" localSheetId="15" hidden="1">#REF!</definedName>
    <definedName name="BExTUBY3AA9B91YRRWFOT21LUL8Q" localSheetId="5" hidden="1">#REF!</definedName>
    <definedName name="BExTUJ53ANGZ3H1KDK4CR4Q0OD6P" localSheetId="14" hidden="1">#REF!</definedName>
    <definedName name="BExTUJ53ANGZ3H1KDK4CR4Q0OD6P" localSheetId="15" hidden="1">#REF!</definedName>
    <definedName name="BExTUJ53ANGZ3H1KDK4CR4Q0OD6P" localSheetId="5" hidden="1">#REF!</definedName>
    <definedName name="BExTUKXSZBM7C57G6NGLWGU4WOHY" localSheetId="14" hidden="1">#REF!</definedName>
    <definedName name="BExTUKXSZBM7C57G6NGLWGU4WOHY" localSheetId="15" hidden="1">#REF!</definedName>
    <definedName name="BExTUKXSZBM7C57G6NGLWGU4WOHY" localSheetId="5" hidden="1">#REF!</definedName>
    <definedName name="BExTUNC5INBE8Y5OA5GQUTXX6QJW" localSheetId="14" hidden="1">#REF!</definedName>
    <definedName name="BExTUNC5INBE8Y5OA5GQUTXX6QJW" localSheetId="15" hidden="1">#REF!</definedName>
    <definedName name="BExTUNC5INBE8Y5OA5GQUTXX6QJW" localSheetId="5" hidden="1">#REF!</definedName>
    <definedName name="BExTUSQCFFYZCDNHWHADBC2E1ZP1" localSheetId="14" hidden="1">#REF!</definedName>
    <definedName name="BExTUSQCFFYZCDNHWHADBC2E1ZP1" localSheetId="15" hidden="1">#REF!</definedName>
    <definedName name="BExTUSQCFFYZCDNHWHADBC2E1ZP1" localSheetId="5" hidden="1">#REF!</definedName>
    <definedName name="BExTUV4NQDZVAENZPSZGF7A3DDFN" localSheetId="14" hidden="1">#REF!</definedName>
    <definedName name="BExTUV4NQDZVAENZPSZGF7A3DDFN" localSheetId="15" hidden="1">#REF!</definedName>
    <definedName name="BExTUV4NQDZVAENZPSZGF7A3DDFN" localSheetId="5" hidden="1">#REF!</definedName>
    <definedName name="BExTUVFGOJEYS28JURA5KHQFDU5J" localSheetId="14" hidden="1">#REF!</definedName>
    <definedName name="BExTUVFGOJEYS28JURA5KHQFDU5J" localSheetId="15" hidden="1">#REF!</definedName>
    <definedName name="BExTUVFGOJEYS28JURA5KHQFDU5J" localSheetId="5" hidden="1">#REF!</definedName>
    <definedName name="BExTUW10U40QCYGHM5NJ3YR1O5SP" localSheetId="14" hidden="1">#REF!</definedName>
    <definedName name="BExTUW10U40QCYGHM5NJ3YR1O5SP" localSheetId="15" hidden="1">#REF!</definedName>
    <definedName name="BExTUW10U40QCYGHM5NJ3YR1O5SP" localSheetId="5" hidden="1">#REF!</definedName>
    <definedName name="BExTUWXFQHINU66YG82BI20ATMB5" localSheetId="14" hidden="1">#REF!</definedName>
    <definedName name="BExTUWXFQHINU66YG82BI20ATMB5" localSheetId="15" hidden="1">#REF!</definedName>
    <definedName name="BExTUWXFQHINU66YG82BI20ATMB5" localSheetId="5" hidden="1">#REF!</definedName>
    <definedName name="BExTUY9WNSJ91GV8CP0SKJTEIV82" localSheetId="14" hidden="1">#REF!</definedName>
    <definedName name="BExTUY9WNSJ91GV8CP0SKJTEIV82" localSheetId="15" hidden="1">#REF!</definedName>
    <definedName name="BExTUY9WNSJ91GV8CP0SKJTEIV82" localSheetId="5" hidden="1">#REF!</definedName>
    <definedName name="BExTV67VIM8PV6KO253M4DUBJQLC" localSheetId="14" hidden="1">#REF!</definedName>
    <definedName name="BExTV67VIM8PV6KO253M4DUBJQLC" localSheetId="15" hidden="1">#REF!</definedName>
    <definedName name="BExTV67VIM8PV6KO253M4DUBJQLC" localSheetId="5" hidden="1">#REF!</definedName>
    <definedName name="BExTVELZCF2YA5L6F23BYZZR6WHF" localSheetId="14" hidden="1">#REF!</definedName>
    <definedName name="BExTVELZCF2YA5L6F23BYZZR6WHF" localSheetId="15" hidden="1">#REF!</definedName>
    <definedName name="BExTVELZCF2YA5L6F23BYZZR6WHF" localSheetId="5" hidden="1">#REF!</definedName>
    <definedName name="BExTVGPIQZ99YFXUC8OONUX5BD42" localSheetId="14" hidden="1">#REF!</definedName>
    <definedName name="BExTVGPIQZ99YFXUC8OONUX5BD42" localSheetId="15" hidden="1">#REF!</definedName>
    <definedName name="BExTVGPIQZ99YFXUC8OONUX5BD42" localSheetId="5" hidden="1">#REF!</definedName>
    <definedName name="BExTVQG4F5RF0LZXG06AZ6EU1GQ3" localSheetId="14" hidden="1">#REF!</definedName>
    <definedName name="BExTVQG4F5RF0LZXG06AZ6EU1GQ3" localSheetId="15" hidden="1">#REF!</definedName>
    <definedName name="BExTVQG4F5RF0LZXG06AZ6EU1GQ3" localSheetId="5" hidden="1">#REF!</definedName>
    <definedName name="BExTVZQLP9VFLEYQ9280W13X7E8K" localSheetId="14" hidden="1">#REF!</definedName>
    <definedName name="BExTVZQLP9VFLEYQ9280W13X7E8K" localSheetId="15" hidden="1">#REF!</definedName>
    <definedName name="BExTVZQLP9VFLEYQ9280W13X7E8K" localSheetId="5" hidden="1">#REF!</definedName>
    <definedName name="BExTWB4LA1PODQOH4LDTHQKBN16K" localSheetId="14" hidden="1">#REF!</definedName>
    <definedName name="BExTWB4LA1PODQOH4LDTHQKBN16K" localSheetId="15" hidden="1">#REF!</definedName>
    <definedName name="BExTWB4LA1PODQOH4LDTHQKBN16K" localSheetId="5" hidden="1">#REF!</definedName>
    <definedName name="BExTWI0Q8AWXUA3ZN7I5V3QK2KM1" localSheetId="14" hidden="1">#REF!</definedName>
    <definedName name="BExTWI0Q8AWXUA3ZN7I5V3QK2KM1" localSheetId="15" hidden="1">#REF!</definedName>
    <definedName name="BExTWI0Q8AWXUA3ZN7I5V3QK2KM1" localSheetId="5" hidden="1">#REF!</definedName>
    <definedName name="BExTWJTIA3WUW1PUWXAOP9O8NKLZ" localSheetId="14" hidden="1">#REF!</definedName>
    <definedName name="BExTWJTIA3WUW1PUWXAOP9O8NKLZ" localSheetId="15" hidden="1">#REF!</definedName>
    <definedName name="BExTWJTIA3WUW1PUWXAOP9O8NKLZ" localSheetId="5" hidden="1">#REF!</definedName>
    <definedName name="BExTWW95OX07FNA01WF5MSSSFQLX" localSheetId="14" hidden="1">#REF!</definedName>
    <definedName name="BExTWW95OX07FNA01WF5MSSSFQLX" localSheetId="15" hidden="1">#REF!</definedName>
    <definedName name="BExTWW95OX07FNA01WF5MSSSFQLX" localSheetId="5" hidden="1">#REF!</definedName>
    <definedName name="BExTX005F4GLW03J0PLPRPMI1SEG" localSheetId="14" hidden="1">#REF!</definedName>
    <definedName name="BExTX005F4GLW03J0PLPRPMI1SEG" localSheetId="15" hidden="1">#REF!</definedName>
    <definedName name="BExTX005F4GLW03J0PLPRPMI1SEG" localSheetId="5" hidden="1">#REF!</definedName>
    <definedName name="BExTX476KI0RNB71XI5TYMANSGBG" localSheetId="14" hidden="1">#REF!</definedName>
    <definedName name="BExTX476KI0RNB71XI5TYMANSGBG" localSheetId="15" hidden="1">#REF!</definedName>
    <definedName name="BExTX476KI0RNB71XI5TYMANSGBG" localSheetId="5" hidden="1">#REF!</definedName>
    <definedName name="BExTXBJFKNSCUO7IOL6CSKERP06D" localSheetId="14" hidden="1">#REF!</definedName>
    <definedName name="BExTXBJFKNSCUO7IOL6CSKERP06D" localSheetId="15" hidden="1">#REF!</definedName>
    <definedName name="BExTXBJFKNSCUO7IOL6CSKERP06D" localSheetId="5" hidden="1">#REF!</definedName>
    <definedName name="BExTXDMZDQ9U1FD9T7F79J29SYYN" localSheetId="14" hidden="1">#REF!</definedName>
    <definedName name="BExTXDMZDQ9U1FD9T7F79J29SYYN" localSheetId="15" hidden="1">#REF!</definedName>
    <definedName name="BExTXDMZDQ9U1FD9T7F79J29SYYN" localSheetId="5" hidden="1">#REF!</definedName>
    <definedName name="BExTXJ6HBAIXMMWKZTJNFDYVZCAY" localSheetId="14" hidden="1">#REF!</definedName>
    <definedName name="BExTXJ6HBAIXMMWKZTJNFDYVZCAY" localSheetId="15" hidden="1">#REF!</definedName>
    <definedName name="BExTXJ6HBAIXMMWKZTJNFDYVZCAY" localSheetId="5" hidden="1">#REF!</definedName>
    <definedName name="BExTXT812NQT8GAEGH738U29BI0D" localSheetId="14" hidden="1">#REF!</definedName>
    <definedName name="BExTXT812NQT8GAEGH738U29BI0D" localSheetId="15" hidden="1">#REF!</definedName>
    <definedName name="BExTXT812NQT8GAEGH738U29BI0D" localSheetId="5" hidden="1">#REF!</definedName>
    <definedName name="BExTXWIP2TFPTQ76NHFOB72NICRZ" localSheetId="14" hidden="1">#REF!</definedName>
    <definedName name="BExTXWIP2TFPTQ76NHFOB72NICRZ" localSheetId="15" hidden="1">#REF!</definedName>
    <definedName name="BExTXWIP2TFPTQ76NHFOB72NICRZ" localSheetId="5" hidden="1">#REF!</definedName>
    <definedName name="BExTY5T62H651VC86QM4X7E28JVA" localSheetId="14" hidden="1">#REF!</definedName>
    <definedName name="BExTY5T62H651VC86QM4X7E28JVA" localSheetId="15" hidden="1">#REF!</definedName>
    <definedName name="BExTY5T62H651VC86QM4X7E28JVA" localSheetId="5" hidden="1">#REF!</definedName>
    <definedName name="BExTYB7EHGVTJ4RSYOXWSG87U5WI" localSheetId="14" hidden="1">#REF!</definedName>
    <definedName name="BExTYB7EHGVTJ4RSYOXWSG87U5WI" localSheetId="15" hidden="1">#REF!</definedName>
    <definedName name="BExTYB7EHGVTJ4RSYOXWSG87U5WI" localSheetId="5" hidden="1">#REF!</definedName>
    <definedName name="BExTYC93RS0KNKFOD35WG37LS9LY" localSheetId="14" hidden="1">#REF!</definedName>
    <definedName name="BExTYC93RS0KNKFOD35WG37LS9LY" localSheetId="15" hidden="1">#REF!</definedName>
    <definedName name="BExTYC93RS0KNKFOD35WG37LS9LY" localSheetId="5" hidden="1">#REF!</definedName>
    <definedName name="BExTYKCEFJ83LZM95M1V7CSFQVEA" localSheetId="14" hidden="1">#REF!</definedName>
    <definedName name="BExTYKCEFJ83LZM95M1V7CSFQVEA" localSheetId="15" hidden="1">#REF!</definedName>
    <definedName name="BExTYKCEFJ83LZM95M1V7CSFQVEA" localSheetId="5" hidden="1">#REF!</definedName>
    <definedName name="BExTYPLA9N640MFRJJQPKXT7P88M" localSheetId="14" hidden="1">#REF!</definedName>
    <definedName name="BExTYPLA9N640MFRJJQPKXT7P88M" localSheetId="15" hidden="1">#REF!</definedName>
    <definedName name="BExTYPLA9N640MFRJJQPKXT7P88M" localSheetId="5" hidden="1">#REF!</definedName>
    <definedName name="BExTYW1794M1TLJ2QQQCEEUZN18F" localSheetId="14" hidden="1">#REF!</definedName>
    <definedName name="BExTYW1794M1TLJ2QQQCEEUZN18F" localSheetId="15" hidden="1">#REF!</definedName>
    <definedName name="BExTYW1794M1TLJ2QQQCEEUZN18F" localSheetId="5" hidden="1">#REF!</definedName>
    <definedName name="BExTZ7F71SNTOX4LLZCK5R9VUMIJ" localSheetId="14" hidden="1">#REF!</definedName>
    <definedName name="BExTZ7F71SNTOX4LLZCK5R9VUMIJ" localSheetId="15" hidden="1">#REF!</definedName>
    <definedName name="BExTZ7F71SNTOX4LLZCK5R9VUMIJ" localSheetId="5" hidden="1">#REF!</definedName>
    <definedName name="BExTZ80SWE36T1QSIIPJU7NJ65JL" localSheetId="14" hidden="1">#REF!</definedName>
    <definedName name="BExTZ80SWE36T1QSIIPJU7NJ65JL" localSheetId="15" hidden="1">#REF!</definedName>
    <definedName name="BExTZ80SWE36T1QSIIPJU7NJ65JL" localSheetId="5" hidden="1">#REF!</definedName>
    <definedName name="BExTZ869RSO739T4Q78JLOVO7G0C" localSheetId="14" hidden="1">#REF!</definedName>
    <definedName name="BExTZ869RSO739T4Q78JLOVO7G0C" localSheetId="15" hidden="1">#REF!</definedName>
    <definedName name="BExTZ869RSO739T4Q78JLOVO7G0C" localSheetId="5" hidden="1">#REF!</definedName>
    <definedName name="BExTZ8X5G9S3PA4FPSNK7T69W7QT" localSheetId="14" hidden="1">#REF!</definedName>
    <definedName name="BExTZ8X5G9S3PA4FPSNK7T69W7QT" localSheetId="15" hidden="1">#REF!</definedName>
    <definedName name="BExTZ8X5G9S3PA4FPSNK7T69W7QT" localSheetId="5" hidden="1">#REF!</definedName>
    <definedName name="BExTZ97Y0RMR8V5BI9F2H4MFB77O" localSheetId="14" hidden="1">#REF!</definedName>
    <definedName name="BExTZ97Y0RMR8V5BI9F2H4MFB77O" localSheetId="15" hidden="1">#REF!</definedName>
    <definedName name="BExTZ97Y0RMR8V5BI9F2H4MFB77O" localSheetId="5" hidden="1">#REF!</definedName>
    <definedName name="BExTZK5PMCAXJL4DUIGL6H9Y8U4C" localSheetId="14" hidden="1">#REF!</definedName>
    <definedName name="BExTZK5PMCAXJL4DUIGL6H9Y8U4C" localSheetId="15" hidden="1">#REF!</definedName>
    <definedName name="BExTZK5PMCAXJL4DUIGL6H9Y8U4C" localSheetId="5" hidden="1">#REF!</definedName>
    <definedName name="BExTZKB6L5SXV5UN71YVTCBEIGWY" localSheetId="14" hidden="1">#REF!</definedName>
    <definedName name="BExTZKB6L5SXV5UN71YVTCBEIGWY" localSheetId="15" hidden="1">#REF!</definedName>
    <definedName name="BExTZKB6L5SXV5UN71YVTCBEIGWY" localSheetId="5" hidden="1">#REF!</definedName>
    <definedName name="BExTZLICVKK4NBJFEGL270GJ2VQO" localSheetId="14" hidden="1">#REF!</definedName>
    <definedName name="BExTZLICVKK4NBJFEGL270GJ2VQO" localSheetId="15" hidden="1">#REF!</definedName>
    <definedName name="BExTZLICVKK4NBJFEGL270GJ2VQO" localSheetId="5" hidden="1">#REF!</definedName>
    <definedName name="BExTZO2596CBZKPI7YNA1QQNPAIJ" localSheetId="14" hidden="1">#REF!</definedName>
    <definedName name="BExTZO2596CBZKPI7YNA1QQNPAIJ" localSheetId="15" hidden="1">#REF!</definedName>
    <definedName name="BExTZO2596CBZKPI7YNA1QQNPAIJ" localSheetId="5" hidden="1">#REF!</definedName>
    <definedName name="BExTZY8TDV4U7FQL7O10G6VKWKPJ" localSheetId="14" hidden="1">#REF!</definedName>
    <definedName name="BExTZY8TDV4U7FQL7O10G6VKWKPJ" localSheetId="15" hidden="1">#REF!</definedName>
    <definedName name="BExTZY8TDV4U7FQL7O10G6VKWKPJ" localSheetId="5" hidden="1">#REF!</definedName>
    <definedName name="BExU02QNT4LT7H9JPUC4FXTLVGZT" localSheetId="14" hidden="1">#REF!</definedName>
    <definedName name="BExU02QNT4LT7H9JPUC4FXTLVGZT" localSheetId="15" hidden="1">#REF!</definedName>
    <definedName name="BExU02QNT4LT7H9JPUC4FXTLVGZT" localSheetId="5" hidden="1">#REF!</definedName>
    <definedName name="BExU0BFJJQO1HJZKI14QGOQ6JROO" localSheetId="14" hidden="1">#REF!</definedName>
    <definedName name="BExU0BFJJQO1HJZKI14QGOQ6JROO" localSheetId="15" hidden="1">#REF!</definedName>
    <definedName name="BExU0BFJJQO1HJZKI14QGOQ6JROO" localSheetId="5" hidden="1">#REF!</definedName>
    <definedName name="BExU0FH5WTGW8MRFUFMDDSMJ6YQ5" localSheetId="14" hidden="1">#REF!</definedName>
    <definedName name="BExU0FH5WTGW8MRFUFMDDSMJ6YQ5" localSheetId="15" hidden="1">#REF!</definedName>
    <definedName name="BExU0FH5WTGW8MRFUFMDDSMJ6YQ5" localSheetId="5" hidden="1">#REF!</definedName>
    <definedName name="BExU0GDOIL9U33QGU9ZU3YX3V1I4" localSheetId="14" hidden="1">#REF!</definedName>
    <definedName name="BExU0GDOIL9U33QGU9ZU3YX3V1I4" localSheetId="15" hidden="1">#REF!</definedName>
    <definedName name="BExU0GDOIL9U33QGU9ZU3YX3V1I4" localSheetId="5" hidden="1">#REF!</definedName>
    <definedName name="BExU0HKTO8WJDQDWRTUK5TETM3HS" localSheetId="14" hidden="1">#REF!</definedName>
    <definedName name="BExU0HKTO8WJDQDWRTUK5TETM3HS" localSheetId="15" hidden="1">#REF!</definedName>
    <definedName name="BExU0HKTO8WJDQDWRTUK5TETM3HS" localSheetId="5" hidden="1">#REF!</definedName>
    <definedName name="BExU0MTJQPE041ZN7H8UKGV6MZT7" localSheetId="14" hidden="1">#REF!</definedName>
    <definedName name="BExU0MTJQPE041ZN7H8UKGV6MZT7" localSheetId="15" hidden="1">#REF!</definedName>
    <definedName name="BExU0MTJQPE041ZN7H8UKGV6MZT7" localSheetId="5" hidden="1">#REF!</definedName>
    <definedName name="BExU0ZUUFYHLUK4M4E8GLGIBBNT0" localSheetId="14" hidden="1">#REF!</definedName>
    <definedName name="BExU0ZUUFYHLUK4M4E8GLGIBBNT0" localSheetId="15" hidden="1">#REF!</definedName>
    <definedName name="BExU0ZUUFYHLUK4M4E8GLGIBBNT0" localSheetId="5" hidden="1">#REF!</definedName>
    <definedName name="BExU147D6RPG6ZVTSXRKFSVRHSBG" localSheetId="14" hidden="1">#REF!</definedName>
    <definedName name="BExU147D6RPG6ZVTSXRKFSVRHSBG" localSheetId="15" hidden="1">#REF!</definedName>
    <definedName name="BExU147D6RPG6ZVTSXRKFSVRHSBG" localSheetId="5" hidden="1">#REF!</definedName>
    <definedName name="BExU16R10W1SOAPNG4CDJ01T7JRE" localSheetId="14" hidden="1">#REF!</definedName>
    <definedName name="BExU16R10W1SOAPNG4CDJ01T7JRE" localSheetId="15" hidden="1">#REF!</definedName>
    <definedName name="BExU16R10W1SOAPNG4CDJ01T7JRE" localSheetId="5" hidden="1">#REF!</definedName>
    <definedName name="BExU17CKOR3GNIHDNVLH9L1IOJS9" localSheetId="14" hidden="1">#REF!</definedName>
    <definedName name="BExU17CKOR3GNIHDNVLH9L1IOJS9" localSheetId="15" hidden="1">#REF!</definedName>
    <definedName name="BExU17CKOR3GNIHDNVLH9L1IOJS9" localSheetId="5" hidden="1">#REF!</definedName>
    <definedName name="BExU1DXYI5DAD9DSFIEAUOB5XFZ9" localSheetId="14" hidden="1">#REF!</definedName>
    <definedName name="BExU1DXYI5DAD9DSFIEAUOB5XFZ9" localSheetId="15" hidden="1">#REF!</definedName>
    <definedName name="BExU1DXYI5DAD9DSFIEAUOB5XFZ9" localSheetId="5" hidden="1">#REF!</definedName>
    <definedName name="BExU1GXUTLRPJN4MRINLAPHSZQFG" localSheetId="14" hidden="1">#REF!</definedName>
    <definedName name="BExU1GXUTLRPJN4MRINLAPHSZQFG" localSheetId="15" hidden="1">#REF!</definedName>
    <definedName name="BExU1GXUTLRPJN4MRINLAPHSZQFG" localSheetId="5" hidden="1">#REF!</definedName>
    <definedName name="BExU1IL9AOHFO85BZB6S60DK3N8H" localSheetId="14" hidden="1">#REF!</definedName>
    <definedName name="BExU1IL9AOHFO85BZB6S60DK3N8H" localSheetId="15" hidden="1">#REF!</definedName>
    <definedName name="BExU1IL9AOHFO85BZB6S60DK3N8H" localSheetId="5" hidden="1">#REF!</definedName>
    <definedName name="BExU1LAEKWJ0U6NP9G2AC9CTBYH6" localSheetId="14" hidden="1">#REF!</definedName>
    <definedName name="BExU1LAEKWJ0U6NP9G2AC9CTBYH6" localSheetId="15" hidden="1">#REF!</definedName>
    <definedName name="BExU1LAEKWJ0U6NP9G2AC9CTBYH6" localSheetId="5" hidden="1">#REF!</definedName>
    <definedName name="BExU1NOPS09CLFZL1O31RAF9BQNQ" localSheetId="14" hidden="1">#REF!</definedName>
    <definedName name="BExU1NOPS09CLFZL1O31RAF9BQNQ" localSheetId="15" hidden="1">#REF!</definedName>
    <definedName name="BExU1NOPS09CLFZL1O31RAF9BQNQ" localSheetId="5" hidden="1">#REF!</definedName>
    <definedName name="BExU1PH9MOEX1JZVZ3D5M9DXB191" localSheetId="14" hidden="1">#REF!</definedName>
    <definedName name="BExU1PH9MOEX1JZVZ3D5M9DXB191" localSheetId="15" hidden="1">#REF!</definedName>
    <definedName name="BExU1PH9MOEX1JZVZ3D5M9DXB191" localSheetId="5" hidden="1">#REF!</definedName>
    <definedName name="BExU1QZEEKJA35IMEOLOJ3ODX0ZA" localSheetId="14" hidden="1">#REF!</definedName>
    <definedName name="BExU1QZEEKJA35IMEOLOJ3ODX0ZA" localSheetId="15" hidden="1">#REF!</definedName>
    <definedName name="BExU1QZEEKJA35IMEOLOJ3ODX0ZA" localSheetId="5" hidden="1">#REF!</definedName>
    <definedName name="BExU1VRURIWWVJ95O40WA23LMTJD" localSheetId="14" hidden="1">#REF!</definedName>
    <definedName name="BExU1VRURIWWVJ95O40WA23LMTJD" localSheetId="15" hidden="1">#REF!</definedName>
    <definedName name="BExU1VRURIWWVJ95O40WA23LMTJD" localSheetId="5" hidden="1">#REF!</definedName>
    <definedName name="BExU2A0FXVBDX9LO3VWEXB4TLFT0" localSheetId="14" hidden="1">#REF!</definedName>
    <definedName name="BExU2A0FXVBDX9LO3VWEXB4TLFT0" localSheetId="15" hidden="1">#REF!</definedName>
    <definedName name="BExU2A0FXVBDX9LO3VWEXB4TLFT0" localSheetId="5" hidden="1">#REF!</definedName>
    <definedName name="BExU2LEH667H33V81XVEZUP2O0UQ" localSheetId="14" hidden="1">#REF!</definedName>
    <definedName name="BExU2LEH667H33V81XVEZUP2O0UQ" localSheetId="15" hidden="1">#REF!</definedName>
    <definedName name="BExU2LEH667H33V81XVEZUP2O0UQ" localSheetId="5" hidden="1">#REF!</definedName>
    <definedName name="BExU2M5CK6XK55UIHDVYRXJJJRI4" localSheetId="14" hidden="1">#REF!</definedName>
    <definedName name="BExU2M5CK6XK55UIHDVYRXJJJRI4" localSheetId="15" hidden="1">#REF!</definedName>
    <definedName name="BExU2M5CK6XK55UIHDVYRXJJJRI4" localSheetId="5" hidden="1">#REF!</definedName>
    <definedName name="BExU2TXVT25ZTOFQAF6CM53Z1RLF" localSheetId="14" hidden="1">#REF!</definedName>
    <definedName name="BExU2TXVT25ZTOFQAF6CM53Z1RLF" localSheetId="15" hidden="1">#REF!</definedName>
    <definedName name="BExU2TXVT25ZTOFQAF6CM53Z1RLF" localSheetId="5" hidden="1">#REF!</definedName>
    <definedName name="BExU2XZLYIU19G7358W5T9E87AFR" localSheetId="14" hidden="1">#REF!</definedName>
    <definedName name="BExU2XZLYIU19G7358W5T9E87AFR" localSheetId="15" hidden="1">#REF!</definedName>
    <definedName name="BExU2XZLYIU19G7358W5T9E87AFR" localSheetId="5" hidden="1">#REF!</definedName>
    <definedName name="BExU2ZXMKRBQEX0CT3ZPZ3UFZP1G" localSheetId="14" hidden="1">#REF!</definedName>
    <definedName name="BExU2ZXMKRBQEX0CT3ZPZ3UFZP1G" localSheetId="15" hidden="1">#REF!</definedName>
    <definedName name="BExU2ZXMKRBQEX0CT3ZPZ3UFZP1G" localSheetId="5" hidden="1">#REF!</definedName>
    <definedName name="BExU35XHF1K1XEQUSZ292S5T61YA" localSheetId="14" hidden="1">#REF!</definedName>
    <definedName name="BExU35XHF1K1XEQUSZ292S5T61YA" localSheetId="15" hidden="1">#REF!</definedName>
    <definedName name="BExU35XHF1K1XEQUSZ292S5T61YA" localSheetId="5" hidden="1">#REF!</definedName>
    <definedName name="BExU38S1U5IC1T5A3P2TZU5OV0LN" localSheetId="14" hidden="1">#REF!</definedName>
    <definedName name="BExU38S1U5IC1T5A3P2TZU5OV0LN" localSheetId="15" hidden="1">#REF!</definedName>
    <definedName name="BExU38S1U5IC1T5A3P2TZU5OV0LN" localSheetId="5" hidden="1">#REF!</definedName>
    <definedName name="BExU3B66MCKJFSKT3HL8B5EJGVX0" localSheetId="14" hidden="1">#REF!</definedName>
    <definedName name="BExU3B66MCKJFSKT3HL8B5EJGVX0" localSheetId="15" hidden="1">#REF!</definedName>
    <definedName name="BExU3B66MCKJFSKT3HL8B5EJGVX0" localSheetId="5" hidden="1">#REF!</definedName>
    <definedName name="BExU3FDFDB2NVPYUR5V7OA3HF474" localSheetId="14" hidden="1">#REF!</definedName>
    <definedName name="BExU3FDFDB2NVPYUR5V7OA3HF474" localSheetId="15" hidden="1">#REF!</definedName>
    <definedName name="BExU3FDFDB2NVPYUR5V7OA3HF474" localSheetId="5" hidden="1">#REF!</definedName>
    <definedName name="BExU3R7J076KUCCEUGKAYMANTUT5" localSheetId="14" hidden="1">#REF!</definedName>
    <definedName name="BExU3R7J076KUCCEUGKAYMANTUT5" localSheetId="15" hidden="1">#REF!</definedName>
    <definedName name="BExU3R7J076KUCCEUGKAYMANTUT5" localSheetId="5" hidden="1">#REF!</definedName>
    <definedName name="BExU3UNI9NR1RNZR07NSLSZMDOQQ" localSheetId="14" hidden="1">#REF!</definedName>
    <definedName name="BExU3UNI9NR1RNZR07NSLSZMDOQQ" localSheetId="15" hidden="1">#REF!</definedName>
    <definedName name="BExU3UNI9NR1RNZR07NSLSZMDOQQ" localSheetId="5" hidden="1">#REF!</definedName>
    <definedName name="BExU401R18N6XKZKL7CNFOZQCM14" localSheetId="14" hidden="1">#REF!</definedName>
    <definedName name="BExU401R18N6XKZKL7CNFOZQCM14" localSheetId="15" hidden="1">#REF!</definedName>
    <definedName name="BExU401R18N6XKZKL7CNFOZQCM14" localSheetId="5" hidden="1">#REF!</definedName>
    <definedName name="BExU42QVGY7TK39W1BIN6CDRG2OE" localSheetId="14" hidden="1">#REF!</definedName>
    <definedName name="BExU42QVGY7TK39W1BIN6CDRG2OE" localSheetId="15" hidden="1">#REF!</definedName>
    <definedName name="BExU42QVGY7TK39W1BIN6CDRG2OE" localSheetId="5" hidden="1">#REF!</definedName>
    <definedName name="BExU431LXP7LIUNGJB9OSXEANFGX" localSheetId="14" hidden="1">#REF!</definedName>
    <definedName name="BExU431LXP7LIUNGJB9OSXEANFGX" localSheetId="15" hidden="1">#REF!</definedName>
    <definedName name="BExU431LXP7LIUNGJB9OSXEANFGX" localSheetId="5" hidden="1">#REF!</definedName>
    <definedName name="BExU47OZMS6TCWMEHHF0UCSFLLPI" localSheetId="14" hidden="1">#REF!</definedName>
    <definedName name="BExU47OZMS6TCWMEHHF0UCSFLLPI" localSheetId="15" hidden="1">#REF!</definedName>
    <definedName name="BExU47OZMS6TCWMEHHF0UCSFLLPI" localSheetId="5" hidden="1">#REF!</definedName>
    <definedName name="BExU4D36E8TXN0M8KSNGEAFYP4DQ" localSheetId="14" hidden="1">#REF!</definedName>
    <definedName name="BExU4D36E8TXN0M8KSNGEAFYP4DQ" localSheetId="15" hidden="1">#REF!</definedName>
    <definedName name="BExU4D36E8TXN0M8KSNGEAFYP4DQ" localSheetId="5" hidden="1">#REF!</definedName>
    <definedName name="BExU4G31RRVLJ3AC6E1FNEFMXM3O" localSheetId="14" hidden="1">#REF!</definedName>
    <definedName name="BExU4G31RRVLJ3AC6E1FNEFMXM3O" localSheetId="15" hidden="1">#REF!</definedName>
    <definedName name="BExU4G31RRVLJ3AC6E1FNEFMXM3O" localSheetId="5" hidden="1">#REF!</definedName>
    <definedName name="BExU4GDVLPUEWBA4MRYRTQAUNO7B" localSheetId="14" hidden="1">#REF!</definedName>
    <definedName name="BExU4GDVLPUEWBA4MRYRTQAUNO7B" localSheetId="15" hidden="1">#REF!</definedName>
    <definedName name="BExU4GDVLPUEWBA4MRYRTQAUNO7B" localSheetId="5" hidden="1">#REF!</definedName>
    <definedName name="BExU4H4RAMAX0XVAWT5WFYQNPAL3" localSheetId="14" hidden="1">#REF!</definedName>
    <definedName name="BExU4H4RAMAX0XVAWT5WFYQNPAL3" localSheetId="15" hidden="1">#REF!</definedName>
    <definedName name="BExU4H4RAMAX0XVAWT5WFYQNPAL3" localSheetId="5" hidden="1">#REF!</definedName>
    <definedName name="BExU4I148DA7PRCCISLWQ6ABXFK6" localSheetId="14" hidden="1">#REF!</definedName>
    <definedName name="BExU4I148DA7PRCCISLWQ6ABXFK6" localSheetId="15" hidden="1">#REF!</definedName>
    <definedName name="BExU4I148DA7PRCCISLWQ6ABXFK6" localSheetId="5" hidden="1">#REF!</definedName>
    <definedName name="BExU4L101H2KQHVKCKQ4PBAWZV6K" localSheetId="14" hidden="1">#REF!</definedName>
    <definedName name="BExU4L101H2KQHVKCKQ4PBAWZV6K" localSheetId="15" hidden="1">#REF!</definedName>
    <definedName name="BExU4L101H2KQHVKCKQ4PBAWZV6K" localSheetId="5" hidden="1">#REF!</definedName>
    <definedName name="BExU4LML14Q7KDTYIKJWXF68W7X1" localSheetId="14" hidden="1">#REF!</definedName>
    <definedName name="BExU4LML14Q7KDTYIKJWXF68W7X1" localSheetId="15" hidden="1">#REF!</definedName>
    <definedName name="BExU4LML14Q7KDTYIKJWXF68W7X1" localSheetId="5" hidden="1">#REF!</definedName>
    <definedName name="BExU4NA00RRRBGRT6TOB0MXZRCRZ" localSheetId="14" hidden="1">#REF!</definedName>
    <definedName name="BExU4NA00RRRBGRT6TOB0MXZRCRZ" localSheetId="15" hidden="1">#REF!</definedName>
    <definedName name="BExU4NA00RRRBGRT6TOB0MXZRCRZ" localSheetId="5" hidden="1">#REF!</definedName>
    <definedName name="BExU529I6YHVOG83TJHWSILIQU1S" localSheetId="14" hidden="1">#REF!</definedName>
    <definedName name="BExU529I6YHVOG83TJHWSILIQU1S" localSheetId="15" hidden="1">#REF!</definedName>
    <definedName name="BExU529I6YHVOG83TJHWSILIQU1S" localSheetId="5" hidden="1">#REF!</definedName>
    <definedName name="BExU57YCIKPRD8QWL6EU0YR3NG3J" localSheetId="14" hidden="1">#REF!</definedName>
    <definedName name="BExU57YCIKPRD8QWL6EU0YR3NG3J" localSheetId="15" hidden="1">#REF!</definedName>
    <definedName name="BExU57YCIKPRD8QWL6EU0YR3NG3J" localSheetId="5" hidden="1">#REF!</definedName>
    <definedName name="BExU5DSTBWXLN6E59B757KRWRI6E" localSheetId="14" hidden="1">#REF!</definedName>
    <definedName name="BExU5DSTBWXLN6E59B757KRWRI6E" localSheetId="15" hidden="1">#REF!</definedName>
    <definedName name="BExU5DSTBWXLN6E59B757KRWRI6E" localSheetId="5" hidden="1">#REF!</definedName>
    <definedName name="BExU5JSMO03X9M4WIRPP8JPSMQKJ" localSheetId="14" hidden="1">#REF!</definedName>
    <definedName name="BExU5JSMO03X9M4WIRPP8JPSMQKJ" localSheetId="15" hidden="1">#REF!</definedName>
    <definedName name="BExU5JSMO03X9M4WIRPP8JPSMQKJ" localSheetId="5" hidden="1">#REF!</definedName>
    <definedName name="BExU5TDWM8NNDHYPQ7OQODTQ368A" localSheetId="14" hidden="1">#REF!</definedName>
    <definedName name="BExU5TDWM8NNDHYPQ7OQODTQ368A" localSheetId="15" hidden="1">#REF!</definedName>
    <definedName name="BExU5TDWM8NNDHYPQ7OQODTQ368A" localSheetId="5" hidden="1">#REF!</definedName>
    <definedName name="BExU5X4OX1V1XHS6WSSORVQPP6Z3" localSheetId="14" hidden="1">#REF!</definedName>
    <definedName name="BExU5X4OX1V1XHS6WSSORVQPP6Z3" localSheetId="15" hidden="1">#REF!</definedName>
    <definedName name="BExU5X4OX1V1XHS6WSSORVQPP6Z3" localSheetId="5" hidden="1">#REF!</definedName>
    <definedName name="BExU5XVPARTFMRYHNUTBKDIL4UJN" localSheetId="14" hidden="1">#REF!</definedName>
    <definedName name="BExU5XVPARTFMRYHNUTBKDIL4UJN" localSheetId="15" hidden="1">#REF!</definedName>
    <definedName name="BExU5XVPARTFMRYHNUTBKDIL4UJN" localSheetId="5" hidden="1">#REF!</definedName>
    <definedName name="BExU66KMFBAP8JCVG9VM1RD1TNFF" localSheetId="14" hidden="1">#REF!</definedName>
    <definedName name="BExU66KMFBAP8JCVG9VM1RD1TNFF" localSheetId="15" hidden="1">#REF!</definedName>
    <definedName name="BExU66KMFBAP8JCVG9VM1RD1TNFF" localSheetId="5" hidden="1">#REF!</definedName>
    <definedName name="BExU68IOM3CB3TACNAE9565TW7SH" localSheetId="14" hidden="1">#REF!</definedName>
    <definedName name="BExU68IOM3CB3TACNAE9565TW7SH" localSheetId="15" hidden="1">#REF!</definedName>
    <definedName name="BExU68IOM3CB3TACNAE9565TW7SH" localSheetId="5" hidden="1">#REF!</definedName>
    <definedName name="BExU6AM82KN21E82HMWVP3LWP9IL" localSheetId="14" hidden="1">#REF!</definedName>
    <definedName name="BExU6AM82KN21E82HMWVP3LWP9IL" localSheetId="15" hidden="1">#REF!</definedName>
    <definedName name="BExU6AM82KN21E82HMWVP3LWP9IL" localSheetId="5" hidden="1">#REF!</definedName>
    <definedName name="BExU6FEU1MRHU98R9YOJC5OKUJ6L" localSheetId="14" hidden="1">#REF!</definedName>
    <definedName name="BExU6FEU1MRHU98R9YOJC5OKUJ6L" localSheetId="15" hidden="1">#REF!</definedName>
    <definedName name="BExU6FEU1MRHU98R9YOJC5OKUJ6L" localSheetId="5" hidden="1">#REF!</definedName>
    <definedName name="BExU6KIAJ663Y8W8QMU4HCF183DF" localSheetId="14" hidden="1">#REF!</definedName>
    <definedName name="BExU6KIAJ663Y8W8QMU4HCF183DF" localSheetId="15" hidden="1">#REF!</definedName>
    <definedName name="BExU6KIAJ663Y8W8QMU4HCF183DF" localSheetId="5" hidden="1">#REF!</definedName>
    <definedName name="BExU6KT19B4PG6SHXFBGBPLM66KT" localSheetId="14" hidden="1">#REF!</definedName>
    <definedName name="BExU6KT19B4PG6SHXFBGBPLM66KT" localSheetId="15" hidden="1">#REF!</definedName>
    <definedName name="BExU6KT19B4PG6SHXFBGBPLM66KT" localSheetId="5" hidden="1">#REF!</definedName>
    <definedName name="BExU6PAVKIOAIMQ9XQIHHF1SUAGO" localSheetId="14" hidden="1">#REF!</definedName>
    <definedName name="BExU6PAVKIOAIMQ9XQIHHF1SUAGO" localSheetId="15" hidden="1">#REF!</definedName>
    <definedName name="BExU6PAVKIOAIMQ9XQIHHF1SUAGO" localSheetId="5" hidden="1">#REF!</definedName>
    <definedName name="BExU6SLKTWV0YINVLTI6BCG9ANZM" localSheetId="14" hidden="1">#REF!</definedName>
    <definedName name="BExU6SLKTWV0YINVLTI6BCG9ANZM" localSheetId="15" hidden="1">#REF!</definedName>
    <definedName name="BExU6SLKTWV0YINVLTI6BCG9ANZM" localSheetId="5" hidden="1">#REF!</definedName>
    <definedName name="BExU6WXXC7SSQDMHSLUN5C2V4IYX" localSheetId="14" hidden="1">#REF!</definedName>
    <definedName name="BExU6WXXC7SSQDMHSLUN5C2V4IYX" localSheetId="15" hidden="1">#REF!</definedName>
    <definedName name="BExU6WXXC7SSQDMHSLUN5C2V4IYX" localSheetId="5" hidden="1">#REF!</definedName>
    <definedName name="BExU73387E74XE8A9UKZLZNJYY65" localSheetId="14" hidden="1">#REF!</definedName>
    <definedName name="BExU73387E74XE8A9UKZLZNJYY65" localSheetId="15" hidden="1">#REF!</definedName>
    <definedName name="BExU73387E74XE8A9UKZLZNJYY65" localSheetId="5" hidden="1">#REF!</definedName>
    <definedName name="BExU76ZHCJM8I7VSICCMSTC33O6U" localSheetId="14" hidden="1">#REF!</definedName>
    <definedName name="BExU76ZHCJM8I7VSICCMSTC33O6U" localSheetId="15" hidden="1">#REF!</definedName>
    <definedName name="BExU76ZHCJM8I7VSICCMSTC33O6U" localSheetId="5" hidden="1">#REF!</definedName>
    <definedName name="BExU7BBTUF8BQ42DSGM94X5TG5GF" localSheetId="14" hidden="1">#REF!</definedName>
    <definedName name="BExU7BBTUF8BQ42DSGM94X5TG5GF" localSheetId="15" hidden="1">#REF!</definedName>
    <definedName name="BExU7BBTUF8BQ42DSGM94X5TG5GF" localSheetId="5" hidden="1">#REF!</definedName>
    <definedName name="BExU7HH4EAHFQHT4AXKGWAWZP3I0" localSheetId="14" hidden="1">#REF!</definedName>
    <definedName name="BExU7HH4EAHFQHT4AXKGWAWZP3I0" localSheetId="15" hidden="1">#REF!</definedName>
    <definedName name="BExU7HH4EAHFQHT4AXKGWAWZP3I0" localSheetId="5" hidden="1">#REF!</definedName>
    <definedName name="BExU7L7WPQSA0ELXZ0I86V33QCCJ" localSheetId="14" hidden="1">#REF!</definedName>
    <definedName name="BExU7L7WPQSA0ELXZ0I86V33QCCJ" localSheetId="15" hidden="1">#REF!</definedName>
    <definedName name="BExU7L7WPQSA0ELXZ0I86V33QCCJ" localSheetId="5" hidden="1">#REF!</definedName>
    <definedName name="BExU7MF1ZVPDHOSMCAXOSYICHZ4I" localSheetId="14" hidden="1">#REF!</definedName>
    <definedName name="BExU7MF1ZVPDHOSMCAXOSYICHZ4I" localSheetId="15" hidden="1">#REF!</definedName>
    <definedName name="BExU7MF1ZVPDHOSMCAXOSYICHZ4I" localSheetId="5" hidden="1">#REF!</definedName>
    <definedName name="BExU7O2BJ6D5YCKEL6FD2EFCWYRX" localSheetId="14" hidden="1">#REF!</definedName>
    <definedName name="BExU7O2BJ6D5YCKEL6FD2EFCWYRX" localSheetId="15" hidden="1">#REF!</definedName>
    <definedName name="BExU7O2BJ6D5YCKEL6FD2EFCWYRX" localSheetId="5" hidden="1">#REF!</definedName>
    <definedName name="BExU7Q0JS9YIUKUPNSSAIDK2KJAV" localSheetId="14" hidden="1">#REF!</definedName>
    <definedName name="BExU7Q0JS9YIUKUPNSSAIDK2KJAV" localSheetId="15" hidden="1">#REF!</definedName>
    <definedName name="BExU7Q0JS9YIUKUPNSSAIDK2KJAV" localSheetId="5" hidden="1">#REF!</definedName>
    <definedName name="BExU80I6AE5OU7P7F5V7HWIZBJ4P" localSheetId="14" hidden="1">#REF!</definedName>
    <definedName name="BExU80I6AE5OU7P7F5V7HWIZBJ4P" localSheetId="15" hidden="1">#REF!</definedName>
    <definedName name="BExU80I6AE5OU7P7F5V7HWIZBJ4P" localSheetId="5" hidden="1">#REF!</definedName>
    <definedName name="BExU86NB26MCPYIISZ36HADONGT2" localSheetId="14" hidden="1">#REF!</definedName>
    <definedName name="BExU86NB26MCPYIISZ36HADONGT2" localSheetId="15" hidden="1">#REF!</definedName>
    <definedName name="BExU86NB26MCPYIISZ36HADONGT2" localSheetId="5" hidden="1">#REF!</definedName>
    <definedName name="BExU885EZZNSZV3GP298UJ8LB7OL" localSheetId="14" hidden="1">#REF!</definedName>
    <definedName name="BExU885EZZNSZV3GP298UJ8LB7OL" localSheetId="15" hidden="1">#REF!</definedName>
    <definedName name="BExU885EZZNSZV3GP298UJ8LB7OL" localSheetId="5" hidden="1">#REF!</definedName>
    <definedName name="BExU8FSAUP9TUZ1NO9WXK80QPHWV" localSheetId="14" hidden="1">#REF!</definedName>
    <definedName name="BExU8FSAUP9TUZ1NO9WXK80QPHWV" localSheetId="15" hidden="1">#REF!</definedName>
    <definedName name="BExU8FSAUP9TUZ1NO9WXK80QPHWV" localSheetId="5" hidden="1">#REF!</definedName>
    <definedName name="BExU8KFLAN778MBN93NYZB0FV30G" localSheetId="14" hidden="1">#REF!</definedName>
    <definedName name="BExU8KFLAN778MBN93NYZB0FV30G" localSheetId="15" hidden="1">#REF!</definedName>
    <definedName name="BExU8KFLAN778MBN93NYZB0FV30G" localSheetId="5" hidden="1">#REF!</definedName>
    <definedName name="BExU8PZC6845UUDFG9M8FTC3P3DK" localSheetId="14" hidden="1">#REF!</definedName>
    <definedName name="BExU8PZC6845UUDFG9M8FTC3P3DK" localSheetId="15" hidden="1">#REF!</definedName>
    <definedName name="BExU8PZC6845UUDFG9M8FTC3P3DK" localSheetId="5" hidden="1">#REF!</definedName>
    <definedName name="BExU8UX9JX3XLB47YZ8GFXE0V7R2" localSheetId="14" hidden="1">#REF!</definedName>
    <definedName name="BExU8UX9JX3XLB47YZ8GFXE0V7R2" localSheetId="15" hidden="1">#REF!</definedName>
    <definedName name="BExU8UX9JX3XLB47YZ8GFXE0V7R2" localSheetId="5" hidden="1">#REF!</definedName>
    <definedName name="BExU8WVGMRSFNWCNHODQ9JQCMZB0" localSheetId="14" hidden="1">#REF!</definedName>
    <definedName name="BExU8WVGMRSFNWCNHODQ9JQCMZB0" localSheetId="15" hidden="1">#REF!</definedName>
    <definedName name="BExU8WVGMRSFNWCNHODQ9JQCMZB0" localSheetId="5" hidden="1">#REF!</definedName>
    <definedName name="BExU96M1J7P9DZQ3S9H0C12KGYTW" localSheetId="14" hidden="1">#REF!</definedName>
    <definedName name="BExU96M1J7P9DZQ3S9H0C12KGYTW" localSheetId="15" hidden="1">#REF!</definedName>
    <definedName name="BExU96M1J7P9DZQ3S9H0C12KGYTW" localSheetId="5" hidden="1">#REF!</definedName>
    <definedName name="BExU9F05OR1GZ3057R6UL3WPEIYI" localSheetId="14" hidden="1">#REF!</definedName>
    <definedName name="BExU9F05OR1GZ3057R6UL3WPEIYI" localSheetId="15" hidden="1">#REF!</definedName>
    <definedName name="BExU9F05OR1GZ3057R6UL3WPEIYI" localSheetId="5" hidden="1">#REF!</definedName>
    <definedName name="BExU9GCSO5YILIKG6VAHN13DL75K" localSheetId="14" hidden="1">#REF!</definedName>
    <definedName name="BExU9GCSO5YILIKG6VAHN13DL75K" localSheetId="15" hidden="1">#REF!</definedName>
    <definedName name="BExU9GCSO5YILIKG6VAHN13DL75K" localSheetId="5" hidden="1">#REF!</definedName>
    <definedName name="BExU9KJOZLO15N11MJVN782NFGJ0" localSheetId="14" hidden="1">#REF!</definedName>
    <definedName name="BExU9KJOZLO15N11MJVN782NFGJ0" localSheetId="15" hidden="1">#REF!</definedName>
    <definedName name="BExU9KJOZLO15N11MJVN782NFGJ0" localSheetId="5" hidden="1">#REF!</definedName>
    <definedName name="BExU9LG29XU2K1GNKRO4438JYQZE" localSheetId="14" hidden="1">#REF!</definedName>
    <definedName name="BExU9LG29XU2K1GNKRO4438JYQZE" localSheetId="15" hidden="1">#REF!</definedName>
    <definedName name="BExU9LG29XU2K1GNKRO4438JYQZE" localSheetId="5" hidden="1">#REF!</definedName>
    <definedName name="BExU9RW36I5Z6JIXUIUB3PJH86LT" localSheetId="14" hidden="1">#REF!</definedName>
    <definedName name="BExU9RW36I5Z6JIXUIUB3PJH86LT" localSheetId="15" hidden="1">#REF!</definedName>
    <definedName name="BExU9RW36I5Z6JIXUIUB3PJH86LT" localSheetId="5" hidden="1">#REF!</definedName>
    <definedName name="BExU9WU19DJ2VAGISPFEGDWWOO4V" localSheetId="14" hidden="1">#REF!</definedName>
    <definedName name="BExU9WU19DJ2VAGISPFEGDWWOO4V" localSheetId="15" hidden="1">#REF!</definedName>
    <definedName name="BExU9WU19DJ2VAGISPFEGDWWOO4V" localSheetId="5" hidden="1">#REF!</definedName>
    <definedName name="BExUA28AO7OWDG3H23Q0CL4B7BHW" localSheetId="14" hidden="1">#REF!</definedName>
    <definedName name="BExUA28AO7OWDG3H23Q0CL4B7BHW" localSheetId="15" hidden="1">#REF!</definedName>
    <definedName name="BExUA28AO7OWDG3H23Q0CL4B7BHW" localSheetId="5" hidden="1">#REF!</definedName>
    <definedName name="BExUA34N2C083NSTAHQGZZ3BCYGK" localSheetId="14" hidden="1">#REF!</definedName>
    <definedName name="BExUA34N2C083NSTAHQGZZ3BCYGK" localSheetId="15" hidden="1">#REF!</definedName>
    <definedName name="BExUA34N2C083NSTAHQGZZ3BCYGK" localSheetId="5" hidden="1">#REF!</definedName>
    <definedName name="BExUA5O923FFNEBY8BPO1TU3QGBM" localSheetId="14" hidden="1">#REF!</definedName>
    <definedName name="BExUA5O923FFNEBY8BPO1TU3QGBM" localSheetId="15" hidden="1">#REF!</definedName>
    <definedName name="BExUA5O923FFNEBY8BPO1TU3QGBM" localSheetId="5" hidden="1">#REF!</definedName>
    <definedName name="BExUA6Q4K25VH452AQ3ZIRBCMS61" localSheetId="14" hidden="1">#REF!</definedName>
    <definedName name="BExUA6Q4K25VH452AQ3ZIRBCMS61" localSheetId="15" hidden="1">#REF!</definedName>
    <definedName name="BExUA6Q4K25VH452AQ3ZIRBCMS61" localSheetId="5" hidden="1">#REF!</definedName>
    <definedName name="BExUAFV4JMBSM2SKBQL9NHL0NIBS" localSheetId="14" hidden="1">#REF!</definedName>
    <definedName name="BExUAFV4JMBSM2SKBQL9NHL0NIBS" localSheetId="15" hidden="1">#REF!</definedName>
    <definedName name="BExUAFV4JMBSM2SKBQL9NHL0NIBS" localSheetId="5" hidden="1">#REF!</definedName>
    <definedName name="BExUAMWQODKBXMRH1QCMJLJBF8M7" localSheetId="14" hidden="1">#REF!</definedName>
    <definedName name="BExUAMWQODKBXMRH1QCMJLJBF8M7" localSheetId="15" hidden="1">#REF!</definedName>
    <definedName name="BExUAMWQODKBXMRH1QCMJLJBF8M7" localSheetId="5" hidden="1">#REF!</definedName>
    <definedName name="BExUARUP0MX710TNZSAA01HUEAVC" localSheetId="14" hidden="1">#REF!</definedName>
    <definedName name="BExUARUP0MX710TNZSAA01HUEAVC" localSheetId="15" hidden="1">#REF!</definedName>
    <definedName name="BExUARUP0MX710TNZSAA01HUEAVC" localSheetId="5" hidden="1">#REF!</definedName>
    <definedName name="BExUAX8WS5OPVLCDXRGKTU2QMTFO" localSheetId="14" hidden="1">#REF!</definedName>
    <definedName name="BExUAX8WS5OPVLCDXRGKTU2QMTFO" localSheetId="15" hidden="1">#REF!</definedName>
    <definedName name="BExUAX8WS5OPVLCDXRGKTU2QMTFO" localSheetId="5" hidden="1">#REF!</definedName>
    <definedName name="BExUB1FYAZ433NX9GD7WGACX5IZD" localSheetId="14" hidden="1">#REF!</definedName>
    <definedName name="BExUB1FYAZ433NX9GD7WGACX5IZD" localSheetId="15" hidden="1">#REF!</definedName>
    <definedName name="BExUB1FYAZ433NX9GD7WGACX5IZD" localSheetId="5" hidden="1">#REF!</definedName>
    <definedName name="BExUB8HLEXSBVPZ5AXNQEK96F1N4" localSheetId="14" hidden="1">#REF!</definedName>
    <definedName name="BExUB8HLEXSBVPZ5AXNQEK96F1N4" localSheetId="15" hidden="1">#REF!</definedName>
    <definedName name="BExUB8HLEXSBVPZ5AXNQEK96F1N4" localSheetId="5" hidden="1">#REF!</definedName>
    <definedName name="BExUBCDVZIEA7YT0LPSMHL5ZSERQ" localSheetId="14" hidden="1">#REF!</definedName>
    <definedName name="BExUBCDVZIEA7YT0LPSMHL5ZSERQ" localSheetId="15" hidden="1">#REF!</definedName>
    <definedName name="BExUBCDVZIEA7YT0LPSMHL5ZSERQ" localSheetId="5" hidden="1">#REF!</definedName>
    <definedName name="BExUBDA8WU087BUIMXC1U1CKA2RA" localSheetId="14" hidden="1">#REF!</definedName>
    <definedName name="BExUBDA8WU087BUIMXC1U1CKA2RA" localSheetId="15" hidden="1">#REF!</definedName>
    <definedName name="BExUBDA8WU087BUIMXC1U1CKA2RA" localSheetId="5" hidden="1">#REF!</definedName>
    <definedName name="BExUBKXBUCN760QYU7Q8GESBWOQH" localSheetId="14" hidden="1">#REF!</definedName>
    <definedName name="BExUBKXBUCN760QYU7Q8GESBWOQH" localSheetId="15" hidden="1">#REF!</definedName>
    <definedName name="BExUBKXBUCN760QYU7Q8GESBWOQH" localSheetId="5" hidden="1">#REF!</definedName>
    <definedName name="BExUBL83ED0P076RN9RJ8P1MZ299" localSheetId="14" hidden="1">#REF!</definedName>
    <definedName name="BExUBL83ED0P076RN9RJ8P1MZ299" localSheetId="15" hidden="1">#REF!</definedName>
    <definedName name="BExUBL83ED0P076RN9RJ8P1MZ299" localSheetId="5" hidden="1">#REF!</definedName>
    <definedName name="BExUC1EPS2CZ5CKFA0AQRIVRSHS8" localSheetId="14" hidden="1">#REF!</definedName>
    <definedName name="BExUC1EPS2CZ5CKFA0AQRIVRSHS8" localSheetId="15" hidden="1">#REF!</definedName>
    <definedName name="BExUC1EPS2CZ5CKFA0AQRIVRSHS8" localSheetId="5" hidden="1">#REF!</definedName>
    <definedName name="BExUC623BDYEODBN0N4DO6PJQ7NU" localSheetId="14" hidden="1">#REF!</definedName>
    <definedName name="BExUC623BDYEODBN0N4DO6PJQ7NU" localSheetId="15" hidden="1">#REF!</definedName>
    <definedName name="BExUC623BDYEODBN0N4DO6PJQ7NU" localSheetId="5" hidden="1">#REF!</definedName>
    <definedName name="BExUC8WH8TCKBB5313JGYYQ1WFLT" localSheetId="14" hidden="1">#REF!</definedName>
    <definedName name="BExUC8WH8TCKBB5313JGYYQ1WFLT" localSheetId="15" hidden="1">#REF!</definedName>
    <definedName name="BExUC8WH8TCKBB5313JGYYQ1WFLT" localSheetId="5" hidden="1">#REF!</definedName>
    <definedName name="BExUCAP7GOSYPHMQKK6719YLSDIQ" localSheetId="14" hidden="1">#REF!</definedName>
    <definedName name="BExUCAP7GOSYPHMQKK6719YLSDIQ" localSheetId="15" hidden="1">#REF!</definedName>
    <definedName name="BExUCAP7GOSYPHMQKK6719YLSDIQ" localSheetId="5" hidden="1">#REF!</definedName>
    <definedName name="BExUCFCDK6SPH86I6STXX8X3WMC4" localSheetId="14" hidden="1">#REF!</definedName>
    <definedName name="BExUCFCDK6SPH86I6STXX8X3WMC4" localSheetId="15" hidden="1">#REF!</definedName>
    <definedName name="BExUCFCDK6SPH86I6STXX8X3WMC4" localSheetId="5" hidden="1">#REF!</definedName>
    <definedName name="BExUCKL98JB87L3I6T6IFSWJNYAB" localSheetId="14" hidden="1">#REF!</definedName>
    <definedName name="BExUCKL98JB87L3I6T6IFSWJNYAB" localSheetId="15" hidden="1">#REF!</definedName>
    <definedName name="BExUCKL98JB87L3I6T6IFSWJNYAB" localSheetId="5" hidden="1">#REF!</definedName>
    <definedName name="BExUCLC6AQ5KR6LXSAXV4QQ8ASVG" localSheetId="14" hidden="1">#REF!</definedName>
    <definedName name="BExUCLC6AQ5KR6LXSAXV4QQ8ASVG" localSheetId="15" hidden="1">#REF!</definedName>
    <definedName name="BExUCLC6AQ5KR6LXSAXV4QQ8ASVG" localSheetId="5" hidden="1">#REF!</definedName>
    <definedName name="BExUD4IOJ12X3PJG5WXNNGDRCKAP" localSheetId="14" hidden="1">#REF!</definedName>
    <definedName name="BExUD4IOJ12X3PJG5WXNNGDRCKAP" localSheetId="15" hidden="1">#REF!</definedName>
    <definedName name="BExUD4IOJ12X3PJG5WXNNGDRCKAP" localSheetId="5" hidden="1">#REF!</definedName>
    <definedName name="BExUD9WX9BWK72UWVSLYZJLAY5VY" localSheetId="14" hidden="1">#REF!</definedName>
    <definedName name="BExUD9WX9BWK72UWVSLYZJLAY5VY" localSheetId="15" hidden="1">#REF!</definedName>
    <definedName name="BExUD9WX9BWK72UWVSLYZJLAY5VY" localSheetId="5" hidden="1">#REF!</definedName>
    <definedName name="BExUDEV0CYVO7Y5IQQBEJ6FUY9S6" localSheetId="14" hidden="1">#REF!</definedName>
    <definedName name="BExUDEV0CYVO7Y5IQQBEJ6FUY9S6" localSheetId="15" hidden="1">#REF!</definedName>
    <definedName name="BExUDEV0CYVO7Y5IQQBEJ6FUY9S6" localSheetId="5" hidden="1">#REF!</definedName>
    <definedName name="BExUDWOXQGIZW0EAIIYLQUPXF8YV" localSheetId="14" hidden="1">#REF!</definedName>
    <definedName name="BExUDWOXQGIZW0EAIIYLQUPXF8YV" localSheetId="15" hidden="1">#REF!</definedName>
    <definedName name="BExUDWOXQGIZW0EAIIYLQUPXF8YV" localSheetId="5" hidden="1">#REF!</definedName>
    <definedName name="BExUDXAIC17W1FUU8Z10XUAVB7CS" localSheetId="14" hidden="1">#REF!</definedName>
    <definedName name="BExUDXAIC17W1FUU8Z10XUAVB7CS" localSheetId="15" hidden="1">#REF!</definedName>
    <definedName name="BExUDXAIC17W1FUU8Z10XUAVB7CS" localSheetId="5" hidden="1">#REF!</definedName>
    <definedName name="BExUE5OMY7OAJQ9WR8C8HG311ORP" localSheetId="14" hidden="1">#REF!</definedName>
    <definedName name="BExUE5OMY7OAJQ9WR8C8HG311ORP" localSheetId="15" hidden="1">#REF!</definedName>
    <definedName name="BExUE5OMY7OAJQ9WR8C8HG311ORP" localSheetId="5" hidden="1">#REF!</definedName>
    <definedName name="BExUEFKOQWXXGRNLAOJV2BJ66UB8" localSheetId="14" hidden="1">#REF!</definedName>
    <definedName name="BExUEFKOQWXXGRNLAOJV2BJ66UB8" localSheetId="15" hidden="1">#REF!</definedName>
    <definedName name="BExUEFKOQWXXGRNLAOJV2BJ66UB8" localSheetId="5" hidden="1">#REF!</definedName>
    <definedName name="BExUEJGX3OQQP5KFRJSRCZ70EI9V" localSheetId="14" hidden="1">#REF!</definedName>
    <definedName name="BExUEJGX3OQQP5KFRJSRCZ70EI9V" localSheetId="15" hidden="1">#REF!</definedName>
    <definedName name="BExUEJGX3OQQP5KFRJSRCZ70EI9V" localSheetId="5" hidden="1">#REF!</definedName>
    <definedName name="BExUEKDB2RWXF3WMTZ6JSBCHNSDT" localSheetId="14" hidden="1">#REF!</definedName>
    <definedName name="BExUEKDB2RWXF3WMTZ6JSBCHNSDT" localSheetId="15" hidden="1">#REF!</definedName>
    <definedName name="BExUEKDB2RWXF3WMTZ6JSBCHNSDT" localSheetId="5" hidden="1">#REF!</definedName>
    <definedName name="BExUEYR71COFS2X8PDNU21IPMQEU" localSheetId="14" hidden="1">#REF!</definedName>
    <definedName name="BExUEYR71COFS2X8PDNU21IPMQEU" localSheetId="15" hidden="1">#REF!</definedName>
    <definedName name="BExUEYR71COFS2X8PDNU21IPMQEU" localSheetId="5" hidden="1">#REF!</definedName>
    <definedName name="BExVPRLJ9I6RX45EDVFSQGCPJSOK" localSheetId="14" hidden="1">#REF!</definedName>
    <definedName name="BExVPRLJ9I6RX45EDVFSQGCPJSOK" localSheetId="15" hidden="1">#REF!</definedName>
    <definedName name="BExVPRLJ9I6RX45EDVFSQGCPJSOK" localSheetId="5" hidden="1">#REF!</definedName>
    <definedName name="BExVRFU8RWFT8A80ZVAW185SG2G6" localSheetId="14" hidden="1">#REF!</definedName>
    <definedName name="BExVRFU8RWFT8A80ZVAW185SG2G6" localSheetId="15" hidden="1">#REF!</definedName>
    <definedName name="BExVRFU8RWFT8A80ZVAW185SG2G6" localSheetId="5" hidden="1">#REF!</definedName>
    <definedName name="BExVSJ3NHETBAIZTZQSM8LAVT76V" localSheetId="14" hidden="1">#REF!</definedName>
    <definedName name="BExVSJ3NHETBAIZTZQSM8LAVT76V" localSheetId="15" hidden="1">#REF!</definedName>
    <definedName name="BExVSJ3NHETBAIZTZQSM8LAVT76V" localSheetId="5" hidden="1">#REF!</definedName>
    <definedName name="BExVSL787C8E4HFQZ2NVLT35I2XV" localSheetId="14" hidden="1">#REF!</definedName>
    <definedName name="BExVSL787C8E4HFQZ2NVLT35I2XV" localSheetId="15" hidden="1">#REF!</definedName>
    <definedName name="BExVSL787C8E4HFQZ2NVLT35I2XV" localSheetId="5" hidden="1">#REF!</definedName>
    <definedName name="BExVSTFTVV14SFGHQUOJL5SQ5TX9" localSheetId="14" hidden="1">#REF!</definedName>
    <definedName name="BExVSTFTVV14SFGHQUOJL5SQ5TX9" localSheetId="15" hidden="1">#REF!</definedName>
    <definedName name="BExVSTFTVV14SFGHQUOJL5SQ5TX9" localSheetId="5" hidden="1">#REF!</definedName>
    <definedName name="BExVT017S14M5X928ARKQ2GNUFE0" localSheetId="14" hidden="1">#REF!</definedName>
    <definedName name="BExVT017S14M5X928ARKQ2GNUFE0" localSheetId="15" hidden="1">#REF!</definedName>
    <definedName name="BExVT017S14M5X928ARKQ2GNUFE0" localSheetId="5" hidden="1">#REF!</definedName>
    <definedName name="BExVT3MPE8LQ5JFN3HQIFKSQ80U4" localSheetId="14" hidden="1">#REF!</definedName>
    <definedName name="BExVT3MPE8LQ5JFN3HQIFKSQ80U4" localSheetId="15" hidden="1">#REF!</definedName>
    <definedName name="BExVT3MPE8LQ5JFN3HQIFKSQ80U4" localSheetId="5" hidden="1">#REF!</definedName>
    <definedName name="BExVT7TRK3NZHPME2TFBXOF1WBR9" localSheetId="14" hidden="1">#REF!</definedName>
    <definedName name="BExVT7TRK3NZHPME2TFBXOF1WBR9" localSheetId="15" hidden="1">#REF!</definedName>
    <definedName name="BExVT7TRK3NZHPME2TFBXOF1WBR9" localSheetId="5" hidden="1">#REF!</definedName>
    <definedName name="BExVT9H0R0T7WGQAAC0HABMG54YM" localSheetId="14" hidden="1">#REF!</definedName>
    <definedName name="BExVT9H0R0T7WGQAAC0HABMG54YM" localSheetId="15" hidden="1">#REF!</definedName>
    <definedName name="BExVT9H0R0T7WGQAAC0HABMG54YM" localSheetId="5" hidden="1">#REF!</definedName>
    <definedName name="BExVTAO57POUXSZQJQ6MABMZQA13" localSheetId="14" hidden="1">#REF!</definedName>
    <definedName name="BExVTAO57POUXSZQJQ6MABMZQA13" localSheetId="15" hidden="1">#REF!</definedName>
    <definedName name="BExVTAO57POUXSZQJQ6MABMZQA13" localSheetId="5" hidden="1">#REF!</definedName>
    <definedName name="BExVTCMDDEDGLUIMUU6BSFHEWTOP" localSheetId="14" hidden="1">#REF!</definedName>
    <definedName name="BExVTCMDDEDGLUIMUU6BSFHEWTOP" localSheetId="15" hidden="1">#REF!</definedName>
    <definedName name="BExVTCMDDEDGLUIMUU6BSFHEWTOP" localSheetId="5" hidden="1">#REF!</definedName>
    <definedName name="BExVTCMDQMLKRA2NQR72XU6Y54IK" localSheetId="14" hidden="1">#REF!</definedName>
    <definedName name="BExVTCMDQMLKRA2NQR72XU6Y54IK" localSheetId="15" hidden="1">#REF!</definedName>
    <definedName name="BExVTCMDQMLKRA2NQR72XU6Y54IK" localSheetId="5" hidden="1">#REF!</definedName>
    <definedName name="BExVTCRV8FQ5U9OYWWL44N6KFNHU" localSheetId="14" hidden="1">#REF!</definedName>
    <definedName name="BExVTCRV8FQ5U9OYWWL44N6KFNHU" localSheetId="15" hidden="1">#REF!</definedName>
    <definedName name="BExVTCRV8FQ5U9OYWWL44N6KFNHU" localSheetId="5" hidden="1">#REF!</definedName>
    <definedName name="BExVTNESHPVG0A0KZ7BRX26MS0PF" localSheetId="14" hidden="1">#REF!</definedName>
    <definedName name="BExVTNESHPVG0A0KZ7BRX26MS0PF" localSheetId="15" hidden="1">#REF!</definedName>
    <definedName name="BExVTNESHPVG0A0KZ7BRX26MS0PF" localSheetId="5" hidden="1">#REF!</definedName>
    <definedName name="BExVTTJVTNRSBHBTUZ78WG2JM5MK" localSheetId="14" hidden="1">#REF!</definedName>
    <definedName name="BExVTTJVTNRSBHBTUZ78WG2JM5MK" localSheetId="15" hidden="1">#REF!</definedName>
    <definedName name="BExVTTJVTNRSBHBTUZ78WG2JM5MK" localSheetId="5" hidden="1">#REF!</definedName>
    <definedName name="BExVTXLMYR87BC04D1ERALPUFVPG" localSheetId="14" hidden="1">#REF!</definedName>
    <definedName name="BExVTXLMYR87BC04D1ERALPUFVPG" localSheetId="15" hidden="1">#REF!</definedName>
    <definedName name="BExVTXLMYR87BC04D1ERALPUFVPG" localSheetId="5" hidden="1">#REF!</definedName>
    <definedName name="BExVUL9V3H8ZF6Y72LQBBN639YAA" localSheetId="14" hidden="1">#REF!</definedName>
    <definedName name="BExVUL9V3H8ZF6Y72LQBBN639YAA" localSheetId="15" hidden="1">#REF!</definedName>
    <definedName name="BExVUL9V3H8ZF6Y72LQBBN639YAA" localSheetId="5" hidden="1">#REF!</definedName>
    <definedName name="BExVUZT95UAU8XG5X9XSE25CHQGA" localSheetId="14" hidden="1">#REF!</definedName>
    <definedName name="BExVUZT95UAU8XG5X9XSE25CHQGA" localSheetId="15" hidden="1">#REF!</definedName>
    <definedName name="BExVUZT95UAU8XG5X9XSE25CHQGA" localSheetId="5" hidden="1">#REF!</definedName>
    <definedName name="BExVV5T14N2HZIK7HQ4P2KG09U0J" localSheetId="14" hidden="1">#REF!</definedName>
    <definedName name="BExVV5T14N2HZIK7HQ4P2KG09U0J" localSheetId="15" hidden="1">#REF!</definedName>
    <definedName name="BExVV5T14N2HZIK7HQ4P2KG09U0J" localSheetId="5" hidden="1">#REF!</definedName>
    <definedName name="BExVV7R410VYLADLX9LNG63ID6H1" localSheetId="14" hidden="1">#REF!</definedName>
    <definedName name="BExVV7R410VYLADLX9LNG63ID6H1" localSheetId="15" hidden="1">#REF!</definedName>
    <definedName name="BExVV7R410VYLADLX9LNG63ID6H1" localSheetId="5" hidden="1">#REF!</definedName>
    <definedName name="BExVVAAVDXGWAVI6J2W0BCU58MBM" localSheetId="14" hidden="1">#REF!</definedName>
    <definedName name="BExVVAAVDXGWAVI6J2W0BCU58MBM" localSheetId="15" hidden="1">#REF!</definedName>
    <definedName name="BExVVAAVDXGWAVI6J2W0BCU58MBM" localSheetId="5" hidden="1">#REF!</definedName>
    <definedName name="BExVVCEED4JEKF59OV0G3T4XFMFO" localSheetId="14" hidden="1">#REF!</definedName>
    <definedName name="BExVVCEED4JEKF59OV0G3T4XFMFO" localSheetId="15" hidden="1">#REF!</definedName>
    <definedName name="BExVVCEED4JEKF59OV0G3T4XFMFO" localSheetId="5" hidden="1">#REF!</definedName>
    <definedName name="BExVVPFO2J7FMSRPD36909HN4BZJ" localSheetId="14" hidden="1">#REF!</definedName>
    <definedName name="BExVVPFO2J7FMSRPD36909HN4BZJ" localSheetId="15" hidden="1">#REF!</definedName>
    <definedName name="BExVVPFO2J7FMSRPD36909HN4BZJ" localSheetId="5" hidden="1">#REF!</definedName>
    <definedName name="BExVVQ19AQ3VCARJOC38SF7OYE9Y" localSheetId="14" hidden="1">#REF!</definedName>
    <definedName name="BExVVQ19AQ3VCARJOC38SF7OYE9Y" localSheetId="15" hidden="1">#REF!</definedName>
    <definedName name="BExVVQ19AQ3VCARJOC38SF7OYE9Y" localSheetId="5" hidden="1">#REF!</definedName>
    <definedName name="BExVVQ19TAECID45CS4HXT1RD3AQ" localSheetId="14" hidden="1">#REF!</definedName>
    <definedName name="BExVVQ19TAECID45CS4HXT1RD3AQ" localSheetId="15" hidden="1">#REF!</definedName>
    <definedName name="BExVVQ19TAECID45CS4HXT1RD3AQ" localSheetId="5" hidden="1">#REF!</definedName>
    <definedName name="BExVVYKOYB7OX8Y0B4UIUF79PVDO" localSheetId="14" hidden="1">#REF!</definedName>
    <definedName name="BExVVYKOYB7OX8Y0B4UIUF79PVDO" localSheetId="15" hidden="1">#REF!</definedName>
    <definedName name="BExVVYKOYB7OX8Y0B4UIUF79PVDO" localSheetId="5" hidden="1">#REF!</definedName>
    <definedName name="BExVW3YV5XGIVJ97UUPDJGJ2P15B" localSheetId="14" hidden="1">#REF!</definedName>
    <definedName name="BExVW3YV5XGIVJ97UUPDJGJ2P15B" localSheetId="15" hidden="1">#REF!</definedName>
    <definedName name="BExVW3YV5XGIVJ97UUPDJGJ2P15B" localSheetId="5" hidden="1">#REF!</definedName>
    <definedName name="BExVW5X571GEYR5SCU1Z2DHKWM79" localSheetId="14" hidden="1">#REF!</definedName>
    <definedName name="BExVW5X571GEYR5SCU1Z2DHKWM79" localSheetId="15" hidden="1">#REF!</definedName>
    <definedName name="BExVW5X571GEYR5SCU1Z2DHKWM79" localSheetId="5" hidden="1">#REF!</definedName>
    <definedName name="BExVW6YTKA098AF57M4PHNQ54XMH" localSheetId="14" hidden="1">#REF!</definedName>
    <definedName name="BExVW6YTKA098AF57M4PHNQ54XMH" localSheetId="15" hidden="1">#REF!</definedName>
    <definedName name="BExVW6YTKA098AF57M4PHNQ54XMH" localSheetId="5" hidden="1">#REF!</definedName>
    <definedName name="BExVWHRDIJBRFANMKJFY05BHP7RS" localSheetId="14" hidden="1">#REF!</definedName>
    <definedName name="BExVWHRDIJBRFANMKJFY05BHP7RS" localSheetId="15" hidden="1">#REF!</definedName>
    <definedName name="BExVWHRDIJBRFANMKJFY05BHP7RS" localSheetId="5" hidden="1">#REF!</definedName>
    <definedName name="BExVWINKCH0V0NUWH363SMXAZE62" localSheetId="14" hidden="1">#REF!</definedName>
    <definedName name="BExVWINKCH0V0NUWH363SMXAZE62" localSheetId="15" hidden="1">#REF!</definedName>
    <definedName name="BExVWINKCH0V0NUWH363SMXAZE62" localSheetId="5" hidden="1">#REF!</definedName>
    <definedName name="BExVWYU8EK669NP172GEIGCTVPPA" localSheetId="14" hidden="1">#REF!</definedName>
    <definedName name="BExVWYU8EK669NP172GEIGCTVPPA" localSheetId="15" hidden="1">#REF!</definedName>
    <definedName name="BExVWYU8EK669NP172GEIGCTVPPA" localSheetId="5" hidden="1">#REF!</definedName>
    <definedName name="BExVX3XN2DRJKL8EDBIG58RYQ36R" localSheetId="14" hidden="1">#REF!</definedName>
    <definedName name="BExVX3XN2DRJKL8EDBIG58RYQ36R" localSheetId="15" hidden="1">#REF!</definedName>
    <definedName name="BExVX3XN2DRJKL8EDBIG58RYQ36R" localSheetId="5" hidden="1">#REF!</definedName>
    <definedName name="BExVXBA38Z5WNQUH39HHZ2SAMC1T" localSheetId="14" hidden="1">#REF!</definedName>
    <definedName name="BExVXBA38Z5WNQUH39HHZ2SAMC1T" localSheetId="15" hidden="1">#REF!</definedName>
    <definedName name="BExVXBA38Z5WNQUH39HHZ2SAMC1T" localSheetId="5" hidden="1">#REF!</definedName>
    <definedName name="BExVXDZ63PUART77BBR5SI63TPC6" localSheetId="14" hidden="1">#REF!</definedName>
    <definedName name="BExVXDZ63PUART77BBR5SI63TPC6" localSheetId="15" hidden="1">#REF!</definedName>
    <definedName name="BExVXDZ63PUART77BBR5SI63TPC6" localSheetId="5" hidden="1">#REF!</definedName>
    <definedName name="BExVXHKI6LFYMGWISMPACMO247HL" localSheetId="14" hidden="1">#REF!</definedName>
    <definedName name="BExVXHKI6LFYMGWISMPACMO247HL" localSheetId="15" hidden="1">#REF!</definedName>
    <definedName name="BExVXHKI6LFYMGWISMPACMO247HL" localSheetId="5" hidden="1">#REF!</definedName>
    <definedName name="BExVXK9SK580O7MYHVNJ3V911ALP" localSheetId="14" hidden="1">#REF!</definedName>
    <definedName name="BExVXK9SK580O7MYHVNJ3V911ALP" localSheetId="15" hidden="1">#REF!</definedName>
    <definedName name="BExVXK9SK580O7MYHVNJ3V911ALP" localSheetId="5" hidden="1">#REF!</definedName>
    <definedName name="BExVXLX2BZ5EF2X6R41BTKRJR1NM" localSheetId="14" hidden="1">#REF!</definedName>
    <definedName name="BExVXLX2BZ5EF2X6R41BTKRJR1NM" localSheetId="15" hidden="1">#REF!</definedName>
    <definedName name="BExVXLX2BZ5EF2X6R41BTKRJR1NM" localSheetId="5" hidden="1">#REF!</definedName>
    <definedName name="BExVXYT01U5IPYA7E44FWS6KCEFC" localSheetId="14" hidden="1">#REF!</definedName>
    <definedName name="BExVXYT01U5IPYA7E44FWS6KCEFC" localSheetId="15" hidden="1">#REF!</definedName>
    <definedName name="BExVXYT01U5IPYA7E44FWS6KCEFC" localSheetId="5" hidden="1">#REF!</definedName>
    <definedName name="BExVY11V7U1SAY4QKYE0PBSPD7LW" localSheetId="14" hidden="1">#REF!</definedName>
    <definedName name="BExVY11V7U1SAY4QKYE0PBSPD7LW" localSheetId="15" hidden="1">#REF!</definedName>
    <definedName name="BExVY11V7U1SAY4QKYE0PBSPD7LW" localSheetId="5" hidden="1">#REF!</definedName>
    <definedName name="BExVY1SV37DL5YU59HS4IG3VBCP4" localSheetId="14" hidden="1">#REF!</definedName>
    <definedName name="BExVY1SV37DL5YU59HS4IG3VBCP4" localSheetId="15" hidden="1">#REF!</definedName>
    <definedName name="BExVY1SV37DL5YU59HS4IG3VBCP4" localSheetId="5" hidden="1">#REF!</definedName>
    <definedName name="BExVY3WFGJKSQA08UF9NCMST928Y" localSheetId="14" hidden="1">#REF!</definedName>
    <definedName name="BExVY3WFGJKSQA08UF9NCMST928Y" localSheetId="15" hidden="1">#REF!</definedName>
    <definedName name="BExVY3WFGJKSQA08UF9NCMST928Y" localSheetId="5" hidden="1">#REF!</definedName>
    <definedName name="BExVY954UOEVQEIC5OFO4NEWVKAQ" localSheetId="14" hidden="1">#REF!</definedName>
    <definedName name="BExVY954UOEVQEIC5OFO4NEWVKAQ" localSheetId="15" hidden="1">#REF!</definedName>
    <definedName name="BExVY954UOEVQEIC5OFO4NEWVKAQ" localSheetId="5" hidden="1">#REF!</definedName>
    <definedName name="BExVYHDYIV5397LC02V4FEP8VD6W" localSheetId="14" hidden="1">#REF!</definedName>
    <definedName name="BExVYHDYIV5397LC02V4FEP8VD6W" localSheetId="15" hidden="1">#REF!</definedName>
    <definedName name="BExVYHDYIV5397LC02V4FEP8VD6W" localSheetId="5" hidden="1">#REF!</definedName>
    <definedName name="BExVYO4NFDGC4ZOGHANQWX5CH4BT" localSheetId="14" hidden="1">#REF!</definedName>
    <definedName name="BExVYO4NFDGC4ZOGHANQWX5CH4BT" localSheetId="15" hidden="1">#REF!</definedName>
    <definedName name="BExVYO4NFDGC4ZOGHANQWX5CH4BT" localSheetId="5" hidden="1">#REF!</definedName>
    <definedName name="BExVYOVIZDA18YIQ0A30Q052PCAK" localSheetId="14" hidden="1">#REF!</definedName>
    <definedName name="BExVYOVIZDA18YIQ0A30Q052PCAK" localSheetId="15" hidden="1">#REF!</definedName>
    <definedName name="BExVYOVIZDA18YIQ0A30Q052PCAK" localSheetId="5" hidden="1">#REF!</definedName>
    <definedName name="BExVYPS2R6B75R1EFIUJ6G5TE4Q4" localSheetId="14" hidden="1">#REF!</definedName>
    <definedName name="BExVYPS2R6B75R1EFIUJ6G5TE4Q4" localSheetId="15" hidden="1">#REF!</definedName>
    <definedName name="BExVYPS2R6B75R1EFIUJ6G5TE4Q4" localSheetId="5" hidden="1">#REF!</definedName>
    <definedName name="BExVYQIXPEM6J4JVP78BRHIC05PV" localSheetId="14" hidden="1">#REF!</definedName>
    <definedName name="BExVYQIXPEM6J4JVP78BRHIC05PV" localSheetId="15" hidden="1">#REF!</definedName>
    <definedName name="BExVYQIXPEM6J4JVP78BRHIC05PV" localSheetId="5" hidden="1">#REF!</definedName>
    <definedName name="BExVYVGWN7SONLVDH9WJ2F1JS264" localSheetId="14" hidden="1">#REF!</definedName>
    <definedName name="BExVYVGWN7SONLVDH9WJ2F1JS264" localSheetId="15" hidden="1">#REF!</definedName>
    <definedName name="BExVYVGWN7SONLVDH9WJ2F1JS264" localSheetId="5" hidden="1">#REF!</definedName>
    <definedName name="BExVZ40HNAZRM8JHYYNQ7F6A4GU0" localSheetId="14" hidden="1">#REF!</definedName>
    <definedName name="BExVZ40HNAZRM8JHYYNQ7F6A4GU0" localSheetId="15" hidden="1">#REF!</definedName>
    <definedName name="BExVZ40HNAZRM8JHYYNQ7F6A4GU0" localSheetId="5" hidden="1">#REF!</definedName>
    <definedName name="BExVZ7WRO17PYILJEJGPQCO5IL66" localSheetId="14" hidden="1">#REF!</definedName>
    <definedName name="BExVZ7WRO17PYILJEJGPQCO5IL66" localSheetId="15" hidden="1">#REF!</definedName>
    <definedName name="BExVZ7WRO17PYILJEJGPQCO5IL66" localSheetId="5" hidden="1">#REF!</definedName>
    <definedName name="BExVZ9EO732IK6MNMG17Y1EFTJQC" localSheetId="14" hidden="1">#REF!</definedName>
    <definedName name="BExVZ9EO732IK6MNMG17Y1EFTJQC" localSheetId="15" hidden="1">#REF!</definedName>
    <definedName name="BExVZ9EO732IK6MNMG17Y1EFTJQC" localSheetId="5" hidden="1">#REF!</definedName>
    <definedName name="BExVZB1Y5J4UL2LKK0363EU7GIJ1" localSheetId="14" hidden="1">#REF!</definedName>
    <definedName name="BExVZB1Y5J4UL2LKK0363EU7GIJ1" localSheetId="15" hidden="1">#REF!</definedName>
    <definedName name="BExVZB1Y5J4UL2LKK0363EU7GIJ1" localSheetId="5" hidden="1">#REF!</definedName>
    <definedName name="BExVZGQXYK2ICC9JSNFPRHBD5KNU" localSheetId="14" hidden="1">#REF!</definedName>
    <definedName name="BExVZGQXYK2ICC9JSNFPRHBD5KNU" localSheetId="15" hidden="1">#REF!</definedName>
    <definedName name="BExVZGQXYK2ICC9JSNFPRHBD5KNU" localSheetId="5" hidden="1">#REF!</definedName>
    <definedName name="BExVZJQVO5LQ0BJH5JEN5NOBIAF6" localSheetId="14" hidden="1">#REF!</definedName>
    <definedName name="BExVZJQVO5LQ0BJH5JEN5NOBIAF6" localSheetId="15" hidden="1">#REF!</definedName>
    <definedName name="BExVZJQVO5LQ0BJH5JEN5NOBIAF6" localSheetId="5" hidden="1">#REF!</definedName>
    <definedName name="BExVZNXWS91RD7NXV5NE2R3C8WW7" localSheetId="14" hidden="1">#REF!</definedName>
    <definedName name="BExVZNXWS91RD7NXV5NE2R3C8WW7" localSheetId="15" hidden="1">#REF!</definedName>
    <definedName name="BExVZNXWS91RD7NXV5NE2R3C8WW7" localSheetId="5" hidden="1">#REF!</definedName>
    <definedName name="BExW008AGT1ZRN5DFG4YOH5F7G47" localSheetId="14" hidden="1">#REF!</definedName>
    <definedName name="BExW008AGT1ZRN5DFG4YOH5F7G47" localSheetId="15" hidden="1">#REF!</definedName>
    <definedName name="BExW008AGT1ZRN5DFG4YOH5F7G47" localSheetId="5" hidden="1">#REF!</definedName>
    <definedName name="BExW0386REQRCQCVT9BCX80UPTRY" localSheetId="14" hidden="1">#REF!</definedName>
    <definedName name="BExW0386REQRCQCVT9BCX80UPTRY" localSheetId="15" hidden="1">#REF!</definedName>
    <definedName name="BExW0386REQRCQCVT9BCX80UPTRY" localSheetId="5" hidden="1">#REF!</definedName>
    <definedName name="BExW0FYP4WXY71CYUG40SUBG9UWU" localSheetId="14" hidden="1">#REF!</definedName>
    <definedName name="BExW0FYP4WXY71CYUG40SUBG9UWU" localSheetId="15" hidden="1">#REF!</definedName>
    <definedName name="BExW0FYP4WXY71CYUG40SUBG9UWU" localSheetId="5" hidden="1">#REF!</definedName>
    <definedName name="BExW0MPJNQOJ7D6U780WU5XBL97X" localSheetId="14" hidden="1">#REF!</definedName>
    <definedName name="BExW0MPJNQOJ7D6U780WU5XBL97X" localSheetId="15" hidden="1">#REF!</definedName>
    <definedName name="BExW0MPJNQOJ7D6U780WU5XBL97X" localSheetId="5" hidden="1">#REF!</definedName>
    <definedName name="BExW0RI61B4VV0ARXTFVBAWRA1C5" localSheetId="14" hidden="1">#REF!</definedName>
    <definedName name="BExW0RI61B4VV0ARXTFVBAWRA1C5" localSheetId="15" hidden="1">#REF!</definedName>
    <definedName name="BExW0RI61B4VV0ARXTFVBAWRA1C5" localSheetId="5" hidden="1">#REF!</definedName>
    <definedName name="BExW0Y8T85LBE0WS6FPX6ILTX9ON" localSheetId="14" hidden="1">#REF!</definedName>
    <definedName name="BExW0Y8T85LBE0WS6FPX6ILTX9ON" localSheetId="15" hidden="1">#REF!</definedName>
    <definedName name="BExW0Y8T85LBE0WS6FPX6ILTX9ON" localSheetId="5" hidden="1">#REF!</definedName>
    <definedName name="BExW1BVUYQTKMOR56MW7RVRX4L1L" localSheetId="14" hidden="1">#REF!</definedName>
    <definedName name="BExW1BVUYQTKMOR56MW7RVRX4L1L" localSheetId="15" hidden="1">#REF!</definedName>
    <definedName name="BExW1BVUYQTKMOR56MW7RVRX4L1L" localSheetId="5" hidden="1">#REF!</definedName>
    <definedName name="BExW1F1220628FOMTW5UAATHRJHK" localSheetId="14" hidden="1">#REF!</definedName>
    <definedName name="BExW1F1220628FOMTW5UAATHRJHK" localSheetId="15" hidden="1">#REF!</definedName>
    <definedName name="BExW1F1220628FOMTW5UAATHRJHK" localSheetId="5" hidden="1">#REF!</definedName>
    <definedName name="BExW1PTHB0NZUF0GTD2J1UUL693E" localSheetId="14" hidden="1">#REF!</definedName>
    <definedName name="BExW1PTHB0NZUF0GTD2J1UUL693E" localSheetId="15" hidden="1">#REF!</definedName>
    <definedName name="BExW1PTHB0NZUF0GTD2J1UUL693E" localSheetId="5" hidden="1">#REF!</definedName>
    <definedName name="BExW1TKA0Z9OP2DTG50GZR5EG8C7" localSheetId="14" hidden="1">#REF!</definedName>
    <definedName name="BExW1TKA0Z9OP2DTG50GZR5EG8C7" localSheetId="15" hidden="1">#REF!</definedName>
    <definedName name="BExW1TKA0Z9OP2DTG50GZR5EG8C7" localSheetId="5" hidden="1">#REF!</definedName>
    <definedName name="BExW1U0JLKQ094DW5MMOI8UHO09V" localSheetId="14" hidden="1">#REF!</definedName>
    <definedName name="BExW1U0JLKQ094DW5MMOI8UHO09V" localSheetId="15" hidden="1">#REF!</definedName>
    <definedName name="BExW1U0JLKQ094DW5MMOI8UHO09V" localSheetId="5" hidden="1">#REF!</definedName>
    <definedName name="BExW1WK6J1TDP29S3QDPTYZJBLIW" localSheetId="14" hidden="1">#REF!</definedName>
    <definedName name="BExW1WK6J1TDP29S3QDPTYZJBLIW" localSheetId="15" hidden="1">#REF!</definedName>
    <definedName name="BExW1WK6J1TDP29S3QDPTYZJBLIW" localSheetId="5" hidden="1">#REF!</definedName>
    <definedName name="BExW283NP9D366XFPXLGSCI5UB0L" localSheetId="14" hidden="1">#REF!</definedName>
    <definedName name="BExW283NP9D366XFPXLGSCI5UB0L" localSheetId="15" hidden="1">#REF!</definedName>
    <definedName name="BExW283NP9D366XFPXLGSCI5UB0L" localSheetId="5" hidden="1">#REF!</definedName>
    <definedName name="BExW2H3C8WJSBW5FGTFKVDVJC4CL" localSheetId="14" hidden="1">#REF!</definedName>
    <definedName name="BExW2H3C8WJSBW5FGTFKVDVJC4CL" localSheetId="15" hidden="1">#REF!</definedName>
    <definedName name="BExW2H3C8WJSBW5FGTFKVDVJC4CL" localSheetId="5" hidden="1">#REF!</definedName>
    <definedName name="BExW2MSCKPGF5K3I7TL4KF5ISUOL" localSheetId="14" hidden="1">#REF!</definedName>
    <definedName name="BExW2MSCKPGF5K3I7TL4KF5ISUOL" localSheetId="15" hidden="1">#REF!</definedName>
    <definedName name="BExW2MSCKPGF5K3I7TL4KF5ISUOL" localSheetId="5" hidden="1">#REF!</definedName>
    <definedName name="BExW2SMO90FU9W8DVVES6Q4E6BZR" localSheetId="14" hidden="1">#REF!</definedName>
    <definedName name="BExW2SMO90FU9W8DVVES6Q4E6BZR" localSheetId="15" hidden="1">#REF!</definedName>
    <definedName name="BExW2SMO90FU9W8DVVES6Q4E6BZR" localSheetId="5" hidden="1">#REF!</definedName>
    <definedName name="BExW36V9N91OHCUMGWJQL3I5P4JK" localSheetId="14" hidden="1">#REF!</definedName>
    <definedName name="BExW36V9N91OHCUMGWJQL3I5P4JK" localSheetId="15" hidden="1">#REF!</definedName>
    <definedName name="BExW36V9N91OHCUMGWJQL3I5P4JK" localSheetId="5" hidden="1">#REF!</definedName>
    <definedName name="BExW39V04HTFFQE7DAW9MAJT0NNF" localSheetId="14" hidden="1">#REF!</definedName>
    <definedName name="BExW39V04HTFFQE7DAW9MAJT0NNF" localSheetId="15" hidden="1">#REF!</definedName>
    <definedName name="BExW39V04HTFFQE7DAW9MAJT0NNF" localSheetId="5" hidden="1">#REF!</definedName>
    <definedName name="BExW3ECU6QPMV99AITCPHAG0CGYK" localSheetId="14" hidden="1">#REF!</definedName>
    <definedName name="BExW3ECU6QPMV99AITCPHAG0CGYK" localSheetId="15" hidden="1">#REF!</definedName>
    <definedName name="BExW3ECU6QPMV99AITCPHAG0CGYK" localSheetId="5" hidden="1">#REF!</definedName>
    <definedName name="BExW3EIBA1J9Q9NA9VCGZGRS8WV7" localSheetId="14" hidden="1">#REF!</definedName>
    <definedName name="BExW3EIBA1J9Q9NA9VCGZGRS8WV7" localSheetId="15" hidden="1">#REF!</definedName>
    <definedName name="BExW3EIBA1J9Q9NA9VCGZGRS8WV7" localSheetId="5" hidden="1">#REF!</definedName>
    <definedName name="BExW3FEO8FI8N6AGQKYEG4SQVJWB" localSheetId="14" hidden="1">#REF!</definedName>
    <definedName name="BExW3FEO8FI8N6AGQKYEG4SQVJWB" localSheetId="15" hidden="1">#REF!</definedName>
    <definedName name="BExW3FEO8FI8N6AGQKYEG4SQVJWB" localSheetId="5" hidden="1">#REF!</definedName>
    <definedName name="BExW3GB28STOMJUSZEIA7YKYNS4Y" localSheetId="14" hidden="1">#REF!</definedName>
    <definedName name="BExW3GB28STOMJUSZEIA7YKYNS4Y" localSheetId="15" hidden="1">#REF!</definedName>
    <definedName name="BExW3GB28STOMJUSZEIA7YKYNS4Y" localSheetId="5" hidden="1">#REF!</definedName>
    <definedName name="BExW3T1K638HT5E0Y8MMK108P5JT" localSheetId="14" hidden="1">#REF!</definedName>
    <definedName name="BExW3T1K638HT5E0Y8MMK108P5JT" localSheetId="15" hidden="1">#REF!</definedName>
    <definedName name="BExW3T1K638HT5E0Y8MMK108P5JT" localSheetId="5" hidden="1">#REF!</definedName>
    <definedName name="BExW3U3D6FTAFTK3Q7DSA9FY454Q" localSheetId="14" hidden="1">#REF!</definedName>
    <definedName name="BExW3U3D6FTAFTK3Q7DSA9FY454Q" localSheetId="15" hidden="1">#REF!</definedName>
    <definedName name="BExW3U3D6FTAFTK3Q7DSA9FY454Q" localSheetId="5" hidden="1">#REF!</definedName>
    <definedName name="BExW4217ZHL9VO39POSTJOD090WU" localSheetId="14" hidden="1">#REF!</definedName>
    <definedName name="BExW4217ZHL9VO39POSTJOD090WU" localSheetId="15" hidden="1">#REF!</definedName>
    <definedName name="BExW4217ZHL9VO39POSTJOD090WU" localSheetId="5" hidden="1">#REF!</definedName>
    <definedName name="BExW4GPW71EBF8XPS2QGVQHBCDX3" localSheetId="14" hidden="1">#REF!</definedName>
    <definedName name="BExW4GPW71EBF8XPS2QGVQHBCDX3" localSheetId="15" hidden="1">#REF!</definedName>
    <definedName name="BExW4GPW71EBF8XPS2QGVQHBCDX3" localSheetId="5" hidden="1">#REF!</definedName>
    <definedName name="BExW4JKC5837JBPCOJV337ZVYYY3" localSheetId="14" hidden="1">#REF!</definedName>
    <definedName name="BExW4JKC5837JBPCOJV337ZVYYY3" localSheetId="15" hidden="1">#REF!</definedName>
    <definedName name="BExW4JKC5837JBPCOJV337ZVYYY3" localSheetId="5" hidden="1">#REF!</definedName>
    <definedName name="BExW4O2DBZGV8KGBO9EB4BAXIH4Y" localSheetId="14" hidden="1">#REF!</definedName>
    <definedName name="BExW4O2DBZGV8KGBO9EB4BAXIH4Y" localSheetId="15" hidden="1">#REF!</definedName>
    <definedName name="BExW4O2DBZGV8KGBO9EB4BAXIH4Y" localSheetId="5" hidden="1">#REF!</definedName>
    <definedName name="BExW4QR9FV9MP5K610THBSM51RYO" localSheetId="14" hidden="1">#REF!</definedName>
    <definedName name="BExW4QR9FV9MP5K610THBSM51RYO" localSheetId="15" hidden="1">#REF!</definedName>
    <definedName name="BExW4QR9FV9MP5K610THBSM51RYO" localSheetId="5" hidden="1">#REF!</definedName>
    <definedName name="BExW4Z029R9E19ZENN3WEA3VDAD1" localSheetId="14" hidden="1">#REF!</definedName>
    <definedName name="BExW4Z029R9E19ZENN3WEA3VDAD1" localSheetId="15" hidden="1">#REF!</definedName>
    <definedName name="BExW4Z029R9E19ZENN3WEA3VDAD1" localSheetId="5" hidden="1">#REF!</definedName>
    <definedName name="BExW53SPLW3K0Y0ZVTM4NYF1B2YH" localSheetId="14" hidden="1">#REF!</definedName>
    <definedName name="BExW53SPLW3K0Y0ZVTM4NYF1B2YH" localSheetId="15" hidden="1">#REF!</definedName>
    <definedName name="BExW53SPLW3K0Y0ZVTM4NYF1B2YH" localSheetId="5" hidden="1">#REF!</definedName>
    <definedName name="BExW591F7X34FVKJ2OUT09PFUW1B" localSheetId="14" hidden="1">#REF!</definedName>
    <definedName name="BExW591F7X34FVKJ2OUT09PFUW1B" localSheetId="15" hidden="1">#REF!</definedName>
    <definedName name="BExW591F7X34FVKJ2OUT09PFUW1B" localSheetId="5" hidden="1">#REF!</definedName>
    <definedName name="BExW5AZNT6IAZGNF2C879ODHY1B8" localSheetId="14" hidden="1">#REF!</definedName>
    <definedName name="BExW5AZNT6IAZGNF2C879ODHY1B8" localSheetId="15" hidden="1">#REF!</definedName>
    <definedName name="BExW5AZNT6IAZGNF2C879ODHY1B8" localSheetId="5" hidden="1">#REF!</definedName>
    <definedName name="BExW5F6OUXHEWQU5VYE7W7P8DD78" localSheetId="14" hidden="1">#REF!</definedName>
    <definedName name="BExW5F6OUXHEWQU5VYE7W7P8DD78" localSheetId="15" hidden="1">#REF!</definedName>
    <definedName name="BExW5F6OUXHEWQU5VYE7W7P8DD78" localSheetId="5" hidden="1">#REF!</definedName>
    <definedName name="BExW5WPU27WD4NWZOT0ZEJIDLX5J" localSheetId="14" hidden="1">#REF!</definedName>
    <definedName name="BExW5WPU27WD4NWZOT0ZEJIDLX5J" localSheetId="15" hidden="1">#REF!</definedName>
    <definedName name="BExW5WPU27WD4NWZOT0ZEJIDLX5J" localSheetId="5" hidden="1">#REF!</definedName>
    <definedName name="BExW5YD97EMSUYC4KDEFH1FB4FY3" localSheetId="14" hidden="1">#REF!</definedName>
    <definedName name="BExW5YD97EMSUYC4KDEFH1FB4FY3" localSheetId="15" hidden="1">#REF!</definedName>
    <definedName name="BExW5YD97EMSUYC4KDEFH1FB4FY3" localSheetId="5" hidden="1">#REF!</definedName>
    <definedName name="BExW5Z469DSRWTA6T0KVLA7SMIPL" localSheetId="14" hidden="1">#REF!</definedName>
    <definedName name="BExW5Z469DSRWTA6T0KVLA7SMIPL" localSheetId="15" hidden="1">#REF!</definedName>
    <definedName name="BExW5Z469DSRWTA6T0KVLA7SMIPL" localSheetId="5" hidden="1">#REF!</definedName>
    <definedName name="BExW62ETJAPBX5X53FTGUCHZXI2K" localSheetId="14" hidden="1">#REF!</definedName>
    <definedName name="BExW62ETJAPBX5X53FTGUCHZXI2K" localSheetId="15" hidden="1">#REF!</definedName>
    <definedName name="BExW62ETJAPBX5X53FTGUCHZXI2K" localSheetId="5" hidden="1">#REF!</definedName>
    <definedName name="BExW660AV1TUV2XNUPD65RZR3QOO" localSheetId="14" hidden="1">#REF!</definedName>
    <definedName name="BExW660AV1TUV2XNUPD65RZR3QOO" localSheetId="15" hidden="1">#REF!</definedName>
    <definedName name="BExW660AV1TUV2XNUPD65RZR3QOO" localSheetId="5" hidden="1">#REF!</definedName>
    <definedName name="BExW66LVVZK656PQY1257QMHP2AY" localSheetId="14" hidden="1">#REF!</definedName>
    <definedName name="BExW66LVVZK656PQY1257QMHP2AY" localSheetId="15" hidden="1">#REF!</definedName>
    <definedName name="BExW66LVVZK656PQY1257QMHP2AY" localSheetId="5" hidden="1">#REF!</definedName>
    <definedName name="BExW6EJPHAP1TWT380AZLXNHR22P" localSheetId="14" hidden="1">#REF!</definedName>
    <definedName name="BExW6EJPHAP1TWT380AZLXNHR22P" localSheetId="15" hidden="1">#REF!</definedName>
    <definedName name="BExW6EJPHAP1TWT380AZLXNHR22P" localSheetId="5" hidden="1">#REF!</definedName>
    <definedName name="BExW6G1PJ38H10DVLL8WPQ736OEB" localSheetId="14" hidden="1">#REF!</definedName>
    <definedName name="BExW6G1PJ38H10DVLL8WPQ736OEB" localSheetId="15" hidden="1">#REF!</definedName>
    <definedName name="BExW6G1PJ38H10DVLL8WPQ736OEB" localSheetId="5" hidden="1">#REF!</definedName>
    <definedName name="BExW794A74Z5F2K8LVQLD6VSKXUE" localSheetId="14" hidden="1">#REF!</definedName>
    <definedName name="BExW794A74Z5F2K8LVQLD6VSKXUE" localSheetId="15" hidden="1">#REF!</definedName>
    <definedName name="BExW794A74Z5F2K8LVQLD6VSKXUE" localSheetId="5" hidden="1">#REF!</definedName>
    <definedName name="BExW7Q1TQ8E6G4WYYNSOMV43S95R" localSheetId="14" hidden="1">#REF!</definedName>
    <definedName name="BExW7Q1TQ8E6G4WYYNSOMV43S95R" localSheetId="15" hidden="1">#REF!</definedName>
    <definedName name="BExW7Q1TQ8E6G4WYYNSOMV43S95R" localSheetId="5" hidden="1">#REF!</definedName>
    <definedName name="BExW7XZTFZV0N9YM9S4PM74A5X2O" localSheetId="14" hidden="1">#REF!</definedName>
    <definedName name="BExW7XZTFZV0N9YM9S4PM74A5X2O" localSheetId="15" hidden="1">#REF!</definedName>
    <definedName name="BExW7XZTFZV0N9YM9S4PM74A5X2O" localSheetId="5" hidden="1">#REF!</definedName>
    <definedName name="BExW8K0SSIPSKBVP06IJ71600HJZ" localSheetId="14" hidden="1">#REF!</definedName>
    <definedName name="BExW8K0SSIPSKBVP06IJ71600HJZ" localSheetId="15" hidden="1">#REF!</definedName>
    <definedName name="BExW8K0SSIPSKBVP06IJ71600HJZ" localSheetId="5" hidden="1">#REF!</definedName>
    <definedName name="BExW8T0GVY3ZYO4ACSBLHS8SH895" localSheetId="14" hidden="1">#REF!</definedName>
    <definedName name="BExW8T0GVY3ZYO4ACSBLHS8SH895" localSheetId="15" hidden="1">#REF!</definedName>
    <definedName name="BExW8T0GVY3ZYO4ACSBLHS8SH895" localSheetId="5" hidden="1">#REF!</definedName>
    <definedName name="BExW8YEP73JMMU9HZ08PM4WHJQZ4" localSheetId="14" hidden="1">#REF!</definedName>
    <definedName name="BExW8YEP73JMMU9HZ08PM4WHJQZ4" localSheetId="15" hidden="1">#REF!</definedName>
    <definedName name="BExW8YEP73JMMU9HZ08PM4WHJQZ4" localSheetId="5" hidden="1">#REF!</definedName>
    <definedName name="BExW937AT53OZQRHNWQZ5BVH24IE" localSheetId="14" hidden="1">#REF!</definedName>
    <definedName name="BExW937AT53OZQRHNWQZ5BVH24IE" localSheetId="15" hidden="1">#REF!</definedName>
    <definedName name="BExW937AT53OZQRHNWQZ5BVH24IE" localSheetId="5" hidden="1">#REF!</definedName>
    <definedName name="BExW95LN5N0LYFFVP7GJEGDVDLF0" localSheetId="14" hidden="1">#REF!</definedName>
    <definedName name="BExW95LN5N0LYFFVP7GJEGDVDLF0" localSheetId="15" hidden="1">#REF!</definedName>
    <definedName name="BExW95LN5N0LYFFVP7GJEGDVDLF0" localSheetId="5" hidden="1">#REF!</definedName>
    <definedName name="BExW967733Q8RAJOHR2GJ3HO8JIW" localSheetId="14" hidden="1">#REF!</definedName>
    <definedName name="BExW967733Q8RAJOHR2GJ3HO8JIW" localSheetId="15" hidden="1">#REF!</definedName>
    <definedName name="BExW967733Q8RAJOHR2GJ3HO8JIW" localSheetId="5" hidden="1">#REF!</definedName>
    <definedName name="BExW9POK1KIOI0ALS5MZIKTDIYMA" localSheetId="14" hidden="1">#REF!</definedName>
    <definedName name="BExW9POK1KIOI0ALS5MZIKTDIYMA" localSheetId="15" hidden="1">#REF!</definedName>
    <definedName name="BExW9POK1KIOI0ALS5MZIKTDIYMA" localSheetId="5" hidden="1">#REF!</definedName>
    <definedName name="BExXLDE6PN4ESWT3LXJNQCY94NE4" localSheetId="14" hidden="1">#REF!</definedName>
    <definedName name="BExXLDE6PN4ESWT3LXJNQCY94NE4" localSheetId="15" hidden="1">#REF!</definedName>
    <definedName name="BExXLDE6PN4ESWT3LXJNQCY94NE4" localSheetId="5" hidden="1">#REF!</definedName>
    <definedName name="BExXLQVPK2H3IF0NDDA5CT612EUK" localSheetId="14" hidden="1">#REF!</definedName>
    <definedName name="BExXLQVPK2H3IF0NDDA5CT612EUK" localSheetId="15" hidden="1">#REF!</definedName>
    <definedName name="BExXLQVPK2H3IF0NDDA5CT612EUK" localSheetId="5" hidden="1">#REF!</definedName>
    <definedName name="BExXLR6IO70TYTACKQH9M5PGV24J" localSheetId="14" hidden="1">#REF!</definedName>
    <definedName name="BExXLR6IO70TYTACKQH9M5PGV24J" localSheetId="15" hidden="1">#REF!</definedName>
    <definedName name="BExXLR6IO70TYTACKQH9M5PGV24J" localSheetId="5" hidden="1">#REF!</definedName>
    <definedName name="BExXM065WOLYRYHGHOJE0OOFXA4M" localSheetId="14" hidden="1">#REF!</definedName>
    <definedName name="BExXM065WOLYRYHGHOJE0OOFXA4M" localSheetId="15" hidden="1">#REF!</definedName>
    <definedName name="BExXM065WOLYRYHGHOJE0OOFXA4M" localSheetId="5" hidden="1">#REF!</definedName>
    <definedName name="BExXM3GUNXVDM82KUR17NNUMQCNI" localSheetId="14" hidden="1">#REF!</definedName>
    <definedName name="BExXM3GUNXVDM82KUR17NNUMQCNI" localSheetId="15" hidden="1">#REF!</definedName>
    <definedName name="BExXM3GUNXVDM82KUR17NNUMQCNI" localSheetId="5" hidden="1">#REF!</definedName>
    <definedName name="BExXMA28M8SH7MKIGETSDA72WUIZ" localSheetId="14" hidden="1">#REF!</definedName>
    <definedName name="BExXMA28M8SH7MKIGETSDA72WUIZ" localSheetId="15" hidden="1">#REF!</definedName>
    <definedName name="BExXMA28M8SH7MKIGETSDA72WUIZ" localSheetId="5" hidden="1">#REF!</definedName>
    <definedName name="BExXMOLHIAHDLFSA31PUB36SC3I9" localSheetId="14" hidden="1">#REF!</definedName>
    <definedName name="BExXMOLHIAHDLFSA31PUB36SC3I9" localSheetId="15" hidden="1">#REF!</definedName>
    <definedName name="BExXMOLHIAHDLFSA31PUB36SC3I9" localSheetId="5" hidden="1">#REF!</definedName>
    <definedName name="BExXMT8T5Z3M2JBQN65X2LKH0YQI" localSheetId="14" hidden="1">#REF!</definedName>
    <definedName name="BExXMT8T5Z3M2JBQN65X2LKH0YQI" localSheetId="15" hidden="1">#REF!</definedName>
    <definedName name="BExXMT8T5Z3M2JBQN65X2LKH0YQI" localSheetId="5" hidden="1">#REF!</definedName>
    <definedName name="BExXN1XNO7H60M9X1E7EVWFJDM5N" localSheetId="14" hidden="1">#REF!</definedName>
    <definedName name="BExXN1XNO7H60M9X1E7EVWFJDM5N" localSheetId="15" hidden="1">#REF!</definedName>
    <definedName name="BExXN1XNO7H60M9X1E7EVWFJDM5N" localSheetId="5" hidden="1">#REF!</definedName>
    <definedName name="BExXN1XOOOY51EZQ6II0LWEU2OYT" localSheetId="14" hidden="1">#REF!</definedName>
    <definedName name="BExXN1XOOOY51EZQ6II0LWEU2OYT" localSheetId="15" hidden="1">#REF!</definedName>
    <definedName name="BExXN1XOOOY51EZQ6II0LWEU2OYT" localSheetId="5" hidden="1">#REF!</definedName>
    <definedName name="BExXN22ZOTIW49GPLWFYKVM90FNZ" localSheetId="14" hidden="1">#REF!</definedName>
    <definedName name="BExXN22ZOTIW49GPLWFYKVM90FNZ" localSheetId="15" hidden="1">#REF!</definedName>
    <definedName name="BExXN22ZOTIW49GPLWFYKVM90FNZ" localSheetId="5" hidden="1">#REF!</definedName>
    <definedName name="BExXN6QAP8UJQVN4R4BQKPP4QK35" localSheetId="14" hidden="1">#REF!</definedName>
    <definedName name="BExXN6QAP8UJQVN4R4BQKPP4QK35" localSheetId="15" hidden="1">#REF!</definedName>
    <definedName name="BExXN6QAP8UJQVN4R4BQKPP4QK35" localSheetId="5" hidden="1">#REF!</definedName>
    <definedName name="BExXNBOA39T2X6Y5Y5GZ5DDNA1AX" localSheetId="14" hidden="1">#REF!</definedName>
    <definedName name="BExXNBOA39T2X6Y5Y5GZ5DDNA1AX" localSheetId="15" hidden="1">#REF!</definedName>
    <definedName name="BExXNBOA39T2X6Y5Y5GZ5DDNA1AX" localSheetId="5" hidden="1">#REF!</definedName>
    <definedName name="BExXNBZ1BRDK73S9XPRR1645KLVB" localSheetId="14" hidden="1">#REF!</definedName>
    <definedName name="BExXNBZ1BRDK73S9XPRR1645KLVB" localSheetId="15" hidden="1">#REF!</definedName>
    <definedName name="BExXNBZ1BRDK73S9XPRR1645KLVB" localSheetId="5" hidden="1">#REF!</definedName>
    <definedName name="BExXND6872VJ3M2PGT056WQMWBHD" localSheetId="14" hidden="1">#REF!</definedName>
    <definedName name="BExXND6872VJ3M2PGT056WQMWBHD" localSheetId="15" hidden="1">#REF!</definedName>
    <definedName name="BExXND6872VJ3M2PGT056WQMWBHD" localSheetId="5" hidden="1">#REF!</definedName>
    <definedName name="BExXNPM24UN2PGVL9D1TUBFRIKR4" localSheetId="14" hidden="1">#REF!</definedName>
    <definedName name="BExXNPM24UN2PGVL9D1TUBFRIKR4" localSheetId="15" hidden="1">#REF!</definedName>
    <definedName name="BExXNPM24UN2PGVL9D1TUBFRIKR4" localSheetId="5" hidden="1">#REF!</definedName>
    <definedName name="BExXNWCR6WOY5G3VTC96QCIFQE0E" localSheetId="14" hidden="1">#REF!</definedName>
    <definedName name="BExXNWCR6WOY5G3VTC96QCIFQE0E" localSheetId="15" hidden="1">#REF!</definedName>
    <definedName name="BExXNWCR6WOY5G3VTC96QCIFQE0E" localSheetId="5" hidden="1">#REF!</definedName>
    <definedName name="BExXNWYB165VO9MHARCL5WLCHWS0" localSheetId="14" hidden="1">#REF!</definedName>
    <definedName name="BExXNWYB165VO9MHARCL5WLCHWS0" localSheetId="15" hidden="1">#REF!</definedName>
    <definedName name="BExXNWYB165VO9MHARCL5WLCHWS0" localSheetId="5" hidden="1">#REF!</definedName>
    <definedName name="BExXO278QHQN8JDK5425EJ615ECC" localSheetId="14" hidden="1">#REF!</definedName>
    <definedName name="BExXO278QHQN8JDK5425EJ615ECC" localSheetId="15" hidden="1">#REF!</definedName>
    <definedName name="BExXO278QHQN8JDK5425EJ615ECC" localSheetId="5" hidden="1">#REF!</definedName>
    <definedName name="BExXOBHOP0WGFHI2Y9AO4L440UVQ" localSheetId="14" hidden="1">#REF!</definedName>
    <definedName name="BExXOBHOP0WGFHI2Y9AO4L440UVQ" localSheetId="15" hidden="1">#REF!</definedName>
    <definedName name="BExXOBHOP0WGFHI2Y9AO4L440UVQ" localSheetId="5" hidden="1">#REF!</definedName>
    <definedName name="BExXOHHHX25B8F97636QMXFUDZQK" localSheetId="14" hidden="1">#REF!</definedName>
    <definedName name="BExXOHHHX25B8F97636QMXFUDZQK" localSheetId="15" hidden="1">#REF!</definedName>
    <definedName name="BExXOHHHX25B8F97636QMXFUDZQK" localSheetId="5" hidden="1">#REF!</definedName>
    <definedName name="BExXOHSAD2NSHOLLMZ2JWA4I3I1R" localSheetId="14" hidden="1">#REF!</definedName>
    <definedName name="BExXOHSAD2NSHOLLMZ2JWA4I3I1R" localSheetId="15" hidden="1">#REF!</definedName>
    <definedName name="BExXOHSAD2NSHOLLMZ2JWA4I3I1R" localSheetId="5" hidden="1">#REF!</definedName>
    <definedName name="BExXOJKWIJ6IFTV1RHIWHR91EZMW" localSheetId="14" hidden="1">#REF!</definedName>
    <definedName name="BExXOJKWIJ6IFTV1RHIWHR91EZMW" localSheetId="15" hidden="1">#REF!</definedName>
    <definedName name="BExXOJKWIJ6IFTV1RHIWHR91EZMW" localSheetId="5" hidden="1">#REF!</definedName>
    <definedName name="BExXP80B5FGA00JCM7UXKPI3PB7Y" localSheetId="14" hidden="1">#REF!</definedName>
    <definedName name="BExXP80B5FGA00JCM7UXKPI3PB7Y" localSheetId="15" hidden="1">#REF!</definedName>
    <definedName name="BExXP80B5FGA00JCM7UXKPI3PB7Y" localSheetId="5" hidden="1">#REF!</definedName>
    <definedName name="BExXP85M4WXYVN1UVHUTOEKEG5XS" localSheetId="14" hidden="1">#REF!</definedName>
    <definedName name="BExXP85M4WXYVN1UVHUTOEKEG5XS" localSheetId="15" hidden="1">#REF!</definedName>
    <definedName name="BExXP85M4WXYVN1UVHUTOEKEG5XS" localSheetId="5" hidden="1">#REF!</definedName>
    <definedName name="BExXPELOTHOAG0OWILLAH94OZV5J" localSheetId="14" hidden="1">#REF!</definedName>
    <definedName name="BExXPELOTHOAG0OWILLAH94OZV5J" localSheetId="15" hidden="1">#REF!</definedName>
    <definedName name="BExXPELOTHOAG0OWILLAH94OZV5J" localSheetId="5" hidden="1">#REF!</definedName>
    <definedName name="BExXPOSJRLJNYPU01QNNQ5URXP2U" localSheetId="14" hidden="1">#REF!</definedName>
    <definedName name="BExXPOSJRLJNYPU01QNNQ5URXP2U" localSheetId="15" hidden="1">#REF!</definedName>
    <definedName name="BExXPOSJRLJNYPU01QNNQ5URXP2U" localSheetId="5" hidden="1">#REF!</definedName>
    <definedName name="BExXPS31W1VD2NMIE4E37LHVDF0L" localSheetId="14" hidden="1">#REF!</definedName>
    <definedName name="BExXPS31W1VD2NMIE4E37LHVDF0L" localSheetId="15" hidden="1">#REF!</definedName>
    <definedName name="BExXPS31W1VD2NMIE4E37LHVDF0L" localSheetId="5" hidden="1">#REF!</definedName>
    <definedName name="BExXPZKYEMVF5JOC14HYOOYQK6JK" localSheetId="14" hidden="1">#REF!</definedName>
    <definedName name="BExXPZKYEMVF5JOC14HYOOYQK6JK" localSheetId="15" hidden="1">#REF!</definedName>
    <definedName name="BExXPZKYEMVF5JOC14HYOOYQK6JK" localSheetId="5" hidden="1">#REF!</definedName>
    <definedName name="BExXQ89PA10X79WBWOEP1AJX1OQM" localSheetId="14" hidden="1">#REF!</definedName>
    <definedName name="BExXQ89PA10X79WBWOEP1AJX1OQM" localSheetId="15" hidden="1">#REF!</definedName>
    <definedName name="BExXQ89PA10X79WBWOEP1AJX1OQM" localSheetId="5" hidden="1">#REF!</definedName>
    <definedName name="BExXQCGQGGYSI0LTRVR73MUO50AW" localSheetId="14" hidden="1">#REF!</definedName>
    <definedName name="BExXQCGQGGYSI0LTRVR73MUO50AW" localSheetId="15" hidden="1">#REF!</definedName>
    <definedName name="BExXQCGQGGYSI0LTRVR73MUO50AW" localSheetId="5" hidden="1">#REF!</definedName>
    <definedName name="BExXQEEXFHDQ8DSRAJSB5ET6J004" localSheetId="14" hidden="1">#REF!</definedName>
    <definedName name="BExXQEEXFHDQ8DSRAJSB5ET6J004" localSheetId="15" hidden="1">#REF!</definedName>
    <definedName name="BExXQEEXFHDQ8DSRAJSB5ET6J004" localSheetId="5" hidden="1">#REF!</definedName>
    <definedName name="BExXQH41O5HZAH8BO6HCFY8YC3TU" localSheetId="14" hidden="1">#REF!</definedName>
    <definedName name="BExXQH41O5HZAH8BO6HCFY8YC3TU" localSheetId="15" hidden="1">#REF!</definedName>
    <definedName name="BExXQH41O5HZAH8BO6HCFY8YC3TU" localSheetId="5" hidden="1">#REF!</definedName>
    <definedName name="BExXQJIEF5R3QQ6D8HO3NGPU0IQC" localSheetId="14" hidden="1">#REF!</definedName>
    <definedName name="BExXQJIEF5R3QQ6D8HO3NGPU0IQC" localSheetId="15" hidden="1">#REF!</definedName>
    <definedName name="BExXQJIEF5R3QQ6D8HO3NGPU0IQC" localSheetId="5" hidden="1">#REF!</definedName>
    <definedName name="BExXQRAVW0KPQXIJ59NG6UGTZB59" localSheetId="14" hidden="1">#REF!</definedName>
    <definedName name="BExXQRAVW0KPQXIJ59NG6UGTZB59" localSheetId="15" hidden="1">#REF!</definedName>
    <definedName name="BExXQRAVW0KPQXIJ59NG6UGTZB59" localSheetId="5" hidden="1">#REF!</definedName>
    <definedName name="BExXQU00K9ER4I1WM7T9J0W1E7ZC" localSheetId="14" hidden="1">#REF!</definedName>
    <definedName name="BExXQU00K9ER4I1WM7T9J0W1E7ZC" localSheetId="15" hidden="1">#REF!</definedName>
    <definedName name="BExXQU00K9ER4I1WM7T9J0W1E7ZC" localSheetId="5" hidden="1">#REF!</definedName>
    <definedName name="BExXQU00KOR7XLM8B13DGJ1MIQDY" localSheetId="14" hidden="1">#REF!</definedName>
    <definedName name="BExXQU00KOR7XLM8B13DGJ1MIQDY" localSheetId="15" hidden="1">#REF!</definedName>
    <definedName name="BExXQU00KOR7XLM8B13DGJ1MIQDY" localSheetId="5" hidden="1">#REF!</definedName>
    <definedName name="BExXQUG48Q1ISN53FE4MRROM0HSJ" localSheetId="14" hidden="1">#REF!</definedName>
    <definedName name="BExXQUG48Q1ISN53FE4MRROM0HSJ" localSheetId="15" hidden="1">#REF!</definedName>
    <definedName name="BExXQUG48Q1ISN53FE4MRROM0HSJ" localSheetId="5" hidden="1">#REF!</definedName>
    <definedName name="BExXQXG18PS8HGBOS03OSTQ0KEYC" localSheetId="14" hidden="1">#REF!</definedName>
    <definedName name="BExXQXG18PS8HGBOS03OSTQ0KEYC" localSheetId="15" hidden="1">#REF!</definedName>
    <definedName name="BExXQXG18PS8HGBOS03OSTQ0KEYC" localSheetId="5" hidden="1">#REF!</definedName>
    <definedName name="BExXQXQT4OAFQT5B0YB3USDJOJOB" localSheetId="14" hidden="1">#REF!</definedName>
    <definedName name="BExXQXQT4OAFQT5B0YB3USDJOJOB" localSheetId="15" hidden="1">#REF!</definedName>
    <definedName name="BExXQXQT4OAFQT5B0YB3USDJOJOB" localSheetId="5" hidden="1">#REF!</definedName>
    <definedName name="BExXR3FSEXAHSXEQNJORWFCPX86N" localSheetId="14" hidden="1">#REF!</definedName>
    <definedName name="BExXR3FSEXAHSXEQNJORWFCPX86N" localSheetId="15" hidden="1">#REF!</definedName>
    <definedName name="BExXR3FSEXAHSXEQNJORWFCPX86N" localSheetId="5" hidden="1">#REF!</definedName>
    <definedName name="BExXR3W3FKYQBLR299HO9RZ70C43" localSheetId="14" hidden="1">#REF!</definedName>
    <definedName name="BExXR3W3FKYQBLR299HO9RZ70C43" localSheetId="15" hidden="1">#REF!</definedName>
    <definedName name="BExXR3W3FKYQBLR299HO9RZ70C43" localSheetId="5" hidden="1">#REF!</definedName>
    <definedName name="BExXR46U23CRRBV6IZT982MAEQKI" localSheetId="14" hidden="1">#REF!</definedName>
    <definedName name="BExXR46U23CRRBV6IZT982MAEQKI" localSheetId="15" hidden="1">#REF!</definedName>
    <definedName name="BExXR46U23CRRBV6IZT982MAEQKI" localSheetId="5" hidden="1">#REF!</definedName>
    <definedName name="BExXR6A8W3ND3XDZXBMQZ1VCAXHG" localSheetId="14" hidden="1">#REF!</definedName>
    <definedName name="BExXR6A8W3ND3XDZXBMQZ1VCAXHG" localSheetId="15" hidden="1">#REF!</definedName>
    <definedName name="BExXR6A8W3ND3XDZXBMQZ1VCAXHG" localSheetId="5" hidden="1">#REF!</definedName>
    <definedName name="BExXR7HKNHT37B4OOA9K9191PP22" localSheetId="14" hidden="1">#REF!</definedName>
    <definedName name="BExXR7HKNHT37B4OOA9K9191PP22" localSheetId="15" hidden="1">#REF!</definedName>
    <definedName name="BExXR7HKNHT37B4OOA9K9191PP22" localSheetId="5" hidden="1">#REF!</definedName>
    <definedName name="BExXR8OKAVX7O70V5IYG2PRKXSTI" localSheetId="14" hidden="1">#REF!</definedName>
    <definedName name="BExXR8OKAVX7O70V5IYG2PRKXSTI" localSheetId="15" hidden="1">#REF!</definedName>
    <definedName name="BExXR8OKAVX7O70V5IYG2PRKXSTI" localSheetId="5" hidden="1">#REF!</definedName>
    <definedName name="BExXRA6N6XCLQM6XDV724ZIH6G93" localSheetId="14" hidden="1">#REF!</definedName>
    <definedName name="BExXRA6N6XCLQM6XDV724ZIH6G93" localSheetId="15" hidden="1">#REF!</definedName>
    <definedName name="BExXRA6N6XCLQM6XDV724ZIH6G93" localSheetId="5" hidden="1">#REF!</definedName>
    <definedName name="BExXRABZ1CNKCG6K1MR6OUFHF7J9" localSheetId="14" hidden="1">#REF!</definedName>
    <definedName name="BExXRABZ1CNKCG6K1MR6OUFHF7J9" localSheetId="15" hidden="1">#REF!</definedName>
    <definedName name="BExXRABZ1CNKCG6K1MR6OUFHF7J9" localSheetId="5" hidden="1">#REF!</definedName>
    <definedName name="BExXRBOFETC0OTJ6WY3VPMFH03VB" localSheetId="14" hidden="1">#REF!</definedName>
    <definedName name="BExXRBOFETC0OTJ6WY3VPMFH03VB" localSheetId="15" hidden="1">#REF!</definedName>
    <definedName name="BExXRBOFETC0OTJ6WY3VPMFH03VB" localSheetId="5" hidden="1">#REF!</definedName>
    <definedName name="BExXRD13K1S9Y3JGR7CXSONT7RJZ" localSheetId="14" hidden="1">#REF!</definedName>
    <definedName name="BExXRD13K1S9Y3JGR7CXSONT7RJZ" localSheetId="15" hidden="1">#REF!</definedName>
    <definedName name="BExXRD13K1S9Y3JGR7CXSONT7RJZ" localSheetId="5" hidden="1">#REF!</definedName>
    <definedName name="BExXRIFB4QQ87QIGA9AG0NXP577K" localSheetId="14" hidden="1">#REF!</definedName>
    <definedName name="BExXRIFB4QQ87QIGA9AG0NXP577K" localSheetId="15" hidden="1">#REF!</definedName>
    <definedName name="BExXRIFB4QQ87QIGA9AG0NXP577K" localSheetId="5" hidden="1">#REF!</definedName>
    <definedName name="BExXRIQ2JF2CVTRDQX2D9SPH7FTN" localSheetId="14" hidden="1">#REF!</definedName>
    <definedName name="BExXRIQ2JF2CVTRDQX2D9SPH7FTN" localSheetId="15" hidden="1">#REF!</definedName>
    <definedName name="BExXRIQ2JF2CVTRDQX2D9SPH7FTN" localSheetId="5" hidden="1">#REF!</definedName>
    <definedName name="BExXRO4A6VUH1F4XV8N1BRJ4896W" localSheetId="14" hidden="1">#REF!</definedName>
    <definedName name="BExXRO4A6VUH1F4XV8N1BRJ4896W" localSheetId="15" hidden="1">#REF!</definedName>
    <definedName name="BExXRO4A6VUH1F4XV8N1BRJ4896W" localSheetId="5" hidden="1">#REF!</definedName>
    <definedName name="BExXRO9N1SNJZGKD90P4K7FU1J0P" localSheetId="14" hidden="1">#REF!</definedName>
    <definedName name="BExXRO9N1SNJZGKD90P4K7FU1J0P" localSheetId="15" hidden="1">#REF!</definedName>
    <definedName name="BExXRO9N1SNJZGKD90P4K7FU1J0P" localSheetId="5" hidden="1">#REF!</definedName>
    <definedName name="BExXROF2MWDZ7IFXX27XOJ79Q86E" localSheetId="14" hidden="1">#REF!</definedName>
    <definedName name="BExXROF2MWDZ7IFXX27XOJ79Q86E" localSheetId="15" hidden="1">#REF!</definedName>
    <definedName name="BExXROF2MWDZ7IFXX27XOJ79Q86E" localSheetId="5" hidden="1">#REF!</definedName>
    <definedName name="BExXRV5QP3Z0KAQ1EQT9JYT2FV0L" localSheetId="14" hidden="1">#REF!</definedName>
    <definedName name="BExXRV5QP3Z0KAQ1EQT9JYT2FV0L" localSheetId="15" hidden="1">#REF!</definedName>
    <definedName name="BExXRV5QP3Z0KAQ1EQT9JYT2FV0L" localSheetId="5" hidden="1">#REF!</definedName>
    <definedName name="BExXRZ20LZZCW8LVGDK0XETOTSAI" localSheetId="14" hidden="1">#REF!</definedName>
    <definedName name="BExXRZ20LZZCW8LVGDK0XETOTSAI" localSheetId="15" hidden="1">#REF!</definedName>
    <definedName name="BExXRZ20LZZCW8LVGDK0XETOTSAI" localSheetId="5" hidden="1">#REF!</definedName>
    <definedName name="BExXS4R1GKUJQX6MHUIUN4S3SCAS" localSheetId="14" hidden="1">#REF!</definedName>
    <definedName name="BExXS4R1GKUJQX6MHUIUN4S3SCAS" localSheetId="15" hidden="1">#REF!</definedName>
    <definedName name="BExXS4R1GKUJQX6MHUIUN4S3SCAS" localSheetId="5" hidden="1">#REF!</definedName>
    <definedName name="BExXS63O4OMWMNXXAODZQFSDG33N" localSheetId="14" hidden="1">#REF!</definedName>
    <definedName name="BExXS63O4OMWMNXXAODZQFSDG33N" localSheetId="15" hidden="1">#REF!</definedName>
    <definedName name="BExXS63O4OMWMNXXAODZQFSDG33N" localSheetId="5" hidden="1">#REF!</definedName>
    <definedName name="BExXSBSP1TOY051HSPEPM0AEIO2M" localSheetId="14" hidden="1">#REF!</definedName>
    <definedName name="BExXSBSP1TOY051HSPEPM0AEIO2M" localSheetId="15" hidden="1">#REF!</definedName>
    <definedName name="BExXSBSP1TOY051HSPEPM0AEIO2M" localSheetId="5" hidden="1">#REF!</definedName>
    <definedName name="BExXSC8RFK5D68FJD2HI4K66SA6I" localSheetId="14" hidden="1">#REF!</definedName>
    <definedName name="BExXSC8RFK5D68FJD2HI4K66SA6I" localSheetId="15" hidden="1">#REF!</definedName>
    <definedName name="BExXSC8RFK5D68FJD2HI4K66SA6I" localSheetId="5" hidden="1">#REF!</definedName>
    <definedName name="BExXSCP0AZ5MYCC2UFG2GLBCV1CC" localSheetId="14" hidden="1">#REF!</definedName>
    <definedName name="BExXSCP0AZ5MYCC2UFG2GLBCV1CC" localSheetId="15" hidden="1">#REF!</definedName>
    <definedName name="BExXSCP0AZ5MYCC2UFG2GLBCV1CC" localSheetId="5" hidden="1">#REF!</definedName>
    <definedName name="BExXSNHC88W4UMXEOIOOATJAIKZO" localSheetId="14" hidden="1">#REF!</definedName>
    <definedName name="BExXSNHC88W4UMXEOIOOATJAIKZO" localSheetId="15" hidden="1">#REF!</definedName>
    <definedName name="BExXSNHC88W4UMXEOIOOATJAIKZO" localSheetId="5" hidden="1">#REF!</definedName>
    <definedName name="BExXSTBS08WIA9TLALV3UQ2Z3MRG" localSheetId="14" hidden="1">#REF!</definedName>
    <definedName name="BExXSTBS08WIA9TLALV3UQ2Z3MRG" localSheetId="15" hidden="1">#REF!</definedName>
    <definedName name="BExXSTBS08WIA9TLALV3UQ2Z3MRG" localSheetId="5" hidden="1">#REF!</definedName>
    <definedName name="BExXSVQ2WOJJ73YEO8Q2FK60V4G8" localSheetId="14" hidden="1">#REF!</definedName>
    <definedName name="BExXSVQ2WOJJ73YEO8Q2FK60V4G8" localSheetId="15" hidden="1">#REF!</definedName>
    <definedName name="BExXSVQ2WOJJ73YEO8Q2FK60V4G8" localSheetId="5" hidden="1">#REF!</definedName>
    <definedName name="BExXTER5A2EQ14KN6J0MVATIHVKN" localSheetId="14" hidden="1">#REF!</definedName>
    <definedName name="BExXTER5A2EQ14KN6J0MVATIHVKN" localSheetId="15" hidden="1">#REF!</definedName>
    <definedName name="BExXTER5A2EQ14KN6J0MVATIHVKN" localSheetId="5" hidden="1">#REF!</definedName>
    <definedName name="BExXTHLRNL82GN7KZY3TOLO508N7" localSheetId="14" hidden="1">#REF!</definedName>
    <definedName name="BExXTHLRNL82GN7KZY3TOLO508N7" localSheetId="15" hidden="1">#REF!</definedName>
    <definedName name="BExXTHLRNL82GN7KZY3TOLO508N7" localSheetId="5" hidden="1">#REF!</definedName>
    <definedName name="BExXTL72MKEQSQH9L2OTFLU8DM2B" localSheetId="14" hidden="1">#REF!</definedName>
    <definedName name="BExXTL72MKEQSQH9L2OTFLU8DM2B" localSheetId="15" hidden="1">#REF!</definedName>
    <definedName name="BExXTL72MKEQSQH9L2OTFLU8DM2B" localSheetId="5" hidden="1">#REF!</definedName>
    <definedName name="BExXTM3M4RTCRSX7VGAXGQNPP668" localSheetId="14" hidden="1">#REF!</definedName>
    <definedName name="BExXTM3M4RTCRSX7VGAXGQNPP668" localSheetId="15" hidden="1">#REF!</definedName>
    <definedName name="BExXTM3M4RTCRSX7VGAXGQNPP668" localSheetId="5" hidden="1">#REF!</definedName>
    <definedName name="BExXTOCF78J7WY6FOVBRY1N2RBBR" localSheetId="14" hidden="1">#REF!</definedName>
    <definedName name="BExXTOCF78J7WY6FOVBRY1N2RBBR" localSheetId="15" hidden="1">#REF!</definedName>
    <definedName name="BExXTOCF78J7WY6FOVBRY1N2RBBR" localSheetId="5" hidden="1">#REF!</definedName>
    <definedName name="BExXTP3GYO6Z9RTKKT10XA0UTV3T" localSheetId="14" hidden="1">#REF!</definedName>
    <definedName name="BExXTP3GYO6Z9RTKKT10XA0UTV3T" localSheetId="15" hidden="1">#REF!</definedName>
    <definedName name="BExXTP3GYO6Z9RTKKT10XA0UTV3T" localSheetId="5" hidden="1">#REF!</definedName>
    <definedName name="BExXTRN4AFX9QW6YC4HNGBBD5R08" localSheetId="14" hidden="1">#REF!</definedName>
    <definedName name="BExXTRN4AFX9QW6YC4HNGBBD5R08" localSheetId="15" hidden="1">#REF!</definedName>
    <definedName name="BExXTRN4AFX9QW6YC4HNGBBD5R08" localSheetId="5" hidden="1">#REF!</definedName>
    <definedName name="BExXTV8M7YIG5C64O046DN613ZRO" localSheetId="14" hidden="1">#REF!</definedName>
    <definedName name="BExXTV8M7YIG5C64O046DN613ZRO" localSheetId="15" hidden="1">#REF!</definedName>
    <definedName name="BExXTV8M7YIG5C64O046DN613ZRO" localSheetId="5" hidden="1">#REF!</definedName>
    <definedName name="BExXTVDXQ7ZX3THNLFJXFAONW0AI" localSheetId="14" hidden="1">#REF!</definedName>
    <definedName name="BExXTVDXQ7ZX3THNLFJXFAONW0AI" localSheetId="15" hidden="1">#REF!</definedName>
    <definedName name="BExXTVDXQ7ZX3THNLFJXFAONW0AI" localSheetId="5" hidden="1">#REF!</definedName>
    <definedName name="BExXTZKZ4CG92ZQLIRKEXXH9BFIR" localSheetId="14" hidden="1">#REF!</definedName>
    <definedName name="BExXTZKZ4CG92ZQLIRKEXXH9BFIR" localSheetId="15" hidden="1">#REF!</definedName>
    <definedName name="BExXTZKZ4CG92ZQLIRKEXXH9BFIR" localSheetId="5" hidden="1">#REF!</definedName>
    <definedName name="BExXU4J2BM2964GD5UZHM752Q4NS" localSheetId="14" hidden="1">#REF!</definedName>
    <definedName name="BExXU4J2BM2964GD5UZHM752Q4NS" localSheetId="15" hidden="1">#REF!</definedName>
    <definedName name="BExXU4J2BM2964GD5UZHM752Q4NS" localSheetId="5" hidden="1">#REF!</definedName>
    <definedName name="BExXU6XDTT7RM93KILIDEYPA9XKF" localSheetId="14" hidden="1">#REF!</definedName>
    <definedName name="BExXU6XDTT7RM93KILIDEYPA9XKF" localSheetId="15" hidden="1">#REF!</definedName>
    <definedName name="BExXU6XDTT7RM93KILIDEYPA9XKF" localSheetId="5" hidden="1">#REF!</definedName>
    <definedName name="BExXU8VLZA7WLPZ3RAQZGNERUD26" localSheetId="14" hidden="1">#REF!</definedName>
    <definedName name="BExXU8VLZA7WLPZ3RAQZGNERUD26" localSheetId="15" hidden="1">#REF!</definedName>
    <definedName name="BExXU8VLZA7WLPZ3RAQZGNERUD26" localSheetId="5" hidden="1">#REF!</definedName>
    <definedName name="BExXUB9RSLSCNN5ETLXY72DAPZZM" localSheetId="14" hidden="1">#REF!</definedName>
    <definedName name="BExXUB9RSLSCNN5ETLXY72DAPZZM" localSheetId="15" hidden="1">#REF!</definedName>
    <definedName name="BExXUB9RSLSCNN5ETLXY72DAPZZM" localSheetId="5" hidden="1">#REF!</definedName>
    <definedName name="BExXUFRM82XQIN2T8KGLDQL1IBQW" localSheetId="14" hidden="1">#REF!</definedName>
    <definedName name="BExXUFRM82XQIN2T8KGLDQL1IBQW" localSheetId="15" hidden="1">#REF!</definedName>
    <definedName name="BExXUFRM82XQIN2T8KGLDQL1IBQW" localSheetId="5" hidden="1">#REF!</definedName>
    <definedName name="BExXUQEQBF6FI240ZGIF9YXZSRAU" localSheetId="14" hidden="1">#REF!</definedName>
    <definedName name="BExXUQEQBF6FI240ZGIF9YXZSRAU" localSheetId="15" hidden="1">#REF!</definedName>
    <definedName name="BExXUQEQBF6FI240ZGIF9YXZSRAU" localSheetId="5" hidden="1">#REF!</definedName>
    <definedName name="BExXUX02UQ8LJPBZ4YBORILFR0W0" localSheetId="14" hidden="1">#REF!</definedName>
    <definedName name="BExXUX02UQ8LJPBZ4YBORILFR0W0" localSheetId="15" hidden="1">#REF!</definedName>
    <definedName name="BExXUX02UQ8LJPBZ4YBORILFR0W0" localSheetId="5" hidden="1">#REF!</definedName>
    <definedName name="BExXUYND6EJO7CJ5KRICV4O1JNWK" localSheetId="14" hidden="1">#REF!</definedName>
    <definedName name="BExXUYND6EJO7CJ5KRICV4O1JNWK" localSheetId="15" hidden="1">#REF!</definedName>
    <definedName name="BExXUYND6EJO7CJ5KRICV4O1JNWK" localSheetId="5" hidden="1">#REF!</definedName>
    <definedName name="BExXV6FWG4H3S2QEUJZYIXILNGJ7" localSheetId="14" hidden="1">#REF!</definedName>
    <definedName name="BExXV6FWG4H3S2QEUJZYIXILNGJ7" localSheetId="15" hidden="1">#REF!</definedName>
    <definedName name="BExXV6FWG4H3S2QEUJZYIXILNGJ7" localSheetId="5" hidden="1">#REF!</definedName>
    <definedName name="BExXVK87BMMO6LHKV0CFDNIQVIBS" localSheetId="14" hidden="1">#REF!</definedName>
    <definedName name="BExXVK87BMMO6LHKV0CFDNIQVIBS" localSheetId="15" hidden="1">#REF!</definedName>
    <definedName name="BExXVK87BMMO6LHKV0CFDNIQVIBS" localSheetId="5" hidden="1">#REF!</definedName>
    <definedName name="BExXVKZ9WXPGL6IVY6T61IDD771I" localSheetId="14" hidden="1">#REF!</definedName>
    <definedName name="BExXVKZ9WXPGL6IVY6T61IDD771I" localSheetId="15" hidden="1">#REF!</definedName>
    <definedName name="BExXVKZ9WXPGL6IVY6T61IDD771I" localSheetId="5" hidden="1">#REF!</definedName>
    <definedName name="BExXVLA319WCSEOVHB05KDUSU054" localSheetId="14" hidden="1">#REF!</definedName>
    <definedName name="BExXVLA319WCSEOVHB05KDUSU054" localSheetId="15" hidden="1">#REF!</definedName>
    <definedName name="BExXVLA319WCSEOVHB05KDUSU054" localSheetId="5" hidden="1">#REF!</definedName>
    <definedName name="BExXVTTG5YRCSTI0UL141BKR36SU" localSheetId="14" hidden="1">#REF!</definedName>
    <definedName name="BExXVTTG5YRCSTI0UL141BKR36SU" localSheetId="15" hidden="1">#REF!</definedName>
    <definedName name="BExXVTTG5YRCSTI0UL141BKR36SU" localSheetId="5" hidden="1">#REF!</definedName>
    <definedName name="BExXVYWX74VKI8BDDSX9U85460MB" localSheetId="14" hidden="1">#REF!</definedName>
    <definedName name="BExXVYWX74VKI8BDDSX9U85460MB" localSheetId="15" hidden="1">#REF!</definedName>
    <definedName name="BExXVYWX74VKI8BDDSX9U85460MB" localSheetId="5" hidden="1">#REF!</definedName>
    <definedName name="BExXW27MMXHXUXX78SDTBE1JYTHT" localSheetId="14" hidden="1">#REF!</definedName>
    <definedName name="BExXW27MMXHXUXX78SDTBE1JYTHT" localSheetId="15" hidden="1">#REF!</definedName>
    <definedName name="BExXW27MMXHXUXX78SDTBE1JYTHT" localSheetId="5" hidden="1">#REF!</definedName>
    <definedName name="BExXW2YIM2MYBSHRIX0RP9D4PRMN" localSheetId="14" hidden="1">#REF!</definedName>
    <definedName name="BExXW2YIM2MYBSHRIX0RP9D4PRMN" localSheetId="15" hidden="1">#REF!</definedName>
    <definedName name="BExXW2YIM2MYBSHRIX0RP9D4PRMN" localSheetId="5" hidden="1">#REF!</definedName>
    <definedName name="BExXWBNE4KTFSXKVSRF6WX039WPB" localSheetId="14" hidden="1">#REF!</definedName>
    <definedName name="BExXWBNE4KTFSXKVSRF6WX039WPB" localSheetId="15" hidden="1">#REF!</definedName>
    <definedName name="BExXWBNE4KTFSXKVSRF6WX039WPB" localSheetId="5" hidden="1">#REF!</definedName>
    <definedName name="BExXWFP5AYE7EHYTJWBZSQ8PQ0YX" localSheetId="14" hidden="1">#REF!</definedName>
    <definedName name="BExXWFP5AYE7EHYTJWBZSQ8PQ0YX" localSheetId="15" hidden="1">#REF!</definedName>
    <definedName name="BExXWFP5AYE7EHYTJWBZSQ8PQ0YX" localSheetId="5" hidden="1">#REF!</definedName>
    <definedName name="BExXWIUCR0LXM58OVKZT2APLVTIA" localSheetId="14" hidden="1">#REF!</definedName>
    <definedName name="BExXWIUCR0LXM58OVKZT2APLVTIA" localSheetId="15" hidden="1">#REF!</definedName>
    <definedName name="BExXWIUCR0LXM58OVKZT2APLVTIA" localSheetId="5" hidden="1">#REF!</definedName>
    <definedName name="BExXWTXJEA32DLC6QKN10QB955JT" localSheetId="14" hidden="1">#REF!</definedName>
    <definedName name="BExXWTXJEA32DLC6QKN10QB955JT" localSheetId="15" hidden="1">#REF!</definedName>
    <definedName name="BExXWTXJEA32DLC6QKN10QB955JT" localSheetId="5" hidden="1">#REF!</definedName>
    <definedName name="BExXWVFIBQT8OY1O41FRFPFGXQHK" localSheetId="14" hidden="1">#REF!</definedName>
    <definedName name="BExXWVFIBQT8OY1O41FRFPFGXQHK" localSheetId="15" hidden="1">#REF!</definedName>
    <definedName name="BExXWVFIBQT8OY1O41FRFPFGXQHK" localSheetId="5" hidden="1">#REF!</definedName>
    <definedName name="BExXWWXHBZHA9J3N8K47F84X0M0L" localSheetId="14" hidden="1">#REF!</definedName>
    <definedName name="BExXWWXHBZHA9J3N8K47F84X0M0L" localSheetId="15" hidden="1">#REF!</definedName>
    <definedName name="BExXWWXHBZHA9J3N8K47F84X0M0L" localSheetId="5" hidden="1">#REF!</definedName>
    <definedName name="BExXXBM521DL8R4ZX7NZ3DBCUOR5" localSheetId="14" hidden="1">#REF!</definedName>
    <definedName name="BExXXBM521DL8R4ZX7NZ3DBCUOR5" localSheetId="15" hidden="1">#REF!</definedName>
    <definedName name="BExXXBM521DL8R4ZX7NZ3DBCUOR5" localSheetId="5" hidden="1">#REF!</definedName>
    <definedName name="BExXXC7OZI33XZ03NRMEP7VRLQK4" localSheetId="14" hidden="1">#REF!</definedName>
    <definedName name="BExXXC7OZI33XZ03NRMEP7VRLQK4" localSheetId="15" hidden="1">#REF!</definedName>
    <definedName name="BExXXC7OZI33XZ03NRMEP7VRLQK4" localSheetId="5" hidden="1">#REF!</definedName>
    <definedName name="BExXXH5N3NKBQ7BCJPJTBF8CYM2Q" localSheetId="14" hidden="1">#REF!</definedName>
    <definedName name="BExXXH5N3NKBQ7BCJPJTBF8CYM2Q" localSheetId="15" hidden="1">#REF!</definedName>
    <definedName name="BExXXH5N3NKBQ7BCJPJTBF8CYM2Q" localSheetId="5" hidden="1">#REF!</definedName>
    <definedName name="BExXXI7HHXLBLUEW7EQ73TALJF48" localSheetId="14" hidden="1">#REF!</definedName>
    <definedName name="BExXXI7HHXLBLUEW7EQ73TALJF48" localSheetId="15" hidden="1">#REF!</definedName>
    <definedName name="BExXXI7HHXLBLUEW7EQ73TALJF48" localSheetId="5" hidden="1">#REF!</definedName>
    <definedName name="BExXXKWLM4D541BH6O8GOJMHFHMW" localSheetId="14" hidden="1">#REF!</definedName>
    <definedName name="BExXXKWLM4D541BH6O8GOJMHFHMW" localSheetId="15" hidden="1">#REF!</definedName>
    <definedName name="BExXXKWLM4D541BH6O8GOJMHFHMW" localSheetId="5" hidden="1">#REF!</definedName>
    <definedName name="BExXXNR17I6P4FQZPQF2ZXDFYB6C" localSheetId="14" hidden="1">#REF!</definedName>
    <definedName name="BExXXNR17I6P4FQZPQF2ZXDFYB6C" localSheetId="15" hidden="1">#REF!</definedName>
    <definedName name="BExXXNR17I6P4FQZPQF2ZXDFYB6C" localSheetId="5" hidden="1">#REF!</definedName>
    <definedName name="BExXXPPA1Q87XPI97X0OXCPBPDON" localSheetId="14" hidden="1">#REF!</definedName>
    <definedName name="BExXXPPA1Q87XPI97X0OXCPBPDON" localSheetId="15" hidden="1">#REF!</definedName>
    <definedName name="BExXXPPA1Q87XPI97X0OXCPBPDON" localSheetId="5" hidden="1">#REF!</definedName>
    <definedName name="BExXXVUDA98IZTQ6MANKU4MTTDVR" localSheetId="14" hidden="1">#REF!</definedName>
    <definedName name="BExXXVUDA98IZTQ6MANKU4MTTDVR" localSheetId="15" hidden="1">#REF!</definedName>
    <definedName name="BExXXVUDA98IZTQ6MANKU4MTTDVR" localSheetId="5" hidden="1">#REF!</definedName>
    <definedName name="BExXXZQNZY6IZI45DJXJK0MQZWA7" localSheetId="14" hidden="1">#REF!</definedName>
    <definedName name="BExXXZQNZY6IZI45DJXJK0MQZWA7" localSheetId="15" hidden="1">#REF!</definedName>
    <definedName name="BExXXZQNZY6IZI45DJXJK0MQZWA7" localSheetId="5" hidden="1">#REF!</definedName>
    <definedName name="BExXY5QFG6QP94SFT3935OBM8Y4K" localSheetId="14" hidden="1">#REF!</definedName>
    <definedName name="BExXY5QFG6QP94SFT3935OBM8Y4K" localSheetId="15" hidden="1">#REF!</definedName>
    <definedName name="BExXY5QFG6QP94SFT3935OBM8Y4K" localSheetId="5" hidden="1">#REF!</definedName>
    <definedName name="BExXY7TYEBFXRYUYIFHTN65RJ8EW" localSheetId="14" hidden="1">#REF!</definedName>
    <definedName name="BExXY7TYEBFXRYUYIFHTN65RJ8EW" localSheetId="15" hidden="1">#REF!</definedName>
    <definedName name="BExXY7TYEBFXRYUYIFHTN65RJ8EW" localSheetId="5" hidden="1">#REF!</definedName>
    <definedName name="BExXYLBHANUXC5FCTDDTGOVD3GQS" localSheetId="14" hidden="1">#REF!</definedName>
    <definedName name="BExXYLBHANUXC5FCTDDTGOVD3GQS" localSheetId="15" hidden="1">#REF!</definedName>
    <definedName name="BExXYLBHANUXC5FCTDDTGOVD3GQS" localSheetId="5" hidden="1">#REF!</definedName>
    <definedName name="BExXYMNYAYH3WA2ZCFAYKZID9ZCI" localSheetId="14" hidden="1">#REF!</definedName>
    <definedName name="BExXYMNYAYH3WA2ZCFAYKZID9ZCI" localSheetId="15" hidden="1">#REF!</definedName>
    <definedName name="BExXYMNYAYH3WA2ZCFAYKZID9ZCI" localSheetId="5" hidden="1">#REF!</definedName>
    <definedName name="BExXYYT12SVN2VDMLVNV4P3ISD8T" localSheetId="14" hidden="1">#REF!</definedName>
    <definedName name="BExXYYT12SVN2VDMLVNV4P3ISD8T" localSheetId="15" hidden="1">#REF!</definedName>
    <definedName name="BExXYYT12SVN2VDMLVNV4P3ISD8T" localSheetId="5" hidden="1">#REF!</definedName>
    <definedName name="BExXYZ3SPSRCWM4YHTPZDCOLZPHR" localSheetId="14" hidden="1">#REF!</definedName>
    <definedName name="BExXYZ3SPSRCWM4YHTPZDCOLZPHR" localSheetId="15" hidden="1">#REF!</definedName>
    <definedName name="BExXYZ3SPSRCWM4YHTPZDCOLZPHR" localSheetId="5" hidden="1">#REF!</definedName>
    <definedName name="BExXZFVV4YB42AZ3H1I40YG3JAPU" localSheetId="14" hidden="1">#REF!</definedName>
    <definedName name="BExXZFVV4YB42AZ3H1I40YG3JAPU" localSheetId="15" hidden="1">#REF!</definedName>
    <definedName name="BExXZFVV4YB42AZ3H1I40YG3JAPU" localSheetId="5" hidden="1">#REF!</definedName>
    <definedName name="BExXZG1CQE1M9TDJ99253H6JVGIH" localSheetId="14" hidden="1">#REF!</definedName>
    <definedName name="BExXZG1CQE1M9TDJ99253H6JVGIH" localSheetId="15" hidden="1">#REF!</definedName>
    <definedName name="BExXZG1CQE1M9TDJ99253H6JVGIH" localSheetId="5" hidden="1">#REF!</definedName>
    <definedName name="BExXZHJ9T2JELF12CHHGD54J1B0C" localSheetId="14" hidden="1">#REF!</definedName>
    <definedName name="BExXZHJ9T2JELF12CHHGD54J1B0C" localSheetId="15" hidden="1">#REF!</definedName>
    <definedName name="BExXZHJ9T2JELF12CHHGD54J1B0C" localSheetId="5" hidden="1">#REF!</definedName>
    <definedName name="BExXZNJ2X1TK2LRK5ZY3MX49H5T7" localSheetId="14" hidden="1">#REF!</definedName>
    <definedName name="BExXZNJ2X1TK2LRK5ZY3MX49H5T7" localSheetId="15" hidden="1">#REF!</definedName>
    <definedName name="BExXZNJ2X1TK2LRK5ZY3MX49H5T7" localSheetId="5" hidden="1">#REF!</definedName>
    <definedName name="BExXZOVPCEP495TQSON6PSRQ8XCY" localSheetId="14" hidden="1">#REF!</definedName>
    <definedName name="BExXZOVPCEP495TQSON6PSRQ8XCY" localSheetId="15" hidden="1">#REF!</definedName>
    <definedName name="BExXZOVPCEP495TQSON6PSRQ8XCY" localSheetId="5" hidden="1">#REF!</definedName>
    <definedName name="BExXZXKH7NBARQQAZM69Z57IH1MM" localSheetId="14" hidden="1">#REF!</definedName>
    <definedName name="BExXZXKH7NBARQQAZM69Z57IH1MM" localSheetId="15" hidden="1">#REF!</definedName>
    <definedName name="BExXZXKH7NBARQQAZM69Z57IH1MM" localSheetId="5" hidden="1">#REF!</definedName>
    <definedName name="BExY07WSDH5QEVM7BJXJK2ZRAI1O" localSheetId="14" hidden="1">#REF!</definedName>
    <definedName name="BExY07WSDH5QEVM7BJXJK2ZRAI1O" localSheetId="15" hidden="1">#REF!</definedName>
    <definedName name="BExY07WSDH5QEVM7BJXJK2ZRAI1O" localSheetId="5" hidden="1">#REF!</definedName>
    <definedName name="BExY09PJJWYWGWWLX3YT8EVK0YV4" localSheetId="14" hidden="1">#REF!</definedName>
    <definedName name="BExY09PJJWYWGWWLX3YT8EVK0YV4" localSheetId="15" hidden="1">#REF!</definedName>
    <definedName name="BExY09PJJWYWGWWLX3YT8EVK0YV4" localSheetId="5" hidden="1">#REF!</definedName>
    <definedName name="BExY0C3UBVC4M59JIRXVQ8OWAJC1" localSheetId="14" hidden="1">#REF!</definedName>
    <definedName name="BExY0C3UBVC4M59JIRXVQ8OWAJC1" localSheetId="15" hidden="1">#REF!</definedName>
    <definedName name="BExY0C3UBVC4M59JIRXVQ8OWAJC1" localSheetId="5" hidden="1">#REF!</definedName>
    <definedName name="BExY0ENH6ZXHW155XIGS0F46T43M" localSheetId="14" hidden="1">#REF!</definedName>
    <definedName name="BExY0ENH6ZXHW155XIGS0F46T43M" localSheetId="15" hidden="1">#REF!</definedName>
    <definedName name="BExY0ENH6ZXHW155XIGS0F46T43M" localSheetId="5" hidden="1">#REF!</definedName>
    <definedName name="BExY0IEEUB9SRGD9I14IDCPO5GV4" localSheetId="14" hidden="1">#REF!</definedName>
    <definedName name="BExY0IEEUB9SRGD9I14IDCPO5GV4" localSheetId="15" hidden="1">#REF!</definedName>
    <definedName name="BExY0IEEUB9SRGD9I14IDCPO5GV4" localSheetId="5" hidden="1">#REF!</definedName>
    <definedName name="BExY0LEAAM7MUGBRLXD6KXBOHZ6S" localSheetId="14" hidden="1">#REF!</definedName>
    <definedName name="BExY0LEAAM7MUGBRLXD6KXBOHZ6S" localSheetId="15" hidden="1">#REF!</definedName>
    <definedName name="BExY0LEAAM7MUGBRLXD6KXBOHZ6S" localSheetId="5" hidden="1">#REF!</definedName>
    <definedName name="BExY0OE8GFHMLLTEAFIOQTOPEVPB" localSheetId="14" hidden="1">#REF!</definedName>
    <definedName name="BExY0OE8GFHMLLTEAFIOQTOPEVPB" localSheetId="15" hidden="1">#REF!</definedName>
    <definedName name="BExY0OE8GFHMLLTEAFIOQTOPEVPB" localSheetId="5" hidden="1">#REF!</definedName>
    <definedName name="BExY0OJHW85S0VKBA8T4HTYPYBOS" localSheetId="14" hidden="1">#REF!</definedName>
    <definedName name="BExY0OJHW85S0VKBA8T4HTYPYBOS" localSheetId="15" hidden="1">#REF!</definedName>
    <definedName name="BExY0OJHW85S0VKBA8T4HTYPYBOS" localSheetId="5" hidden="1">#REF!</definedName>
    <definedName name="BExY0T1E034D7XAXNC6F7540LLIE" localSheetId="14" hidden="1">#REF!</definedName>
    <definedName name="BExY0T1E034D7XAXNC6F7540LLIE" localSheetId="15" hidden="1">#REF!</definedName>
    <definedName name="BExY0T1E034D7XAXNC6F7540LLIE" localSheetId="5" hidden="1">#REF!</definedName>
    <definedName name="BExY0XTZLHN49J2JH94BYTKBJLT3" localSheetId="14" hidden="1">#REF!</definedName>
    <definedName name="BExY0XTZLHN49J2JH94BYTKBJLT3" localSheetId="15" hidden="1">#REF!</definedName>
    <definedName name="BExY0XTZLHN49J2JH94BYTKBJLT3" localSheetId="5" hidden="1">#REF!</definedName>
    <definedName name="BExY11FH9TXHERUYGG8FE50U7H7J" localSheetId="14" hidden="1">#REF!</definedName>
    <definedName name="BExY11FH9TXHERUYGG8FE50U7H7J" localSheetId="15" hidden="1">#REF!</definedName>
    <definedName name="BExY11FH9TXHERUYGG8FE50U7H7J" localSheetId="5" hidden="1">#REF!</definedName>
    <definedName name="BExY180UKNW5NIAWD6ZUYTFEH8QS" localSheetId="14" hidden="1">#REF!</definedName>
    <definedName name="BExY180UKNW5NIAWD6ZUYTFEH8QS" localSheetId="15" hidden="1">#REF!</definedName>
    <definedName name="BExY180UKNW5NIAWD6ZUYTFEH8QS" localSheetId="5" hidden="1">#REF!</definedName>
    <definedName name="BExY1DPTV4LSY9MEOUGXF8X052NA" localSheetId="14" hidden="1">#REF!</definedName>
    <definedName name="BExY1DPTV4LSY9MEOUGXF8X052NA" localSheetId="15" hidden="1">#REF!</definedName>
    <definedName name="BExY1DPTV4LSY9MEOUGXF8X052NA" localSheetId="5" hidden="1">#REF!</definedName>
    <definedName name="BExY1GK9ELBEKDD7O6HR6DUO8YGO" localSheetId="14" hidden="1">#REF!</definedName>
    <definedName name="BExY1GK9ELBEKDD7O6HR6DUO8YGO" localSheetId="15" hidden="1">#REF!</definedName>
    <definedName name="BExY1GK9ELBEKDD7O6HR6DUO8YGO" localSheetId="5" hidden="1">#REF!</definedName>
    <definedName name="BExY1NWOXXFV9GGZ3PX444LZ8TVX" localSheetId="14" hidden="1">#REF!</definedName>
    <definedName name="BExY1NWOXXFV9GGZ3PX444LZ8TVX" localSheetId="15" hidden="1">#REF!</definedName>
    <definedName name="BExY1NWOXXFV9GGZ3PX444LZ8TVX" localSheetId="5" hidden="1">#REF!</definedName>
    <definedName name="BExY1UCL0RND63LLSM9X5SFRG117" localSheetId="14" hidden="1">#REF!</definedName>
    <definedName name="BExY1UCL0RND63LLSM9X5SFRG117" localSheetId="15" hidden="1">#REF!</definedName>
    <definedName name="BExY1UCL0RND63LLSM9X5SFRG117" localSheetId="5" hidden="1">#REF!</definedName>
    <definedName name="BExY1WAT3937L08HLHIRQHMP2A3H" localSheetId="14" hidden="1">#REF!</definedName>
    <definedName name="BExY1WAT3937L08HLHIRQHMP2A3H" localSheetId="15" hidden="1">#REF!</definedName>
    <definedName name="BExY1WAT3937L08HLHIRQHMP2A3H" localSheetId="5" hidden="1">#REF!</definedName>
    <definedName name="BExY1YEBOSLMID7LURP8QB46AI91" localSheetId="14" hidden="1">#REF!</definedName>
    <definedName name="BExY1YEBOSLMID7LURP8QB46AI91" localSheetId="15" hidden="1">#REF!</definedName>
    <definedName name="BExY1YEBOSLMID7LURP8QB46AI91" localSheetId="5" hidden="1">#REF!</definedName>
    <definedName name="BExY236UB98PA9PNCHMCSZYCHJBD" localSheetId="14" hidden="1">#REF!</definedName>
    <definedName name="BExY236UB98PA9PNCHMCSZYCHJBD" localSheetId="15" hidden="1">#REF!</definedName>
    <definedName name="BExY236UB98PA9PNCHMCSZYCHJBD" localSheetId="5" hidden="1">#REF!</definedName>
    <definedName name="BExY2FS4LFX9OHOTQT7SJ2PXAC25" localSheetId="14" hidden="1">#REF!</definedName>
    <definedName name="BExY2FS4LFX9OHOTQT7SJ2PXAC25" localSheetId="15" hidden="1">#REF!</definedName>
    <definedName name="BExY2FS4LFX9OHOTQT7SJ2PXAC25" localSheetId="5" hidden="1">#REF!</definedName>
    <definedName name="BExY2GDPCZPVU0IQ6IJIB1YQQRQ6" localSheetId="14" hidden="1">#REF!</definedName>
    <definedName name="BExY2GDPCZPVU0IQ6IJIB1YQQRQ6" localSheetId="15" hidden="1">#REF!</definedName>
    <definedName name="BExY2GDPCZPVU0IQ6IJIB1YQQRQ6" localSheetId="5" hidden="1">#REF!</definedName>
    <definedName name="BExY2GTSZ3VA9TXLY7KW1LIAKJ61" localSheetId="14" hidden="1">#REF!</definedName>
    <definedName name="BExY2GTSZ3VA9TXLY7KW1LIAKJ61" localSheetId="15" hidden="1">#REF!</definedName>
    <definedName name="BExY2GTSZ3VA9TXLY7KW1LIAKJ61" localSheetId="5" hidden="1">#REF!</definedName>
    <definedName name="BExY2IXBR1SGYZH08T7QHKEFS8HA" localSheetId="14" hidden="1">#REF!</definedName>
    <definedName name="BExY2IXBR1SGYZH08T7QHKEFS8HA" localSheetId="15" hidden="1">#REF!</definedName>
    <definedName name="BExY2IXBR1SGYZH08T7QHKEFS8HA" localSheetId="5" hidden="1">#REF!</definedName>
    <definedName name="BExY2Q4B5FUDA5VU4VRUHX327QN0" localSheetId="14" hidden="1">#REF!</definedName>
    <definedName name="BExY2Q4B5FUDA5VU4VRUHX327QN0" localSheetId="15" hidden="1">#REF!</definedName>
    <definedName name="BExY2Q4B5FUDA5VU4VRUHX327QN0" localSheetId="5" hidden="1">#REF!</definedName>
    <definedName name="BExY2S7TM2NG7A1NFYPWIFAIKUCO" localSheetId="14" hidden="1">#REF!</definedName>
    <definedName name="BExY2S7TM2NG7A1NFYPWIFAIKUCO" localSheetId="15" hidden="1">#REF!</definedName>
    <definedName name="BExY2S7TM2NG7A1NFYPWIFAIKUCO" localSheetId="5" hidden="1">#REF!</definedName>
    <definedName name="BExY2Z3ZGRGD12RWANJZ8DFQO776" localSheetId="14" hidden="1">#REF!</definedName>
    <definedName name="BExY2Z3ZGRGD12RWANJZ8DFQO776" localSheetId="15" hidden="1">#REF!</definedName>
    <definedName name="BExY2Z3ZGRGD12RWANJZ8DFQO776" localSheetId="5" hidden="1">#REF!</definedName>
    <definedName name="BExY30WPXLJ01P42XKBSUF8KNOOK" localSheetId="14" hidden="1">#REF!</definedName>
    <definedName name="BExY30WPXLJ01P42XKBSUF8KNOOK" localSheetId="15" hidden="1">#REF!</definedName>
    <definedName name="BExY30WPXLJ01P42XKBSUF8KNOOK" localSheetId="5" hidden="1">#REF!</definedName>
    <definedName name="BExY3297KIB0C8Z1G99OS1MCEGTO" localSheetId="14" hidden="1">#REF!</definedName>
    <definedName name="BExY3297KIB0C8Z1G99OS1MCEGTO" localSheetId="15" hidden="1">#REF!</definedName>
    <definedName name="BExY3297KIB0C8Z1G99OS1MCEGTO" localSheetId="5" hidden="1">#REF!</definedName>
    <definedName name="BExY3HOSK7YI364K15OX70AVR6F1" localSheetId="14" hidden="1">#REF!</definedName>
    <definedName name="BExY3HOSK7YI364K15OX70AVR6F1" localSheetId="15" hidden="1">#REF!</definedName>
    <definedName name="BExY3HOSK7YI364K15OX70AVR6F1" localSheetId="5" hidden="1">#REF!</definedName>
    <definedName name="BExY3I526B4VA8JBTKXWE3FGVT0D" localSheetId="14" hidden="1">#REF!</definedName>
    <definedName name="BExY3I526B4VA8JBTKXWE3FGVT0D" localSheetId="15" hidden="1">#REF!</definedName>
    <definedName name="BExY3I526B4VA8JBTKXWE3FGVT0D" localSheetId="5" hidden="1">#REF!</definedName>
    <definedName name="BExY3I52TZR3GXQ9HDVDNIYLIGEH" localSheetId="14" hidden="1">#REF!</definedName>
    <definedName name="BExY3I52TZR3GXQ9HDVDNIYLIGEH" localSheetId="15" hidden="1">#REF!</definedName>
    <definedName name="BExY3I52TZR3GXQ9HDVDNIYLIGEH" localSheetId="5" hidden="1">#REF!</definedName>
    <definedName name="BExY3T89AUR83SOAZZ3OMDEJDQ39" localSheetId="14" hidden="1">#REF!</definedName>
    <definedName name="BExY3T89AUR83SOAZZ3OMDEJDQ39" localSheetId="15" hidden="1">#REF!</definedName>
    <definedName name="BExY3T89AUR83SOAZZ3OMDEJDQ39" localSheetId="5" hidden="1">#REF!</definedName>
    <definedName name="BExY3WZ7VO2K6TYCHDY754FY24AA" localSheetId="14" hidden="1">#REF!</definedName>
    <definedName name="BExY3WZ7VO2K6TYCHDY754FY24AA" localSheetId="15" hidden="1">#REF!</definedName>
    <definedName name="BExY3WZ7VO2K6TYCHDY754FY24AA" localSheetId="5" hidden="1">#REF!</definedName>
    <definedName name="BExY4BIG95HDDO6MY6WBUSWJIOLR" localSheetId="14" hidden="1">#REF!</definedName>
    <definedName name="BExY4BIG95HDDO6MY6WBUSWJIOLR" localSheetId="15" hidden="1">#REF!</definedName>
    <definedName name="BExY4BIG95HDDO6MY6WBUSWJIOLR" localSheetId="5" hidden="1">#REF!</definedName>
    <definedName name="BExY4MG771JQ84EMIVB6HQGGHZY7" localSheetId="14" hidden="1">#REF!</definedName>
    <definedName name="BExY4MG771JQ84EMIVB6HQGGHZY7" localSheetId="15" hidden="1">#REF!</definedName>
    <definedName name="BExY4MG771JQ84EMIVB6HQGGHZY7" localSheetId="5" hidden="1">#REF!</definedName>
    <definedName name="BExY4PWCSFB8P3J3TBQB2MD67263" localSheetId="14" hidden="1">#REF!</definedName>
    <definedName name="BExY4PWCSFB8P3J3TBQB2MD67263" localSheetId="15" hidden="1">#REF!</definedName>
    <definedName name="BExY4PWCSFB8P3J3TBQB2MD67263" localSheetId="5" hidden="1">#REF!</definedName>
    <definedName name="BExY4RP3BE6KYZDIKQZO4U4DIT33" localSheetId="14" hidden="1">#REF!</definedName>
    <definedName name="BExY4RP3BE6KYZDIKQZO4U4DIT33" localSheetId="15" hidden="1">#REF!</definedName>
    <definedName name="BExY4RP3BE6KYZDIKQZO4U4DIT33" localSheetId="5" hidden="1">#REF!</definedName>
    <definedName name="BExY4RZW3KK11JLYBA4DWZ92M6LQ" localSheetId="14" hidden="1">#REF!</definedName>
    <definedName name="BExY4RZW3KK11JLYBA4DWZ92M6LQ" localSheetId="15" hidden="1">#REF!</definedName>
    <definedName name="BExY4RZW3KK11JLYBA4DWZ92M6LQ" localSheetId="5" hidden="1">#REF!</definedName>
    <definedName name="BExY4XOVTTNVZ577RLIEC7NZQFIX" localSheetId="14" hidden="1">#REF!</definedName>
    <definedName name="BExY4XOVTTNVZ577RLIEC7NZQFIX" localSheetId="15" hidden="1">#REF!</definedName>
    <definedName name="BExY4XOVTTNVZ577RLIEC7NZQFIX" localSheetId="5" hidden="1">#REF!</definedName>
    <definedName name="BExY50JAF5CG01GTHAUS7I4ZLUDC" localSheetId="14" hidden="1">#REF!</definedName>
    <definedName name="BExY50JAF5CG01GTHAUS7I4ZLUDC" localSheetId="15" hidden="1">#REF!</definedName>
    <definedName name="BExY50JAF5CG01GTHAUS7I4ZLUDC" localSheetId="5" hidden="1">#REF!</definedName>
    <definedName name="BExY53J7EXFEOFTRNAHLK7IH3ACB" localSheetId="14" hidden="1">#REF!</definedName>
    <definedName name="BExY53J7EXFEOFTRNAHLK7IH3ACB" localSheetId="15" hidden="1">#REF!</definedName>
    <definedName name="BExY53J7EXFEOFTRNAHLK7IH3ACB" localSheetId="5" hidden="1">#REF!</definedName>
    <definedName name="BExY5515SJTJS3VM80M3YYR0WF37" localSheetId="14" hidden="1">#REF!</definedName>
    <definedName name="BExY5515SJTJS3VM80M3YYR0WF37" localSheetId="15" hidden="1">#REF!</definedName>
    <definedName name="BExY5515SJTJS3VM80M3YYR0WF37" localSheetId="5" hidden="1">#REF!</definedName>
    <definedName name="BExY5515WE39FQ3EG5QHG67V9C0O" localSheetId="14" hidden="1">#REF!</definedName>
    <definedName name="BExY5515WE39FQ3EG5QHG67V9C0O" localSheetId="15" hidden="1">#REF!</definedName>
    <definedName name="BExY5515WE39FQ3EG5QHG67V9C0O" localSheetId="5" hidden="1">#REF!</definedName>
    <definedName name="BExY5986WNAD8NFCPXC9TVLBU4FG" localSheetId="14" hidden="1">#REF!</definedName>
    <definedName name="BExY5986WNAD8NFCPXC9TVLBU4FG" localSheetId="15" hidden="1">#REF!</definedName>
    <definedName name="BExY5986WNAD8NFCPXC9TVLBU4FG" localSheetId="5" hidden="1">#REF!</definedName>
    <definedName name="BExY5DF9MS25IFNWGJ1YAS5MDN8R" localSheetId="14" hidden="1">#REF!</definedName>
    <definedName name="BExY5DF9MS25IFNWGJ1YAS5MDN8R" localSheetId="15" hidden="1">#REF!</definedName>
    <definedName name="BExY5DF9MS25IFNWGJ1YAS5MDN8R" localSheetId="5" hidden="1">#REF!</definedName>
    <definedName name="BExY5ERVGL3UM2MGT8LJ0XPKTZEK" localSheetId="14" hidden="1">#REF!</definedName>
    <definedName name="BExY5ERVGL3UM2MGT8LJ0XPKTZEK" localSheetId="15" hidden="1">#REF!</definedName>
    <definedName name="BExY5ERVGL3UM2MGT8LJ0XPKTZEK" localSheetId="5" hidden="1">#REF!</definedName>
    <definedName name="BExY5EX6NJFK8W754ZVZDN5DS04K" localSheetId="14" hidden="1">#REF!</definedName>
    <definedName name="BExY5EX6NJFK8W754ZVZDN5DS04K" localSheetId="15" hidden="1">#REF!</definedName>
    <definedName name="BExY5EX6NJFK8W754ZVZDN5DS04K" localSheetId="5" hidden="1">#REF!</definedName>
    <definedName name="BExY5S3XD1NJT109CV54IFOHVLQ6" localSheetId="14" hidden="1">#REF!</definedName>
    <definedName name="BExY5S3XD1NJT109CV54IFOHVLQ6" localSheetId="15" hidden="1">#REF!</definedName>
    <definedName name="BExY5S3XD1NJT109CV54IFOHVLQ6" localSheetId="5" hidden="1">#REF!</definedName>
    <definedName name="BExY5W088PPAPLSMR2P7FV2CRDCT" localSheetId="14" hidden="1">#REF!</definedName>
    <definedName name="BExY5W088PPAPLSMR2P7FV2CRDCT" localSheetId="15" hidden="1">#REF!</definedName>
    <definedName name="BExY5W088PPAPLSMR2P7FV2CRDCT" localSheetId="5" hidden="1">#REF!</definedName>
    <definedName name="BExY6KA6BQ6H4SH5EMJBVF8UR4ZY" localSheetId="14" hidden="1">#REF!</definedName>
    <definedName name="BExY6KA6BQ6H4SH5EMJBVF8UR4ZY" localSheetId="15" hidden="1">#REF!</definedName>
    <definedName name="BExY6KA6BQ6H4SH5EMJBVF8UR4ZY" localSheetId="5" hidden="1">#REF!</definedName>
    <definedName name="BExY6KVS1MMZ2R34PGEFR2BMTU9W" localSheetId="14" hidden="1">#REF!</definedName>
    <definedName name="BExY6KVS1MMZ2R34PGEFR2BMTU9W" localSheetId="15" hidden="1">#REF!</definedName>
    <definedName name="BExY6KVS1MMZ2R34PGEFR2BMTU9W" localSheetId="5" hidden="1">#REF!</definedName>
    <definedName name="BExY6Q9YY7LW745GP7CYOGGSPHGE" localSheetId="14" hidden="1">#REF!</definedName>
    <definedName name="BExY6Q9YY7LW745GP7CYOGGSPHGE" localSheetId="15" hidden="1">#REF!</definedName>
    <definedName name="BExY6Q9YY7LW745GP7CYOGGSPHGE" localSheetId="5" hidden="1">#REF!</definedName>
    <definedName name="BExY6R6BYIQZ4OR1E7YI0OVOC08W" localSheetId="14" hidden="1">#REF!</definedName>
    <definedName name="BExY6R6BYIQZ4OR1E7YI0OVOC08W" localSheetId="15" hidden="1">#REF!</definedName>
    <definedName name="BExY6R6BYIQZ4OR1E7YI0OVOC08W" localSheetId="5" hidden="1">#REF!</definedName>
    <definedName name="BExZIA3C8LKJTEH3MKQ57KJH5TA2" localSheetId="14" hidden="1">#REF!</definedName>
    <definedName name="BExZIA3C8LKJTEH3MKQ57KJH5TA2" localSheetId="15" hidden="1">#REF!</definedName>
    <definedName name="BExZIA3C8LKJTEH3MKQ57KJH5TA2" localSheetId="5" hidden="1">#REF!</definedName>
    <definedName name="BExZIGDWFIOPMMVCRWX45OIJ5AP3" localSheetId="14" hidden="1">#REF!</definedName>
    <definedName name="BExZIGDWFIOPMMVCRWX45OIJ5AP3" localSheetId="15" hidden="1">#REF!</definedName>
    <definedName name="BExZIGDWFIOPMMVCRWX45OIJ5AP3" localSheetId="5" hidden="1">#REF!</definedName>
    <definedName name="BExZIIHH3QNQE3GFMHEE4UMHY6WQ" localSheetId="14" hidden="1">#REF!</definedName>
    <definedName name="BExZIIHH3QNQE3GFMHEE4UMHY6WQ" localSheetId="15" hidden="1">#REF!</definedName>
    <definedName name="BExZIIHH3QNQE3GFMHEE4UMHY6WQ" localSheetId="5" hidden="1">#REF!</definedName>
    <definedName name="BExZIYO22G5UXOB42GDLYGVRJ6U7" localSheetId="14" hidden="1">#REF!</definedName>
    <definedName name="BExZIYO22G5UXOB42GDLYGVRJ6U7" localSheetId="15" hidden="1">#REF!</definedName>
    <definedName name="BExZIYO22G5UXOB42GDLYGVRJ6U7" localSheetId="5" hidden="1">#REF!</definedName>
    <definedName name="BExZJ7I9T8XU4MZRKJ1VVU76V2LZ" localSheetId="14" hidden="1">#REF!</definedName>
    <definedName name="BExZJ7I9T8XU4MZRKJ1VVU76V2LZ" localSheetId="15" hidden="1">#REF!</definedName>
    <definedName name="BExZJ7I9T8XU4MZRKJ1VVU76V2LZ" localSheetId="5" hidden="1">#REF!</definedName>
    <definedName name="BExZJMY170JCUU1RWASNZ1HJPRTA" localSheetId="14" hidden="1">#REF!</definedName>
    <definedName name="BExZJMY170JCUU1RWASNZ1HJPRTA" localSheetId="15" hidden="1">#REF!</definedName>
    <definedName name="BExZJMY170JCUU1RWASNZ1HJPRTA" localSheetId="5" hidden="1">#REF!</definedName>
    <definedName name="BExZJOQR77H0P4SUKVYACDCFBBXO" localSheetId="14" hidden="1">#REF!</definedName>
    <definedName name="BExZJOQR77H0P4SUKVYACDCFBBXO" localSheetId="15" hidden="1">#REF!</definedName>
    <definedName name="BExZJOQR77H0P4SUKVYACDCFBBXO" localSheetId="5" hidden="1">#REF!</definedName>
    <definedName name="BExZJS6RG34ODDY9HMZ0O34MEMSB" localSheetId="14" hidden="1">#REF!</definedName>
    <definedName name="BExZJS6RG34ODDY9HMZ0O34MEMSB" localSheetId="15" hidden="1">#REF!</definedName>
    <definedName name="BExZJS6RG34ODDY9HMZ0O34MEMSB" localSheetId="5" hidden="1">#REF!</definedName>
    <definedName name="BExZK34NR4BAD7HJAP7SQ926UQP3" localSheetId="14" hidden="1">#REF!</definedName>
    <definedName name="BExZK34NR4BAD7HJAP7SQ926UQP3" localSheetId="15" hidden="1">#REF!</definedName>
    <definedName name="BExZK34NR4BAD7HJAP7SQ926UQP3" localSheetId="5" hidden="1">#REF!</definedName>
    <definedName name="BExZK3FGPHH5H771U7D5XY7XBS6E" localSheetId="14" hidden="1">#REF!</definedName>
    <definedName name="BExZK3FGPHH5H771U7D5XY7XBS6E" localSheetId="15" hidden="1">#REF!</definedName>
    <definedName name="BExZK3FGPHH5H771U7D5XY7XBS6E" localSheetId="5" hidden="1">#REF!</definedName>
    <definedName name="BExZK46CVVS9X1BZ6LLL71016ENT" localSheetId="14" hidden="1">#REF!</definedName>
    <definedName name="BExZK46CVVS9X1BZ6LLL71016ENT" localSheetId="15" hidden="1">#REF!</definedName>
    <definedName name="BExZK46CVVS9X1BZ6LLL71016ENT" localSheetId="5" hidden="1">#REF!</definedName>
    <definedName name="BExZK52PZLTP1F04T09MP30BVT7H" localSheetId="14" hidden="1">#REF!</definedName>
    <definedName name="BExZK52PZLTP1F04T09MP30BVT7H" localSheetId="15" hidden="1">#REF!</definedName>
    <definedName name="BExZK52PZLTP1F04T09MP30BVT7H" localSheetId="5" hidden="1">#REF!</definedName>
    <definedName name="BExZKHYORG3O8C772XPFHM1N8T80" localSheetId="14" hidden="1">#REF!</definedName>
    <definedName name="BExZKHYORG3O8C772XPFHM1N8T80" localSheetId="15" hidden="1">#REF!</definedName>
    <definedName name="BExZKHYORG3O8C772XPFHM1N8T80" localSheetId="5" hidden="1">#REF!</definedName>
    <definedName name="BExZKJRF2IRR57DG9CLC7MSHWNNN" localSheetId="14" hidden="1">#REF!</definedName>
    <definedName name="BExZKJRF2IRR57DG9CLC7MSHWNNN" localSheetId="15" hidden="1">#REF!</definedName>
    <definedName name="BExZKJRF2IRR57DG9CLC7MSHWNNN" localSheetId="5" hidden="1">#REF!</definedName>
    <definedName name="BExZKV5GYXO0X760SBD9TWTIQHGI" localSheetId="14" hidden="1">#REF!</definedName>
    <definedName name="BExZKV5GYXO0X760SBD9TWTIQHGI" localSheetId="15" hidden="1">#REF!</definedName>
    <definedName name="BExZKV5GYXO0X760SBD9TWTIQHGI" localSheetId="5" hidden="1">#REF!</definedName>
    <definedName name="BExZKZCGNEA9IPON37A91L4H4H17" localSheetId="14" hidden="1">#REF!</definedName>
    <definedName name="BExZKZCGNEA9IPON37A91L4H4H17" localSheetId="15" hidden="1">#REF!</definedName>
    <definedName name="BExZKZCGNEA9IPON37A91L4H4H17" localSheetId="5" hidden="1">#REF!</definedName>
    <definedName name="BExZL6E4YVXRUN7ZGF2BIGIXFR8K" localSheetId="14" hidden="1">#REF!</definedName>
    <definedName name="BExZL6E4YVXRUN7ZGF2BIGIXFR8K" localSheetId="15" hidden="1">#REF!</definedName>
    <definedName name="BExZL6E4YVXRUN7ZGF2BIGIXFR8K" localSheetId="5" hidden="1">#REF!</definedName>
    <definedName name="BExZLF2ZTA4EPN0GHO7C5O8DZ1SN" localSheetId="14" hidden="1">#REF!</definedName>
    <definedName name="BExZLF2ZTA4EPN0GHO7C5O8DZ1SN" localSheetId="15" hidden="1">#REF!</definedName>
    <definedName name="BExZLF2ZTA4EPN0GHO7C5O8DZ1SN" localSheetId="5" hidden="1">#REF!</definedName>
    <definedName name="BExZLGVLMKTPFXG42QYT0PO81G7F" localSheetId="14" hidden="1">#REF!</definedName>
    <definedName name="BExZLGVLMKTPFXG42QYT0PO81G7F" localSheetId="15" hidden="1">#REF!</definedName>
    <definedName name="BExZLGVLMKTPFXG42QYT0PO81G7F" localSheetId="5" hidden="1">#REF!</definedName>
    <definedName name="BExZLHRYQQ7BYD3VQWHVTZGYGRCT" localSheetId="14" hidden="1">#REF!</definedName>
    <definedName name="BExZLHRYQQ7BYD3VQWHVTZGYGRCT" localSheetId="15" hidden="1">#REF!</definedName>
    <definedName name="BExZLHRYQQ7BYD3VQWHVTZGYGRCT" localSheetId="5" hidden="1">#REF!</definedName>
    <definedName name="BExZLKMK7LRK14S09WLMH7MXSQXM" localSheetId="14" hidden="1">#REF!</definedName>
    <definedName name="BExZLKMK7LRK14S09WLMH7MXSQXM" localSheetId="15" hidden="1">#REF!</definedName>
    <definedName name="BExZLKMK7LRK14S09WLMH7MXSQXM" localSheetId="5" hidden="1">#REF!</definedName>
    <definedName name="BExZM503X0NZBS0FF22LK2RGG6GP" localSheetId="14" hidden="1">#REF!</definedName>
    <definedName name="BExZM503X0NZBS0FF22LK2RGG6GP" localSheetId="15" hidden="1">#REF!</definedName>
    <definedName name="BExZM503X0NZBS0FF22LK2RGG6GP" localSheetId="5" hidden="1">#REF!</definedName>
    <definedName name="BExZM7JVLG0W8EG5RBU915U3SKBY" localSheetId="14" hidden="1">#REF!</definedName>
    <definedName name="BExZM7JVLG0W8EG5RBU915U3SKBY" localSheetId="15" hidden="1">#REF!</definedName>
    <definedName name="BExZM7JVLG0W8EG5RBU915U3SKBY" localSheetId="5" hidden="1">#REF!</definedName>
    <definedName name="BExZM85FOVUFF110XMQ9O2ODSJUK" localSheetId="14" hidden="1">#REF!</definedName>
    <definedName name="BExZM85FOVUFF110XMQ9O2ODSJUK" localSheetId="15" hidden="1">#REF!</definedName>
    <definedName name="BExZM85FOVUFF110XMQ9O2ODSJUK" localSheetId="5" hidden="1">#REF!</definedName>
    <definedName name="BExZMF1MMTZ1TA14PZ8ASSU2CBSP" localSheetId="14" hidden="1">#REF!</definedName>
    <definedName name="BExZMF1MMTZ1TA14PZ8ASSU2CBSP" localSheetId="15" hidden="1">#REF!</definedName>
    <definedName name="BExZMF1MMTZ1TA14PZ8ASSU2CBSP" localSheetId="5" hidden="1">#REF!</definedName>
    <definedName name="BExZMH54ZU6X4KM0375X9K5VJDZN" localSheetId="14" hidden="1">#REF!</definedName>
    <definedName name="BExZMH54ZU6X4KM0375X9K5VJDZN" localSheetId="15" hidden="1">#REF!</definedName>
    <definedName name="BExZMH54ZU6X4KM0375X9K5VJDZN" localSheetId="5" hidden="1">#REF!</definedName>
    <definedName name="BExZMKL5YQZD7F0FUCSVFGLPFK52" localSheetId="14" hidden="1">#REF!</definedName>
    <definedName name="BExZMKL5YQZD7F0FUCSVFGLPFK52" localSheetId="15" hidden="1">#REF!</definedName>
    <definedName name="BExZMKL5YQZD7F0FUCSVFGLPFK52" localSheetId="5" hidden="1">#REF!</definedName>
    <definedName name="BExZMOC3VNZALJM71X2T6FV91GTB" localSheetId="14" hidden="1">#REF!</definedName>
    <definedName name="BExZMOC3VNZALJM71X2T6FV91GTB" localSheetId="15" hidden="1">#REF!</definedName>
    <definedName name="BExZMOC3VNZALJM71X2T6FV91GTB" localSheetId="5" hidden="1">#REF!</definedName>
    <definedName name="BExZMRHA7TTR9QKJOMONHRVY3YOF" localSheetId="14" hidden="1">#REF!</definedName>
    <definedName name="BExZMRHA7TTR9QKJOMONHRVY3YOF" localSheetId="15" hidden="1">#REF!</definedName>
    <definedName name="BExZMRHA7TTR9QKJOMONHRVY3YOF" localSheetId="5" hidden="1">#REF!</definedName>
    <definedName name="BExZMXH39OB0I43XEL3K11U3G9PM" localSheetId="14" hidden="1">#REF!</definedName>
    <definedName name="BExZMXH39OB0I43XEL3K11U3G9PM" localSheetId="15" hidden="1">#REF!</definedName>
    <definedName name="BExZMXH39OB0I43XEL3K11U3G9PM" localSheetId="5" hidden="1">#REF!</definedName>
    <definedName name="BExZMZQ3RBKDHT5GLFNLS52OSJA0" localSheetId="14" hidden="1">#REF!</definedName>
    <definedName name="BExZMZQ3RBKDHT5GLFNLS52OSJA0" localSheetId="15" hidden="1">#REF!</definedName>
    <definedName name="BExZMZQ3RBKDHT5GLFNLS52OSJA0" localSheetId="5" hidden="1">#REF!</definedName>
    <definedName name="BExZN2F7Y2J2L2LN5WZRG949MS4A" localSheetId="14" hidden="1">#REF!</definedName>
    <definedName name="BExZN2F7Y2J2L2LN5WZRG949MS4A" localSheetId="15" hidden="1">#REF!</definedName>
    <definedName name="BExZN2F7Y2J2L2LN5WZRG949MS4A" localSheetId="5" hidden="1">#REF!</definedName>
    <definedName name="BExZN847WUWKRYTZWG9TCQZJS3OL" localSheetId="14" hidden="1">#REF!</definedName>
    <definedName name="BExZN847WUWKRYTZWG9TCQZJS3OL" localSheetId="15" hidden="1">#REF!</definedName>
    <definedName name="BExZN847WUWKRYTZWG9TCQZJS3OL" localSheetId="5" hidden="1">#REF!</definedName>
    <definedName name="BExZNA2ALK6RDWFAXZQCL9TWRDCF" localSheetId="14" hidden="1">#REF!</definedName>
    <definedName name="BExZNA2ALK6RDWFAXZQCL9TWRDCF" localSheetId="15" hidden="1">#REF!</definedName>
    <definedName name="BExZNA2ALK6RDWFAXZQCL9TWRDCF" localSheetId="5" hidden="1">#REF!</definedName>
    <definedName name="BExZNH3VISFF4NQI11BZDP5IQ7VG" localSheetId="14" hidden="1">#REF!</definedName>
    <definedName name="BExZNH3VISFF4NQI11BZDP5IQ7VG" localSheetId="15" hidden="1">#REF!</definedName>
    <definedName name="BExZNH3VISFF4NQI11BZDP5IQ7VG" localSheetId="5" hidden="1">#REF!</definedName>
    <definedName name="BExZNJYCFYVMAOI62GB2BABK1ELE" localSheetId="14" hidden="1">#REF!</definedName>
    <definedName name="BExZNJYCFYVMAOI62GB2BABK1ELE" localSheetId="15" hidden="1">#REF!</definedName>
    <definedName name="BExZNJYCFYVMAOI62GB2BABK1ELE" localSheetId="5" hidden="1">#REF!</definedName>
    <definedName name="BExZNLGAA6ATMJW0Y28J4OI5W27I" localSheetId="14" hidden="1">#REF!</definedName>
    <definedName name="BExZNLGAA6ATMJW0Y28J4OI5W27I" localSheetId="15" hidden="1">#REF!</definedName>
    <definedName name="BExZNLGAA6ATMJW0Y28J4OI5W27I" localSheetId="5" hidden="1">#REF!</definedName>
    <definedName name="BExZNP7916CH3QP4VCZEULUIKKS5" localSheetId="14" hidden="1">#REF!</definedName>
    <definedName name="BExZNP7916CH3QP4VCZEULUIKKS5" localSheetId="15" hidden="1">#REF!</definedName>
    <definedName name="BExZNP7916CH3QP4VCZEULUIKKS5" localSheetId="5" hidden="1">#REF!</definedName>
    <definedName name="BExZNV707LIU6Z5H6QI6H67LHTI1" localSheetId="14" hidden="1">#REF!</definedName>
    <definedName name="BExZNV707LIU6Z5H6QI6H67LHTI1" localSheetId="15" hidden="1">#REF!</definedName>
    <definedName name="BExZNV707LIU6Z5H6QI6H67LHTI1" localSheetId="5" hidden="1">#REF!</definedName>
    <definedName name="BExZNVCBKB930QQ9QW7KSGOZ0V1M" localSheetId="14" hidden="1">#REF!</definedName>
    <definedName name="BExZNVCBKB930QQ9QW7KSGOZ0V1M" localSheetId="15" hidden="1">#REF!</definedName>
    <definedName name="BExZNVCBKB930QQ9QW7KSGOZ0V1M" localSheetId="5" hidden="1">#REF!</definedName>
    <definedName name="BExZNW8QJ18X0RSGFDWAE9ZSDX39" localSheetId="14" hidden="1">#REF!</definedName>
    <definedName name="BExZNW8QJ18X0RSGFDWAE9ZSDX39" localSheetId="15" hidden="1">#REF!</definedName>
    <definedName name="BExZNW8QJ18X0RSGFDWAE9ZSDX39" localSheetId="5" hidden="1">#REF!</definedName>
    <definedName name="BExZNZDWRS6Q40L8OCWFEIVI0A1O" localSheetId="14" hidden="1">#REF!</definedName>
    <definedName name="BExZNZDWRS6Q40L8OCWFEIVI0A1O" localSheetId="15" hidden="1">#REF!</definedName>
    <definedName name="BExZNZDWRS6Q40L8OCWFEIVI0A1O" localSheetId="5" hidden="1">#REF!</definedName>
    <definedName name="BExZOBO9NYLGVJQ31LVQ9XS2ZT4N" localSheetId="14" hidden="1">#REF!</definedName>
    <definedName name="BExZOBO9NYLGVJQ31LVQ9XS2ZT4N" localSheetId="15" hidden="1">#REF!</definedName>
    <definedName name="BExZOBO9NYLGVJQ31LVQ9XS2ZT4N" localSheetId="5" hidden="1">#REF!</definedName>
    <definedName name="BExZOETNB1CJ3Y2RKLI1ZK0S8Z6H" localSheetId="14" hidden="1">#REF!</definedName>
    <definedName name="BExZOETNB1CJ3Y2RKLI1ZK0S8Z6H" localSheetId="15" hidden="1">#REF!</definedName>
    <definedName name="BExZOETNB1CJ3Y2RKLI1ZK0S8Z6H" localSheetId="5" hidden="1">#REF!</definedName>
    <definedName name="BExZOREMVSK4E5VSWM838KHUB8AI" localSheetId="14" hidden="1">#REF!</definedName>
    <definedName name="BExZOREMVSK4E5VSWM838KHUB8AI" localSheetId="15" hidden="1">#REF!</definedName>
    <definedName name="BExZOREMVSK4E5VSWM838KHUB8AI" localSheetId="5" hidden="1">#REF!</definedName>
    <definedName name="BExZOVR745T5P1KS9NV2PXZPZVRG" localSheetId="14" hidden="1">#REF!</definedName>
    <definedName name="BExZOVR745T5P1KS9NV2PXZPZVRG" localSheetId="15" hidden="1">#REF!</definedName>
    <definedName name="BExZOVR745T5P1KS9NV2PXZPZVRG" localSheetId="5" hidden="1">#REF!</definedName>
    <definedName name="BExZOZSWGLSY2XYVRIS6VSNJDSGD" localSheetId="14" hidden="1">#REF!</definedName>
    <definedName name="BExZOZSWGLSY2XYVRIS6VSNJDSGD" localSheetId="15" hidden="1">#REF!</definedName>
    <definedName name="BExZOZSWGLSY2XYVRIS6VSNJDSGD" localSheetId="5" hidden="1">#REF!</definedName>
    <definedName name="BExZP7AIJKLM6C6CSUIIFAHFBNX2" localSheetId="14" hidden="1">#REF!</definedName>
    <definedName name="BExZP7AIJKLM6C6CSUIIFAHFBNX2" localSheetId="15" hidden="1">#REF!</definedName>
    <definedName name="BExZP7AIJKLM6C6CSUIIFAHFBNX2" localSheetId="5" hidden="1">#REF!</definedName>
    <definedName name="BExZPALCPOH27L4MUPX2RFT3F8OM" localSheetId="14" hidden="1">#REF!</definedName>
    <definedName name="BExZPALCPOH27L4MUPX2RFT3F8OM" localSheetId="15" hidden="1">#REF!</definedName>
    <definedName name="BExZPALCPOH27L4MUPX2RFT3F8OM" localSheetId="5" hidden="1">#REF!</definedName>
    <definedName name="BExZPQ0XY507N8FJMVPKCTK8HC9H" localSheetId="14" hidden="1">#REF!</definedName>
    <definedName name="BExZPQ0XY507N8FJMVPKCTK8HC9H" localSheetId="15" hidden="1">#REF!</definedName>
    <definedName name="BExZPQ0XY507N8FJMVPKCTK8HC9H" localSheetId="5" hidden="1">#REF!</definedName>
    <definedName name="BExZPXTHEWEN48J9E5ARSA8IGRBI" localSheetId="14" hidden="1">#REF!</definedName>
    <definedName name="BExZPXTHEWEN48J9E5ARSA8IGRBI" localSheetId="15" hidden="1">#REF!</definedName>
    <definedName name="BExZPXTHEWEN48J9E5ARSA8IGRBI" localSheetId="5" hidden="1">#REF!</definedName>
    <definedName name="BExZQ37OVBR25U32CO2YYVPZOMR5" localSheetId="14" hidden="1">#REF!</definedName>
    <definedName name="BExZQ37OVBR25U32CO2YYVPZOMR5" localSheetId="15" hidden="1">#REF!</definedName>
    <definedName name="BExZQ37OVBR25U32CO2YYVPZOMR5" localSheetId="5" hidden="1">#REF!</definedName>
    <definedName name="BExZQ3NT7H06VO0AR48WHZULZB93" localSheetId="14" hidden="1">#REF!</definedName>
    <definedName name="BExZQ3NT7H06VO0AR48WHZULZB93" localSheetId="15" hidden="1">#REF!</definedName>
    <definedName name="BExZQ3NT7H06VO0AR48WHZULZB93" localSheetId="5" hidden="1">#REF!</definedName>
    <definedName name="BExZQ5RCYU1R0DUT1MFN99S1C408" localSheetId="14" hidden="1">#REF!</definedName>
    <definedName name="BExZQ5RCYU1R0DUT1MFN99S1C408" localSheetId="15" hidden="1">#REF!</definedName>
    <definedName name="BExZQ5RCYU1R0DUT1MFN99S1C408" localSheetId="5" hidden="1">#REF!</definedName>
    <definedName name="BExZQ7PJU07SEJMDX18U9YVDC2GU" localSheetId="14" hidden="1">#REF!</definedName>
    <definedName name="BExZQ7PJU07SEJMDX18U9YVDC2GU" localSheetId="15" hidden="1">#REF!</definedName>
    <definedName name="BExZQ7PJU07SEJMDX18U9YVDC2GU" localSheetId="5" hidden="1">#REF!</definedName>
    <definedName name="BExZQAJXQ5IJ5RB71EDSPGTRO5HC" localSheetId="14" hidden="1">#REF!</definedName>
    <definedName name="BExZQAJXQ5IJ5RB71EDSPGTRO5HC" localSheetId="15" hidden="1">#REF!</definedName>
    <definedName name="BExZQAJXQ5IJ5RB71EDSPGTRO5HC" localSheetId="5" hidden="1">#REF!</definedName>
    <definedName name="BExZQBLTKPF3O4MCH6L4LE544FQB" localSheetId="14" hidden="1">#REF!</definedName>
    <definedName name="BExZQBLTKPF3O4MCH6L4LE544FQB" localSheetId="15" hidden="1">#REF!</definedName>
    <definedName name="BExZQBLTKPF3O4MCH6L4LE544FQB" localSheetId="5" hidden="1">#REF!</definedName>
    <definedName name="BExZQIHTGHK7OOI2Y2PN3JYBY82I" localSheetId="14" hidden="1">#REF!</definedName>
    <definedName name="BExZQIHTGHK7OOI2Y2PN3JYBY82I" localSheetId="15" hidden="1">#REF!</definedName>
    <definedName name="BExZQIHTGHK7OOI2Y2PN3JYBY82I" localSheetId="5" hidden="1">#REF!</definedName>
    <definedName name="BExZQJJMGU5MHQOILGXGJPAQI5XI" localSheetId="14" hidden="1">#REF!</definedName>
    <definedName name="BExZQJJMGU5MHQOILGXGJPAQI5XI" localSheetId="15" hidden="1">#REF!</definedName>
    <definedName name="BExZQJJMGU5MHQOILGXGJPAQI5XI" localSheetId="5" hidden="1">#REF!</definedName>
    <definedName name="BExZQL1M2EX5YEQBMNQKVD747N3I" localSheetId="14" hidden="1">#REF!</definedName>
    <definedName name="BExZQL1M2EX5YEQBMNQKVD747N3I" localSheetId="15" hidden="1">#REF!</definedName>
    <definedName name="BExZQL1M2EX5YEQBMNQKVD747N3I" localSheetId="5" hidden="1">#REF!</definedName>
    <definedName name="BExZQPDYUBJL0C1OME996KHU23N5" localSheetId="14" hidden="1">#REF!</definedName>
    <definedName name="BExZQPDYUBJL0C1OME996KHU23N5" localSheetId="15" hidden="1">#REF!</definedName>
    <definedName name="BExZQPDYUBJL0C1OME996KHU23N5" localSheetId="5" hidden="1">#REF!</definedName>
    <definedName name="BExZQXBYEBN28QUH1KOVW6KKA5UM" localSheetId="14" hidden="1">#REF!</definedName>
    <definedName name="BExZQXBYEBN28QUH1KOVW6KKA5UM" localSheetId="15" hidden="1">#REF!</definedName>
    <definedName name="BExZQXBYEBN28QUH1KOVW6KKA5UM" localSheetId="5" hidden="1">#REF!</definedName>
    <definedName name="BExZQZKT146WEN8FTVZ7Y5TSB8L5" localSheetId="14" hidden="1">#REF!</definedName>
    <definedName name="BExZQZKT146WEN8FTVZ7Y5TSB8L5" localSheetId="15" hidden="1">#REF!</definedName>
    <definedName name="BExZQZKT146WEN8FTVZ7Y5TSB8L5" localSheetId="5" hidden="1">#REF!</definedName>
    <definedName name="BExZR485AKBH93YZ08CMUC3WROED" localSheetId="14" hidden="1">#REF!</definedName>
    <definedName name="BExZR485AKBH93YZ08CMUC3WROED" localSheetId="15" hidden="1">#REF!</definedName>
    <definedName name="BExZR485AKBH93YZ08CMUC3WROED" localSheetId="5" hidden="1">#REF!</definedName>
    <definedName name="BExZR7TL98P2PPUVGIZYR5873DWW" localSheetId="14" hidden="1">#REF!</definedName>
    <definedName name="BExZR7TL98P2PPUVGIZYR5873DWW" localSheetId="15" hidden="1">#REF!</definedName>
    <definedName name="BExZR7TL98P2PPUVGIZYR5873DWW" localSheetId="5" hidden="1">#REF!</definedName>
    <definedName name="BExZRAYSYOXAM1PBW1EF6YAZ9RU3" localSheetId="14" hidden="1">#REF!</definedName>
    <definedName name="BExZRAYSYOXAM1PBW1EF6YAZ9RU3" localSheetId="15" hidden="1">#REF!</definedName>
    <definedName name="BExZRAYSYOXAM1PBW1EF6YAZ9RU3" localSheetId="5" hidden="1">#REF!</definedName>
    <definedName name="BExZRGD1603X5ACFALUUDKCD7X48" localSheetId="14" hidden="1">#REF!</definedName>
    <definedName name="BExZRGD1603X5ACFALUUDKCD7X48" localSheetId="15" hidden="1">#REF!</definedName>
    <definedName name="BExZRGD1603X5ACFALUUDKCD7X48" localSheetId="5" hidden="1">#REF!</definedName>
    <definedName name="BExZRMSYHFOP8FFWKKUSBHU85J81" localSheetId="14" hidden="1">#REF!</definedName>
    <definedName name="BExZRMSYHFOP8FFWKKUSBHU85J81" localSheetId="15" hidden="1">#REF!</definedName>
    <definedName name="BExZRMSYHFOP8FFWKKUSBHU85J81" localSheetId="5" hidden="1">#REF!</definedName>
    <definedName name="BExZRP1X6UVLN1UOLHH5VF4STP1O" localSheetId="14" hidden="1">#REF!</definedName>
    <definedName name="BExZRP1X6UVLN1UOLHH5VF4STP1O" localSheetId="15" hidden="1">#REF!</definedName>
    <definedName name="BExZRP1X6UVLN1UOLHH5VF4STP1O" localSheetId="5" hidden="1">#REF!</definedName>
    <definedName name="BExZRQ930U6OCYNV00CH5I0Q4LPE" localSheetId="14" hidden="1">#REF!</definedName>
    <definedName name="BExZRQ930U6OCYNV00CH5I0Q4LPE" localSheetId="15" hidden="1">#REF!</definedName>
    <definedName name="BExZRQ930U6OCYNV00CH5I0Q4LPE" localSheetId="5" hidden="1">#REF!</definedName>
    <definedName name="BExZRQP7JLKS45QOGATXS7MK5GUZ" localSheetId="14" hidden="1">#REF!</definedName>
    <definedName name="BExZRQP7JLKS45QOGATXS7MK5GUZ" localSheetId="15" hidden="1">#REF!</definedName>
    <definedName name="BExZRQP7JLKS45QOGATXS7MK5GUZ" localSheetId="5" hidden="1">#REF!</definedName>
    <definedName name="BExZRW8W514W8OZ72YBONYJ64GXF" localSheetId="14" hidden="1">#REF!</definedName>
    <definedName name="BExZRW8W514W8OZ72YBONYJ64GXF" localSheetId="15" hidden="1">#REF!</definedName>
    <definedName name="BExZRW8W514W8OZ72YBONYJ64GXF" localSheetId="5" hidden="1">#REF!</definedName>
    <definedName name="BExZRWJP2BUVFJPO8U8ATQEP0LZU" localSheetId="14" hidden="1">#REF!</definedName>
    <definedName name="BExZRWJP2BUVFJPO8U8ATQEP0LZU" localSheetId="15" hidden="1">#REF!</definedName>
    <definedName name="BExZRWJP2BUVFJPO8U8ATQEP0LZU" localSheetId="5" hidden="1">#REF!</definedName>
    <definedName name="BExZSI9USDLZAN8LI8M4YYQL24GZ" localSheetId="14" hidden="1">#REF!</definedName>
    <definedName name="BExZSI9USDLZAN8LI8M4YYQL24GZ" localSheetId="15" hidden="1">#REF!</definedName>
    <definedName name="BExZSI9USDLZAN8LI8M4YYQL24GZ" localSheetId="5" hidden="1">#REF!</definedName>
    <definedName name="BExZSLKO175YAM0RMMZH1FPXL4V2" localSheetId="14" hidden="1">#REF!</definedName>
    <definedName name="BExZSLKO175YAM0RMMZH1FPXL4V2" localSheetId="15" hidden="1">#REF!</definedName>
    <definedName name="BExZSLKO175YAM0RMMZH1FPXL4V2" localSheetId="5" hidden="1">#REF!</definedName>
    <definedName name="BExZSS0LA2JY4ZLJ1Z5YCMLJJZCH" localSheetId="14" hidden="1">#REF!</definedName>
    <definedName name="BExZSS0LA2JY4ZLJ1Z5YCMLJJZCH" localSheetId="15" hidden="1">#REF!</definedName>
    <definedName name="BExZSS0LA2JY4ZLJ1Z5YCMLJJZCH" localSheetId="5" hidden="1">#REF!</definedName>
    <definedName name="BExZSTNUWCRNCL22SMKXKFSLCJ0O" localSheetId="14" hidden="1">#REF!</definedName>
    <definedName name="BExZSTNUWCRNCL22SMKXKFSLCJ0O" localSheetId="15" hidden="1">#REF!</definedName>
    <definedName name="BExZSTNUWCRNCL22SMKXKFSLCJ0O" localSheetId="5" hidden="1">#REF!</definedName>
    <definedName name="BExZT6JSZ8CBS0SB3T07N3LMAX7M" localSheetId="14" hidden="1">#REF!</definedName>
    <definedName name="BExZT6JSZ8CBS0SB3T07N3LMAX7M" localSheetId="15" hidden="1">#REF!</definedName>
    <definedName name="BExZT6JSZ8CBS0SB3T07N3LMAX7M" localSheetId="5" hidden="1">#REF!</definedName>
    <definedName name="BExZTAQV2QVSZY5Y3VCCWUBSBW9P" localSheetId="14" hidden="1">#REF!</definedName>
    <definedName name="BExZTAQV2QVSZY5Y3VCCWUBSBW9P" localSheetId="15" hidden="1">#REF!</definedName>
    <definedName name="BExZTAQV2QVSZY5Y3VCCWUBSBW9P" localSheetId="5" hidden="1">#REF!</definedName>
    <definedName name="BExZTHSI2FX56PWRSNX9H5EWTZFO" localSheetId="14" hidden="1">#REF!</definedName>
    <definedName name="BExZTHSI2FX56PWRSNX9H5EWTZFO" localSheetId="15" hidden="1">#REF!</definedName>
    <definedName name="BExZTHSI2FX56PWRSNX9H5EWTZFO" localSheetId="5" hidden="1">#REF!</definedName>
    <definedName name="BExZTJL3HVBFY139H6CJHEQCT1EL" localSheetId="14" hidden="1">#REF!</definedName>
    <definedName name="BExZTJL3HVBFY139H6CJHEQCT1EL" localSheetId="15" hidden="1">#REF!</definedName>
    <definedName name="BExZTJL3HVBFY139H6CJHEQCT1EL" localSheetId="5" hidden="1">#REF!</definedName>
    <definedName name="BExZTLOL8OPABZI453E0KVNA1GJS" localSheetId="14" hidden="1">#REF!</definedName>
    <definedName name="BExZTLOL8OPABZI453E0KVNA1GJS" localSheetId="15" hidden="1">#REF!</definedName>
    <definedName name="BExZTLOL8OPABZI453E0KVNA1GJS" localSheetId="5" hidden="1">#REF!</definedName>
    <definedName name="BExZTOTZ9F2ZI18DZM8GW39VDF1N" localSheetId="14" hidden="1">#REF!</definedName>
    <definedName name="BExZTOTZ9F2ZI18DZM8GW39VDF1N" localSheetId="15" hidden="1">#REF!</definedName>
    <definedName name="BExZTOTZ9F2ZI18DZM8GW39VDF1N" localSheetId="5" hidden="1">#REF!</definedName>
    <definedName name="BExZTT6J3X0TOX0ZY6YPLUVMCW9X" localSheetId="14" hidden="1">#REF!</definedName>
    <definedName name="BExZTT6J3X0TOX0ZY6YPLUVMCW9X" localSheetId="15" hidden="1">#REF!</definedName>
    <definedName name="BExZTT6J3X0TOX0ZY6YPLUVMCW9X" localSheetId="5" hidden="1">#REF!</definedName>
    <definedName name="BExZTW6ECBRA0BBITWBQ8R93RMCL" localSheetId="14" hidden="1">#REF!</definedName>
    <definedName name="BExZTW6ECBRA0BBITWBQ8R93RMCL" localSheetId="15" hidden="1">#REF!</definedName>
    <definedName name="BExZTW6ECBRA0BBITWBQ8R93RMCL" localSheetId="5" hidden="1">#REF!</definedName>
    <definedName name="BExZU2BHYAOKSCBM3C5014ZF6IXS" localSheetId="14" hidden="1">#REF!</definedName>
    <definedName name="BExZU2BHYAOKSCBM3C5014ZF6IXS" localSheetId="15" hidden="1">#REF!</definedName>
    <definedName name="BExZU2BHYAOKSCBM3C5014ZF6IXS" localSheetId="5" hidden="1">#REF!</definedName>
    <definedName name="BExZU2RMJTXOCS0ROPMYPE6WTD87" localSheetId="14" hidden="1">#REF!</definedName>
    <definedName name="BExZU2RMJTXOCS0ROPMYPE6WTD87" localSheetId="15" hidden="1">#REF!</definedName>
    <definedName name="BExZU2RMJTXOCS0ROPMYPE6WTD87" localSheetId="5" hidden="1">#REF!</definedName>
    <definedName name="BExZUBRAHA9DNEGONEZEB2TDVFC2" localSheetId="14" hidden="1">#REF!</definedName>
    <definedName name="BExZUBRAHA9DNEGONEZEB2TDVFC2" localSheetId="15" hidden="1">#REF!</definedName>
    <definedName name="BExZUBRAHA9DNEGONEZEB2TDVFC2" localSheetId="5" hidden="1">#REF!</definedName>
    <definedName name="BExZUF7G8FENTJKH9R1XUWXM6CWD" localSheetId="14" hidden="1">#REF!</definedName>
    <definedName name="BExZUF7G8FENTJKH9R1XUWXM6CWD" localSheetId="15" hidden="1">#REF!</definedName>
    <definedName name="BExZUF7G8FENTJKH9R1XUWXM6CWD" localSheetId="5" hidden="1">#REF!</definedName>
    <definedName name="BExZUNARUJBIZ08VCAV3GEVBIR3D" localSheetId="14" hidden="1">#REF!</definedName>
    <definedName name="BExZUNARUJBIZ08VCAV3GEVBIR3D" localSheetId="15" hidden="1">#REF!</definedName>
    <definedName name="BExZUNARUJBIZ08VCAV3GEVBIR3D" localSheetId="5" hidden="1">#REF!</definedName>
    <definedName name="BExZUSZT5496UMBP4LFSLTR1GVEW" localSheetId="14" hidden="1">#REF!</definedName>
    <definedName name="BExZUSZT5496UMBP4LFSLTR1GVEW" localSheetId="15" hidden="1">#REF!</definedName>
    <definedName name="BExZUSZT5496UMBP4LFSLTR1GVEW" localSheetId="5" hidden="1">#REF!</definedName>
    <definedName name="BExZUT54340I38GVCV79EL116WR0" localSheetId="14" hidden="1">#REF!</definedName>
    <definedName name="BExZUT54340I38GVCV79EL116WR0" localSheetId="15" hidden="1">#REF!</definedName>
    <definedName name="BExZUT54340I38GVCV79EL116WR0" localSheetId="5" hidden="1">#REF!</definedName>
    <definedName name="BExZUXC66MK2SXPXCLD8ZSU0BMTY" localSheetId="14" hidden="1">#REF!</definedName>
    <definedName name="BExZUXC66MK2SXPXCLD8ZSU0BMTY" localSheetId="15" hidden="1">#REF!</definedName>
    <definedName name="BExZUXC66MK2SXPXCLD8ZSU0BMTY" localSheetId="5" hidden="1">#REF!</definedName>
    <definedName name="BExZUYDULCX65H9OZ9JHPBNKF3MI" localSheetId="14" hidden="1">#REF!</definedName>
    <definedName name="BExZUYDULCX65H9OZ9JHPBNKF3MI" localSheetId="15" hidden="1">#REF!</definedName>
    <definedName name="BExZUYDULCX65H9OZ9JHPBNKF3MI" localSheetId="5" hidden="1">#REF!</definedName>
    <definedName name="BExZV2QD5ZDK3AGDRULLA7JB46C3" localSheetId="14" hidden="1">#REF!</definedName>
    <definedName name="BExZV2QD5ZDK3AGDRULLA7JB46C3" localSheetId="15" hidden="1">#REF!</definedName>
    <definedName name="BExZV2QD5ZDK3AGDRULLA7JB46C3" localSheetId="5" hidden="1">#REF!</definedName>
    <definedName name="BExZVBQ29OM0V8XAL3HL0JIM0MMU" localSheetId="14" hidden="1">#REF!</definedName>
    <definedName name="BExZVBQ29OM0V8XAL3HL0JIM0MMU" localSheetId="15" hidden="1">#REF!</definedName>
    <definedName name="BExZVBQ29OM0V8XAL3HL0JIM0MMU" localSheetId="5" hidden="1">#REF!</definedName>
    <definedName name="BExZVKV2XCPCINW1KP8Q1FI6KDNG" localSheetId="14" hidden="1">#REF!</definedName>
    <definedName name="BExZVKV2XCPCINW1KP8Q1FI6KDNG" localSheetId="15" hidden="1">#REF!</definedName>
    <definedName name="BExZVKV2XCPCINW1KP8Q1FI6KDNG" localSheetId="5" hidden="1">#REF!</definedName>
    <definedName name="BExZVLM4T9ORS4ZWHME46U4Q103C" localSheetId="14" hidden="1">#REF!</definedName>
    <definedName name="BExZVLM4T9ORS4ZWHME46U4Q103C" localSheetId="15" hidden="1">#REF!</definedName>
    <definedName name="BExZVLM4T9ORS4ZWHME46U4Q103C" localSheetId="5" hidden="1">#REF!</definedName>
    <definedName name="BExZVM7OZWPPRH5YQW50EYMMIW1A" localSheetId="14" hidden="1">#REF!</definedName>
    <definedName name="BExZVM7OZWPPRH5YQW50EYMMIW1A" localSheetId="15" hidden="1">#REF!</definedName>
    <definedName name="BExZVM7OZWPPRH5YQW50EYMMIW1A" localSheetId="5" hidden="1">#REF!</definedName>
    <definedName name="BExZVMYK7BAH6AGIAEXBE1NXDZ5Z" localSheetId="14" hidden="1">#REF!</definedName>
    <definedName name="BExZVMYK7BAH6AGIAEXBE1NXDZ5Z" localSheetId="15" hidden="1">#REF!</definedName>
    <definedName name="BExZVMYK7BAH6AGIAEXBE1NXDZ5Z" localSheetId="5" hidden="1">#REF!</definedName>
    <definedName name="BExZVPYGX2C5OSHMZ6F0KBKZ6B1S" localSheetId="14" hidden="1">#REF!</definedName>
    <definedName name="BExZVPYGX2C5OSHMZ6F0KBKZ6B1S" localSheetId="15" hidden="1">#REF!</definedName>
    <definedName name="BExZVPYGX2C5OSHMZ6F0KBKZ6B1S" localSheetId="5" hidden="1">#REF!</definedName>
    <definedName name="BExZW3LHTS7PFBNTYM95N8J5AFYQ" localSheetId="14" hidden="1">#REF!</definedName>
    <definedName name="BExZW3LHTS7PFBNTYM95N8J5AFYQ" localSheetId="15" hidden="1">#REF!</definedName>
    <definedName name="BExZW3LHTS7PFBNTYM95N8J5AFYQ" localSheetId="5" hidden="1">#REF!</definedName>
    <definedName name="BExZW472V5ADKCFHIKAJ6D4R8MU4" localSheetId="14" hidden="1">#REF!</definedName>
    <definedName name="BExZW472V5ADKCFHIKAJ6D4R8MU4" localSheetId="15" hidden="1">#REF!</definedName>
    <definedName name="BExZW472V5ADKCFHIKAJ6D4R8MU4" localSheetId="5" hidden="1">#REF!</definedName>
    <definedName name="BExZW5UARC8W9AQNLJX2I5WQWS5F" localSheetId="14" hidden="1">#REF!</definedName>
    <definedName name="BExZW5UARC8W9AQNLJX2I5WQWS5F" localSheetId="15" hidden="1">#REF!</definedName>
    <definedName name="BExZW5UARC8W9AQNLJX2I5WQWS5F" localSheetId="5" hidden="1">#REF!</definedName>
    <definedName name="BExZW7HRGN6A9YS41KI2B2UUMJ7X" localSheetId="14" hidden="1">#REF!</definedName>
    <definedName name="BExZW7HRGN6A9YS41KI2B2UUMJ7X" localSheetId="15" hidden="1">#REF!</definedName>
    <definedName name="BExZW7HRGN6A9YS41KI2B2UUMJ7X" localSheetId="5" hidden="1">#REF!</definedName>
    <definedName name="BExZW8ZPNV43UXGOT98FDNIBQHZY" localSheetId="14" hidden="1">#REF!</definedName>
    <definedName name="BExZW8ZPNV43UXGOT98FDNIBQHZY" localSheetId="15" hidden="1">#REF!</definedName>
    <definedName name="BExZW8ZPNV43UXGOT98FDNIBQHZY" localSheetId="5" hidden="1">#REF!</definedName>
    <definedName name="BExZWKZ5N3RDXU8MZ8HQVYYD8O0F" localSheetId="14" hidden="1">#REF!</definedName>
    <definedName name="BExZWKZ5N3RDXU8MZ8HQVYYD8O0F" localSheetId="15" hidden="1">#REF!</definedName>
    <definedName name="BExZWKZ5N3RDXU8MZ8HQVYYD8O0F" localSheetId="5" hidden="1">#REF!</definedName>
    <definedName name="BExZWMBRUCPO6F4QT5FNX8JRFL7V" localSheetId="14" hidden="1">#REF!</definedName>
    <definedName name="BExZWMBRUCPO6F4QT5FNX8JRFL7V" localSheetId="15" hidden="1">#REF!</definedName>
    <definedName name="BExZWMBRUCPO6F4QT5FNX8JRFL7V" localSheetId="5" hidden="1">#REF!</definedName>
    <definedName name="BExZWQO5171HT1OZ6D6JZBHEW4JG" localSheetId="14" hidden="1">#REF!</definedName>
    <definedName name="BExZWQO5171HT1OZ6D6JZBHEW4JG" localSheetId="15" hidden="1">#REF!</definedName>
    <definedName name="BExZWQO5171HT1OZ6D6JZBHEW4JG" localSheetId="5" hidden="1">#REF!</definedName>
    <definedName name="BExZWSMC9T48W74GFGQCIUJ8ZPP3" localSheetId="14" hidden="1">#REF!</definedName>
    <definedName name="BExZWSMC9T48W74GFGQCIUJ8ZPP3" localSheetId="15" hidden="1">#REF!</definedName>
    <definedName name="BExZWSMC9T48W74GFGQCIUJ8ZPP3" localSheetId="5" hidden="1">#REF!</definedName>
    <definedName name="BExZWUF2V4HY3HI8JN9ZVPRWK1H3" localSheetId="14" hidden="1">#REF!</definedName>
    <definedName name="BExZWUF2V4HY3HI8JN9ZVPRWK1H3" localSheetId="15" hidden="1">#REF!</definedName>
    <definedName name="BExZWUF2V4HY3HI8JN9ZVPRWK1H3" localSheetId="5" hidden="1">#REF!</definedName>
    <definedName name="BExZWX45URTK9KYDJHEXL1OTZ833" localSheetId="14" hidden="1">#REF!</definedName>
    <definedName name="BExZWX45URTK9KYDJHEXL1OTZ833" localSheetId="15" hidden="1">#REF!</definedName>
    <definedName name="BExZWX45URTK9KYDJHEXL1OTZ833" localSheetId="5" hidden="1">#REF!</definedName>
    <definedName name="BExZX0EWQEZO86WDAD9A4EAEZ012" localSheetId="14" hidden="1">#REF!</definedName>
    <definedName name="BExZX0EWQEZO86WDAD9A4EAEZ012" localSheetId="15" hidden="1">#REF!</definedName>
    <definedName name="BExZX0EWQEZO86WDAD9A4EAEZ012" localSheetId="5" hidden="1">#REF!</definedName>
    <definedName name="BExZX2T6ZT2DZLYSDJJBPVIT5OK2" localSheetId="14" hidden="1">#REF!</definedName>
    <definedName name="BExZX2T6ZT2DZLYSDJJBPVIT5OK2" localSheetId="15" hidden="1">#REF!</definedName>
    <definedName name="BExZX2T6ZT2DZLYSDJJBPVIT5OK2" localSheetId="5" hidden="1">#REF!</definedName>
    <definedName name="BExZXOJDELULNLEH7WG0OYJT0NJ4" localSheetId="14" hidden="1">#REF!</definedName>
    <definedName name="BExZXOJDELULNLEH7WG0OYJT0NJ4" localSheetId="15" hidden="1">#REF!</definedName>
    <definedName name="BExZXOJDELULNLEH7WG0OYJT0NJ4" localSheetId="5" hidden="1">#REF!</definedName>
    <definedName name="BExZXOOTRNUK8LGEAZ8ZCFW9KXQ1" localSheetId="14" hidden="1">#REF!</definedName>
    <definedName name="BExZXOOTRNUK8LGEAZ8ZCFW9KXQ1" localSheetId="15" hidden="1">#REF!</definedName>
    <definedName name="BExZXOOTRNUK8LGEAZ8ZCFW9KXQ1" localSheetId="5" hidden="1">#REF!</definedName>
    <definedName name="BExZXT6JOXNKEDU23DKL8XZAJZIH" localSheetId="14" hidden="1">#REF!</definedName>
    <definedName name="BExZXT6JOXNKEDU23DKL8XZAJZIH" localSheetId="15" hidden="1">#REF!</definedName>
    <definedName name="BExZXT6JOXNKEDU23DKL8XZAJZIH" localSheetId="5" hidden="1">#REF!</definedName>
    <definedName name="BExZXUTYW1HWEEZ1LIX4OQWC7HL1" localSheetId="14" hidden="1">#REF!</definedName>
    <definedName name="BExZXUTYW1HWEEZ1LIX4OQWC7HL1" localSheetId="15" hidden="1">#REF!</definedName>
    <definedName name="BExZXUTYW1HWEEZ1LIX4OQWC7HL1" localSheetId="5" hidden="1">#REF!</definedName>
    <definedName name="BExZXY4NKQL9QD76YMQJ15U1C2G8" localSheetId="14" hidden="1">#REF!</definedName>
    <definedName name="BExZXY4NKQL9QD76YMQJ15U1C2G8" localSheetId="15" hidden="1">#REF!</definedName>
    <definedName name="BExZXY4NKQL9QD76YMQJ15U1C2G8" localSheetId="5" hidden="1">#REF!</definedName>
    <definedName name="BExZXYQ7U5G08FQGUIGYT14QCBOF" localSheetId="14" hidden="1">#REF!</definedName>
    <definedName name="BExZXYQ7U5G08FQGUIGYT14QCBOF" localSheetId="15" hidden="1">#REF!</definedName>
    <definedName name="BExZXYQ7U5G08FQGUIGYT14QCBOF" localSheetId="5" hidden="1">#REF!</definedName>
    <definedName name="BExZY02V77YJBMODJSWZOYCMPS5X" localSheetId="14" hidden="1">#REF!</definedName>
    <definedName name="BExZY02V77YJBMODJSWZOYCMPS5X" localSheetId="15" hidden="1">#REF!</definedName>
    <definedName name="BExZY02V77YJBMODJSWZOYCMPS5X" localSheetId="5" hidden="1">#REF!</definedName>
    <definedName name="BExZY3DEOYNIHRV56IY5LJXZK8RU" localSheetId="14" hidden="1">#REF!</definedName>
    <definedName name="BExZY3DEOYNIHRV56IY5LJXZK8RU" localSheetId="15" hidden="1">#REF!</definedName>
    <definedName name="BExZY3DEOYNIHRV56IY5LJXZK8RU" localSheetId="5" hidden="1">#REF!</definedName>
    <definedName name="BExZY49QRZIR6CA41LFA9LM6EULU" localSheetId="14" hidden="1">#REF!</definedName>
    <definedName name="BExZY49QRZIR6CA41LFA9LM6EULU" localSheetId="15" hidden="1">#REF!</definedName>
    <definedName name="BExZY49QRZIR6CA41LFA9LM6EULU" localSheetId="5" hidden="1">#REF!</definedName>
    <definedName name="BExZYTG2G7W27YATTETFDDCZ0C4U" localSheetId="14" hidden="1">#REF!</definedName>
    <definedName name="BExZYTG2G7W27YATTETFDDCZ0C4U" localSheetId="15" hidden="1">#REF!</definedName>
    <definedName name="BExZYTG2G7W27YATTETFDDCZ0C4U" localSheetId="5" hidden="1">#REF!</definedName>
    <definedName name="BExZYYOZMC36ROQDWLR5Z17WKHCR" localSheetId="14" hidden="1">#REF!</definedName>
    <definedName name="BExZYYOZMC36ROQDWLR5Z17WKHCR" localSheetId="15" hidden="1">#REF!</definedName>
    <definedName name="BExZYYOZMC36ROQDWLR5Z17WKHCR" localSheetId="5" hidden="1">#REF!</definedName>
    <definedName name="BExZZ2FQA9A8C7CJKMEFQ9VPSLCE" localSheetId="14" hidden="1">#REF!</definedName>
    <definedName name="BExZZ2FQA9A8C7CJKMEFQ9VPSLCE" localSheetId="15" hidden="1">#REF!</definedName>
    <definedName name="BExZZ2FQA9A8C7CJKMEFQ9VPSLCE" localSheetId="5" hidden="1">#REF!</definedName>
    <definedName name="BExZZ7ZGXIMA3OVYAWY3YQSK64LF" localSheetId="14" hidden="1">#REF!</definedName>
    <definedName name="BExZZ7ZGXIMA3OVYAWY3YQSK64LF" localSheetId="15" hidden="1">#REF!</definedName>
    <definedName name="BExZZ7ZGXIMA3OVYAWY3YQSK64LF" localSheetId="5" hidden="1">#REF!</definedName>
    <definedName name="BExZZ8FKEIFG203MU6SEJ69MINCD" localSheetId="14" hidden="1">#REF!</definedName>
    <definedName name="BExZZ8FKEIFG203MU6SEJ69MINCD" localSheetId="15" hidden="1">#REF!</definedName>
    <definedName name="BExZZ8FKEIFG203MU6SEJ69MINCD" localSheetId="5" hidden="1">#REF!</definedName>
    <definedName name="BExZZCHAVHW8C2H649KRGVQ0WVRT" localSheetId="14" hidden="1">#REF!</definedName>
    <definedName name="BExZZCHAVHW8C2H649KRGVQ0WVRT" localSheetId="15" hidden="1">#REF!</definedName>
    <definedName name="BExZZCHAVHW8C2H649KRGVQ0WVRT" localSheetId="5" hidden="1">#REF!</definedName>
    <definedName name="BExZZTK54OTLF2YB68BHGOS27GEN" localSheetId="14" hidden="1">#REF!</definedName>
    <definedName name="BExZZTK54OTLF2YB68BHGOS27GEN" localSheetId="15" hidden="1">#REF!</definedName>
    <definedName name="BExZZTK54OTLF2YB68BHGOS27GEN" localSheetId="5" hidden="1">#REF!</definedName>
    <definedName name="BExZZXB3JQQG4SIZS4MRU6NNW7HI" localSheetId="14" hidden="1">#REF!</definedName>
    <definedName name="BExZZXB3JQQG4SIZS4MRU6NNW7HI" localSheetId="15" hidden="1">#REF!</definedName>
    <definedName name="BExZZXB3JQQG4SIZS4MRU6NNW7HI" localSheetId="5" hidden="1">#REF!</definedName>
    <definedName name="BExZZZEMIIFKMLLV4DJKX5TB9R5V" localSheetId="14" hidden="1">#REF!</definedName>
    <definedName name="BExZZZEMIIFKMLLV4DJKX5TB9R5V" localSheetId="15" hidden="1">#REF!</definedName>
    <definedName name="BExZZZEMIIFKMLLV4DJKX5TB9R5V" localSheetId="5" hidden="1">#REF!</definedName>
    <definedName name="Category">[4]Data!$B$4:$B$20</definedName>
    <definedName name="CBWorkbookPriority" hidden="1">-2060790043</definedName>
    <definedName name="cofa">'[5]Acct Codes'!$A$1:$B$186</definedName>
    <definedName name="CSTAGE">[4]Data!$E$4:$E$8</definedName>
    <definedName name="de" localSheetId="15" hidden="1">#REF!</definedName>
    <definedName name="de" localSheetId="5" hidden="1">#REF!</definedName>
    <definedName name="DELETE01" localSheetId="11" hidden="1">{#N/A,#N/A,FALSE,"Coversheet";#N/A,#N/A,FALSE,"QA"}</definedName>
    <definedName name="DELETE01" localSheetId="6" hidden="1">{#N/A,#N/A,FALSE,"Coversheet";#N/A,#N/A,FALSE,"QA"}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11" hidden="1">{#N/A,#N/A,FALSE,"Schedule F";#N/A,#N/A,FALSE,"Schedule G"}</definedName>
    <definedName name="DELETE02" localSheetId="6" hidden="1">{#N/A,#N/A,FALSE,"Schedule F";#N/A,#N/A,FALSE,"Schedule G"}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11" hidden="1">{#N/A,#N/A,FALSE,"Coversheet";#N/A,#N/A,FALSE,"QA"}</definedName>
    <definedName name="Delete06" localSheetId="6" hidden="1">{#N/A,#N/A,FALSE,"Coversheet";#N/A,#N/A,FALSE,"QA"}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11" hidden="1">{#N/A,#N/A,FALSE,"Coversheet";#N/A,#N/A,FALSE,"QA"}</definedName>
    <definedName name="Delete09" localSheetId="6" hidden="1">{#N/A,#N/A,FALSE,"Coversheet";#N/A,#N/A,FALSE,"QA"}</definedName>
    <definedName name="Delete1" localSheetId="11" hidden="1">{#N/A,#N/A,FALSE,"Coversheet";#N/A,#N/A,FALSE,"QA"}</definedName>
    <definedName name="Delete1" localSheetId="6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11" hidden="1">{#N/A,#N/A,FALSE,"Schedule F";#N/A,#N/A,FALSE,"Schedule G"}</definedName>
    <definedName name="Delete10" localSheetId="6" hidden="1">{#N/A,#N/A,FALSE,"Schedule F";#N/A,#N/A,FALSE,"Schedule G"}</definedName>
    <definedName name="Delete21" localSheetId="11" hidden="1">{#N/A,#N/A,FALSE,"Coversheet";#N/A,#N/A,FALSE,"QA"}</definedName>
    <definedName name="Delete21" localSheetId="6" hidden="1">{#N/A,#N/A,FALSE,"Coversheet";#N/A,#N/A,FALSE,"QA"}</definedName>
    <definedName name="DFIT" localSheetId="11" hidden="1">{#N/A,#N/A,FALSE,"Coversheet";#N/A,#N/A,FALSE,"QA"}</definedName>
    <definedName name="DFIT" localSheetId="6" hidden="1">{#N/A,#N/A,FALSE,"Coversheet";#N/A,#N/A,FALSE,"QA"}</definedName>
    <definedName name="Discipline">[3]LISTS!$D$3:$D$26</definedName>
    <definedName name="Estimate" localSheetId="11" hidden="1">{#N/A,#N/A,FALSE,"Summ";#N/A,#N/A,FALSE,"General"}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11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FORECAST_METHOD">[6]Forecast!$BG$2:$BG$10</definedName>
    <definedName name="jfkljsdkljiejgr" localSheetId="2" hidden="1">{#N/A,#N/A,FALSE,"Summ";#N/A,#N/A,FALSE,"General"}</definedName>
    <definedName name="jfkljsdkljiejgr" localSheetId="3" hidden="1">{#N/A,#N/A,FALSE,"Summ";#N/A,#N/A,FALSE,"General"}</definedName>
    <definedName name="jfkljsdkljiejgr" hidden="1">{#N/A,#N/A,FALSE,"Summ";#N/A,#N/A,FALSE,"General"}</definedName>
    <definedName name="new" localSheetId="11" hidden="1">{#N/A,#N/A,FALSE,"Summ";#N/A,#N/A,FALSE,"General"}</definedName>
    <definedName name="new" localSheetId="3" hidden="1">{#N/A,#N/A,FALSE,"Summ";#N/A,#N/A,FALSE,"General"}</definedName>
    <definedName name="new" hidden="1">{#N/A,#N/A,FALSE,"Summ";#N/A,#N/A,FALSE,"General"}</definedName>
    <definedName name="Owner">[3]LISTS!$J$3:$J$13</definedName>
    <definedName name="print_all">[7]Civil!$A$1:$Q$95</definedName>
    <definedName name="_xlnm.Print_Area" localSheetId="2">FSC!$A$3:$CK$444</definedName>
    <definedName name="_xlnm.Print_Titles">#N/A</definedName>
    <definedName name="Probability">[3]LISTS!$F$3:$F$8</definedName>
    <definedName name="Risk_Type">[3]LISTS!$B$3:$B$17</definedName>
    <definedName name="SAPsysID" hidden="1">"708C5W7SBKP804JT78WJ0JNKI"</definedName>
    <definedName name="SAPwbID" hidden="1">"ARS"</definedName>
    <definedName name="Schedule">[3]LISTS!$H$3:$H$9</definedName>
    <definedName name="sdlfhsdlhfkl" localSheetId="2" hidden="1">{#N/A,#N/A,FALSE,"Summ";#N/A,#N/A,FALSE,"General"}</definedName>
    <definedName name="sdlfhsdlhfkl" localSheetId="3" hidden="1">{#N/A,#N/A,FALSE,"Summ";#N/A,#N/A,FALSE,"General"}</definedName>
    <definedName name="sdlfhsdlhfkl" hidden="1">{#N/A,#N/A,FALSE,"Summ";#N/A,#N/A,FALSE,"General"}</definedName>
    <definedName name="seven" localSheetId="2" hidden="1">{#N/A,#N/A,FALSE,"CRPT";#N/A,#N/A,FALSE,"TREND";#N/A,#N/A,FALSE,"%Curve"}</definedName>
    <definedName name="seven" localSheetId="3" hidden="1">{#N/A,#N/A,FALSE,"CRPT";#N/A,#N/A,FALSE,"TREND";#N/A,#N/A,FALSE,"%Curve"}</definedName>
    <definedName name="seven" hidden="1">{#N/A,#N/A,FALSE,"CRPT";#N/A,#N/A,FALSE,"TREND";#N/A,#N/A,FALSE,"%Curve"}</definedName>
    <definedName name="six" localSheetId="11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ubCat">[4]Data!$C$4:$C$47</definedName>
    <definedName name="SubCategory">[4]Data!$C$4:$C$47</definedName>
    <definedName name="t" localSheetId="11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2" hidden="1">{#N/A,#N/A,FALSE,"Summ";#N/A,#N/A,FALSE,"General"}</definedName>
    <definedName name="tem" localSheetId="3" hidden="1">{#N/A,#N/A,FALSE,"Summ";#N/A,#N/A,FALSE,"General"}</definedName>
    <definedName name="tem" hidden="1">{#N/A,#N/A,FALSE,"Summ";#N/A,#N/A,FALSE,"General"}</definedName>
    <definedName name="TEMP" localSheetId="11" hidden="1">{#N/A,#N/A,FALSE,"Summ";#N/A,#N/A,FALSE,"General"}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11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">#N/A</definedName>
    <definedName name="Type">[4]Data!$A$4:$A$7</definedName>
    <definedName name="u" localSheetId="11" hidden="1">{#N/A,#N/A,FALSE,"Summ";#N/A,#N/A,FALSE,"General"}</definedName>
    <definedName name="u" localSheetId="3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3" hidden="1">{#N/A,#N/A,FALSE,"Summ";#N/A,#N/A,FALSE,"General"}</definedName>
    <definedName name="v" hidden="1">{#N/A,#N/A,FALSE,"Summ";#N/A,#N/A,FALSE,"General"}</definedName>
    <definedName name="Value" localSheetId="2" hidden="1">{#N/A,#N/A,FALSE,"Summ";#N/A,#N/A,FALSE,"General"}</definedName>
    <definedName name="Value" localSheetId="3" hidden="1">{#N/A,#N/A,FALSE,"Summ";#N/A,#N/A,FALSE,"General"}</definedName>
    <definedName name="Value" hidden="1">{#N/A,#N/A,FALSE,"Summ";#N/A,#N/A,FALSE,"General"}</definedName>
    <definedName name="w" localSheetId="3" hidden="1">{#N/A,#N/A,FALSE,"Drill Sites";"WP 212",#N/A,FALSE,"MWAG EOR";"WP 213",#N/A,FALSE,"MWAG EOR";#N/A,#N/A,FALSE,"Misc. Facility";#N/A,#N/A,FALSE,"WWTP"}</definedName>
    <definedName name="w" hidden="1">{#N/A,#N/A,FALSE,"Drill Sites";"WP 212",#N/A,FALSE,"MWAG EOR";"WP 213",#N/A,FALSE,"MWAG EOR";#N/A,#N/A,FALSE,"Misc. Facility";#N/A,#N/A,FALSE,"WWTP"}</definedName>
    <definedName name="wrn.1._.Bi._.Monthly._.CR." localSheetId="11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1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1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ESTIMATE." localSheetId="11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1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11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1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11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11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1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1" hidden="1">{#N/A,#N/A,FALSE,"7617 Fab";#N/A,#N/A,FALSE,"7617 NSK"}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LB." localSheetId="11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1" hidden="1">{#N/A,#N/A,FALSE,"2002 Small Tool OH";#N/A,#N/A,FALSE,"QA"}</definedName>
    <definedName name="wrn.Small._.Tools._.Overhead." localSheetId="6" hidden="1">{#N/A,#N/A,FALSE,"2002 Small Tool OH";#N/A,#N/A,FALSE,"QA"}</definedName>
    <definedName name="wrn.Summary." localSheetId="11" hidden="1">{#N/A,#N/A,FALSE,"Summ";#N/A,#N/A,FALSE,"General"}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xxx" localSheetId="3" hidden="1">{#N/A,#N/A,FALSE,"Summ";#N/A,#N/A,FALSE,"General"}</definedName>
    <definedName name="xxx" hidden="1">{#N/A,#N/A,FALSE,"Summ";#N/A,#N/A,FALSE,"General"}</definedName>
    <definedName name="y" localSheetId="3" hidden="1">{#N/A,#N/A,FALSE,"BASE";#N/A,#N/A,FALSE,"LOOPS";#N/A,#N/A,FALSE,"PLC"}</definedName>
    <definedName name="y" hidden="1">{#N/A,#N/A,FALSE,"BASE";#N/A,#N/A,FALSE,"LOOPS";#N/A,#N/A,FALSE,"PLC"}</definedName>
    <definedName name="yuf" localSheetId="2" hidden="1">{#N/A,#N/A,FALSE,"Summ";#N/A,#N/A,FALSE,"General"}</definedName>
    <definedName name="yuf" localSheetId="3" hidden="1">{#N/A,#N/A,FALSE,"Summ";#N/A,#N/A,FALSE,"General"}</definedName>
    <definedName name="yuf" hidden="1">{#N/A,#N/A,FALSE,"Summ";#N/A,#N/A,FALSE,"General"}</definedName>
  </definedNames>
  <calcPr calcId="145621" calcMode="manual" iterate="1" iterateCount="10"/>
  <fileRecoveryPr autoRecover="0"/>
</workbook>
</file>

<file path=xl/calcChain.xml><?xml version="1.0" encoding="utf-8"?>
<calcChain xmlns="http://schemas.openxmlformats.org/spreadsheetml/2006/main">
  <c r="L92" i="129" l="1"/>
  <c r="I92" i="129"/>
  <c r="D92" i="129"/>
  <c r="C92" i="129"/>
  <c r="B92" i="129"/>
  <c r="E91" i="129"/>
  <c r="B90" i="101" l="1"/>
  <c r="B91" i="101"/>
  <c r="A93" i="101"/>
  <c r="A92" i="101"/>
  <c r="A91" i="101"/>
  <c r="A49" i="101"/>
  <c r="A48" i="101"/>
  <c r="A47" i="101"/>
  <c r="B1" i="144" l="1"/>
  <c r="B3" i="156" l="1"/>
  <c r="CR5" i="154"/>
  <c r="CS5" i="154"/>
  <c r="CT5" i="154" s="1"/>
  <c r="CU5" i="154" s="1"/>
  <c r="Q6" i="154"/>
  <c r="R6" i="154"/>
  <c r="S6" i="154"/>
  <c r="T6" i="154"/>
  <c r="U6" i="154"/>
  <c r="V6" i="154"/>
  <c r="W6" i="154"/>
  <c r="X6" i="154"/>
  <c r="Y6" i="154"/>
  <c r="Z6" i="154"/>
  <c r="AA6" i="154"/>
  <c r="AB6" i="154"/>
  <c r="AC6" i="154"/>
  <c r="AD6" i="154"/>
  <c r="AE6" i="154"/>
  <c r="AG6" i="154"/>
  <c r="AH6" i="154"/>
  <c r="AI6" i="154"/>
  <c r="AJ6" i="154"/>
  <c r="AK6" i="154"/>
  <c r="AL6" i="154"/>
  <c r="AM6" i="154"/>
  <c r="AN6" i="154"/>
  <c r="AO6" i="154"/>
  <c r="AP6" i="154"/>
  <c r="AQ6" i="154"/>
  <c r="AR6" i="154"/>
  <c r="AT6" i="154"/>
  <c r="AU6" i="154"/>
  <c r="AV6" i="154"/>
  <c r="AW6" i="154"/>
  <c r="AX6" i="154"/>
  <c r="AY6" i="154"/>
  <c r="AZ6" i="154"/>
  <c r="BA6" i="154"/>
  <c r="BB6" i="154"/>
  <c r="BC6" i="154"/>
  <c r="BD6" i="154"/>
  <c r="BE6" i="154"/>
  <c r="BG6" i="154"/>
  <c r="BH6" i="154"/>
  <c r="BI6" i="154"/>
  <c r="BJ6" i="154"/>
  <c r="BK6" i="154"/>
  <c r="BL6" i="154"/>
  <c r="BM6" i="154"/>
  <c r="BN6" i="154"/>
  <c r="BO6" i="154"/>
  <c r="BP6" i="154"/>
  <c r="BQ6" i="154"/>
  <c r="BR6" i="154"/>
  <c r="BT6" i="154"/>
  <c r="BU6" i="154"/>
  <c r="BV6" i="154"/>
  <c r="BW6" i="154"/>
  <c r="BX6" i="154"/>
  <c r="BY6" i="154"/>
  <c r="BZ6" i="154"/>
  <c r="CA6" i="154"/>
  <c r="CB6" i="154"/>
  <c r="CC6" i="154"/>
  <c r="CD6" i="154"/>
  <c r="CE6" i="154"/>
  <c r="CG6" i="154"/>
  <c r="CL6" i="154"/>
  <c r="AF7" i="154"/>
  <c r="AF6" i="154" s="1"/>
  <c r="AS7" i="154"/>
  <c r="AS6" i="154" s="1"/>
  <c r="BF7" i="154"/>
  <c r="BF6" i="154" s="1"/>
  <c r="BS7" i="154"/>
  <c r="BS6" i="154" s="1"/>
  <c r="CF7" i="154"/>
  <c r="CF6" i="154" s="1"/>
  <c r="CH7" i="154"/>
  <c r="CH6" i="154" s="1"/>
  <c r="CI7" i="154"/>
  <c r="CI6" i="154" s="1"/>
  <c r="AF8" i="154"/>
  <c r="AS8" i="154"/>
  <c r="BF8" i="154"/>
  <c r="BS8" i="154"/>
  <c r="CF8" i="154"/>
  <c r="CH8" i="154"/>
  <c r="CI8" i="154"/>
  <c r="CJ8" i="154" s="1"/>
  <c r="AF9" i="154"/>
  <c r="AS9" i="154"/>
  <c r="BF9" i="154"/>
  <c r="BS9" i="154"/>
  <c r="CF9" i="154"/>
  <c r="CH9" i="154"/>
  <c r="CI9" i="154"/>
  <c r="CJ9" i="154" s="1"/>
  <c r="AF10" i="154"/>
  <c r="AS10" i="154"/>
  <c r="BF10" i="154"/>
  <c r="BS10" i="154"/>
  <c r="CF10" i="154"/>
  <c r="CH10" i="154"/>
  <c r="CI10" i="154"/>
  <c r="CJ10" i="154" s="1"/>
  <c r="AF11" i="154"/>
  <c r="AS11" i="154"/>
  <c r="BF11" i="154"/>
  <c r="BS11" i="154"/>
  <c r="CF11" i="154"/>
  <c r="CH11" i="154"/>
  <c r="CI11" i="154"/>
  <c r="CJ11" i="154" s="1"/>
  <c r="AF12" i="154"/>
  <c r="AS12" i="154"/>
  <c r="BF12" i="154"/>
  <c r="BS12" i="154"/>
  <c r="CF12" i="154"/>
  <c r="CH12" i="154"/>
  <c r="CI12" i="154"/>
  <c r="CJ12" i="154" s="1"/>
  <c r="AF13" i="154"/>
  <c r="AS13" i="154"/>
  <c r="BF13" i="154"/>
  <c r="BS13" i="154"/>
  <c r="CF13" i="154"/>
  <c r="CH13" i="154"/>
  <c r="CI13" i="154"/>
  <c r="CJ13" i="154" s="1"/>
  <c r="AF14" i="154"/>
  <c r="AS14" i="154"/>
  <c r="BF14" i="154"/>
  <c r="BS14" i="154"/>
  <c r="CF14" i="154"/>
  <c r="CH14" i="154"/>
  <c r="CI14" i="154"/>
  <c r="CJ14" i="154"/>
  <c r="CK14" i="154" s="1"/>
  <c r="CM14" i="154"/>
  <c r="AF15" i="154"/>
  <c r="AS15" i="154"/>
  <c r="BF15" i="154"/>
  <c r="BS15" i="154"/>
  <c r="CF15" i="154"/>
  <c r="CH15" i="154"/>
  <c r="CI15" i="154"/>
  <c r="CJ15" i="154"/>
  <c r="CK15" i="154" s="1"/>
  <c r="CM15" i="154"/>
  <c r="AF16" i="154"/>
  <c r="AS16" i="154"/>
  <c r="BF16" i="154"/>
  <c r="BS16" i="154"/>
  <c r="CF16" i="154"/>
  <c r="CH16" i="154"/>
  <c r="CI16" i="154"/>
  <c r="CJ16" i="154"/>
  <c r="CK16" i="154" s="1"/>
  <c r="CM16" i="154"/>
  <c r="Q17" i="154"/>
  <c r="R17" i="154"/>
  <c r="S17" i="154"/>
  <c r="AF18" i="154"/>
  <c r="AS18" i="154"/>
  <c r="BF18" i="154"/>
  <c r="BS18" i="154"/>
  <c r="CF18" i="154"/>
  <c r="CH18" i="154"/>
  <c r="CI18" i="154"/>
  <c r="CJ18" i="154"/>
  <c r="AF19" i="154"/>
  <c r="AS19" i="154"/>
  <c r="BF19" i="154"/>
  <c r="BS19" i="154"/>
  <c r="CF19" i="154"/>
  <c r="CH19" i="154"/>
  <c r="CI19" i="154"/>
  <c r="CJ19" i="154" s="1"/>
  <c r="BK20" i="154"/>
  <c r="BK17" i="154" s="1"/>
  <c r="BL20" i="154"/>
  <c r="BL17" i="154" s="1"/>
  <c r="BM20" i="154"/>
  <c r="BM17" i="154" s="1"/>
  <c r="BN20" i="154"/>
  <c r="BN17" i="154" s="1"/>
  <c r="BO20" i="154"/>
  <c r="BO17" i="154" s="1"/>
  <c r="BP20" i="154"/>
  <c r="BP17" i="154" s="1"/>
  <c r="BQ20" i="154"/>
  <c r="BQ17" i="154" s="1"/>
  <c r="BR20" i="154"/>
  <c r="BR17" i="154" s="1"/>
  <c r="BT20" i="154"/>
  <c r="BT17" i="154" s="1"/>
  <c r="BU20" i="154"/>
  <c r="BU17" i="154" s="1"/>
  <c r="BV20" i="154"/>
  <c r="BV17" i="154" s="1"/>
  <c r="BW20" i="154"/>
  <c r="BW17" i="154" s="1"/>
  <c r="BX20" i="154"/>
  <c r="BX17" i="154" s="1"/>
  <c r="BY20" i="154"/>
  <c r="BY17" i="154" s="1"/>
  <c r="BZ20" i="154"/>
  <c r="BZ17" i="154" s="1"/>
  <c r="CA20" i="154"/>
  <c r="CA17" i="154" s="1"/>
  <c r="CB20" i="154"/>
  <c r="CB17" i="154" s="1"/>
  <c r="CC20" i="154"/>
  <c r="CC17" i="154" s="1"/>
  <c r="CD20" i="154"/>
  <c r="CD17" i="154" s="1"/>
  <c r="CE20" i="154"/>
  <c r="CE17" i="154" s="1"/>
  <c r="CG20" i="154"/>
  <c r="CG17" i="154" s="1"/>
  <c r="CL20" i="154"/>
  <c r="CF21" i="154"/>
  <c r="CF20" i="154" s="1"/>
  <c r="CI21" i="154"/>
  <c r="CI20" i="154" s="1"/>
  <c r="D22" i="154"/>
  <c r="AF22" i="154"/>
  <c r="AS22" i="154"/>
  <c r="BF22" i="154"/>
  <c r="BS22" i="154"/>
  <c r="CF22" i="154"/>
  <c r="CH22" i="154"/>
  <c r="CI22" i="154"/>
  <c r="CJ22" i="154"/>
  <c r="CK22" i="154" s="1"/>
  <c r="CM22" i="154"/>
  <c r="D23" i="154"/>
  <c r="AF23" i="154"/>
  <c r="AS23" i="154"/>
  <c r="BF23" i="154"/>
  <c r="BS23" i="154"/>
  <c r="CF23" i="154"/>
  <c r="CH23" i="154"/>
  <c r="CI23" i="154"/>
  <c r="CJ23" i="154" s="1"/>
  <c r="D24" i="154"/>
  <c r="AF24" i="154"/>
  <c r="AS24" i="154"/>
  <c r="BF24" i="154"/>
  <c r="BS24" i="154"/>
  <c r="CF24" i="154"/>
  <c r="CH24" i="154"/>
  <c r="CI24" i="154"/>
  <c r="CJ24" i="154"/>
  <c r="CK24" i="154" s="1"/>
  <c r="CM24" i="154"/>
  <c r="D25" i="154"/>
  <c r="AF25" i="154"/>
  <c r="AS25" i="154"/>
  <c r="BF25" i="154"/>
  <c r="BS25" i="154"/>
  <c r="CF25" i="154"/>
  <c r="CH25" i="154"/>
  <c r="CI25" i="154"/>
  <c r="CJ25" i="154" s="1"/>
  <c r="D26" i="154"/>
  <c r="AF26" i="154"/>
  <c r="AS26" i="154"/>
  <c r="BF26" i="154"/>
  <c r="BS26" i="154"/>
  <c r="CF26" i="154"/>
  <c r="CH26" i="154"/>
  <c r="CI26" i="154"/>
  <c r="CJ26" i="154"/>
  <c r="CK26" i="154" s="1"/>
  <c r="CM26" i="154"/>
  <c r="D27" i="154"/>
  <c r="AF27" i="154"/>
  <c r="AS27" i="154"/>
  <c r="BF27" i="154"/>
  <c r="BS27" i="154"/>
  <c r="CF27" i="154"/>
  <c r="CH27" i="154"/>
  <c r="CI27" i="154"/>
  <c r="CJ27" i="154" s="1"/>
  <c r="D28" i="154"/>
  <c r="AF28" i="154"/>
  <c r="AS28" i="154"/>
  <c r="BF28" i="154"/>
  <c r="BS28" i="154"/>
  <c r="CF28" i="154"/>
  <c r="CH28" i="154"/>
  <c r="CI28" i="154"/>
  <c r="CJ28" i="154"/>
  <c r="CK28" i="154" s="1"/>
  <c r="CM28" i="154"/>
  <c r="D29" i="154"/>
  <c r="AF29" i="154"/>
  <c r="AS29" i="154"/>
  <c r="BF29" i="154"/>
  <c r="BS29" i="154"/>
  <c r="CF29" i="154"/>
  <c r="CH29" i="154"/>
  <c r="CI29" i="154"/>
  <c r="CJ29" i="154" s="1"/>
  <c r="D30" i="154"/>
  <c r="AF30" i="154"/>
  <c r="AS30" i="154"/>
  <c r="BF30" i="154"/>
  <c r="BS30" i="154"/>
  <c r="CF30" i="154"/>
  <c r="CH30" i="154"/>
  <c r="CI30" i="154"/>
  <c r="CJ30" i="154"/>
  <c r="CK30" i="154" s="1"/>
  <c r="CM30" i="154"/>
  <c r="AF31" i="154"/>
  <c r="AS31" i="154"/>
  <c r="BF31" i="154"/>
  <c r="BS31" i="154"/>
  <c r="CF31" i="154"/>
  <c r="CH31" i="154"/>
  <c r="CI31" i="154"/>
  <c r="CJ31" i="154"/>
  <c r="CK31" i="154" s="1"/>
  <c r="CM31" i="154"/>
  <c r="AF32" i="154"/>
  <c r="AS32" i="154"/>
  <c r="BF32" i="154"/>
  <c r="BS32" i="154"/>
  <c r="CF32" i="154"/>
  <c r="CH32" i="154"/>
  <c r="CI32" i="154"/>
  <c r="CJ32" i="154"/>
  <c r="CK32" i="154" s="1"/>
  <c r="CM32" i="154"/>
  <c r="AF33" i="154"/>
  <c r="AS33" i="154"/>
  <c r="BF33" i="154"/>
  <c r="BS33" i="154"/>
  <c r="CF33" i="154"/>
  <c r="CH33" i="154"/>
  <c r="CI33" i="154"/>
  <c r="CJ33" i="154"/>
  <c r="CK33" i="154" s="1"/>
  <c r="CM33" i="154"/>
  <c r="AF34" i="154"/>
  <c r="AS34" i="154"/>
  <c r="BF34" i="154"/>
  <c r="BS34" i="154"/>
  <c r="CF34" i="154"/>
  <c r="CH34" i="154"/>
  <c r="CI34" i="154"/>
  <c r="CJ34" i="154"/>
  <c r="CK34" i="154" s="1"/>
  <c r="CM34" i="154"/>
  <c r="AF35" i="154"/>
  <c r="AS35" i="154"/>
  <c r="BF35" i="154"/>
  <c r="BS35" i="154"/>
  <c r="CF35" i="154"/>
  <c r="CH35" i="154"/>
  <c r="CI35" i="154"/>
  <c r="CJ35" i="154"/>
  <c r="CK35" i="154" s="1"/>
  <c r="CL35" i="154" s="1"/>
  <c r="T36" i="154"/>
  <c r="U36" i="154"/>
  <c r="V36" i="154"/>
  <c r="W36" i="154"/>
  <c r="X36" i="154"/>
  <c r="Y36" i="154"/>
  <c r="Z36" i="154"/>
  <c r="AA36" i="154"/>
  <c r="AB36" i="154"/>
  <c r="AC36" i="154"/>
  <c r="BD36" i="154"/>
  <c r="BE36" i="154"/>
  <c r="BH36" i="154"/>
  <c r="BK36" i="154"/>
  <c r="BL36" i="154"/>
  <c r="BM36" i="154"/>
  <c r="BN36" i="154"/>
  <c r="BO36" i="154"/>
  <c r="BP36" i="154"/>
  <c r="BQ36" i="154"/>
  <c r="BR36" i="154"/>
  <c r="BT36" i="154"/>
  <c r="BU36" i="154"/>
  <c r="BV36" i="154"/>
  <c r="BW36" i="154"/>
  <c r="BX36" i="154"/>
  <c r="BY36" i="154"/>
  <c r="BZ36" i="154"/>
  <c r="CA36" i="154"/>
  <c r="CB36" i="154"/>
  <c r="CC36" i="154"/>
  <c r="CD36" i="154"/>
  <c r="CE36" i="154"/>
  <c r="CG36" i="154"/>
  <c r="CL36" i="154"/>
  <c r="AF37" i="154"/>
  <c r="AS37" i="154"/>
  <c r="BF37" i="154"/>
  <c r="BS37" i="154"/>
  <c r="CF37" i="154"/>
  <c r="CF36" i="154" s="1"/>
  <c r="CH37" i="154"/>
  <c r="CH36" i="154" s="1"/>
  <c r="CI37" i="154"/>
  <c r="CI36" i="154" s="1"/>
  <c r="S38" i="154"/>
  <c r="S36" i="154" s="1"/>
  <c r="AF38" i="154"/>
  <c r="AS38" i="154"/>
  <c r="BF38" i="154"/>
  <c r="BS38" i="154"/>
  <c r="CF38" i="154"/>
  <c r="CH38" i="154"/>
  <c r="CI38" i="154"/>
  <c r="CJ38" i="154"/>
  <c r="CK38" i="154" s="1"/>
  <c r="CM38" i="154"/>
  <c r="AF39" i="154"/>
  <c r="AS39" i="154"/>
  <c r="BF39" i="154"/>
  <c r="BS39" i="154"/>
  <c r="CF39" i="154"/>
  <c r="CH39" i="154"/>
  <c r="CI39" i="154"/>
  <c r="CJ39" i="154"/>
  <c r="CK39" i="154" s="1"/>
  <c r="CM39" i="154"/>
  <c r="AF40" i="154"/>
  <c r="AS40" i="154"/>
  <c r="BF40" i="154"/>
  <c r="BS40" i="154"/>
  <c r="CF40" i="154"/>
  <c r="CH40" i="154"/>
  <c r="CI40" i="154"/>
  <c r="CJ40" i="154"/>
  <c r="CK40" i="154" s="1"/>
  <c r="CM40" i="154"/>
  <c r="R41" i="154"/>
  <c r="R36" i="154" s="1"/>
  <c r="AE41" i="154"/>
  <c r="AE36" i="154" s="1"/>
  <c r="AG41" i="154"/>
  <c r="AG36" i="154" s="1"/>
  <c r="AH41" i="154"/>
  <c r="AH36" i="154" s="1"/>
  <c r="AI41" i="154"/>
  <c r="AI36" i="154" s="1"/>
  <c r="AM41" i="154"/>
  <c r="AM36" i="154" s="1"/>
  <c r="AS41" i="154"/>
  <c r="BF41" i="154"/>
  <c r="BS41" i="154"/>
  <c r="CF41" i="154"/>
  <c r="CH41" i="154"/>
  <c r="CI41" i="154"/>
  <c r="CJ41" i="154"/>
  <c r="CK41" i="154" s="1"/>
  <c r="CM41" i="154"/>
  <c r="AF42" i="154"/>
  <c r="AS42" i="154"/>
  <c r="BF42" i="154"/>
  <c r="BS42" i="154"/>
  <c r="CF42" i="154"/>
  <c r="CH42" i="154"/>
  <c r="CI42" i="154"/>
  <c r="CJ42" i="154" s="1"/>
  <c r="AF43" i="154"/>
  <c r="AS43" i="154"/>
  <c r="BF43" i="154"/>
  <c r="BS43" i="154"/>
  <c r="CF43" i="154"/>
  <c r="CH43" i="154"/>
  <c r="CI43" i="154"/>
  <c r="CJ43" i="154" s="1"/>
  <c r="AE44" i="154"/>
  <c r="AF44" i="154" s="1"/>
  <c r="AG44" i="154"/>
  <c r="AS44" i="154" s="1"/>
  <c r="BF44" i="154"/>
  <c r="BS44" i="154"/>
  <c r="CF44" i="154"/>
  <c r="CH44" i="154"/>
  <c r="CI44" i="154"/>
  <c r="CJ44" i="154" s="1"/>
  <c r="AF45" i="154"/>
  <c r="AS45" i="154"/>
  <c r="BF45" i="154"/>
  <c r="BS45" i="154"/>
  <c r="CF45" i="154"/>
  <c r="CH45" i="154"/>
  <c r="CI45" i="154"/>
  <c r="CJ45" i="154"/>
  <c r="CK45" i="154" s="1"/>
  <c r="CM45" i="154"/>
  <c r="AF46" i="154"/>
  <c r="AS46" i="154"/>
  <c r="BF46" i="154"/>
  <c r="BS46" i="154"/>
  <c r="CF46" i="154"/>
  <c r="CH46" i="154"/>
  <c r="CI46" i="154"/>
  <c r="CJ46" i="154"/>
  <c r="CK46" i="154" s="1"/>
  <c r="CM46" i="154"/>
  <c r="AF47" i="154"/>
  <c r="AS47" i="154"/>
  <c r="BF47" i="154"/>
  <c r="BS47" i="154"/>
  <c r="CF47" i="154"/>
  <c r="CH47" i="154"/>
  <c r="CI47" i="154"/>
  <c r="CJ47" i="154"/>
  <c r="CK47" i="154" s="1"/>
  <c r="CM47" i="154"/>
  <c r="AF48" i="154"/>
  <c r="AS48" i="154"/>
  <c r="BF48" i="154"/>
  <c r="BS48" i="154"/>
  <c r="CF48" i="154"/>
  <c r="CH48" i="154"/>
  <c r="CI48" i="154"/>
  <c r="CJ48" i="154"/>
  <c r="CK48" i="154" s="1"/>
  <c r="CM48" i="154"/>
  <c r="AF49" i="154"/>
  <c r="AS49" i="154"/>
  <c r="BF49" i="154"/>
  <c r="BS49" i="154"/>
  <c r="CF49" i="154"/>
  <c r="CH49" i="154"/>
  <c r="CI49" i="154"/>
  <c r="CJ49" i="154"/>
  <c r="CK49" i="154" s="1"/>
  <c r="CM49" i="154"/>
  <c r="Q50" i="154"/>
  <c r="Q36" i="154" s="1"/>
  <c r="AF50" i="154"/>
  <c r="AS50" i="154"/>
  <c r="BF50" i="154"/>
  <c r="BS50" i="154"/>
  <c r="CF50" i="154"/>
  <c r="CH50" i="154"/>
  <c r="CI50" i="154"/>
  <c r="CJ50" i="154" s="1"/>
  <c r="AF51" i="154"/>
  <c r="AS51" i="154"/>
  <c r="BF51" i="154"/>
  <c r="BS51" i="154"/>
  <c r="CF51" i="154"/>
  <c r="CH51" i="154"/>
  <c r="CI51" i="154"/>
  <c r="CJ51" i="154" s="1"/>
  <c r="AF52" i="154"/>
  <c r="AS52" i="154"/>
  <c r="BF52" i="154"/>
  <c r="BS52" i="154"/>
  <c r="CF52" i="154"/>
  <c r="CH52" i="154"/>
  <c r="CI52" i="154"/>
  <c r="CJ52" i="154" s="1"/>
  <c r="D53" i="154"/>
  <c r="AF53" i="154"/>
  <c r="AS53" i="154"/>
  <c r="BF53" i="154"/>
  <c r="BS53" i="154"/>
  <c r="CF53" i="154"/>
  <c r="CH53" i="154"/>
  <c r="CI53" i="154"/>
  <c r="CJ53" i="154"/>
  <c r="CK53" i="154" s="1"/>
  <c r="CM53" i="154"/>
  <c r="D54" i="154"/>
  <c r="AF54" i="154"/>
  <c r="AS54" i="154"/>
  <c r="BF54" i="154"/>
  <c r="BS54" i="154"/>
  <c r="CF54" i="154"/>
  <c r="CH54" i="154"/>
  <c r="CI54" i="154"/>
  <c r="CJ54" i="154" s="1"/>
  <c r="D55" i="154"/>
  <c r="AF55" i="154"/>
  <c r="AS55" i="154"/>
  <c r="BF55" i="154"/>
  <c r="BS55" i="154"/>
  <c r="CF55" i="154"/>
  <c r="CH55" i="154"/>
  <c r="CI55" i="154"/>
  <c r="CJ55" i="154"/>
  <c r="CK55" i="154" s="1"/>
  <c r="CM55" i="154"/>
  <c r="D56" i="154"/>
  <c r="AF56" i="154"/>
  <c r="AS56" i="154"/>
  <c r="BF56" i="154"/>
  <c r="BS56" i="154"/>
  <c r="CF56" i="154"/>
  <c r="CH56" i="154"/>
  <c r="CI56" i="154"/>
  <c r="CJ56" i="154" s="1"/>
  <c r="D57" i="154"/>
  <c r="AF57" i="154"/>
  <c r="AS57" i="154"/>
  <c r="BF57" i="154"/>
  <c r="BS57" i="154"/>
  <c r="CF57" i="154"/>
  <c r="CH57" i="154"/>
  <c r="CI57" i="154"/>
  <c r="CJ57" i="154"/>
  <c r="CK57" i="154" s="1"/>
  <c r="CM57" i="154"/>
  <c r="D58" i="154"/>
  <c r="AF58" i="154"/>
  <c r="AS58" i="154"/>
  <c r="BF58" i="154"/>
  <c r="BS58" i="154"/>
  <c r="CF58" i="154"/>
  <c r="CH58" i="154"/>
  <c r="CI58" i="154"/>
  <c r="CJ58" i="154" s="1"/>
  <c r="D59" i="154"/>
  <c r="AE59" i="154"/>
  <c r="AF59" i="154"/>
  <c r="AS59" i="154"/>
  <c r="BF59" i="154"/>
  <c r="BS59" i="154"/>
  <c r="CF59" i="154"/>
  <c r="CH59" i="154"/>
  <c r="CI59" i="154"/>
  <c r="CJ59" i="154"/>
  <c r="CK59" i="154" s="1"/>
  <c r="CM59" i="154"/>
  <c r="D60" i="154"/>
  <c r="AF60" i="154"/>
  <c r="AS60" i="154"/>
  <c r="BF60" i="154"/>
  <c r="BS60" i="154"/>
  <c r="CF60" i="154"/>
  <c r="CH60" i="154"/>
  <c r="CI60" i="154"/>
  <c r="CJ60" i="154" s="1"/>
  <c r="D61" i="154"/>
  <c r="AF61" i="154"/>
  <c r="AS61" i="154"/>
  <c r="BF61" i="154"/>
  <c r="BS61" i="154"/>
  <c r="CF61" i="154"/>
  <c r="CH61" i="154"/>
  <c r="CI61" i="154"/>
  <c r="CJ61" i="154"/>
  <c r="CK61" i="154" s="1"/>
  <c r="CM61" i="154"/>
  <c r="D62" i="154"/>
  <c r="AD62" i="154"/>
  <c r="AD36" i="154" s="1"/>
  <c r="AE62" i="154"/>
  <c r="AF62" i="154"/>
  <c r="AG62" i="154"/>
  <c r="AH62" i="154"/>
  <c r="AS62" i="154" s="1"/>
  <c r="BF62" i="154"/>
  <c r="BS62" i="154"/>
  <c r="CF62" i="154"/>
  <c r="CH62" i="154"/>
  <c r="CI62" i="154"/>
  <c r="CJ62" i="154" s="1"/>
  <c r="D63" i="154"/>
  <c r="AF63" i="154"/>
  <c r="AS63" i="154"/>
  <c r="BF63" i="154"/>
  <c r="BS63" i="154"/>
  <c r="CF63" i="154"/>
  <c r="CH63" i="154"/>
  <c r="CI63" i="154"/>
  <c r="CJ63" i="154"/>
  <c r="CK63" i="154" s="1"/>
  <c r="CM63" i="154"/>
  <c r="D64" i="154"/>
  <c r="AF64" i="154"/>
  <c r="AS64" i="154"/>
  <c r="BF64" i="154"/>
  <c r="BS64" i="154"/>
  <c r="CF64" i="154"/>
  <c r="CH64" i="154"/>
  <c r="CI64" i="154"/>
  <c r="CJ64" i="154" s="1"/>
  <c r="D65" i="154"/>
  <c r="AF65" i="154"/>
  <c r="AS65" i="154"/>
  <c r="BF65" i="154"/>
  <c r="BS65" i="154"/>
  <c r="CF65" i="154"/>
  <c r="CH65" i="154"/>
  <c r="CI65" i="154"/>
  <c r="CJ65" i="154"/>
  <c r="CK65" i="154" s="1"/>
  <c r="CM65" i="154"/>
  <c r="D66" i="154"/>
  <c r="AF66" i="154"/>
  <c r="AS66" i="154"/>
  <c r="BF66" i="154"/>
  <c r="BS66" i="154"/>
  <c r="CF66" i="154"/>
  <c r="CH66" i="154"/>
  <c r="CI66" i="154"/>
  <c r="CJ66" i="154" s="1"/>
  <c r="AF67" i="154"/>
  <c r="AS67" i="154"/>
  <c r="BF67" i="154"/>
  <c r="BS67" i="154"/>
  <c r="CF67" i="154"/>
  <c r="CH67" i="154"/>
  <c r="CI67" i="154"/>
  <c r="CJ67" i="154" s="1"/>
  <c r="AF68" i="154"/>
  <c r="AS68" i="154"/>
  <c r="BF68" i="154"/>
  <c r="BS68" i="154"/>
  <c r="CF68" i="154"/>
  <c r="CH68" i="154"/>
  <c r="CI68" i="154"/>
  <c r="CJ68" i="154"/>
  <c r="CK68" i="154" s="1"/>
  <c r="CM68" i="154"/>
  <c r="AF69" i="154"/>
  <c r="AS69" i="154"/>
  <c r="BF69" i="154"/>
  <c r="BJ69" i="154"/>
  <c r="BJ36" i="154" s="1"/>
  <c r="CF69" i="154"/>
  <c r="CH69" i="154"/>
  <c r="CI69" i="154"/>
  <c r="CJ69" i="154"/>
  <c r="CK69" i="154" s="1"/>
  <c r="C70" i="154"/>
  <c r="AF70" i="154"/>
  <c r="AS70" i="154"/>
  <c r="BF70" i="154"/>
  <c r="BS70" i="154"/>
  <c r="CF70" i="154"/>
  <c r="CH70" i="154"/>
  <c r="CI70" i="154"/>
  <c r="CJ70" i="154"/>
  <c r="CK70" i="154" s="1"/>
  <c r="CM70" i="154"/>
  <c r="C71" i="154"/>
  <c r="AF71" i="154"/>
  <c r="AS71" i="154"/>
  <c r="BF71" i="154"/>
  <c r="BS71" i="154"/>
  <c r="CF71" i="154"/>
  <c r="CH71" i="154"/>
  <c r="CI71" i="154"/>
  <c r="CJ71" i="154" s="1"/>
  <c r="C72" i="154"/>
  <c r="AF72" i="154"/>
  <c r="AK72" i="154"/>
  <c r="AK36" i="154" s="1"/>
  <c r="AL72" i="154"/>
  <c r="AL36" i="154" s="1"/>
  <c r="AP72" i="154"/>
  <c r="AP36" i="154" s="1"/>
  <c r="AR72" i="154"/>
  <c r="AR36" i="154" s="1"/>
  <c r="AS72" i="154"/>
  <c r="AU72" i="154"/>
  <c r="AU36" i="154" s="1"/>
  <c r="AV72" i="154"/>
  <c r="AV36" i="154" s="1"/>
  <c r="AW72" i="154"/>
  <c r="AW36" i="154" s="1"/>
  <c r="AX72" i="154"/>
  <c r="AX36" i="154" s="1"/>
  <c r="AY72" i="154"/>
  <c r="AY36" i="154" s="1"/>
  <c r="AZ72" i="154"/>
  <c r="AZ36" i="154" s="1"/>
  <c r="BA72" i="154"/>
  <c r="BA36" i="154" s="1"/>
  <c r="BF72" i="154"/>
  <c r="BG72" i="154"/>
  <c r="BG36" i="154" s="1"/>
  <c r="BS72" i="154"/>
  <c r="CF72" i="154"/>
  <c r="CH72" i="154"/>
  <c r="CI72" i="154"/>
  <c r="CJ72" i="154"/>
  <c r="CK72" i="154" s="1"/>
  <c r="CM72" i="154"/>
  <c r="C73" i="154"/>
  <c r="AF73" i="154"/>
  <c r="AS73" i="154"/>
  <c r="BF73" i="154"/>
  <c r="BS73" i="154"/>
  <c r="CF73" i="154"/>
  <c r="CH73" i="154"/>
  <c r="CI73" i="154"/>
  <c r="CJ73" i="154" s="1"/>
  <c r="C74" i="154"/>
  <c r="AF74" i="154"/>
  <c r="AS74" i="154"/>
  <c r="BF74" i="154"/>
  <c r="BS74" i="154"/>
  <c r="CF74" i="154"/>
  <c r="CH74" i="154"/>
  <c r="CI74" i="154"/>
  <c r="CJ74" i="154"/>
  <c r="CK74" i="154" s="1"/>
  <c r="CM74" i="154"/>
  <c r="C75" i="154"/>
  <c r="AF75" i="154"/>
  <c r="AS75" i="154"/>
  <c r="BF75" i="154"/>
  <c r="BS75" i="154"/>
  <c r="CF75" i="154"/>
  <c r="CH75" i="154"/>
  <c r="CI75" i="154"/>
  <c r="CJ75" i="154" s="1"/>
  <c r="C76" i="154"/>
  <c r="AF76" i="154"/>
  <c r="AS76" i="154"/>
  <c r="BF76" i="154"/>
  <c r="BS76" i="154"/>
  <c r="CF76" i="154"/>
  <c r="CH76" i="154"/>
  <c r="CI76" i="154"/>
  <c r="CJ76" i="154"/>
  <c r="CK76" i="154" s="1"/>
  <c r="CM76" i="154"/>
  <c r="C77" i="154"/>
  <c r="AF77" i="154"/>
  <c r="AS77" i="154"/>
  <c r="BF77" i="154"/>
  <c r="BS77" i="154"/>
  <c r="CF77" i="154"/>
  <c r="CH77" i="154"/>
  <c r="CI77" i="154"/>
  <c r="CJ77" i="154"/>
  <c r="CK77" i="154" s="1"/>
  <c r="CM77" i="154"/>
  <c r="CO77" i="154"/>
  <c r="AF78" i="154"/>
  <c r="AN78" i="154"/>
  <c r="AN36" i="154" s="1"/>
  <c r="AP78" i="154"/>
  <c r="AQ78" i="154"/>
  <c r="AQ36" i="154" s="1"/>
  <c r="AR78" i="154"/>
  <c r="AS78" i="154" s="1"/>
  <c r="AT78" i="154"/>
  <c r="AT36" i="154" s="1"/>
  <c r="AU78" i="154"/>
  <c r="AV78" i="154"/>
  <c r="AW78" i="154"/>
  <c r="AX78" i="154"/>
  <c r="AY78" i="154"/>
  <c r="AZ78" i="154"/>
  <c r="BA78" i="154"/>
  <c r="BF78" i="154"/>
  <c r="BS78" i="154"/>
  <c r="CF78" i="154"/>
  <c r="CH78" i="154"/>
  <c r="CI78" i="154"/>
  <c r="CJ78" i="154"/>
  <c r="CK78" i="154" s="1"/>
  <c r="CM78" i="154"/>
  <c r="C79" i="154"/>
  <c r="AF79" i="154"/>
  <c r="AS79" i="154"/>
  <c r="BF79" i="154"/>
  <c r="BS79" i="154"/>
  <c r="CF79" i="154"/>
  <c r="CH79" i="154"/>
  <c r="CI79" i="154"/>
  <c r="CJ79" i="154"/>
  <c r="CK79" i="154" s="1"/>
  <c r="CM79" i="154"/>
  <c r="C80" i="154"/>
  <c r="AF80" i="154"/>
  <c r="AO80" i="154"/>
  <c r="AO36" i="154" s="1"/>
  <c r="AS80" i="154"/>
  <c r="AT80" i="154"/>
  <c r="AU80" i="154"/>
  <c r="BF80" i="154" s="1"/>
  <c r="AV80" i="154"/>
  <c r="AW80" i="154"/>
  <c r="AX80" i="154"/>
  <c r="BB80" i="154"/>
  <c r="BB36" i="154" s="1"/>
  <c r="BS80" i="154"/>
  <c r="CF80" i="154"/>
  <c r="CH80" i="154"/>
  <c r="CI80" i="154"/>
  <c r="CJ80" i="154"/>
  <c r="CK80" i="154" s="1"/>
  <c r="CM80" i="154"/>
  <c r="C81" i="154"/>
  <c r="AF81" i="154"/>
  <c r="AS81" i="154"/>
  <c r="BF81" i="154"/>
  <c r="BG81" i="154"/>
  <c r="BS81" i="154"/>
  <c r="CF81" i="154"/>
  <c r="CH81" i="154"/>
  <c r="CI81" i="154"/>
  <c r="CJ81" i="154"/>
  <c r="CK81" i="154" s="1"/>
  <c r="CM81" i="154"/>
  <c r="C82" i="154"/>
  <c r="AF82" i="154"/>
  <c r="AS82" i="154"/>
  <c r="BF82" i="154"/>
  <c r="BS82" i="154"/>
  <c r="CF82" i="154"/>
  <c r="CH82" i="154"/>
  <c r="CI82" i="154"/>
  <c r="CJ82" i="154" s="1"/>
  <c r="C83" i="154"/>
  <c r="AF83" i="154"/>
  <c r="AS83" i="154"/>
  <c r="BF83" i="154"/>
  <c r="BS83" i="154"/>
  <c r="CF83" i="154"/>
  <c r="CH83" i="154"/>
  <c r="CI83" i="154"/>
  <c r="CJ83" i="154"/>
  <c r="CK83" i="154" s="1"/>
  <c r="CM83" i="154"/>
  <c r="C84" i="154"/>
  <c r="AF84" i="154"/>
  <c r="AS84" i="154"/>
  <c r="BF84" i="154"/>
  <c r="BS84" i="154"/>
  <c r="CF84" i="154"/>
  <c r="CH84" i="154"/>
  <c r="CI84" i="154"/>
  <c r="CJ84" i="154" s="1"/>
  <c r="C85" i="154"/>
  <c r="AF85" i="154"/>
  <c r="AS85" i="154"/>
  <c r="BF85" i="154"/>
  <c r="BJ85" i="154"/>
  <c r="BS85" i="154" s="1"/>
  <c r="CF85" i="154"/>
  <c r="CH85" i="154"/>
  <c r="CI85" i="154"/>
  <c r="CJ85" i="154" s="1"/>
  <c r="C86" i="154"/>
  <c r="AF86" i="154"/>
  <c r="AJ86" i="154"/>
  <c r="AJ36" i="154" s="1"/>
  <c r="AK86" i="154"/>
  <c r="AM86" i="154"/>
  <c r="BF86" i="154"/>
  <c r="BJ86" i="154"/>
  <c r="BS86" i="154"/>
  <c r="CF86" i="154"/>
  <c r="CH86" i="154"/>
  <c r="CI86" i="154"/>
  <c r="CJ86" i="154"/>
  <c r="CK86" i="154" s="1"/>
  <c r="CM86" i="154"/>
  <c r="CN86" i="154"/>
  <c r="CO86" i="154"/>
  <c r="C87" i="154"/>
  <c r="AF87" i="154"/>
  <c r="AJ87" i="154"/>
  <c r="AK87" i="154"/>
  <c r="AL87" i="154"/>
  <c r="AM87" i="154"/>
  <c r="AN87" i="154"/>
  <c r="AO87" i="154"/>
  <c r="AP87" i="154"/>
  <c r="AQ87" i="154"/>
  <c r="AR87" i="154"/>
  <c r="AS87" i="154"/>
  <c r="AT87" i="154"/>
  <c r="AU87" i="154"/>
  <c r="BF87" i="154" s="1"/>
  <c r="AV87" i="154"/>
  <c r="AW87" i="154"/>
  <c r="AX87" i="154"/>
  <c r="AY87" i="154"/>
  <c r="AZ87" i="154"/>
  <c r="BA87" i="154"/>
  <c r="BB87" i="154"/>
  <c r="BC87" i="154"/>
  <c r="BC36" i="154" s="1"/>
  <c r="BS87" i="154"/>
  <c r="CF87" i="154"/>
  <c r="CH87" i="154"/>
  <c r="CI87" i="154"/>
  <c r="CJ87" i="154"/>
  <c r="CK87" i="154" s="1"/>
  <c r="CM87" i="154"/>
  <c r="C88" i="154"/>
  <c r="AF88" i="154"/>
  <c r="AS88" i="154"/>
  <c r="BF88" i="154"/>
  <c r="BS88" i="154"/>
  <c r="CF88" i="154"/>
  <c r="CH88" i="154"/>
  <c r="CI88" i="154"/>
  <c r="CJ88" i="154"/>
  <c r="CK88" i="154" s="1"/>
  <c r="CM88" i="154"/>
  <c r="C89" i="154"/>
  <c r="AF89" i="154"/>
  <c r="AS89" i="154"/>
  <c r="BF89" i="154"/>
  <c r="BS89" i="154"/>
  <c r="CF89" i="154"/>
  <c r="CH89" i="154"/>
  <c r="CI89" i="154"/>
  <c r="CJ89" i="154" s="1"/>
  <c r="C90" i="154"/>
  <c r="AF90" i="154"/>
  <c r="AS90" i="154"/>
  <c r="BF90" i="154"/>
  <c r="BS90" i="154"/>
  <c r="CF90" i="154"/>
  <c r="CH90" i="154"/>
  <c r="CI90" i="154"/>
  <c r="CJ90" i="154"/>
  <c r="CK90" i="154" s="1"/>
  <c r="CM90" i="154"/>
  <c r="C91" i="154"/>
  <c r="AF91" i="154"/>
  <c r="AS91" i="154"/>
  <c r="BF91" i="154"/>
  <c r="BS91" i="154"/>
  <c r="CF91" i="154"/>
  <c r="CH91" i="154"/>
  <c r="CI91" i="154"/>
  <c r="CJ91" i="154" s="1"/>
  <c r="C92" i="154"/>
  <c r="AF92" i="154"/>
  <c r="AS92" i="154"/>
  <c r="BF92" i="154"/>
  <c r="BS92" i="154"/>
  <c r="CF92" i="154"/>
  <c r="CH92" i="154"/>
  <c r="CI92" i="154"/>
  <c r="CJ92" i="154"/>
  <c r="CK92" i="154" s="1"/>
  <c r="CM92" i="154"/>
  <c r="C93" i="154"/>
  <c r="AF93" i="154"/>
  <c r="AS93" i="154"/>
  <c r="BF93" i="154"/>
  <c r="BS93" i="154"/>
  <c r="CF93" i="154"/>
  <c r="CH93" i="154"/>
  <c r="CI93" i="154"/>
  <c r="CJ93" i="154" s="1"/>
  <c r="C94" i="154"/>
  <c r="AF94" i="154"/>
  <c r="AS94" i="154"/>
  <c r="BF94" i="154"/>
  <c r="BS94" i="154"/>
  <c r="CF94" i="154"/>
  <c r="CH94" i="154"/>
  <c r="CI94" i="154"/>
  <c r="CJ94" i="154"/>
  <c r="CK94" i="154" s="1"/>
  <c r="CM94" i="154"/>
  <c r="C95" i="154"/>
  <c r="AF95" i="154"/>
  <c r="AS95" i="154"/>
  <c r="BF95" i="154"/>
  <c r="BS95" i="154"/>
  <c r="CF95" i="154"/>
  <c r="CH95" i="154"/>
  <c r="CI95" i="154"/>
  <c r="CJ95" i="154" s="1"/>
  <c r="C96" i="154"/>
  <c r="AF96" i="154"/>
  <c r="AS96" i="154"/>
  <c r="BF96" i="154"/>
  <c r="BS96" i="154"/>
  <c r="CF96" i="154"/>
  <c r="CH96" i="154"/>
  <c r="CI96" i="154"/>
  <c r="CJ96" i="154"/>
  <c r="CK96" i="154" s="1"/>
  <c r="CM96" i="154"/>
  <c r="C97" i="154"/>
  <c r="AF97" i="154"/>
  <c r="AS97" i="154"/>
  <c r="BF97" i="154"/>
  <c r="BS97" i="154"/>
  <c r="CF97" i="154"/>
  <c r="CH97" i="154"/>
  <c r="CI97" i="154"/>
  <c r="CJ97" i="154" s="1"/>
  <c r="C98" i="154"/>
  <c r="AF98" i="154"/>
  <c r="AS98" i="154"/>
  <c r="BF98" i="154"/>
  <c r="BS98" i="154"/>
  <c r="CF98" i="154"/>
  <c r="CH98" i="154"/>
  <c r="CI98" i="154"/>
  <c r="CJ98" i="154"/>
  <c r="CK98" i="154" s="1"/>
  <c r="CM98" i="154"/>
  <c r="AF99" i="154"/>
  <c r="AN99" i="154"/>
  <c r="AO99" i="154"/>
  <c r="AP99" i="154"/>
  <c r="AR99" i="154"/>
  <c r="AS99" i="154"/>
  <c r="AT99" i="154"/>
  <c r="AU99" i="154"/>
  <c r="AV99" i="154"/>
  <c r="BF99" i="154"/>
  <c r="BS99" i="154"/>
  <c r="CF99" i="154"/>
  <c r="CH99" i="154"/>
  <c r="CI99" i="154"/>
  <c r="CJ99" i="154" s="1"/>
  <c r="C100" i="154"/>
  <c r="AF100" i="154"/>
  <c r="AS100" i="154"/>
  <c r="AW100" i="154"/>
  <c r="BF100" i="154"/>
  <c r="BS100" i="154"/>
  <c r="CF100" i="154"/>
  <c r="CH100" i="154"/>
  <c r="CI100" i="154"/>
  <c r="CJ100" i="154" s="1"/>
  <c r="C101" i="154"/>
  <c r="AF101" i="154"/>
  <c r="AS101" i="154"/>
  <c r="AZ101" i="154"/>
  <c r="BF101" i="154"/>
  <c r="BS101" i="154"/>
  <c r="CF101" i="154"/>
  <c r="CH101" i="154"/>
  <c r="CI101" i="154"/>
  <c r="CJ101" i="154" s="1"/>
  <c r="C102" i="154"/>
  <c r="AF102" i="154"/>
  <c r="AS102" i="154"/>
  <c r="BF102" i="154"/>
  <c r="BS102" i="154"/>
  <c r="CF102" i="154"/>
  <c r="CH102" i="154"/>
  <c r="CI102" i="154"/>
  <c r="CJ102" i="154"/>
  <c r="CK102" i="154" s="1"/>
  <c r="CM102" i="154"/>
  <c r="C103" i="154"/>
  <c r="AF103" i="154"/>
  <c r="AS103" i="154"/>
  <c r="BF103" i="154"/>
  <c r="BS103" i="154"/>
  <c r="CF103" i="154"/>
  <c r="CH103" i="154"/>
  <c r="CI103" i="154"/>
  <c r="CJ103" i="154" s="1"/>
  <c r="C104" i="154"/>
  <c r="AF104" i="154"/>
  <c r="AS104" i="154"/>
  <c r="AY104" i="154"/>
  <c r="BF104" i="154"/>
  <c r="BI104" i="154"/>
  <c r="BI36" i="154" s="1"/>
  <c r="BJ104" i="154"/>
  <c r="BS104" i="154" s="1"/>
  <c r="CF104" i="154"/>
  <c r="CH104" i="154"/>
  <c r="CI104" i="154"/>
  <c r="CJ104" i="154"/>
  <c r="CK104" i="154" s="1"/>
  <c r="CM104" i="154"/>
  <c r="CO104" i="154"/>
  <c r="AF105" i="154"/>
  <c r="AS105" i="154"/>
  <c r="BF105" i="154"/>
  <c r="BS105" i="154"/>
  <c r="CF105" i="154"/>
  <c r="CH105" i="154"/>
  <c r="CI105" i="154"/>
  <c r="CJ105" i="154"/>
  <c r="CK105" i="154" s="1"/>
  <c r="CM105" i="154"/>
  <c r="AF106" i="154"/>
  <c r="AS106" i="154"/>
  <c r="BF106" i="154"/>
  <c r="BS106" i="154"/>
  <c r="CF106" i="154"/>
  <c r="CH106" i="154"/>
  <c r="CI106" i="154"/>
  <c r="CJ106" i="154"/>
  <c r="CK106" i="154" s="1"/>
  <c r="CM106" i="154"/>
  <c r="AF107" i="154"/>
  <c r="AS107" i="154"/>
  <c r="BF107" i="154"/>
  <c r="BS107" i="154"/>
  <c r="CF107" i="154"/>
  <c r="CH107" i="154"/>
  <c r="CI107" i="154"/>
  <c r="CJ107" i="154"/>
  <c r="CK107" i="154" s="1"/>
  <c r="CM107" i="154"/>
  <c r="C108" i="154"/>
  <c r="AD108" i="154"/>
  <c r="AF108" i="154" s="1"/>
  <c r="AS108" i="154"/>
  <c r="BF108" i="154"/>
  <c r="BJ108" i="154"/>
  <c r="BS108" i="154" s="1"/>
  <c r="CF108" i="154"/>
  <c r="CH108" i="154"/>
  <c r="CI108" i="154"/>
  <c r="CJ108" i="154" s="1"/>
  <c r="C109" i="154"/>
  <c r="AF109" i="154"/>
  <c r="AH109" i="154"/>
  <c r="AJ109" i="154"/>
  <c r="AS109" i="154"/>
  <c r="BC109" i="154"/>
  <c r="BF109" i="154"/>
  <c r="BJ109" i="154"/>
  <c r="BS109" i="154"/>
  <c r="CF109" i="154"/>
  <c r="CH109" i="154"/>
  <c r="CI109" i="154"/>
  <c r="CJ109" i="154"/>
  <c r="CK109" i="154" s="1"/>
  <c r="CM109" i="154"/>
  <c r="C110" i="154"/>
  <c r="AF110" i="154"/>
  <c r="AS110" i="154"/>
  <c r="BF110" i="154"/>
  <c r="BS110" i="154"/>
  <c r="CF110" i="154"/>
  <c r="CH110" i="154"/>
  <c r="CI110" i="154"/>
  <c r="CJ110" i="154" s="1"/>
  <c r="AF111" i="154"/>
  <c r="AS111" i="154"/>
  <c r="BF111" i="154"/>
  <c r="BS111" i="154"/>
  <c r="CF111" i="154"/>
  <c r="CH111" i="154"/>
  <c r="CI111" i="154"/>
  <c r="CJ111" i="154" s="1"/>
  <c r="AF112" i="154"/>
  <c r="AS112" i="154"/>
  <c r="BF112" i="154"/>
  <c r="BS112" i="154"/>
  <c r="CF112" i="154"/>
  <c r="CH112" i="154"/>
  <c r="CI112" i="154"/>
  <c r="CJ112" i="154"/>
  <c r="CK112" i="154" s="1"/>
  <c r="CM112" i="154"/>
  <c r="AF113" i="154"/>
  <c r="AS113" i="154"/>
  <c r="BF113" i="154"/>
  <c r="BS113" i="154"/>
  <c r="CF113" i="154"/>
  <c r="CH113" i="154"/>
  <c r="CI113" i="154"/>
  <c r="CJ113" i="154"/>
  <c r="CK113" i="154" s="1"/>
  <c r="CM113" i="154"/>
  <c r="AF115" i="154"/>
  <c r="AS115" i="154"/>
  <c r="BF115" i="154"/>
  <c r="BS115" i="154"/>
  <c r="CF115" i="154"/>
  <c r="CH115" i="154"/>
  <c r="CI115" i="154"/>
  <c r="CJ115" i="154"/>
  <c r="AE116" i="154"/>
  <c r="AG116" i="154"/>
  <c r="BF116" i="154"/>
  <c r="BS116" i="154"/>
  <c r="CF116" i="154"/>
  <c r="CH116" i="154"/>
  <c r="CI116" i="154"/>
  <c r="CJ116" i="154" s="1"/>
  <c r="AF117" i="154"/>
  <c r="AS117" i="154"/>
  <c r="BF117" i="154"/>
  <c r="BS117" i="154"/>
  <c r="CF117" i="154"/>
  <c r="CH117" i="154"/>
  <c r="CI117" i="154"/>
  <c r="CJ117" i="154"/>
  <c r="CK117" i="154" s="1"/>
  <c r="CL117" i="154" s="1"/>
  <c r="Q118" i="154"/>
  <c r="R118" i="154"/>
  <c r="S118" i="154"/>
  <c r="T118" i="154"/>
  <c r="U118" i="154"/>
  <c r="V118" i="154"/>
  <c r="W118" i="154"/>
  <c r="X118" i="154"/>
  <c r="Y118" i="154"/>
  <c r="Z118" i="154"/>
  <c r="AA118" i="154"/>
  <c r="AB118" i="154"/>
  <c r="AC118" i="154"/>
  <c r="AD118" i="154"/>
  <c r="AE118" i="154"/>
  <c r="AG118" i="154"/>
  <c r="AH118" i="154"/>
  <c r="AI118" i="154"/>
  <c r="AP118" i="154"/>
  <c r="BK118" i="154"/>
  <c r="BL118" i="154"/>
  <c r="BM118" i="154"/>
  <c r="BN118" i="154"/>
  <c r="BO118" i="154"/>
  <c r="BP118" i="154"/>
  <c r="BQ118" i="154"/>
  <c r="BR118" i="154"/>
  <c r="BT118" i="154"/>
  <c r="BU118" i="154"/>
  <c r="BV118" i="154"/>
  <c r="BW118" i="154"/>
  <c r="BX118" i="154"/>
  <c r="BY118" i="154"/>
  <c r="BZ118" i="154"/>
  <c r="CA118" i="154"/>
  <c r="CB118" i="154"/>
  <c r="CC118" i="154"/>
  <c r="CD118" i="154"/>
  <c r="CE118" i="154"/>
  <c r="CG118" i="154"/>
  <c r="AF119" i="154"/>
  <c r="AF118" i="154" s="1"/>
  <c r="AJ119" i="154"/>
  <c r="AJ118" i="154" s="1"/>
  <c r="AK119" i="154"/>
  <c r="AK118" i="154" s="1"/>
  <c r="AL119" i="154"/>
  <c r="AL118" i="154" s="1"/>
  <c r="AM119" i="154"/>
  <c r="AM118" i="154" s="1"/>
  <c r="AR119" i="154"/>
  <c r="AR118" i="154" s="1"/>
  <c r="AX119" i="154"/>
  <c r="AX118" i="154" s="1"/>
  <c r="AZ119" i="154"/>
  <c r="AZ118" i="154" s="1"/>
  <c r="BB119" i="154"/>
  <c r="BB118" i="154" s="1"/>
  <c r="BC119" i="154"/>
  <c r="BC118" i="154" s="1"/>
  <c r="BE119" i="154"/>
  <c r="BE118" i="154" s="1"/>
  <c r="BG119" i="154"/>
  <c r="BG118" i="154" s="1"/>
  <c r="BH119" i="154"/>
  <c r="BH118" i="154" s="1"/>
  <c r="BJ119" i="154"/>
  <c r="BJ118" i="154" s="1"/>
  <c r="CF119" i="154"/>
  <c r="CF118" i="154" s="1"/>
  <c r="CI119" i="154"/>
  <c r="CI118" i="154" s="1"/>
  <c r="AF120" i="154"/>
  <c r="AJ120" i="154"/>
  <c r="AK120" i="154"/>
  <c r="AL120" i="154"/>
  <c r="AM120" i="154"/>
  <c r="AN120" i="154"/>
  <c r="AN118" i="154" s="1"/>
  <c r="AO120" i="154"/>
  <c r="AQ120" i="154"/>
  <c r="AR120" i="154"/>
  <c r="AS120" i="154"/>
  <c r="AT120" i="154"/>
  <c r="AU120" i="154"/>
  <c r="BF120" i="154" s="1"/>
  <c r="AV120" i="154"/>
  <c r="AV118" i="154" s="1"/>
  <c r="AW120" i="154"/>
  <c r="AX120" i="154"/>
  <c r="AY120" i="154"/>
  <c r="AZ120" i="154"/>
  <c r="BA120" i="154"/>
  <c r="BA118" i="154" s="1"/>
  <c r="BB120" i="154"/>
  <c r="BC120" i="154"/>
  <c r="BD120" i="154"/>
  <c r="BE120" i="154"/>
  <c r="BG120" i="154"/>
  <c r="BJ120" i="154"/>
  <c r="BS120" i="154"/>
  <c r="CF120" i="154"/>
  <c r="CH120" i="154"/>
  <c r="CI120" i="154"/>
  <c r="CJ120" i="154"/>
  <c r="CK120" i="154" s="1"/>
  <c r="CM120" i="154"/>
  <c r="AF121" i="154"/>
  <c r="AR121" i="154"/>
  <c r="AS121" i="154"/>
  <c r="AT121" i="154"/>
  <c r="AU121" i="154"/>
  <c r="BF121" i="154" s="1"/>
  <c r="AV121" i="154"/>
  <c r="AW121" i="154"/>
  <c r="AX121" i="154"/>
  <c r="AY121" i="154"/>
  <c r="AZ121" i="154"/>
  <c r="BA121" i="154"/>
  <c r="BB121" i="154"/>
  <c r="BC121" i="154"/>
  <c r="BD121" i="154"/>
  <c r="BE121" i="154"/>
  <c r="BG121" i="154"/>
  <c r="BH121" i="154"/>
  <c r="BI121" i="154"/>
  <c r="BI118" i="154" s="1"/>
  <c r="BJ121" i="154"/>
  <c r="BS121" i="154"/>
  <c r="CF121" i="154"/>
  <c r="CH121" i="154"/>
  <c r="CI121" i="154"/>
  <c r="CJ121" i="154"/>
  <c r="CK121" i="154" s="1"/>
  <c r="CM121" i="154"/>
  <c r="C122" i="154"/>
  <c r="AF122" i="154"/>
  <c r="AS122" i="154"/>
  <c r="BF122" i="154"/>
  <c r="BS122" i="154"/>
  <c r="CF122" i="154"/>
  <c r="CH122" i="154"/>
  <c r="CI122" i="154"/>
  <c r="CJ122" i="154"/>
  <c r="CK122" i="154" s="1"/>
  <c r="CM122" i="154"/>
  <c r="C123" i="154"/>
  <c r="AF123" i="154"/>
  <c r="AS123" i="154"/>
  <c r="BF123" i="154"/>
  <c r="BS123" i="154"/>
  <c r="CF123" i="154"/>
  <c r="CH123" i="154"/>
  <c r="CI123" i="154"/>
  <c r="CJ123" i="154" s="1"/>
  <c r="C124" i="154"/>
  <c r="AF124" i="154"/>
  <c r="AS124" i="154"/>
  <c r="BF124" i="154"/>
  <c r="BS124" i="154"/>
  <c r="CF124" i="154"/>
  <c r="CH124" i="154"/>
  <c r="CI124" i="154"/>
  <c r="CJ124" i="154"/>
  <c r="CK124" i="154" s="1"/>
  <c r="CM124" i="154"/>
  <c r="C125" i="154"/>
  <c r="AF125" i="154"/>
  <c r="AS125" i="154"/>
  <c r="BF125" i="154"/>
  <c r="BS125" i="154"/>
  <c r="CF125" i="154"/>
  <c r="CH125" i="154"/>
  <c r="CI125" i="154"/>
  <c r="CJ125" i="154" s="1"/>
  <c r="C126" i="154"/>
  <c r="AF126" i="154"/>
  <c r="AS126" i="154"/>
  <c r="BF126" i="154"/>
  <c r="BS126" i="154"/>
  <c r="CF126" i="154"/>
  <c r="CH126" i="154"/>
  <c r="CI126" i="154"/>
  <c r="CJ126" i="154"/>
  <c r="CK126" i="154" s="1"/>
  <c r="CM126" i="154"/>
  <c r="C127" i="154"/>
  <c r="AF127" i="154"/>
  <c r="AS127" i="154"/>
  <c r="BF127" i="154"/>
  <c r="BS127" i="154"/>
  <c r="CF127" i="154"/>
  <c r="CH127" i="154"/>
  <c r="CI127" i="154"/>
  <c r="CJ127" i="154" s="1"/>
  <c r="C128" i="154"/>
  <c r="AF128" i="154"/>
  <c r="AQ128" i="154"/>
  <c r="AQ119" i="154" s="1"/>
  <c r="AQ118" i="154" s="1"/>
  <c r="BF128" i="154"/>
  <c r="BS128" i="154"/>
  <c r="CF128" i="154"/>
  <c r="CH128" i="154"/>
  <c r="CI128" i="154"/>
  <c r="CJ128" i="154" s="1"/>
  <c r="C129" i="154"/>
  <c r="AF129" i="154"/>
  <c r="AS129" i="154"/>
  <c r="AU129" i="154"/>
  <c r="AU119" i="154" s="1"/>
  <c r="AU118" i="154" s="1"/>
  <c r="BF129" i="154"/>
  <c r="BS129" i="154"/>
  <c r="CF129" i="154"/>
  <c r="CH129" i="154"/>
  <c r="CI129" i="154"/>
  <c r="CJ129" i="154" s="1"/>
  <c r="C130" i="154"/>
  <c r="AF130" i="154"/>
  <c r="AS130" i="154"/>
  <c r="AU130" i="154"/>
  <c r="AW130" i="154"/>
  <c r="AW119" i="154" s="1"/>
  <c r="AW118" i="154" s="1"/>
  <c r="BS130" i="154"/>
  <c r="CF130" i="154"/>
  <c r="CH130" i="154"/>
  <c r="CI130" i="154"/>
  <c r="CJ130" i="154"/>
  <c r="CK130" i="154" s="1"/>
  <c r="CM130" i="154"/>
  <c r="C131" i="154"/>
  <c r="AF131" i="154"/>
  <c r="AS131" i="154"/>
  <c r="AT131" i="154"/>
  <c r="AT119" i="154" s="1"/>
  <c r="BS131" i="154"/>
  <c r="CF131" i="154"/>
  <c r="CH131" i="154"/>
  <c r="CI131" i="154"/>
  <c r="CJ131" i="154"/>
  <c r="CK131" i="154" s="1"/>
  <c r="CM131" i="154"/>
  <c r="C132" i="154"/>
  <c r="AF132" i="154"/>
  <c r="AS132" i="154"/>
  <c r="BF132" i="154"/>
  <c r="BS132" i="154"/>
  <c r="CF132" i="154"/>
  <c r="CH132" i="154"/>
  <c r="CI132" i="154"/>
  <c r="CJ132" i="154" s="1"/>
  <c r="C133" i="154"/>
  <c r="AF133" i="154"/>
  <c r="AS133" i="154"/>
  <c r="BF133" i="154"/>
  <c r="BS133" i="154"/>
  <c r="CF133" i="154"/>
  <c r="CH133" i="154"/>
  <c r="CI133" i="154"/>
  <c r="CJ133" i="154"/>
  <c r="CK133" i="154" s="1"/>
  <c r="CM133" i="154"/>
  <c r="C134" i="154"/>
  <c r="AF134" i="154"/>
  <c r="AS134" i="154"/>
  <c r="AU134" i="154"/>
  <c r="BF134" i="154" s="1"/>
  <c r="BS134" i="154"/>
  <c r="CF134" i="154"/>
  <c r="CH134" i="154"/>
  <c r="CI134" i="154"/>
  <c r="CJ134" i="154"/>
  <c r="CK134" i="154" s="1"/>
  <c r="CM134" i="154"/>
  <c r="C135" i="154"/>
  <c r="AF135" i="154"/>
  <c r="AS135" i="154"/>
  <c r="AW135" i="154"/>
  <c r="AY135" i="154"/>
  <c r="AY119" i="154" s="1"/>
  <c r="AY118" i="154" s="1"/>
  <c r="BF135" i="154"/>
  <c r="BS135" i="154"/>
  <c r="CF135" i="154"/>
  <c r="CH135" i="154"/>
  <c r="CI135" i="154"/>
  <c r="CJ135" i="154" s="1"/>
  <c r="C136" i="154"/>
  <c r="AF136" i="154"/>
  <c r="AS136" i="154"/>
  <c r="AY136" i="154"/>
  <c r="BF136" i="154"/>
  <c r="BS136" i="154"/>
  <c r="CF136" i="154"/>
  <c r="CH136" i="154"/>
  <c r="CI136" i="154"/>
  <c r="CJ136" i="154" s="1"/>
  <c r="C137" i="154"/>
  <c r="AF137" i="154"/>
  <c r="AS137" i="154"/>
  <c r="AY137" i="154"/>
  <c r="BF137" i="154"/>
  <c r="BS137" i="154"/>
  <c r="CF137" i="154"/>
  <c r="CH137" i="154"/>
  <c r="CI137" i="154"/>
  <c r="CJ137" i="154"/>
  <c r="CK137" i="154" s="1"/>
  <c r="CM137" i="154"/>
  <c r="C138" i="154"/>
  <c r="AF138" i="154"/>
  <c r="AS138" i="154"/>
  <c r="BF138" i="154"/>
  <c r="BS138" i="154"/>
  <c r="CF138" i="154"/>
  <c r="CH138" i="154"/>
  <c r="CI138" i="154"/>
  <c r="CJ138" i="154" s="1"/>
  <c r="C139" i="154"/>
  <c r="AF139" i="154"/>
  <c r="AS139" i="154"/>
  <c r="BF139" i="154"/>
  <c r="BS139" i="154"/>
  <c r="CF139" i="154"/>
  <c r="CH139" i="154"/>
  <c r="CI139" i="154"/>
  <c r="CJ139" i="154"/>
  <c r="CK139" i="154" s="1"/>
  <c r="CM139" i="154"/>
  <c r="C140" i="154"/>
  <c r="AF140" i="154"/>
  <c r="AS140" i="154"/>
  <c r="BF140" i="154"/>
  <c r="BS140" i="154"/>
  <c r="CF140" i="154"/>
  <c r="CH140" i="154"/>
  <c r="CI140" i="154"/>
  <c r="CJ140" i="154" s="1"/>
  <c r="C141" i="154"/>
  <c r="AF141" i="154"/>
  <c r="AS141" i="154"/>
  <c r="BF141" i="154"/>
  <c r="BS141" i="154"/>
  <c r="CF141" i="154"/>
  <c r="CH141" i="154"/>
  <c r="CI141" i="154"/>
  <c r="CJ141" i="154"/>
  <c r="CK141" i="154" s="1"/>
  <c r="CM141" i="154"/>
  <c r="C142" i="154"/>
  <c r="AF142" i="154"/>
  <c r="AS142" i="154"/>
  <c r="BF142" i="154"/>
  <c r="BS142" i="154"/>
  <c r="CF142" i="154"/>
  <c r="CH142" i="154"/>
  <c r="CI142" i="154"/>
  <c r="CJ142" i="154"/>
  <c r="CK142" i="154" s="1"/>
  <c r="CM142" i="154"/>
  <c r="C143" i="154"/>
  <c r="AF143" i="154"/>
  <c r="AS143" i="154"/>
  <c r="BF143" i="154"/>
  <c r="BS143" i="154"/>
  <c r="CF143" i="154"/>
  <c r="CH143" i="154"/>
  <c r="CI143" i="154"/>
  <c r="CJ143" i="154"/>
  <c r="CK143" i="154" s="1"/>
  <c r="CM143" i="154"/>
  <c r="C144" i="154"/>
  <c r="AF144" i="154"/>
  <c r="AS144" i="154"/>
  <c r="BF144" i="154"/>
  <c r="BS144" i="154"/>
  <c r="CF144" i="154"/>
  <c r="CH144" i="154"/>
  <c r="CI144" i="154"/>
  <c r="CJ144" i="154"/>
  <c r="CK144" i="154" s="1"/>
  <c r="CM144" i="154"/>
  <c r="C145" i="154"/>
  <c r="AF145" i="154"/>
  <c r="AS145" i="154"/>
  <c r="BF145" i="154"/>
  <c r="BS145" i="154"/>
  <c r="CF145" i="154"/>
  <c r="CH145" i="154"/>
  <c r="CI145" i="154"/>
  <c r="CJ145" i="154" s="1"/>
  <c r="C146" i="154"/>
  <c r="AF146" i="154"/>
  <c r="AS146" i="154"/>
  <c r="BF146" i="154"/>
  <c r="BS146" i="154"/>
  <c r="CF146" i="154"/>
  <c r="CH146" i="154"/>
  <c r="CI146" i="154"/>
  <c r="CJ146" i="154"/>
  <c r="CK146" i="154" s="1"/>
  <c r="CM146" i="154"/>
  <c r="C147" i="154"/>
  <c r="AF147" i="154"/>
  <c r="AS147" i="154"/>
  <c r="BF147" i="154"/>
  <c r="BS147" i="154"/>
  <c r="CF147" i="154"/>
  <c r="CH147" i="154"/>
  <c r="CI147" i="154"/>
  <c r="CJ147" i="154" s="1"/>
  <c r="C148" i="154"/>
  <c r="AF148" i="154"/>
  <c r="AS148" i="154"/>
  <c r="BF148" i="154"/>
  <c r="BS148" i="154"/>
  <c r="CF148" i="154"/>
  <c r="CH148" i="154"/>
  <c r="CI148" i="154"/>
  <c r="CJ148" i="154"/>
  <c r="CK148" i="154" s="1"/>
  <c r="CM148" i="154"/>
  <c r="C149" i="154"/>
  <c r="AF149" i="154"/>
  <c r="AS149" i="154"/>
  <c r="BF149" i="154"/>
  <c r="BS149" i="154"/>
  <c r="CF149" i="154"/>
  <c r="CH149" i="154"/>
  <c r="CI149" i="154"/>
  <c r="CJ149" i="154" s="1"/>
  <c r="C150" i="154"/>
  <c r="AF150" i="154"/>
  <c r="AS150" i="154"/>
  <c r="BF150" i="154"/>
  <c r="BS150" i="154"/>
  <c r="CF150" i="154"/>
  <c r="CH150" i="154"/>
  <c r="CI150" i="154"/>
  <c r="CJ150" i="154"/>
  <c r="CK150" i="154" s="1"/>
  <c r="CM150" i="154"/>
  <c r="C151" i="154"/>
  <c r="AF151" i="154"/>
  <c r="AS151" i="154"/>
  <c r="BF151" i="154"/>
  <c r="BS151" i="154"/>
  <c r="CF151" i="154"/>
  <c r="CH151" i="154"/>
  <c r="CI151" i="154"/>
  <c r="CJ151" i="154"/>
  <c r="CK151" i="154" s="1"/>
  <c r="CM151" i="154"/>
  <c r="C152" i="154"/>
  <c r="AF152" i="154"/>
  <c r="AS152" i="154"/>
  <c r="BF152" i="154"/>
  <c r="BS152" i="154"/>
  <c r="CF152" i="154"/>
  <c r="CH152" i="154"/>
  <c r="CI152" i="154"/>
  <c r="CJ152" i="154"/>
  <c r="CK152" i="154" s="1"/>
  <c r="CM152" i="154"/>
  <c r="C153" i="154"/>
  <c r="AF153" i="154"/>
  <c r="AS153" i="154"/>
  <c r="BF153" i="154"/>
  <c r="BS153" i="154"/>
  <c r="CF153" i="154"/>
  <c r="CH153" i="154"/>
  <c r="CI153" i="154"/>
  <c r="CJ153" i="154"/>
  <c r="CK153" i="154"/>
  <c r="CM153" i="154"/>
  <c r="C154" i="154"/>
  <c r="AF154" i="154"/>
  <c r="AS154" i="154"/>
  <c r="BF154" i="154"/>
  <c r="BS154" i="154"/>
  <c r="CF154" i="154"/>
  <c r="CH154" i="154"/>
  <c r="CI154" i="154"/>
  <c r="CJ154" i="154"/>
  <c r="CK154" i="154" s="1"/>
  <c r="CM154" i="154"/>
  <c r="C155" i="154"/>
  <c r="AF155" i="154"/>
  <c r="AS155" i="154"/>
  <c r="BF155" i="154"/>
  <c r="BS155" i="154"/>
  <c r="CF155" i="154"/>
  <c r="CH155" i="154"/>
  <c r="CI155" i="154"/>
  <c r="CJ155" i="154" s="1"/>
  <c r="C156" i="154"/>
  <c r="AF156" i="154"/>
  <c r="AS156" i="154"/>
  <c r="BF156" i="154"/>
  <c r="BS156" i="154"/>
  <c r="CF156" i="154"/>
  <c r="CH156" i="154"/>
  <c r="CI156" i="154"/>
  <c r="CJ156" i="154"/>
  <c r="CK156" i="154" s="1"/>
  <c r="CM156" i="154"/>
  <c r="C157" i="154"/>
  <c r="AF157" i="154"/>
  <c r="AS157" i="154"/>
  <c r="BF157" i="154"/>
  <c r="BS157" i="154"/>
  <c r="CF157" i="154"/>
  <c r="CH157" i="154"/>
  <c r="CI157" i="154"/>
  <c r="CJ157" i="154"/>
  <c r="CK157" i="154" s="1"/>
  <c r="CM157" i="154"/>
  <c r="C158" i="154"/>
  <c r="AF158" i="154"/>
  <c r="AS158" i="154"/>
  <c r="BD158" i="154"/>
  <c r="BF158" i="154" s="1"/>
  <c r="BS158" i="154"/>
  <c r="CF158" i="154"/>
  <c r="CH158" i="154"/>
  <c r="CI158" i="154"/>
  <c r="CJ158" i="154"/>
  <c r="CK158" i="154" s="1"/>
  <c r="CM158" i="154"/>
  <c r="C159" i="154"/>
  <c r="AF159" i="154"/>
  <c r="AS159" i="154"/>
  <c r="BF159" i="154"/>
  <c r="BS159" i="154"/>
  <c r="CF159" i="154"/>
  <c r="CH159" i="154"/>
  <c r="CI159" i="154"/>
  <c r="CJ159" i="154" s="1"/>
  <c r="C160" i="154"/>
  <c r="AF160" i="154"/>
  <c r="AS160" i="154"/>
  <c r="BF160" i="154"/>
  <c r="BS160" i="154"/>
  <c r="CF160" i="154"/>
  <c r="CH160" i="154"/>
  <c r="CI160" i="154"/>
  <c r="CJ160" i="154"/>
  <c r="CK160" i="154" s="1"/>
  <c r="CM160" i="154"/>
  <c r="C161" i="154"/>
  <c r="AF161" i="154"/>
  <c r="AS161" i="154"/>
  <c r="BF161" i="154"/>
  <c r="BS161" i="154"/>
  <c r="CF161" i="154"/>
  <c r="CH161" i="154"/>
  <c r="CI161" i="154"/>
  <c r="CJ161" i="154" s="1"/>
  <c r="C162" i="154"/>
  <c r="AF162" i="154"/>
  <c r="AS162" i="154"/>
  <c r="BF162" i="154"/>
  <c r="BS162" i="154"/>
  <c r="CF162" i="154"/>
  <c r="CH162" i="154"/>
  <c r="CI162" i="154"/>
  <c r="CJ162" i="154"/>
  <c r="CK162" i="154" s="1"/>
  <c r="CM162" i="154"/>
  <c r="C163" i="154"/>
  <c r="AF163" i="154"/>
  <c r="AS163" i="154"/>
  <c r="BF163" i="154"/>
  <c r="BS163" i="154"/>
  <c r="CF163" i="154"/>
  <c r="CH163" i="154"/>
  <c r="CI163" i="154"/>
  <c r="CJ163" i="154" s="1"/>
  <c r="C164" i="154"/>
  <c r="AF164" i="154"/>
  <c r="AS164" i="154"/>
  <c r="BF164" i="154"/>
  <c r="BS164" i="154"/>
  <c r="CF164" i="154"/>
  <c r="CH164" i="154"/>
  <c r="CI164" i="154"/>
  <c r="CJ164" i="154"/>
  <c r="CK164" i="154" s="1"/>
  <c r="CM164" i="154"/>
  <c r="C165" i="154"/>
  <c r="AF165" i="154"/>
  <c r="AS165" i="154"/>
  <c r="BF165" i="154"/>
  <c r="BS165" i="154"/>
  <c r="CF165" i="154"/>
  <c r="CH165" i="154"/>
  <c r="CI165" i="154"/>
  <c r="CJ165" i="154"/>
  <c r="CK165" i="154" s="1"/>
  <c r="CM165" i="154"/>
  <c r="C166" i="154"/>
  <c r="AF166" i="154"/>
  <c r="AS166" i="154"/>
  <c r="BF166" i="154"/>
  <c r="BS166" i="154"/>
  <c r="CF166" i="154"/>
  <c r="CH166" i="154"/>
  <c r="CI166" i="154"/>
  <c r="CJ166" i="154"/>
  <c r="CK166" i="154" s="1"/>
  <c r="CM166" i="154"/>
  <c r="C167" i="154"/>
  <c r="AF167" i="154"/>
  <c r="AS167" i="154"/>
  <c r="BF167" i="154"/>
  <c r="BS167" i="154"/>
  <c r="CF167" i="154"/>
  <c r="CH167" i="154"/>
  <c r="CI167" i="154"/>
  <c r="CJ167" i="154" s="1"/>
  <c r="C168" i="154"/>
  <c r="AF168" i="154"/>
  <c r="AS168" i="154"/>
  <c r="BF168" i="154"/>
  <c r="BS168" i="154"/>
  <c r="CF168" i="154"/>
  <c r="CH168" i="154"/>
  <c r="CI168" i="154"/>
  <c r="CJ168" i="154"/>
  <c r="CK168" i="154" s="1"/>
  <c r="CM168" i="154"/>
  <c r="C169" i="154"/>
  <c r="AF169" i="154"/>
  <c r="AS169" i="154"/>
  <c r="BF169" i="154"/>
  <c r="BS169" i="154"/>
  <c r="CF169" i="154"/>
  <c r="CH169" i="154"/>
  <c r="CI169" i="154"/>
  <c r="CJ169" i="154" s="1"/>
  <c r="C170" i="154"/>
  <c r="AF170" i="154"/>
  <c r="AS170" i="154"/>
  <c r="BF170" i="154"/>
  <c r="BS170" i="154"/>
  <c r="CF170" i="154"/>
  <c r="CH170" i="154"/>
  <c r="CI170" i="154"/>
  <c r="CJ170" i="154"/>
  <c r="CK170" i="154" s="1"/>
  <c r="CM170" i="154"/>
  <c r="C171" i="154"/>
  <c r="AF171" i="154"/>
  <c r="AS171" i="154"/>
  <c r="BF171" i="154"/>
  <c r="BS171" i="154"/>
  <c r="CF171" i="154"/>
  <c r="CH171" i="154"/>
  <c r="CI171" i="154"/>
  <c r="CJ171" i="154" s="1"/>
  <c r="C172" i="154"/>
  <c r="AF172" i="154"/>
  <c r="AS172" i="154"/>
  <c r="BF172" i="154"/>
  <c r="BS172" i="154"/>
  <c r="CF172" i="154"/>
  <c r="CH172" i="154"/>
  <c r="CI172" i="154"/>
  <c r="CJ172" i="154"/>
  <c r="CK172" i="154" s="1"/>
  <c r="CM172" i="154"/>
  <c r="C173" i="154"/>
  <c r="AF173" i="154"/>
  <c r="AS173" i="154"/>
  <c r="BF173" i="154"/>
  <c r="BS173" i="154"/>
  <c r="CF173" i="154"/>
  <c r="CH173" i="154"/>
  <c r="CI173" i="154"/>
  <c r="CJ173" i="154" s="1"/>
  <c r="C174" i="154"/>
  <c r="AF174" i="154"/>
  <c r="AS174" i="154"/>
  <c r="BF174" i="154"/>
  <c r="BS174" i="154"/>
  <c r="CF174" i="154"/>
  <c r="CH174" i="154"/>
  <c r="CI174" i="154"/>
  <c r="CJ174" i="154"/>
  <c r="CK174" i="154" s="1"/>
  <c r="CM174" i="154"/>
  <c r="C175" i="154"/>
  <c r="AF175" i="154"/>
  <c r="AS175" i="154"/>
  <c r="BF175" i="154"/>
  <c r="BS175" i="154"/>
  <c r="CF175" i="154"/>
  <c r="CH175" i="154"/>
  <c r="CI175" i="154"/>
  <c r="CJ175" i="154" s="1"/>
  <c r="C176" i="154"/>
  <c r="AF176" i="154"/>
  <c r="AS176" i="154"/>
  <c r="BF176" i="154"/>
  <c r="BS176" i="154"/>
  <c r="CF176" i="154"/>
  <c r="CH176" i="154"/>
  <c r="CI176" i="154"/>
  <c r="CJ176" i="154"/>
  <c r="CK176" i="154" s="1"/>
  <c r="CM176" i="154"/>
  <c r="C177" i="154"/>
  <c r="AF177" i="154"/>
  <c r="AS177" i="154"/>
  <c r="BF177" i="154"/>
  <c r="BS177" i="154"/>
  <c r="CF177" i="154"/>
  <c r="CH177" i="154"/>
  <c r="CI177" i="154"/>
  <c r="CJ177" i="154" s="1"/>
  <c r="C178" i="154"/>
  <c r="AF178" i="154"/>
  <c r="AS178" i="154"/>
  <c r="BF178" i="154"/>
  <c r="BS178" i="154"/>
  <c r="CF178" i="154"/>
  <c r="CH178" i="154"/>
  <c r="CI178" i="154"/>
  <c r="CJ178" i="154"/>
  <c r="CK178" i="154" s="1"/>
  <c r="CM178" i="154"/>
  <c r="C179" i="154"/>
  <c r="AF179" i="154"/>
  <c r="AS179" i="154"/>
  <c r="BF179" i="154"/>
  <c r="BS179" i="154"/>
  <c r="CF179" i="154"/>
  <c r="CH179" i="154"/>
  <c r="CI179" i="154"/>
  <c r="CJ179" i="154" s="1"/>
  <c r="C180" i="154"/>
  <c r="AF180" i="154"/>
  <c r="AS180" i="154"/>
  <c r="BF180" i="154"/>
  <c r="BS180" i="154"/>
  <c r="CF180" i="154"/>
  <c r="CH180" i="154"/>
  <c r="CI180" i="154"/>
  <c r="CJ180" i="154"/>
  <c r="CK180" i="154" s="1"/>
  <c r="CM180" i="154"/>
  <c r="C181" i="154"/>
  <c r="AF181" i="154"/>
  <c r="AS181" i="154"/>
  <c r="BF181" i="154"/>
  <c r="BS181" i="154"/>
  <c r="CF181" i="154"/>
  <c r="CH181" i="154"/>
  <c r="CI181" i="154"/>
  <c r="CJ181" i="154" s="1"/>
  <c r="C182" i="154"/>
  <c r="AF182" i="154"/>
  <c r="AS182" i="154"/>
  <c r="BF182" i="154"/>
  <c r="BS182" i="154"/>
  <c r="CF182" i="154"/>
  <c r="CH182" i="154"/>
  <c r="CI182" i="154"/>
  <c r="CJ182" i="154"/>
  <c r="CK182" i="154" s="1"/>
  <c r="CM182" i="154"/>
  <c r="AF183" i="154"/>
  <c r="AS183" i="154"/>
  <c r="BF183" i="154"/>
  <c r="BS183" i="154"/>
  <c r="CF183" i="154"/>
  <c r="CH183" i="154"/>
  <c r="CI183" i="154"/>
  <c r="CJ183" i="154"/>
  <c r="CK183" i="154" s="1"/>
  <c r="CL183" i="154" s="1"/>
  <c r="CL118" i="154" s="1"/>
  <c r="Q185" i="154"/>
  <c r="Q184" i="154" s="1"/>
  <c r="R185" i="154"/>
  <c r="R184" i="154" s="1"/>
  <c r="S185" i="154"/>
  <c r="S184" i="154" s="1"/>
  <c r="T185" i="154"/>
  <c r="T184" i="154" s="1"/>
  <c r="U185" i="154"/>
  <c r="U184" i="154" s="1"/>
  <c r="V185" i="154"/>
  <c r="V184" i="154" s="1"/>
  <c r="W185" i="154"/>
  <c r="W184" i="154" s="1"/>
  <c r="X185" i="154"/>
  <c r="X184" i="154" s="1"/>
  <c r="Y185" i="154"/>
  <c r="Y184" i="154" s="1"/>
  <c r="Z185" i="154"/>
  <c r="Z184" i="154" s="1"/>
  <c r="AA185" i="154"/>
  <c r="AA184" i="154" s="1"/>
  <c r="AB185" i="154"/>
  <c r="AB184" i="154" s="1"/>
  <c r="AC185" i="154"/>
  <c r="AC184" i="154" s="1"/>
  <c r="AD185" i="154"/>
  <c r="AD184" i="154" s="1"/>
  <c r="AE185" i="154"/>
  <c r="AE184" i="154" s="1"/>
  <c r="AG185" i="154"/>
  <c r="AG184" i="154" s="1"/>
  <c r="AH185" i="154"/>
  <c r="AH184" i="154" s="1"/>
  <c r="AI185" i="154"/>
  <c r="AI184" i="154" s="1"/>
  <c r="AJ185" i="154"/>
  <c r="AJ184" i="154" s="1"/>
  <c r="AK185" i="154"/>
  <c r="AK184" i="154" s="1"/>
  <c r="AL185" i="154"/>
  <c r="AL184" i="154" s="1"/>
  <c r="AM185" i="154"/>
  <c r="AM184" i="154" s="1"/>
  <c r="AN185" i="154"/>
  <c r="AN184" i="154" s="1"/>
  <c r="AO185" i="154"/>
  <c r="AO184" i="154" s="1"/>
  <c r="AP185" i="154"/>
  <c r="AP184" i="154" s="1"/>
  <c r="AQ185" i="154"/>
  <c r="AQ184" i="154" s="1"/>
  <c r="AR185" i="154"/>
  <c r="AR184" i="154" s="1"/>
  <c r="AT185" i="154"/>
  <c r="AT184" i="154" s="1"/>
  <c r="AU185" i="154"/>
  <c r="AU184" i="154" s="1"/>
  <c r="AV185" i="154"/>
  <c r="AV184" i="154" s="1"/>
  <c r="AW185" i="154"/>
  <c r="AW184" i="154" s="1"/>
  <c r="AX185" i="154"/>
  <c r="AX184" i="154" s="1"/>
  <c r="AY185" i="154"/>
  <c r="AY184" i="154" s="1"/>
  <c r="BA185" i="154"/>
  <c r="BA184" i="154" s="1"/>
  <c r="BB185" i="154"/>
  <c r="BB184" i="154" s="1"/>
  <c r="BD185" i="154"/>
  <c r="BD184" i="154" s="1"/>
  <c r="BE185" i="154"/>
  <c r="BE184" i="154" s="1"/>
  <c r="BG185" i="154"/>
  <c r="BG184" i="154" s="1"/>
  <c r="BH185" i="154"/>
  <c r="BH184" i="154" s="1"/>
  <c r="BI185" i="154"/>
  <c r="BI184" i="154" s="1"/>
  <c r="BJ185" i="154"/>
  <c r="BJ184" i="154" s="1"/>
  <c r="BK185" i="154"/>
  <c r="BK184" i="154" s="1"/>
  <c r="BL185" i="154"/>
  <c r="BL184" i="154" s="1"/>
  <c r="BM185" i="154"/>
  <c r="BM184" i="154" s="1"/>
  <c r="BN185" i="154"/>
  <c r="BN184" i="154" s="1"/>
  <c r="BO185" i="154"/>
  <c r="BO184" i="154" s="1"/>
  <c r="BP185" i="154"/>
  <c r="BP184" i="154" s="1"/>
  <c r="BQ185" i="154"/>
  <c r="BQ184" i="154" s="1"/>
  <c r="BR185" i="154"/>
  <c r="BR184" i="154" s="1"/>
  <c r="BT185" i="154"/>
  <c r="BT184" i="154" s="1"/>
  <c r="BU185" i="154"/>
  <c r="BU184" i="154" s="1"/>
  <c r="BV185" i="154"/>
  <c r="BV184" i="154" s="1"/>
  <c r="BW185" i="154"/>
  <c r="BW184" i="154" s="1"/>
  <c r="BX185" i="154"/>
  <c r="BX184" i="154" s="1"/>
  <c r="BY185" i="154"/>
  <c r="BY184" i="154" s="1"/>
  <c r="BZ185" i="154"/>
  <c r="BZ184" i="154" s="1"/>
  <c r="CA185" i="154"/>
  <c r="CA184" i="154" s="1"/>
  <c r="CB185" i="154"/>
  <c r="CB184" i="154" s="1"/>
  <c r="CC185" i="154"/>
  <c r="CC184" i="154" s="1"/>
  <c r="CD185" i="154"/>
  <c r="CD184" i="154" s="1"/>
  <c r="CE185" i="154"/>
  <c r="CE184" i="154" s="1"/>
  <c r="CG185" i="154"/>
  <c r="CG184" i="154" s="1"/>
  <c r="CL185" i="154"/>
  <c r="CL184" i="154" s="1"/>
  <c r="AF186" i="154"/>
  <c r="AF185" i="154" s="1"/>
  <c r="AF184" i="154" s="1"/>
  <c r="AS186" i="154"/>
  <c r="AS185" i="154" s="1"/>
  <c r="AS184" i="154" s="1"/>
  <c r="BF186" i="154"/>
  <c r="BF185" i="154" s="1"/>
  <c r="BF184" i="154" s="1"/>
  <c r="BS186" i="154"/>
  <c r="BS185" i="154" s="1"/>
  <c r="BS184" i="154" s="1"/>
  <c r="CF186" i="154"/>
  <c r="CF185" i="154" s="1"/>
  <c r="CF184" i="154" s="1"/>
  <c r="CH186" i="154"/>
  <c r="CH185" i="154" s="1"/>
  <c r="CH184" i="154" s="1"/>
  <c r="CI186" i="154"/>
  <c r="CI185" i="154" s="1"/>
  <c r="CI184" i="154" s="1"/>
  <c r="AF187" i="154"/>
  <c r="AS187" i="154"/>
  <c r="AZ187" i="154"/>
  <c r="AZ185" i="154" s="1"/>
  <c r="AZ184" i="154" s="1"/>
  <c r="BC187" i="154"/>
  <c r="BC185" i="154" s="1"/>
  <c r="BC184" i="154" s="1"/>
  <c r="BF187" i="154"/>
  <c r="BS187" i="154"/>
  <c r="CF187" i="154"/>
  <c r="CH187" i="154"/>
  <c r="CI187" i="154"/>
  <c r="CJ187" i="154" s="1"/>
  <c r="AF188" i="154"/>
  <c r="AS188" i="154"/>
  <c r="BF188" i="154"/>
  <c r="BS188" i="154"/>
  <c r="CF188" i="154"/>
  <c r="CH188" i="154"/>
  <c r="CI188" i="154"/>
  <c r="CJ188" i="154"/>
  <c r="CK188" i="154" s="1"/>
  <c r="CM188" i="154"/>
  <c r="AF189" i="154"/>
  <c r="AS189" i="154"/>
  <c r="BC189" i="154"/>
  <c r="BF189" i="154"/>
  <c r="BS189" i="154"/>
  <c r="CF189" i="154"/>
  <c r="CH189" i="154"/>
  <c r="CI189" i="154"/>
  <c r="CJ189" i="154"/>
  <c r="CK189" i="154" s="1"/>
  <c r="CM189" i="154"/>
  <c r="C190" i="154"/>
  <c r="AF190" i="154"/>
  <c r="AS190" i="154"/>
  <c r="BF190" i="154"/>
  <c r="BS190" i="154"/>
  <c r="CF190" i="154"/>
  <c r="CH190" i="154"/>
  <c r="CI190" i="154"/>
  <c r="CJ190" i="154"/>
  <c r="CK190" i="154" s="1"/>
  <c r="CM190" i="154"/>
  <c r="C191" i="154"/>
  <c r="AF191" i="154"/>
  <c r="AS191" i="154"/>
  <c r="BF191" i="154"/>
  <c r="BS191" i="154"/>
  <c r="CF191" i="154"/>
  <c r="CH191" i="154"/>
  <c r="CI191" i="154"/>
  <c r="CJ191" i="154"/>
  <c r="CK191" i="154" s="1"/>
  <c r="CM191" i="154"/>
  <c r="C192" i="154"/>
  <c r="AF192" i="154"/>
  <c r="AS192" i="154"/>
  <c r="BF192" i="154"/>
  <c r="BJ192" i="154"/>
  <c r="BS192" i="154"/>
  <c r="CF192" i="154"/>
  <c r="CH192" i="154"/>
  <c r="CI192" i="154"/>
  <c r="CJ192" i="154"/>
  <c r="CK192" i="154" s="1"/>
  <c r="CM192" i="154"/>
  <c r="C193" i="154"/>
  <c r="AF193" i="154"/>
  <c r="AS193" i="154"/>
  <c r="BF193" i="154"/>
  <c r="BS193" i="154"/>
  <c r="CF193" i="154"/>
  <c r="CH193" i="154"/>
  <c r="CI193" i="154"/>
  <c r="CJ193" i="154"/>
  <c r="CK193" i="154" s="1"/>
  <c r="CM193" i="154"/>
  <c r="C194" i="154"/>
  <c r="AF194" i="154"/>
  <c r="AS194" i="154"/>
  <c r="BF194" i="154"/>
  <c r="BS194" i="154"/>
  <c r="CF194" i="154"/>
  <c r="CH194" i="154"/>
  <c r="CI194" i="154"/>
  <c r="CJ194" i="154"/>
  <c r="CK194" i="154" s="1"/>
  <c r="CM194" i="154"/>
  <c r="C195" i="154"/>
  <c r="AF195" i="154"/>
  <c r="AS195" i="154"/>
  <c r="BF195" i="154"/>
  <c r="BS195" i="154"/>
  <c r="CF195" i="154"/>
  <c r="CH195" i="154"/>
  <c r="CI195" i="154"/>
  <c r="CJ195" i="154"/>
  <c r="CK195" i="154" s="1"/>
  <c r="CM195" i="154"/>
  <c r="C196" i="154"/>
  <c r="AF196" i="154"/>
  <c r="AS196" i="154"/>
  <c r="BF196" i="154"/>
  <c r="BS196" i="154"/>
  <c r="CF196" i="154"/>
  <c r="CH196" i="154"/>
  <c r="CI196" i="154"/>
  <c r="CJ196" i="154"/>
  <c r="CK196" i="154" s="1"/>
  <c r="CM196" i="154"/>
  <c r="AF197" i="154"/>
  <c r="AS197" i="154"/>
  <c r="BF197" i="154"/>
  <c r="BS197" i="154"/>
  <c r="CF197" i="154"/>
  <c r="CH197" i="154"/>
  <c r="CI197" i="154"/>
  <c r="CJ197" i="154"/>
  <c r="CK197" i="154" s="1"/>
  <c r="CM197" i="154"/>
  <c r="Q198" i="154"/>
  <c r="R198" i="154"/>
  <c r="S198" i="154"/>
  <c r="T198" i="154"/>
  <c r="U198" i="154"/>
  <c r="V198" i="154"/>
  <c r="W198" i="154"/>
  <c r="X198" i="154"/>
  <c r="Y198" i="154"/>
  <c r="Z198" i="154"/>
  <c r="AA198" i="154"/>
  <c r="AB198" i="154"/>
  <c r="AC198" i="154"/>
  <c r="AD198" i="154"/>
  <c r="AE198" i="154"/>
  <c r="AG198" i="154"/>
  <c r="AH198" i="154"/>
  <c r="AI198" i="154"/>
  <c r="AJ198" i="154"/>
  <c r="AK198" i="154"/>
  <c r="AL198" i="154"/>
  <c r="AM198" i="154"/>
  <c r="AN198" i="154"/>
  <c r="AO198" i="154"/>
  <c r="AP198" i="154"/>
  <c r="AQ198" i="154"/>
  <c r="AR198" i="154"/>
  <c r="AT198" i="154"/>
  <c r="AU198" i="154"/>
  <c r="AV198" i="154"/>
  <c r="AW198" i="154"/>
  <c r="AX198" i="154"/>
  <c r="AY198" i="154"/>
  <c r="AZ198" i="154"/>
  <c r="BA198" i="154"/>
  <c r="BB198" i="154"/>
  <c r="BC198" i="154"/>
  <c r="BD198" i="154"/>
  <c r="BE198" i="154"/>
  <c r="BG198" i="154"/>
  <c r="BH198" i="154"/>
  <c r="BI198" i="154"/>
  <c r="BJ198" i="154"/>
  <c r="BK198" i="154"/>
  <c r="BL198" i="154"/>
  <c r="BM198" i="154"/>
  <c r="BN198" i="154"/>
  <c r="BO198" i="154"/>
  <c r="BP198" i="154"/>
  <c r="BQ198" i="154"/>
  <c r="BR198" i="154"/>
  <c r="BT198" i="154"/>
  <c r="BU198" i="154"/>
  <c r="BV198" i="154"/>
  <c r="BW198" i="154"/>
  <c r="BX198" i="154"/>
  <c r="BY198" i="154"/>
  <c r="BZ198" i="154"/>
  <c r="CA198" i="154"/>
  <c r="CB198" i="154"/>
  <c r="CC198" i="154"/>
  <c r="CD198" i="154"/>
  <c r="CE198" i="154"/>
  <c r="CG198" i="154"/>
  <c r="AF199" i="154"/>
  <c r="AF198" i="154" s="1"/>
  <c r="AS199" i="154"/>
  <c r="AS198" i="154" s="1"/>
  <c r="BF199" i="154"/>
  <c r="BF198" i="154" s="1"/>
  <c r="BS199" i="154"/>
  <c r="BS198" i="154" s="1"/>
  <c r="CF199" i="154"/>
  <c r="CF198" i="154" s="1"/>
  <c r="CH199" i="154"/>
  <c r="CH198" i="154" s="1"/>
  <c r="CI199" i="154"/>
  <c r="CI198" i="154" s="1"/>
  <c r="CJ199" i="154"/>
  <c r="CK199" i="154" s="1"/>
  <c r="CK198" i="154" s="1"/>
  <c r="CM199" i="154"/>
  <c r="CM198" i="154" s="1"/>
  <c r="AF200" i="154"/>
  <c r="AS200" i="154"/>
  <c r="BF200" i="154"/>
  <c r="BS200" i="154"/>
  <c r="CF200" i="154"/>
  <c r="CH200" i="154"/>
  <c r="CI200" i="154"/>
  <c r="CJ200" i="154"/>
  <c r="CK200" i="154" s="1"/>
  <c r="CM200" i="154"/>
  <c r="Q201" i="154"/>
  <c r="R201" i="154"/>
  <c r="S201" i="154"/>
  <c r="T201" i="154"/>
  <c r="U201" i="154"/>
  <c r="V201" i="154"/>
  <c r="W201" i="154"/>
  <c r="X201" i="154"/>
  <c r="Y201" i="154"/>
  <c r="Z201" i="154"/>
  <c r="AA201" i="154"/>
  <c r="AB201" i="154"/>
  <c r="AC201" i="154"/>
  <c r="AD201" i="154"/>
  <c r="AE201" i="154"/>
  <c r="AG201" i="154"/>
  <c r="AH201" i="154"/>
  <c r="AI201" i="154"/>
  <c r="AJ201" i="154"/>
  <c r="AK201" i="154"/>
  <c r="AL201" i="154"/>
  <c r="AM201" i="154"/>
  <c r="AN201" i="154"/>
  <c r="AO201" i="154"/>
  <c r="AP201" i="154"/>
  <c r="AQ201" i="154"/>
  <c r="AR201" i="154"/>
  <c r="AT201" i="154"/>
  <c r="AU201" i="154"/>
  <c r="AV201" i="154"/>
  <c r="AW201" i="154"/>
  <c r="AX201" i="154"/>
  <c r="AY201" i="154"/>
  <c r="AZ201" i="154"/>
  <c r="BA201" i="154"/>
  <c r="BB201" i="154"/>
  <c r="BC201" i="154"/>
  <c r="BD201" i="154"/>
  <c r="BE201" i="154"/>
  <c r="BG201" i="154"/>
  <c r="BJ201" i="154"/>
  <c r="BK201" i="154"/>
  <c r="BL201" i="154"/>
  <c r="BM201" i="154"/>
  <c r="BN201" i="154"/>
  <c r="BO201" i="154"/>
  <c r="BP201" i="154"/>
  <c r="BQ201" i="154"/>
  <c r="BR201" i="154"/>
  <c r="BT201" i="154"/>
  <c r="BU201" i="154"/>
  <c r="BV201" i="154"/>
  <c r="BW201" i="154"/>
  <c r="BX201" i="154"/>
  <c r="BY201" i="154"/>
  <c r="BZ201" i="154"/>
  <c r="CA201" i="154"/>
  <c r="CB201" i="154"/>
  <c r="CC201" i="154"/>
  <c r="CD201" i="154"/>
  <c r="CE201" i="154"/>
  <c r="CG201" i="154"/>
  <c r="CL201" i="154"/>
  <c r="AF202" i="154"/>
  <c r="AF201" i="154" s="1"/>
  <c r="AS202" i="154"/>
  <c r="AS201" i="154" s="1"/>
  <c r="BF202" i="154"/>
  <c r="BF201" i="154" s="1"/>
  <c r="BS202" i="154"/>
  <c r="BS201" i="154" s="1"/>
  <c r="CF202" i="154"/>
  <c r="CF201" i="154" s="1"/>
  <c r="CH202" i="154"/>
  <c r="CH201" i="154" s="1"/>
  <c r="CI202" i="154"/>
  <c r="CI201" i="154" s="1"/>
  <c r="CJ202" i="154"/>
  <c r="CM202" i="154"/>
  <c r="C203" i="154"/>
  <c r="AF203" i="154"/>
  <c r="AS203" i="154"/>
  <c r="BF203" i="154"/>
  <c r="BS203" i="154"/>
  <c r="CF203" i="154"/>
  <c r="CH203" i="154"/>
  <c r="CI203" i="154"/>
  <c r="CJ203" i="154"/>
  <c r="CK203" i="154" s="1"/>
  <c r="CM203" i="154"/>
  <c r="C204" i="154"/>
  <c r="AF204" i="154"/>
  <c r="AS204" i="154"/>
  <c r="BF204" i="154"/>
  <c r="BS204" i="154"/>
  <c r="CF204" i="154"/>
  <c r="CH204" i="154"/>
  <c r="CI204" i="154"/>
  <c r="CJ204" i="154"/>
  <c r="CK204" i="154" s="1"/>
  <c r="CM204" i="154"/>
  <c r="C205" i="154"/>
  <c r="AF205" i="154"/>
  <c r="AS205" i="154"/>
  <c r="BF205" i="154"/>
  <c r="BS205" i="154"/>
  <c r="CF205" i="154"/>
  <c r="CH205" i="154"/>
  <c r="CI205" i="154"/>
  <c r="CJ205" i="154"/>
  <c r="CK205" i="154" s="1"/>
  <c r="CM205" i="154"/>
  <c r="C206" i="154"/>
  <c r="AF206" i="154"/>
  <c r="AS206" i="154"/>
  <c r="BF206" i="154"/>
  <c r="BS206" i="154"/>
  <c r="CF206" i="154"/>
  <c r="CH206" i="154"/>
  <c r="CI206" i="154"/>
  <c r="CJ206" i="154"/>
  <c r="CK206" i="154" s="1"/>
  <c r="CM206" i="154"/>
  <c r="C207" i="154"/>
  <c r="AF207" i="154"/>
  <c r="AS207" i="154"/>
  <c r="BF207" i="154"/>
  <c r="BS207" i="154"/>
  <c r="CF207" i="154"/>
  <c r="CH207" i="154"/>
  <c r="CI207" i="154"/>
  <c r="CJ207" i="154"/>
  <c r="CK207" i="154" s="1"/>
  <c r="CM207" i="154"/>
  <c r="C208" i="154"/>
  <c r="AF208" i="154"/>
  <c r="AS208" i="154"/>
  <c r="BF208" i="154"/>
  <c r="BS208" i="154"/>
  <c r="CF208" i="154"/>
  <c r="CH208" i="154"/>
  <c r="CI208" i="154"/>
  <c r="CJ208" i="154"/>
  <c r="CK208" i="154" s="1"/>
  <c r="CM208" i="154"/>
  <c r="C209" i="154"/>
  <c r="AF209" i="154"/>
  <c r="AS209" i="154"/>
  <c r="BF209" i="154"/>
  <c r="BS209" i="154"/>
  <c r="CF209" i="154"/>
  <c r="CH209" i="154"/>
  <c r="CI209" i="154"/>
  <c r="CJ209" i="154" s="1"/>
  <c r="C210" i="154"/>
  <c r="AF210" i="154"/>
  <c r="AS210" i="154"/>
  <c r="BF210" i="154"/>
  <c r="BS210" i="154"/>
  <c r="CF210" i="154"/>
  <c r="CH210" i="154"/>
  <c r="CI210" i="154"/>
  <c r="CJ210" i="154"/>
  <c r="CK210" i="154" s="1"/>
  <c r="CM210" i="154"/>
  <c r="C211" i="154"/>
  <c r="AF211" i="154"/>
  <c r="AS211" i="154"/>
  <c r="BF211" i="154"/>
  <c r="BS211" i="154"/>
  <c r="CF211" i="154"/>
  <c r="CH211" i="154"/>
  <c r="CI211" i="154"/>
  <c r="CJ211" i="154" s="1"/>
  <c r="C212" i="154"/>
  <c r="AF212" i="154"/>
  <c r="AS212" i="154"/>
  <c r="BF212" i="154"/>
  <c r="BH212" i="154"/>
  <c r="BH201" i="154" s="1"/>
  <c r="BI212" i="154"/>
  <c r="BI201" i="154" s="1"/>
  <c r="BS212" i="154"/>
  <c r="CF212" i="154"/>
  <c r="CH212" i="154"/>
  <c r="CI212" i="154"/>
  <c r="CJ212" i="154"/>
  <c r="CK212" i="154" s="1"/>
  <c r="CM212" i="154"/>
  <c r="C213" i="154"/>
  <c r="AF213" i="154"/>
  <c r="AS213" i="154"/>
  <c r="BF213" i="154"/>
  <c r="BS213" i="154"/>
  <c r="CF213" i="154"/>
  <c r="CH213" i="154"/>
  <c r="CI213" i="154"/>
  <c r="CJ213" i="154" s="1"/>
  <c r="C214" i="154"/>
  <c r="AF214" i="154"/>
  <c r="AS214" i="154"/>
  <c r="BF214" i="154"/>
  <c r="BS214" i="154"/>
  <c r="CF214" i="154"/>
  <c r="CH214" i="154"/>
  <c r="CI214" i="154"/>
  <c r="CJ214" i="154"/>
  <c r="CK214" i="154" s="1"/>
  <c r="CM214" i="154"/>
  <c r="C215" i="154"/>
  <c r="AF215" i="154"/>
  <c r="AS215" i="154"/>
  <c r="BF215" i="154"/>
  <c r="BS215" i="154"/>
  <c r="CF215" i="154"/>
  <c r="CH215" i="154"/>
  <c r="CI215" i="154"/>
  <c r="CJ215" i="154"/>
  <c r="CK215" i="154" s="1"/>
  <c r="CM215" i="154"/>
  <c r="C216" i="154"/>
  <c r="AF216" i="154"/>
  <c r="AS216" i="154"/>
  <c r="BF216" i="154"/>
  <c r="BS216" i="154"/>
  <c r="CF216" i="154"/>
  <c r="CH216" i="154"/>
  <c r="CI216" i="154"/>
  <c r="CJ216" i="154"/>
  <c r="CK216" i="154" s="1"/>
  <c r="CM216" i="154"/>
  <c r="AF217" i="154"/>
  <c r="AS217" i="154"/>
  <c r="BF217" i="154"/>
  <c r="BS217" i="154"/>
  <c r="CF217" i="154"/>
  <c r="CH217" i="154"/>
  <c r="CI217" i="154"/>
  <c r="CJ217" i="154"/>
  <c r="CK217" i="154" s="1"/>
  <c r="CM217" i="154"/>
  <c r="AF218" i="154"/>
  <c r="AS218" i="154"/>
  <c r="BF218" i="154"/>
  <c r="BS218" i="154"/>
  <c r="CF218" i="154"/>
  <c r="CH218" i="154"/>
  <c r="CI218" i="154"/>
  <c r="CJ218" i="154"/>
  <c r="CK218" i="154" s="1"/>
  <c r="CM218" i="154"/>
  <c r="Q219" i="154"/>
  <c r="R219" i="154"/>
  <c r="S219" i="154"/>
  <c r="T219" i="154"/>
  <c r="U219" i="154"/>
  <c r="V219" i="154"/>
  <c r="W219" i="154"/>
  <c r="X219" i="154"/>
  <c r="Y219" i="154"/>
  <c r="Z219" i="154"/>
  <c r="AA219" i="154"/>
  <c r="AB219" i="154"/>
  <c r="AC219" i="154"/>
  <c r="AD219" i="154"/>
  <c r="AE219" i="154"/>
  <c r="AG219" i="154"/>
  <c r="AH219" i="154"/>
  <c r="AI219" i="154"/>
  <c r="AJ219" i="154"/>
  <c r="AK219" i="154"/>
  <c r="AL219" i="154"/>
  <c r="AM219" i="154"/>
  <c r="AN219" i="154"/>
  <c r="AO219" i="154"/>
  <c r="AP219" i="154"/>
  <c r="AQ219" i="154"/>
  <c r="AR219" i="154"/>
  <c r="AT219" i="154"/>
  <c r="AU219" i="154"/>
  <c r="AV219" i="154"/>
  <c r="AW219" i="154"/>
  <c r="AX219" i="154"/>
  <c r="AY219" i="154"/>
  <c r="AZ219" i="154"/>
  <c r="BA219" i="154"/>
  <c r="BB219" i="154"/>
  <c r="BC219" i="154"/>
  <c r="BD219" i="154"/>
  <c r="BE219" i="154"/>
  <c r="BG219" i="154"/>
  <c r="BH219" i="154"/>
  <c r="BI219" i="154"/>
  <c r="BK219" i="154"/>
  <c r="BL219" i="154"/>
  <c r="BM219" i="154"/>
  <c r="BN219" i="154"/>
  <c r="BO219" i="154"/>
  <c r="BP219" i="154"/>
  <c r="BQ219" i="154"/>
  <c r="BR219" i="154"/>
  <c r="BT219" i="154"/>
  <c r="BU219" i="154"/>
  <c r="BV219" i="154"/>
  <c r="BW219" i="154"/>
  <c r="BX219" i="154"/>
  <c r="BY219" i="154"/>
  <c r="BZ219" i="154"/>
  <c r="CA219" i="154"/>
  <c r="CB219" i="154"/>
  <c r="CC219" i="154"/>
  <c r="CD219" i="154"/>
  <c r="CE219" i="154"/>
  <c r="CG219" i="154"/>
  <c r="CL219" i="154"/>
  <c r="AF220" i="154"/>
  <c r="AF219" i="154" s="1"/>
  <c r="AS220" i="154"/>
  <c r="AS219" i="154" s="1"/>
  <c r="BF220" i="154"/>
  <c r="BF219" i="154" s="1"/>
  <c r="BS220" i="154"/>
  <c r="BS219" i="154" s="1"/>
  <c r="CF220" i="154"/>
  <c r="CF219" i="154" s="1"/>
  <c r="CH220" i="154"/>
  <c r="CH219" i="154" s="1"/>
  <c r="CI220" i="154"/>
  <c r="CI219" i="154" s="1"/>
  <c r="CJ220" i="154"/>
  <c r="CM220" i="154"/>
  <c r="C221" i="154"/>
  <c r="AF221" i="154"/>
  <c r="AS221" i="154"/>
  <c r="BF221" i="154"/>
  <c r="BS221" i="154"/>
  <c r="CF221" i="154"/>
  <c r="CH221" i="154"/>
  <c r="CI221" i="154"/>
  <c r="CJ221" i="154"/>
  <c r="CK221" i="154" s="1"/>
  <c r="CM221" i="154"/>
  <c r="C222" i="154"/>
  <c r="AF222" i="154"/>
  <c r="AS222" i="154"/>
  <c r="BF222" i="154"/>
  <c r="BJ222" i="154"/>
  <c r="BJ219" i="154" s="1"/>
  <c r="BS222" i="154"/>
  <c r="CF222" i="154"/>
  <c r="CH222" i="154"/>
  <c r="CI222" i="154"/>
  <c r="CJ222" i="154"/>
  <c r="CK222" i="154" s="1"/>
  <c r="CM222" i="154"/>
  <c r="C223" i="154"/>
  <c r="AF223" i="154"/>
  <c r="AS223" i="154"/>
  <c r="BF223" i="154"/>
  <c r="BS223" i="154"/>
  <c r="CF223" i="154"/>
  <c r="CH223" i="154"/>
  <c r="CI223" i="154"/>
  <c r="CJ223" i="154" s="1"/>
  <c r="AF224" i="154"/>
  <c r="AS224" i="154"/>
  <c r="BF224" i="154"/>
  <c r="BS224" i="154"/>
  <c r="CF224" i="154"/>
  <c r="CH224" i="154"/>
  <c r="CI224" i="154"/>
  <c r="CJ224" i="154"/>
  <c r="CK224" i="154" s="1"/>
  <c r="CM224" i="154"/>
  <c r="AF225" i="154"/>
  <c r="AS225" i="154"/>
  <c r="BF225" i="154"/>
  <c r="BS225" i="154"/>
  <c r="CF225" i="154"/>
  <c r="CH225" i="154"/>
  <c r="CI225" i="154"/>
  <c r="CJ225" i="154"/>
  <c r="CK225" i="154" s="1"/>
  <c r="CM225" i="154"/>
  <c r="R226" i="154"/>
  <c r="AF226" i="154"/>
  <c r="AK226" i="154"/>
  <c r="AO226" i="154"/>
  <c r="AS226" i="154" s="1"/>
  <c r="AW226" i="154"/>
  <c r="BK226" i="154"/>
  <c r="BS226" i="154" s="1"/>
  <c r="CF226" i="154"/>
  <c r="CI226" i="154"/>
  <c r="AF227" i="154"/>
  <c r="AS227" i="154"/>
  <c r="AW227" i="154"/>
  <c r="AZ227" i="154"/>
  <c r="BF227" i="154"/>
  <c r="BS227" i="154"/>
  <c r="CF227" i="154"/>
  <c r="CH227" i="154"/>
  <c r="CI227" i="154"/>
  <c r="CJ227" i="154" s="1"/>
  <c r="AF228" i="154"/>
  <c r="AS228" i="154"/>
  <c r="BF228" i="154"/>
  <c r="BS228" i="154"/>
  <c r="CF228" i="154"/>
  <c r="CH228" i="154"/>
  <c r="CI228" i="154"/>
  <c r="CJ228" i="154" s="1"/>
  <c r="AF229" i="154"/>
  <c r="AS229" i="154"/>
  <c r="BF229" i="154"/>
  <c r="BS229" i="154"/>
  <c r="CF229" i="154"/>
  <c r="CH229" i="154"/>
  <c r="CI229" i="154"/>
  <c r="CJ229" i="154"/>
  <c r="CK229" i="154" s="1"/>
  <c r="CL229" i="154" s="1"/>
  <c r="Q230" i="154"/>
  <c r="R230" i="154"/>
  <c r="S230" i="154"/>
  <c r="T230" i="154"/>
  <c r="U230" i="154"/>
  <c r="V230" i="154"/>
  <c r="W230" i="154"/>
  <c r="X230" i="154"/>
  <c r="Y230" i="154"/>
  <c r="Z230" i="154"/>
  <c r="AA230" i="154"/>
  <c r="AB230" i="154"/>
  <c r="AC230" i="154"/>
  <c r="AD230" i="154"/>
  <c r="AE230" i="154"/>
  <c r="AG230" i="154"/>
  <c r="AH230" i="154"/>
  <c r="AI230" i="154"/>
  <c r="AJ230" i="154"/>
  <c r="AK230" i="154"/>
  <c r="AL230" i="154"/>
  <c r="AM230" i="154"/>
  <c r="AN230" i="154"/>
  <c r="AO230" i="154"/>
  <c r="AP230" i="154"/>
  <c r="AQ230" i="154"/>
  <c r="AR230" i="154"/>
  <c r="AT230" i="154"/>
  <c r="AU230" i="154"/>
  <c r="AV230" i="154"/>
  <c r="AW230" i="154"/>
  <c r="AX230" i="154"/>
  <c r="AY230" i="154"/>
  <c r="AZ230" i="154"/>
  <c r="BA230" i="154"/>
  <c r="BB230" i="154"/>
  <c r="BC230" i="154"/>
  <c r="BD230" i="154"/>
  <c r="BE230" i="154"/>
  <c r="BG230" i="154"/>
  <c r="BH230" i="154"/>
  <c r="BI230" i="154"/>
  <c r="BJ230" i="154"/>
  <c r="BK230" i="154"/>
  <c r="BL230" i="154"/>
  <c r="BM230" i="154"/>
  <c r="BN230" i="154"/>
  <c r="BO230" i="154"/>
  <c r="BP230" i="154"/>
  <c r="BQ230" i="154"/>
  <c r="BR230" i="154"/>
  <c r="BT230" i="154"/>
  <c r="BU230" i="154"/>
  <c r="BV230" i="154"/>
  <c r="BW230" i="154"/>
  <c r="BX230" i="154"/>
  <c r="BY230" i="154"/>
  <c r="BZ230" i="154"/>
  <c r="CA230" i="154"/>
  <c r="CB230" i="154"/>
  <c r="CC230" i="154"/>
  <c r="CD230" i="154"/>
  <c r="CE230" i="154"/>
  <c r="CG230" i="154"/>
  <c r="CL230" i="154"/>
  <c r="AF231" i="154"/>
  <c r="AF230" i="154" s="1"/>
  <c r="AS231" i="154"/>
  <c r="AS230" i="154" s="1"/>
  <c r="BF231" i="154"/>
  <c r="BF230" i="154" s="1"/>
  <c r="BS231" i="154"/>
  <c r="BS230" i="154" s="1"/>
  <c r="CF231" i="154"/>
  <c r="CF230" i="154" s="1"/>
  <c r="CH231" i="154"/>
  <c r="CH230" i="154" s="1"/>
  <c r="CI231" i="154"/>
  <c r="CI230" i="154" s="1"/>
  <c r="CJ231" i="154"/>
  <c r="CM231" i="154"/>
  <c r="AF232" i="154"/>
  <c r="AS232" i="154"/>
  <c r="BF232" i="154"/>
  <c r="BS232" i="154"/>
  <c r="CF232" i="154"/>
  <c r="CH232" i="154"/>
  <c r="CI232" i="154"/>
  <c r="CJ232" i="154"/>
  <c r="CK232" i="154" s="1"/>
  <c r="CM232" i="154"/>
  <c r="AF233" i="154"/>
  <c r="AS233" i="154"/>
  <c r="BF233" i="154"/>
  <c r="BS233" i="154"/>
  <c r="CF233" i="154"/>
  <c r="CH233" i="154"/>
  <c r="CI233" i="154"/>
  <c r="CJ233" i="154"/>
  <c r="CK233" i="154" s="1"/>
  <c r="CM233" i="154"/>
  <c r="AF234" i="154"/>
  <c r="AS234" i="154"/>
  <c r="BF234" i="154"/>
  <c r="BS234" i="154"/>
  <c r="CF234" i="154"/>
  <c r="CH234" i="154"/>
  <c r="CI234" i="154"/>
  <c r="CJ234" i="154"/>
  <c r="CK234" i="154" s="1"/>
  <c r="CM234" i="154"/>
  <c r="AF235" i="154"/>
  <c r="AS235" i="154"/>
  <c r="BF235" i="154"/>
  <c r="BS235" i="154"/>
  <c r="CF235" i="154"/>
  <c r="CH235" i="154"/>
  <c r="CI235" i="154"/>
  <c r="CJ235" i="154"/>
  <c r="CK235" i="154" s="1"/>
  <c r="CM235" i="154"/>
  <c r="C236" i="154"/>
  <c r="AF236" i="154"/>
  <c r="AS236" i="154"/>
  <c r="BF236" i="154"/>
  <c r="BS236" i="154"/>
  <c r="CF236" i="154"/>
  <c r="CH236" i="154"/>
  <c r="CI236" i="154"/>
  <c r="CJ236" i="154" s="1"/>
  <c r="C237" i="154"/>
  <c r="AF237" i="154"/>
  <c r="AS237" i="154"/>
  <c r="BF237" i="154"/>
  <c r="BS237" i="154"/>
  <c r="CF237" i="154"/>
  <c r="CH237" i="154"/>
  <c r="CI237" i="154"/>
  <c r="CJ237" i="154"/>
  <c r="CK237" i="154" s="1"/>
  <c r="CM237" i="154"/>
  <c r="AF238" i="154"/>
  <c r="AS238" i="154"/>
  <c r="BF238" i="154"/>
  <c r="BS238" i="154"/>
  <c r="CF238" i="154"/>
  <c r="CH238" i="154"/>
  <c r="CI238" i="154"/>
  <c r="CJ238" i="154"/>
  <c r="CK238" i="154" s="1"/>
  <c r="CM238" i="154"/>
  <c r="AF240" i="154"/>
  <c r="AS240" i="154"/>
  <c r="BF240" i="154"/>
  <c r="BS240" i="154"/>
  <c r="CF240" i="154"/>
  <c r="CH240" i="154"/>
  <c r="CI240" i="154"/>
  <c r="CJ240" i="154"/>
  <c r="AF241" i="154"/>
  <c r="AS241" i="154"/>
  <c r="BF241" i="154"/>
  <c r="BS241" i="154"/>
  <c r="CF241" i="154"/>
  <c r="CH241" i="154"/>
  <c r="CI241" i="154"/>
  <c r="CJ241" i="154" s="1"/>
  <c r="AF242" i="154"/>
  <c r="AS242" i="154"/>
  <c r="BF242" i="154"/>
  <c r="BS242" i="154"/>
  <c r="CF242" i="154"/>
  <c r="CH242" i="154"/>
  <c r="CI242" i="154"/>
  <c r="CJ242" i="154" s="1"/>
  <c r="AF243" i="154"/>
  <c r="AS243" i="154"/>
  <c r="BF243" i="154"/>
  <c r="BS243" i="154"/>
  <c r="CF243" i="154"/>
  <c r="CH243" i="154"/>
  <c r="CI243" i="154"/>
  <c r="CJ243" i="154"/>
  <c r="CK243" i="154" s="1"/>
  <c r="CM243" i="154"/>
  <c r="AF244" i="154"/>
  <c r="AK244" i="154"/>
  <c r="AK239" i="154" s="1"/>
  <c r="BF244" i="154"/>
  <c r="BS244" i="154"/>
  <c r="CF244" i="154"/>
  <c r="CH244" i="154"/>
  <c r="CI244" i="154"/>
  <c r="CJ244" i="154"/>
  <c r="CK244" i="154" s="1"/>
  <c r="CM244" i="154"/>
  <c r="AF245" i="154"/>
  <c r="AS245" i="154"/>
  <c r="BF245" i="154"/>
  <c r="BS245" i="154"/>
  <c r="CF245" i="154"/>
  <c r="CH245" i="154"/>
  <c r="CI245" i="154"/>
  <c r="CJ245" i="154"/>
  <c r="CK245" i="154" s="1"/>
  <c r="CM245" i="154"/>
  <c r="AF246" i="154"/>
  <c r="AS246" i="154"/>
  <c r="BF246" i="154"/>
  <c r="BS246" i="154"/>
  <c r="CF246" i="154"/>
  <c r="CH246" i="154"/>
  <c r="CI246" i="154"/>
  <c r="CJ246" i="154"/>
  <c r="CK246" i="154" s="1"/>
  <c r="CM246" i="154"/>
  <c r="AF247" i="154"/>
  <c r="AS247" i="154"/>
  <c r="BF247" i="154"/>
  <c r="BS247" i="154"/>
  <c r="CF247" i="154"/>
  <c r="CH247" i="154"/>
  <c r="CI247" i="154"/>
  <c r="CJ247" i="154"/>
  <c r="CK247" i="154" s="1"/>
  <c r="CM247" i="154"/>
  <c r="AF248" i="154"/>
  <c r="AS248" i="154"/>
  <c r="BF248" i="154"/>
  <c r="BS248" i="154"/>
  <c r="CF248" i="154"/>
  <c r="CH248" i="154"/>
  <c r="CI248" i="154"/>
  <c r="CJ248" i="154"/>
  <c r="CK248" i="154" s="1"/>
  <c r="CM248" i="154"/>
  <c r="AE249" i="154"/>
  <c r="AE239" i="154" s="1"/>
  <c r="AF249" i="154"/>
  <c r="AG249" i="154"/>
  <c r="AG239" i="154" s="1"/>
  <c r="AS249" i="154"/>
  <c r="BF249" i="154"/>
  <c r="BS249" i="154"/>
  <c r="CF249" i="154"/>
  <c r="CH249" i="154"/>
  <c r="CI249" i="154"/>
  <c r="CJ249" i="154"/>
  <c r="CK249" i="154" s="1"/>
  <c r="CM249" i="154"/>
  <c r="AE250" i="154"/>
  <c r="AF250" i="154"/>
  <c r="AR250" i="154"/>
  <c r="AR239" i="154" s="1"/>
  <c r="AS250" i="154"/>
  <c r="AT250" i="154"/>
  <c r="AT239" i="154" s="1"/>
  <c r="BF250" i="154"/>
  <c r="BS250" i="154"/>
  <c r="CF250" i="154"/>
  <c r="CH250" i="154"/>
  <c r="CI250" i="154"/>
  <c r="CJ250" i="154" s="1"/>
  <c r="AF251" i="154"/>
  <c r="AS251" i="154"/>
  <c r="BF251" i="154"/>
  <c r="BS251" i="154"/>
  <c r="CF251" i="154"/>
  <c r="CH251" i="154"/>
  <c r="CI251" i="154"/>
  <c r="CJ251" i="154" s="1"/>
  <c r="Q252" i="154"/>
  <c r="Q239" i="154" s="1"/>
  <c r="R252" i="154"/>
  <c r="R239" i="154" s="1"/>
  <c r="S252" i="154"/>
  <c r="S239" i="154" s="1"/>
  <c r="T252" i="154"/>
  <c r="T239" i="154" s="1"/>
  <c r="U252" i="154"/>
  <c r="U239" i="154" s="1"/>
  <c r="V252" i="154"/>
  <c r="V239" i="154" s="1"/>
  <c r="W252" i="154"/>
  <c r="W239" i="154" s="1"/>
  <c r="X252" i="154"/>
  <c r="X239" i="154" s="1"/>
  <c r="Y252" i="154"/>
  <c r="Y239" i="154" s="1"/>
  <c r="Z252" i="154"/>
  <c r="Z239" i="154" s="1"/>
  <c r="AA252" i="154"/>
  <c r="AA239" i="154" s="1"/>
  <c r="AB252" i="154"/>
  <c r="AB239" i="154" s="1"/>
  <c r="AC252" i="154"/>
  <c r="AC239" i="154" s="1"/>
  <c r="AD252" i="154"/>
  <c r="AD239" i="154" s="1"/>
  <c r="AE252" i="154"/>
  <c r="AG252" i="154"/>
  <c r="AH252" i="154"/>
  <c r="AH239" i="154" s="1"/>
  <c r="AI252" i="154"/>
  <c r="AI239" i="154" s="1"/>
  <c r="AJ252" i="154"/>
  <c r="AJ239" i="154" s="1"/>
  <c r="AK252" i="154"/>
  <c r="AL252" i="154"/>
  <c r="AL239" i="154" s="1"/>
  <c r="AM252" i="154"/>
  <c r="AM239" i="154" s="1"/>
  <c r="AN252" i="154"/>
  <c r="AN239" i="154" s="1"/>
  <c r="AO252" i="154"/>
  <c r="AO239" i="154" s="1"/>
  <c r="AQ252" i="154"/>
  <c r="AQ239" i="154" s="1"/>
  <c r="AR252" i="154"/>
  <c r="AT252" i="154"/>
  <c r="AU252" i="154"/>
  <c r="AU239" i="154" s="1"/>
  <c r="AV252" i="154"/>
  <c r="AV239" i="154" s="1"/>
  <c r="AW252" i="154"/>
  <c r="AW239" i="154" s="1"/>
  <c r="AX252" i="154"/>
  <c r="AX239" i="154" s="1"/>
  <c r="AY252" i="154"/>
  <c r="AY239" i="154" s="1"/>
  <c r="AZ252" i="154"/>
  <c r="AZ239" i="154" s="1"/>
  <c r="BA252" i="154"/>
  <c r="BA239" i="154" s="1"/>
  <c r="BB252" i="154"/>
  <c r="BB239" i="154" s="1"/>
  <c r="BC252" i="154"/>
  <c r="BC239" i="154" s="1"/>
  <c r="BD252" i="154"/>
  <c r="BD239" i="154" s="1"/>
  <c r="BE252" i="154"/>
  <c r="BE239" i="154" s="1"/>
  <c r="BG252" i="154"/>
  <c r="BG239" i="154" s="1"/>
  <c r="BH252" i="154"/>
  <c r="BH239" i="154" s="1"/>
  <c r="BI252" i="154"/>
  <c r="BI239" i="154" s="1"/>
  <c r="BK252" i="154"/>
  <c r="BK239" i="154" s="1"/>
  <c r="BL252" i="154"/>
  <c r="BL239" i="154" s="1"/>
  <c r="BM252" i="154"/>
  <c r="BM239" i="154" s="1"/>
  <c r="BN252" i="154"/>
  <c r="BN239" i="154" s="1"/>
  <c r="BO252" i="154"/>
  <c r="BO239" i="154" s="1"/>
  <c r="BP252" i="154"/>
  <c r="BP239" i="154" s="1"/>
  <c r="BQ252" i="154"/>
  <c r="BQ239" i="154" s="1"/>
  <c r="BR252" i="154"/>
  <c r="BR239" i="154" s="1"/>
  <c r="BT252" i="154"/>
  <c r="BT239" i="154" s="1"/>
  <c r="BU252" i="154"/>
  <c r="BU239" i="154" s="1"/>
  <c r="BV252" i="154"/>
  <c r="BV239" i="154" s="1"/>
  <c r="BW252" i="154"/>
  <c r="BW239" i="154" s="1"/>
  <c r="BX252" i="154"/>
  <c r="BX239" i="154" s="1"/>
  <c r="BY252" i="154"/>
  <c r="BY239" i="154" s="1"/>
  <c r="BZ252" i="154"/>
  <c r="BZ239" i="154" s="1"/>
  <c r="CA252" i="154"/>
  <c r="CA239" i="154" s="1"/>
  <c r="CB252" i="154"/>
  <c r="CB239" i="154" s="1"/>
  <c r="CC252" i="154"/>
  <c r="CC239" i="154" s="1"/>
  <c r="CD252" i="154"/>
  <c r="CD239" i="154" s="1"/>
  <c r="CE252" i="154"/>
  <c r="CE239" i="154" s="1"/>
  <c r="CG252" i="154"/>
  <c r="CG239" i="154" s="1"/>
  <c r="CL252" i="154"/>
  <c r="AF253" i="154"/>
  <c r="AF252" i="154" s="1"/>
  <c r="AS253" i="154"/>
  <c r="AS252" i="154" s="1"/>
  <c r="BF253" i="154"/>
  <c r="BF252" i="154" s="1"/>
  <c r="BS253" i="154"/>
  <c r="BS252" i="154" s="1"/>
  <c r="CF253" i="154"/>
  <c r="CF252" i="154" s="1"/>
  <c r="CH253" i="154"/>
  <c r="CH252" i="154" s="1"/>
  <c r="CI253" i="154"/>
  <c r="CI252" i="154" s="1"/>
  <c r="AF254" i="154"/>
  <c r="AS254" i="154"/>
  <c r="BF254" i="154"/>
  <c r="BS254" i="154"/>
  <c r="CF254" i="154"/>
  <c r="CH254" i="154"/>
  <c r="CI254" i="154"/>
  <c r="CJ254" i="154"/>
  <c r="CK254" i="154" s="1"/>
  <c r="CM254" i="154"/>
  <c r="C255" i="154"/>
  <c r="AF255" i="154"/>
  <c r="AS255" i="154"/>
  <c r="BF255" i="154"/>
  <c r="BS255" i="154"/>
  <c r="CF255" i="154"/>
  <c r="CH255" i="154"/>
  <c r="CI255" i="154"/>
  <c r="CJ255" i="154"/>
  <c r="CK255" i="154" s="1"/>
  <c r="CM255" i="154"/>
  <c r="C256" i="154"/>
  <c r="AF256" i="154"/>
  <c r="AS256" i="154"/>
  <c r="BF256" i="154"/>
  <c r="BS256" i="154"/>
  <c r="CF256" i="154"/>
  <c r="CH256" i="154"/>
  <c r="CI256" i="154"/>
  <c r="CJ256" i="154"/>
  <c r="CK256" i="154" s="1"/>
  <c r="CM256" i="154"/>
  <c r="C257" i="154"/>
  <c r="AF257" i="154"/>
  <c r="AS257" i="154"/>
  <c r="BF257" i="154"/>
  <c r="BS257" i="154"/>
  <c r="CF257" i="154"/>
  <c r="CH257" i="154"/>
  <c r="CI257" i="154"/>
  <c r="CJ257" i="154"/>
  <c r="CK257" i="154" s="1"/>
  <c r="CM257" i="154"/>
  <c r="C258" i="154"/>
  <c r="AF258" i="154"/>
  <c r="AS258" i="154"/>
  <c r="BF258" i="154"/>
  <c r="BS258" i="154"/>
  <c r="CF258" i="154"/>
  <c r="CH258" i="154"/>
  <c r="CI258" i="154"/>
  <c r="CJ258" i="154" s="1"/>
  <c r="C259" i="154"/>
  <c r="AF259" i="154"/>
  <c r="AS259" i="154"/>
  <c r="BF259" i="154"/>
  <c r="BS259" i="154"/>
  <c r="CF259" i="154"/>
  <c r="CH259" i="154"/>
  <c r="CI259" i="154"/>
  <c r="CJ259" i="154"/>
  <c r="CK259" i="154" s="1"/>
  <c r="CM259" i="154"/>
  <c r="C260" i="154"/>
  <c r="AF260" i="154"/>
  <c r="AS260" i="154"/>
  <c r="BF260" i="154"/>
  <c r="BS260" i="154"/>
  <c r="CF260" i="154"/>
  <c r="CH260" i="154"/>
  <c r="CI260" i="154"/>
  <c r="CJ260" i="154" s="1"/>
  <c r="C261" i="154"/>
  <c r="AF261" i="154"/>
  <c r="AS261" i="154"/>
  <c r="BF261" i="154"/>
  <c r="BS261" i="154"/>
  <c r="CF261" i="154"/>
  <c r="CH261" i="154"/>
  <c r="CI261" i="154"/>
  <c r="CJ261" i="154"/>
  <c r="CK261" i="154" s="1"/>
  <c r="CM261" i="154"/>
  <c r="C262" i="154"/>
  <c r="AF262" i="154"/>
  <c r="AS262" i="154"/>
  <c r="BF262" i="154"/>
  <c r="BS262" i="154"/>
  <c r="CF262" i="154"/>
  <c r="CH262" i="154"/>
  <c r="CI262" i="154"/>
  <c r="CJ262" i="154" s="1"/>
  <c r="C263" i="154"/>
  <c r="AF263" i="154"/>
  <c r="AP263" i="154"/>
  <c r="AP252" i="154" s="1"/>
  <c r="AP239" i="154" s="1"/>
  <c r="AS263" i="154"/>
  <c r="BF263" i="154"/>
  <c r="BJ263" i="154"/>
  <c r="BJ252" i="154" s="1"/>
  <c r="BJ239" i="154" s="1"/>
  <c r="BS263" i="154"/>
  <c r="CF263" i="154"/>
  <c r="CH263" i="154"/>
  <c r="CI263" i="154"/>
  <c r="CJ263" i="154"/>
  <c r="CK263" i="154" s="1"/>
  <c r="CM263" i="154"/>
  <c r="AF264" i="154"/>
  <c r="AS264" i="154"/>
  <c r="BF264" i="154"/>
  <c r="BS264" i="154"/>
  <c r="CF264" i="154"/>
  <c r="CH264" i="154"/>
  <c r="CI264" i="154"/>
  <c r="CJ264" i="154"/>
  <c r="CK264" i="154" s="1"/>
  <c r="CL264" i="154" s="1"/>
  <c r="AF265" i="154"/>
  <c r="AS265" i="154"/>
  <c r="BF265" i="154"/>
  <c r="BS265" i="154"/>
  <c r="CF265" i="154"/>
  <c r="CH265" i="154"/>
  <c r="CI265" i="154"/>
  <c r="CJ265" i="154" s="1"/>
  <c r="Q266" i="154"/>
  <c r="S266" i="154"/>
  <c r="AN266" i="154"/>
  <c r="AO266" i="154"/>
  <c r="AP266" i="154"/>
  <c r="AQ266" i="154"/>
  <c r="AR266" i="154"/>
  <c r="AT266" i="154"/>
  <c r="AU266" i="154"/>
  <c r="AV266" i="154"/>
  <c r="AW266" i="154"/>
  <c r="AX266" i="154"/>
  <c r="AY266" i="154"/>
  <c r="AZ266" i="154"/>
  <c r="BA266" i="154"/>
  <c r="BB266" i="154"/>
  <c r="BC266" i="154"/>
  <c r="BD266" i="154"/>
  <c r="BE266" i="154"/>
  <c r="BG266" i="154"/>
  <c r="BH266" i="154"/>
  <c r="BI266" i="154"/>
  <c r="BK266" i="154"/>
  <c r="BL266" i="154"/>
  <c r="BT266" i="154"/>
  <c r="BU266" i="154"/>
  <c r="BV266" i="154"/>
  <c r="BW266" i="154"/>
  <c r="BX266" i="154"/>
  <c r="BY266" i="154"/>
  <c r="BZ266" i="154"/>
  <c r="CA266" i="154"/>
  <c r="CB266" i="154"/>
  <c r="CC266" i="154"/>
  <c r="CD266" i="154"/>
  <c r="CE266" i="154"/>
  <c r="CG266" i="154"/>
  <c r="AF267" i="154"/>
  <c r="AF266" i="154" s="1"/>
  <c r="AS267" i="154"/>
  <c r="AS266" i="154" s="1"/>
  <c r="BF267" i="154"/>
  <c r="BF266" i="154" s="1"/>
  <c r="BS267" i="154"/>
  <c r="CF267" i="154"/>
  <c r="CF266" i="154" s="1"/>
  <c r="CH267" i="154"/>
  <c r="CH266" i="154" s="1"/>
  <c r="CI267" i="154"/>
  <c r="CJ267" i="154"/>
  <c r="AF268" i="154"/>
  <c r="AS268" i="154"/>
  <c r="BF268" i="154"/>
  <c r="BS268" i="154"/>
  <c r="CF268" i="154"/>
  <c r="CH268" i="154"/>
  <c r="CI268" i="154"/>
  <c r="CJ268" i="154" s="1"/>
  <c r="AF269" i="154"/>
  <c r="AS269" i="154"/>
  <c r="BF269" i="154"/>
  <c r="BS269" i="154"/>
  <c r="CF269" i="154"/>
  <c r="CH269" i="154"/>
  <c r="CI269" i="154"/>
  <c r="CJ269" i="154"/>
  <c r="CK269" i="154" s="1"/>
  <c r="CL269" i="154" s="1"/>
  <c r="AF270" i="154"/>
  <c r="AS270" i="154"/>
  <c r="BF270" i="154"/>
  <c r="BS270" i="154"/>
  <c r="CF270" i="154"/>
  <c r="CH270" i="154"/>
  <c r="CI270" i="154"/>
  <c r="CJ270" i="154" s="1"/>
  <c r="AF271" i="154"/>
  <c r="AS271" i="154"/>
  <c r="BF271" i="154"/>
  <c r="BS271" i="154"/>
  <c r="CF271" i="154"/>
  <c r="CH271" i="154"/>
  <c r="CI271" i="154"/>
  <c r="CJ271" i="154"/>
  <c r="CK271" i="154" s="1"/>
  <c r="CL271" i="154" s="1"/>
  <c r="T272" i="154"/>
  <c r="T266" i="154" s="1"/>
  <c r="U272" i="154"/>
  <c r="U266" i="154" s="1"/>
  <c r="V272" i="154"/>
  <c r="V266" i="154" s="1"/>
  <c r="W272" i="154"/>
  <c r="W266" i="154" s="1"/>
  <c r="X272" i="154"/>
  <c r="X266" i="154" s="1"/>
  <c r="Y272" i="154"/>
  <c r="Y266" i="154" s="1"/>
  <c r="Z272" i="154"/>
  <c r="Z266" i="154" s="1"/>
  <c r="AA272" i="154"/>
  <c r="AA266" i="154" s="1"/>
  <c r="AB272" i="154"/>
  <c r="AB266" i="154" s="1"/>
  <c r="AC272" i="154"/>
  <c r="AC266" i="154" s="1"/>
  <c r="AD272" i="154"/>
  <c r="AD266" i="154" s="1"/>
  <c r="AE272" i="154"/>
  <c r="AE266" i="154" s="1"/>
  <c r="AF272" i="154"/>
  <c r="AG272" i="154"/>
  <c r="AG266" i="154" s="1"/>
  <c r="AH272" i="154"/>
  <c r="AH266" i="154" s="1"/>
  <c r="AI272" i="154"/>
  <c r="AI266" i="154" s="1"/>
  <c r="AJ272" i="154"/>
  <c r="AJ266" i="154" s="1"/>
  <c r="AK272" i="154"/>
  <c r="AK266" i="154" s="1"/>
  <c r="AL272" i="154"/>
  <c r="AL266" i="154" s="1"/>
  <c r="AM272" i="154"/>
  <c r="AM266" i="154" s="1"/>
  <c r="AS272" i="154"/>
  <c r="BF272" i="154"/>
  <c r="BJ272" i="154"/>
  <c r="BJ266" i="154" s="1"/>
  <c r="BO272" i="154"/>
  <c r="BP272" i="154"/>
  <c r="BQ272" i="154"/>
  <c r="BR272" i="154"/>
  <c r="CF272" i="154"/>
  <c r="CH272" i="154"/>
  <c r="R273" i="154"/>
  <c r="R266" i="154" s="1"/>
  <c r="T273" i="154"/>
  <c r="U273" i="154"/>
  <c r="V273" i="154"/>
  <c r="W273" i="154"/>
  <c r="X273" i="154"/>
  <c r="Y273" i="154"/>
  <c r="Z273" i="154"/>
  <c r="AA273" i="154"/>
  <c r="AB273" i="154"/>
  <c r="AC273" i="154"/>
  <c r="AD273" i="154"/>
  <c r="AE273" i="154"/>
  <c r="AF273" i="154"/>
  <c r="AG273" i="154"/>
  <c r="AH273" i="154"/>
  <c r="AI273" i="154"/>
  <c r="AJ273" i="154"/>
  <c r="AK273" i="154"/>
  <c r="AL273" i="154"/>
  <c r="AM273" i="154"/>
  <c r="AS273" i="154"/>
  <c r="BF273" i="154"/>
  <c r="BJ273" i="154"/>
  <c r="CF273" i="154"/>
  <c r="CH273" i="154"/>
  <c r="AF274" i="154"/>
  <c r="AS274" i="154"/>
  <c r="BF274" i="154"/>
  <c r="BS274" i="154"/>
  <c r="CF274" i="154"/>
  <c r="CH274" i="154"/>
  <c r="CI274" i="154"/>
  <c r="CJ274" i="154"/>
  <c r="CK274" i="154" s="1"/>
  <c r="CL274" i="154" s="1"/>
  <c r="Q275" i="154"/>
  <c r="R275" i="154"/>
  <c r="S275" i="154"/>
  <c r="T275" i="154"/>
  <c r="U275" i="154"/>
  <c r="V275" i="154"/>
  <c r="W275" i="154"/>
  <c r="X275" i="154"/>
  <c r="Y275" i="154"/>
  <c r="Z275" i="154"/>
  <c r="AA275" i="154"/>
  <c r="AB275" i="154"/>
  <c r="AC275" i="154"/>
  <c r="AD275" i="154"/>
  <c r="AE275" i="154"/>
  <c r="AG275" i="154"/>
  <c r="AH275" i="154"/>
  <c r="AI275" i="154"/>
  <c r="AJ275" i="154"/>
  <c r="AK275" i="154"/>
  <c r="AL275" i="154"/>
  <c r="AM275" i="154"/>
  <c r="AN275" i="154"/>
  <c r="AO275" i="154"/>
  <c r="AP275" i="154"/>
  <c r="AQ275" i="154"/>
  <c r="AR275" i="154"/>
  <c r="AT275" i="154"/>
  <c r="AU275" i="154"/>
  <c r="AV275" i="154"/>
  <c r="AW275" i="154"/>
  <c r="AX275" i="154"/>
  <c r="AY275" i="154"/>
  <c r="AZ275" i="154"/>
  <c r="BA275" i="154"/>
  <c r="BB275" i="154"/>
  <c r="BC275" i="154"/>
  <c r="BD275" i="154"/>
  <c r="BE275" i="154"/>
  <c r="BG275" i="154"/>
  <c r="BH275" i="154"/>
  <c r="BI275" i="154"/>
  <c r="BJ275" i="154"/>
  <c r="BK275" i="154"/>
  <c r="BL275" i="154"/>
  <c r="BM275" i="154"/>
  <c r="BN275" i="154"/>
  <c r="BO275" i="154"/>
  <c r="BP275" i="154"/>
  <c r="BQ275" i="154"/>
  <c r="BR275" i="154"/>
  <c r="BT275" i="154"/>
  <c r="BU275" i="154"/>
  <c r="BV275" i="154"/>
  <c r="BW275" i="154"/>
  <c r="BX275" i="154"/>
  <c r="BY275" i="154"/>
  <c r="BZ275" i="154"/>
  <c r="CA275" i="154"/>
  <c r="CB275" i="154"/>
  <c r="CC275" i="154"/>
  <c r="CD275" i="154"/>
  <c r="CE275" i="154"/>
  <c r="CG275" i="154"/>
  <c r="CL275" i="154"/>
  <c r="AF276" i="154"/>
  <c r="AF275" i="154" s="1"/>
  <c r="AS276" i="154"/>
  <c r="AS275" i="154" s="1"/>
  <c r="BF276" i="154"/>
  <c r="BF275" i="154" s="1"/>
  <c r="BS276" i="154"/>
  <c r="BS275" i="154" s="1"/>
  <c r="CF276" i="154"/>
  <c r="CF275" i="154" s="1"/>
  <c r="CH276" i="154"/>
  <c r="CH275" i="154" s="1"/>
  <c r="CI276" i="154"/>
  <c r="CI275" i="154" s="1"/>
  <c r="CJ276" i="154"/>
  <c r="CM276" i="154"/>
  <c r="AF277" i="154"/>
  <c r="AS277" i="154"/>
  <c r="BF277" i="154"/>
  <c r="BS277" i="154"/>
  <c r="CF277" i="154"/>
  <c r="CH277" i="154"/>
  <c r="CI277" i="154"/>
  <c r="CJ277" i="154"/>
  <c r="CK277" i="154" s="1"/>
  <c r="CM277" i="154"/>
  <c r="AF278" i="154"/>
  <c r="AS278" i="154"/>
  <c r="BF278" i="154"/>
  <c r="CF278" i="154"/>
  <c r="CH278" i="154"/>
  <c r="CI278" i="154"/>
  <c r="CJ278" i="154" s="1"/>
  <c r="Q279" i="154"/>
  <c r="R279" i="154"/>
  <c r="S279" i="154"/>
  <c r="T279" i="154"/>
  <c r="U279" i="154"/>
  <c r="V279" i="154"/>
  <c r="W279" i="154"/>
  <c r="X279" i="154"/>
  <c r="Y279" i="154"/>
  <c r="Z279" i="154"/>
  <c r="AA279" i="154"/>
  <c r="AB279" i="154"/>
  <c r="AC279" i="154"/>
  <c r="AD279" i="154"/>
  <c r="AE279" i="154"/>
  <c r="AG279" i="154"/>
  <c r="AH279" i="154"/>
  <c r="AI279" i="154"/>
  <c r="AJ279" i="154"/>
  <c r="AK279" i="154"/>
  <c r="AL279" i="154"/>
  <c r="AM279" i="154"/>
  <c r="AN279" i="154"/>
  <c r="AO279" i="154"/>
  <c r="AP279" i="154"/>
  <c r="AQ279" i="154"/>
  <c r="AR279" i="154"/>
  <c r="AT279" i="154"/>
  <c r="AU279" i="154"/>
  <c r="AV279" i="154"/>
  <c r="AW279" i="154"/>
  <c r="AX279" i="154"/>
  <c r="AY279" i="154"/>
  <c r="AZ279" i="154"/>
  <c r="BA279" i="154"/>
  <c r="BB279" i="154"/>
  <c r="BC279" i="154"/>
  <c r="BD279" i="154"/>
  <c r="BE279" i="154"/>
  <c r="BG279" i="154"/>
  <c r="BH279" i="154"/>
  <c r="BI279" i="154"/>
  <c r="BJ279" i="154"/>
  <c r="BK279" i="154"/>
  <c r="BL279" i="154"/>
  <c r="BM279" i="154"/>
  <c r="BN279" i="154"/>
  <c r="BO279" i="154"/>
  <c r="BP279" i="154"/>
  <c r="BQ279" i="154"/>
  <c r="BR279" i="154"/>
  <c r="BT279" i="154"/>
  <c r="BU279" i="154"/>
  <c r="BV279" i="154"/>
  <c r="BW279" i="154"/>
  <c r="BX279" i="154"/>
  <c r="BY279" i="154"/>
  <c r="BZ279" i="154"/>
  <c r="CA279" i="154"/>
  <c r="CB279" i="154"/>
  <c r="CC279" i="154"/>
  <c r="CD279" i="154"/>
  <c r="CE279" i="154"/>
  <c r="CG279" i="154"/>
  <c r="CL279" i="154"/>
  <c r="AF280" i="154"/>
  <c r="AS280" i="154"/>
  <c r="AS279" i="154" s="1"/>
  <c r="BF280" i="154"/>
  <c r="BF279" i="154" s="1"/>
  <c r="BS280" i="154"/>
  <c r="BS279" i="154" s="1"/>
  <c r="CF280" i="154"/>
  <c r="CF279" i="154" s="1"/>
  <c r="CH280" i="154"/>
  <c r="CH279" i="154" s="1"/>
  <c r="CI280" i="154"/>
  <c r="CI279" i="154" s="1"/>
  <c r="CJ280" i="154"/>
  <c r="CM280" i="154"/>
  <c r="CM279" i="154" s="1"/>
  <c r="AF281" i="154"/>
  <c r="AS281" i="154"/>
  <c r="BF281" i="154"/>
  <c r="BS281" i="154"/>
  <c r="CF281" i="154"/>
  <c r="CH281" i="154"/>
  <c r="CI281" i="154"/>
  <c r="CJ281" i="154"/>
  <c r="CK281" i="154" s="1"/>
  <c r="CM281" i="154"/>
  <c r="AF282" i="154"/>
  <c r="AS282" i="154"/>
  <c r="BF282" i="154"/>
  <c r="CH282" i="154"/>
  <c r="CJ282" i="154" s="1"/>
  <c r="CM282" i="154" s="1"/>
  <c r="CO283" i="154"/>
  <c r="Q285" i="154"/>
  <c r="R285" i="154"/>
  <c r="S285" i="154"/>
  <c r="T285" i="154"/>
  <c r="U285" i="154"/>
  <c r="V285" i="154"/>
  <c r="W285" i="154"/>
  <c r="X285" i="154"/>
  <c r="Y285" i="154"/>
  <c r="Z285" i="154"/>
  <c r="AA285" i="154"/>
  <c r="AB285" i="154"/>
  <c r="AC285" i="154"/>
  <c r="AD285" i="154"/>
  <c r="AE285" i="154"/>
  <c r="AG285" i="154"/>
  <c r="AH285" i="154"/>
  <c r="AI285" i="154"/>
  <c r="AJ285" i="154"/>
  <c r="AK285" i="154"/>
  <c r="AL285" i="154"/>
  <c r="AM285" i="154"/>
  <c r="AN285" i="154"/>
  <c r="AO285" i="154"/>
  <c r="AP285" i="154"/>
  <c r="AQ285" i="154"/>
  <c r="AR285" i="154"/>
  <c r="AS285" i="154"/>
  <c r="AT285" i="154"/>
  <c r="AU285" i="154"/>
  <c r="AV285" i="154"/>
  <c r="AW285" i="154"/>
  <c r="AX285" i="154"/>
  <c r="AY285" i="154"/>
  <c r="AZ285" i="154"/>
  <c r="BA285" i="154"/>
  <c r="BB285" i="154"/>
  <c r="BC285" i="154"/>
  <c r="BD285" i="154"/>
  <c r="BE285" i="154"/>
  <c r="BG285" i="154"/>
  <c r="BH285" i="154"/>
  <c r="BI285" i="154"/>
  <c r="BJ285" i="154"/>
  <c r="BK285" i="154"/>
  <c r="BL285" i="154"/>
  <c r="BM285" i="154"/>
  <c r="BN285" i="154"/>
  <c r="BO285" i="154"/>
  <c r="BP285" i="154"/>
  <c r="BQ285" i="154"/>
  <c r="BR285" i="154"/>
  <c r="BS285" i="154"/>
  <c r="BT285" i="154"/>
  <c r="BU285" i="154"/>
  <c r="BV285" i="154"/>
  <c r="BW285" i="154"/>
  <c r="BX285" i="154"/>
  <c r="BY285" i="154"/>
  <c r="BZ285" i="154"/>
  <c r="CA285" i="154"/>
  <c r="CB285" i="154"/>
  <c r="CC285" i="154"/>
  <c r="CD285" i="154"/>
  <c r="CE285" i="154"/>
  <c r="CG285" i="154"/>
  <c r="CL285" i="154"/>
  <c r="AF286" i="154"/>
  <c r="AF285" i="154" s="1"/>
  <c r="AS286" i="154"/>
  <c r="BF286" i="154"/>
  <c r="BF285" i="154" s="1"/>
  <c r="BS286" i="154"/>
  <c r="CF286" i="154"/>
  <c r="CF285" i="154" s="1"/>
  <c r="CH286" i="154"/>
  <c r="CH285" i="154" s="1"/>
  <c r="CI286" i="154"/>
  <c r="CJ286" i="154" s="1"/>
  <c r="CM287" i="154"/>
  <c r="AF296" i="154"/>
  <c r="AS296" i="154"/>
  <c r="BF296" i="154"/>
  <c r="AF297" i="154"/>
  <c r="AF298" i="154"/>
  <c r="AI298" i="154"/>
  <c r="AS298" i="154"/>
  <c r="AU298" i="154"/>
  <c r="AY298" i="154"/>
  <c r="BC298" i="154"/>
  <c r="BF298" i="154"/>
  <c r="BG298" i="154"/>
  <c r="BI298" i="154"/>
  <c r="AF299" i="154"/>
  <c r="AS299" i="154"/>
  <c r="AW299" i="154"/>
  <c r="AX299" i="154"/>
  <c r="BF299" i="154" s="1"/>
  <c r="BG299" i="154"/>
  <c r="BH299" i="154"/>
  <c r="BI299" i="154"/>
  <c r="BK299" i="154"/>
  <c r="AF300" i="154"/>
  <c r="AS300" i="154"/>
  <c r="BF300" i="154"/>
  <c r="AF301" i="154"/>
  <c r="AS301" i="154"/>
  <c r="BF301" i="154"/>
  <c r="AF302" i="154"/>
  <c r="AS302" i="154"/>
  <c r="BF302" i="154"/>
  <c r="AF303" i="154"/>
  <c r="AS303" i="154"/>
  <c r="BF303" i="154"/>
  <c r="AF304" i="154"/>
  <c r="AS304" i="154"/>
  <c r="BF304" i="154"/>
  <c r="AF305" i="154"/>
  <c r="AS305" i="154"/>
  <c r="BF305" i="154"/>
  <c r="AF306" i="154"/>
  <c r="AS306" i="154"/>
  <c r="BF306" i="154"/>
  <c r="AF307" i="154"/>
  <c r="AS307" i="154"/>
  <c r="BF307" i="154"/>
  <c r="AF308" i="154"/>
  <c r="AS308" i="154"/>
  <c r="BF308" i="154"/>
  <c r="AF309" i="154"/>
  <c r="AS309" i="154"/>
  <c r="BE309" i="154"/>
  <c r="BF309" i="154"/>
  <c r="AF310" i="154"/>
  <c r="AS310" i="154"/>
  <c r="BF310" i="154"/>
  <c r="AF311" i="154"/>
  <c r="AS311" i="154"/>
  <c r="BF311" i="154"/>
  <c r="AF312" i="154"/>
  <c r="AS312" i="154"/>
  <c r="BF312" i="154"/>
  <c r="AF313" i="154"/>
  <c r="AS313" i="154"/>
  <c r="BF313" i="154"/>
  <c r="AF314" i="154"/>
  <c r="AS314" i="154"/>
  <c r="BF314" i="154"/>
  <c r="AF315" i="154"/>
  <c r="AS315" i="154"/>
  <c r="BF315" i="154"/>
  <c r="AF316" i="154"/>
  <c r="AS316" i="154"/>
  <c r="BF316" i="154"/>
  <c r="T317" i="154"/>
  <c r="T21" i="154" s="1"/>
  <c r="U317" i="154"/>
  <c r="U21" i="154" s="1"/>
  <c r="U20" i="154" s="1"/>
  <c r="U17" i="154" s="1"/>
  <c r="V317" i="154"/>
  <c r="V21" i="154" s="1"/>
  <c r="V20" i="154" s="1"/>
  <c r="V17" i="154" s="1"/>
  <c r="W317" i="154"/>
  <c r="W21" i="154" s="1"/>
  <c r="W20" i="154" s="1"/>
  <c r="W17" i="154" s="1"/>
  <c r="X317" i="154"/>
  <c r="X21" i="154" s="1"/>
  <c r="X20" i="154" s="1"/>
  <c r="X17" i="154" s="1"/>
  <c r="Y317" i="154"/>
  <c r="Y21" i="154" s="1"/>
  <c r="Y20" i="154" s="1"/>
  <c r="Y17" i="154" s="1"/>
  <c r="Z317" i="154"/>
  <c r="Z21" i="154" s="1"/>
  <c r="Z20" i="154" s="1"/>
  <c r="Z17" i="154" s="1"/>
  <c r="AA317" i="154"/>
  <c r="AA21" i="154" s="1"/>
  <c r="AA20" i="154" s="1"/>
  <c r="AA17" i="154" s="1"/>
  <c r="AB317" i="154"/>
  <c r="AB21" i="154" s="1"/>
  <c r="AB20" i="154" s="1"/>
  <c r="AB17" i="154" s="1"/>
  <c r="AC317" i="154"/>
  <c r="AC21" i="154" s="1"/>
  <c r="AC20" i="154" s="1"/>
  <c r="AC17" i="154" s="1"/>
  <c r="AD317" i="154"/>
  <c r="AD21" i="154" s="1"/>
  <c r="AD20" i="154" s="1"/>
  <c r="AD17" i="154" s="1"/>
  <c r="AE317" i="154"/>
  <c r="AE21" i="154" s="1"/>
  <c r="AE20" i="154" s="1"/>
  <c r="AE17" i="154" s="1"/>
  <c r="AF317" i="154"/>
  <c r="AQ317" i="154"/>
  <c r="AQ21" i="154" s="1"/>
  <c r="AQ20" i="154" s="1"/>
  <c r="AQ17" i="154" s="1"/>
  <c r="AR317" i="154"/>
  <c r="AR21" i="154" s="1"/>
  <c r="AR20" i="154" s="1"/>
  <c r="AR17" i="154" s="1"/>
  <c r="AT317" i="154"/>
  <c r="AT21" i="154" s="1"/>
  <c r="AU317" i="154"/>
  <c r="AU21" i="154" s="1"/>
  <c r="AU20" i="154" s="1"/>
  <c r="AU17" i="154" s="1"/>
  <c r="AV317" i="154"/>
  <c r="AV21" i="154" s="1"/>
  <c r="AV20" i="154" s="1"/>
  <c r="AV17" i="154" s="1"/>
  <c r="AW317" i="154"/>
  <c r="AW21" i="154" s="1"/>
  <c r="AW20" i="154" s="1"/>
  <c r="AW17" i="154" s="1"/>
  <c r="AX317" i="154"/>
  <c r="AX21" i="154" s="1"/>
  <c r="AX20" i="154" s="1"/>
  <c r="AX17" i="154" s="1"/>
  <c r="AY317" i="154"/>
  <c r="AY21" i="154" s="1"/>
  <c r="AY20" i="154" s="1"/>
  <c r="AY17" i="154" s="1"/>
  <c r="BL317" i="154"/>
  <c r="BM317" i="154"/>
  <c r="BN317" i="154"/>
  <c r="BO317" i="154"/>
  <c r="BP317" i="154"/>
  <c r="BQ317" i="154"/>
  <c r="BR317" i="154"/>
  <c r="AF319" i="154"/>
  <c r="BF319" i="154"/>
  <c r="AF320" i="154"/>
  <c r="AS320" i="154"/>
  <c r="BF320" i="154"/>
  <c r="BS320" i="154"/>
  <c r="CH320" i="154"/>
  <c r="CI320" i="154"/>
  <c r="CJ320" i="154" s="1"/>
  <c r="AF321" i="154"/>
  <c r="AS321" i="154"/>
  <c r="BF321" i="154"/>
  <c r="BS321" i="154"/>
  <c r="CH321" i="154"/>
  <c r="CI321" i="154"/>
  <c r="CJ321" i="154"/>
  <c r="AF322" i="154"/>
  <c r="AS322" i="154"/>
  <c r="BF322" i="154"/>
  <c r="BS322" i="154"/>
  <c r="CH322" i="154"/>
  <c r="CI322" i="154"/>
  <c r="CJ322" i="154" s="1"/>
  <c r="AF323" i="154"/>
  <c r="AS323" i="154"/>
  <c r="BF323" i="154"/>
  <c r="BL323" i="154"/>
  <c r="BS323" i="154"/>
  <c r="CH323" i="154"/>
  <c r="CI323" i="154"/>
  <c r="CJ323" i="154" s="1"/>
  <c r="AF324" i="154"/>
  <c r="AS324" i="154"/>
  <c r="BF324" i="154"/>
  <c r="BS324" i="154"/>
  <c r="CH324" i="154"/>
  <c r="CI324" i="154"/>
  <c r="CJ324" i="154"/>
  <c r="AF325" i="154"/>
  <c r="AS325" i="154"/>
  <c r="BF325" i="154"/>
  <c r="BS325" i="154"/>
  <c r="CH325" i="154"/>
  <c r="CI325" i="154"/>
  <c r="CJ325" i="154" s="1"/>
  <c r="AF326" i="154"/>
  <c r="AS326" i="154"/>
  <c r="BF326" i="154"/>
  <c r="BS326" i="154"/>
  <c r="CH326" i="154"/>
  <c r="CI326" i="154"/>
  <c r="CJ326" i="154"/>
  <c r="AF327" i="154"/>
  <c r="AS327" i="154"/>
  <c r="BF327" i="154"/>
  <c r="BL327" i="154"/>
  <c r="BS327" i="154" s="1"/>
  <c r="CH327" i="154"/>
  <c r="AF328" i="154"/>
  <c r="AS328" i="154"/>
  <c r="BF328" i="154"/>
  <c r="BS328" i="154"/>
  <c r="CH328" i="154"/>
  <c r="CI328" i="154"/>
  <c r="CJ328" i="154" s="1"/>
  <c r="AF329" i="154"/>
  <c r="AS329" i="154"/>
  <c r="BF329" i="154"/>
  <c r="BS329" i="154"/>
  <c r="CH329" i="154"/>
  <c r="CI329" i="154"/>
  <c r="CJ329" i="154"/>
  <c r="AF330" i="154"/>
  <c r="AS330" i="154"/>
  <c r="BF330" i="154"/>
  <c r="BS330" i="154"/>
  <c r="CH330" i="154"/>
  <c r="CI330" i="154"/>
  <c r="CJ330" i="154" s="1"/>
  <c r="AF331" i="154"/>
  <c r="AS331" i="154"/>
  <c r="BF331" i="154"/>
  <c r="BS331" i="154"/>
  <c r="CH331" i="154"/>
  <c r="CI331" i="154"/>
  <c r="CJ331" i="154"/>
  <c r="AF332" i="154"/>
  <c r="AS332" i="154"/>
  <c r="BF332" i="154"/>
  <c r="BS332" i="154"/>
  <c r="CH332" i="154"/>
  <c r="CI332" i="154"/>
  <c r="CJ332" i="154" s="1"/>
  <c r="AF333" i="154"/>
  <c r="AS333" i="154"/>
  <c r="BF333" i="154"/>
  <c r="BS333" i="154"/>
  <c r="CH333" i="154"/>
  <c r="CI333" i="154"/>
  <c r="CJ333" i="154"/>
  <c r="AF334" i="154"/>
  <c r="AS334" i="154"/>
  <c r="BF334" i="154"/>
  <c r="BS334" i="154"/>
  <c r="CH334" i="154"/>
  <c r="CI334" i="154"/>
  <c r="CJ334" i="154" s="1"/>
  <c r="AF335" i="154"/>
  <c r="AS335" i="154"/>
  <c r="BF335" i="154"/>
  <c r="BS335" i="154"/>
  <c r="CH335" i="154"/>
  <c r="CI335" i="154"/>
  <c r="CJ335" i="154"/>
  <c r="AF336" i="154"/>
  <c r="AS336" i="154"/>
  <c r="BF336" i="154"/>
  <c r="BS336" i="154"/>
  <c r="CH336" i="154"/>
  <c r="CI336" i="154"/>
  <c r="CJ336" i="154" s="1"/>
  <c r="AF337" i="154"/>
  <c r="AS337" i="154"/>
  <c r="BF337" i="154"/>
  <c r="BS337" i="154"/>
  <c r="CH337" i="154"/>
  <c r="CI337" i="154"/>
  <c r="CJ337" i="154"/>
  <c r="AF338" i="154"/>
  <c r="AS338" i="154"/>
  <c r="BF338" i="154"/>
  <c r="BS338" i="154"/>
  <c r="CH338" i="154"/>
  <c r="CI338" i="154"/>
  <c r="CJ338" i="154" s="1"/>
  <c r="AF339" i="154"/>
  <c r="AS339" i="154"/>
  <c r="BF339" i="154"/>
  <c r="BS339" i="154"/>
  <c r="CH339" i="154"/>
  <c r="CI339" i="154"/>
  <c r="CJ339" i="154"/>
  <c r="AF340" i="154"/>
  <c r="AS340" i="154"/>
  <c r="BF340" i="154"/>
  <c r="BS340" i="154"/>
  <c r="CH340" i="154"/>
  <c r="CI340" i="154"/>
  <c r="CJ340" i="154" s="1"/>
  <c r="AF341" i="154"/>
  <c r="AS341" i="154"/>
  <c r="BF341" i="154"/>
  <c r="BS341" i="154"/>
  <c r="CH341" i="154"/>
  <c r="CI341" i="154"/>
  <c r="CJ341" i="154"/>
  <c r="AF342" i="154"/>
  <c r="AS342" i="154"/>
  <c r="BF342" i="154"/>
  <c r="BS342" i="154"/>
  <c r="CH342" i="154"/>
  <c r="CI342" i="154"/>
  <c r="CJ342" i="154" s="1"/>
  <c r="AF343" i="154"/>
  <c r="AS343" i="154"/>
  <c r="BF343" i="154"/>
  <c r="BL343" i="154"/>
  <c r="BS343" i="154"/>
  <c r="CH343" i="154"/>
  <c r="CI343" i="154"/>
  <c r="CJ343" i="154" s="1"/>
  <c r="AF344" i="154"/>
  <c r="AS344" i="154"/>
  <c r="BF344" i="154"/>
  <c r="BS344" i="154"/>
  <c r="CH344" i="154"/>
  <c r="CI344" i="154"/>
  <c r="CJ344" i="154"/>
  <c r="AF345" i="154"/>
  <c r="AS345" i="154"/>
  <c r="BF345" i="154"/>
  <c r="BS345" i="154"/>
  <c r="CH345" i="154"/>
  <c r="CI345" i="154"/>
  <c r="CJ345" i="154" s="1"/>
  <c r="AF346" i="154"/>
  <c r="AS346" i="154"/>
  <c r="BF346" i="154"/>
  <c r="BS346" i="154"/>
  <c r="CH346" i="154"/>
  <c r="CI346" i="154"/>
  <c r="CJ346" i="154"/>
  <c r="AF347" i="154"/>
  <c r="AS347" i="154"/>
  <c r="BF347" i="154"/>
  <c r="BS347" i="154"/>
  <c r="CH347" i="154"/>
  <c r="CI347" i="154"/>
  <c r="CJ347" i="154" s="1"/>
  <c r="AF348" i="154"/>
  <c r="AS348" i="154"/>
  <c r="BF348" i="154"/>
  <c r="BS348" i="154"/>
  <c r="CH348" i="154"/>
  <c r="CI348" i="154"/>
  <c r="CJ348" i="154"/>
  <c r="AF349" i="154"/>
  <c r="AS349" i="154"/>
  <c r="BF349" i="154"/>
  <c r="BS349" i="154"/>
  <c r="CH349" i="154"/>
  <c r="CI349" i="154"/>
  <c r="CJ349" i="154" s="1"/>
  <c r="AF350" i="154"/>
  <c r="AS350" i="154"/>
  <c r="BF350" i="154"/>
  <c r="BS350" i="154"/>
  <c r="CH350" i="154"/>
  <c r="CI350" i="154"/>
  <c r="CJ350" i="154"/>
  <c r="AF351" i="154"/>
  <c r="AS351" i="154"/>
  <c r="BF351" i="154"/>
  <c r="BS351" i="154"/>
  <c r="CH351" i="154"/>
  <c r="CI351" i="154"/>
  <c r="CJ351" i="154" s="1"/>
  <c r="AF352" i="154"/>
  <c r="AS352" i="154"/>
  <c r="BF352" i="154"/>
  <c r="BS352" i="154"/>
  <c r="CH352" i="154"/>
  <c r="CI352" i="154"/>
  <c r="CJ352" i="154"/>
  <c r="AF353" i="154"/>
  <c r="AS353" i="154"/>
  <c r="BF353" i="154"/>
  <c r="BS353" i="154"/>
  <c r="CH353" i="154"/>
  <c r="CI353" i="154"/>
  <c r="CJ353" i="154" s="1"/>
  <c r="AF354" i="154"/>
  <c r="AS354" i="154"/>
  <c r="BF354" i="154"/>
  <c r="BS354" i="154"/>
  <c r="CH354" i="154"/>
  <c r="CI354" i="154"/>
  <c r="CJ354" i="154"/>
  <c r="AF355" i="154"/>
  <c r="AS355" i="154"/>
  <c r="BF355" i="154"/>
  <c r="BS355" i="154"/>
  <c r="CH355" i="154"/>
  <c r="CI355" i="154"/>
  <c r="CJ355" i="154" s="1"/>
  <c r="AF356" i="154"/>
  <c r="AS356" i="154"/>
  <c r="BF356" i="154"/>
  <c r="BS356" i="154"/>
  <c r="CH356" i="154"/>
  <c r="CI356" i="154"/>
  <c r="CJ356" i="154"/>
  <c r="AF357" i="154"/>
  <c r="AS357" i="154"/>
  <c r="BF357" i="154"/>
  <c r="BS357" i="154"/>
  <c r="CH357" i="154"/>
  <c r="CI357" i="154"/>
  <c r="CJ357" i="154" s="1"/>
  <c r="AF358" i="154"/>
  <c r="AS358" i="154"/>
  <c r="BF358" i="154"/>
  <c r="BS358" i="154"/>
  <c r="CH358" i="154"/>
  <c r="CI358" i="154"/>
  <c r="CJ358" i="154"/>
  <c r="AF359" i="154"/>
  <c r="AS359" i="154"/>
  <c r="BF359" i="154"/>
  <c r="BS359" i="154"/>
  <c r="CH359" i="154"/>
  <c r="CI359" i="154"/>
  <c r="CJ359" i="154" s="1"/>
  <c r="AF360" i="154"/>
  <c r="AS360" i="154"/>
  <c r="BF360" i="154"/>
  <c r="BS360" i="154"/>
  <c r="CH360" i="154"/>
  <c r="CI360" i="154"/>
  <c r="CJ360" i="154"/>
  <c r="AF361" i="154"/>
  <c r="AS361" i="154"/>
  <c r="BF361" i="154"/>
  <c r="BS361" i="154"/>
  <c r="CH361" i="154"/>
  <c r="CI361" i="154"/>
  <c r="CJ361" i="154" s="1"/>
  <c r="AF362" i="154"/>
  <c r="AS362" i="154"/>
  <c r="BF362" i="154"/>
  <c r="BS362" i="154"/>
  <c r="CH362" i="154"/>
  <c r="CI362" i="154"/>
  <c r="CJ362" i="154"/>
  <c r="AF363" i="154"/>
  <c r="AS363" i="154"/>
  <c r="BF363" i="154"/>
  <c r="BS363" i="154"/>
  <c r="CH363" i="154"/>
  <c r="CI363" i="154"/>
  <c r="CJ363" i="154" s="1"/>
  <c r="AF364" i="154"/>
  <c r="AS364" i="154"/>
  <c r="BF364" i="154"/>
  <c r="BS364" i="154"/>
  <c r="CH364" i="154"/>
  <c r="CI364" i="154"/>
  <c r="CJ364" i="154"/>
  <c r="AF365" i="154"/>
  <c r="AS365" i="154"/>
  <c r="BF365" i="154"/>
  <c r="BS365" i="154"/>
  <c r="CH365" i="154"/>
  <c r="CI365" i="154"/>
  <c r="CJ365" i="154" s="1"/>
  <c r="AF366" i="154"/>
  <c r="AS366" i="154"/>
  <c r="BF366" i="154"/>
  <c r="BS366" i="154"/>
  <c r="CH366" i="154"/>
  <c r="CI366" i="154"/>
  <c r="CJ366" i="154"/>
  <c r="AF367" i="154"/>
  <c r="AS367" i="154"/>
  <c r="BF367" i="154"/>
  <c r="BS367" i="154"/>
  <c r="CH367" i="154"/>
  <c r="CI367" i="154"/>
  <c r="CJ367" i="154" s="1"/>
  <c r="AF368" i="154"/>
  <c r="AS368" i="154"/>
  <c r="BF368" i="154"/>
  <c r="BS368" i="154"/>
  <c r="CH368" i="154"/>
  <c r="CI368" i="154"/>
  <c r="CJ368" i="154"/>
  <c r="AF369" i="154"/>
  <c r="AS369" i="154"/>
  <c r="BF369" i="154"/>
  <c r="BS369" i="154"/>
  <c r="CH369" i="154"/>
  <c r="CI369" i="154"/>
  <c r="CJ369" i="154" s="1"/>
  <c r="AF370" i="154"/>
  <c r="AS370" i="154"/>
  <c r="BF370" i="154"/>
  <c r="BS370" i="154"/>
  <c r="CH370" i="154"/>
  <c r="CI370" i="154"/>
  <c r="CJ370" i="154"/>
  <c r="AF371" i="154"/>
  <c r="AS371" i="154"/>
  <c r="BF371" i="154"/>
  <c r="BL371" i="154"/>
  <c r="BS371" i="154" s="1"/>
  <c r="CH371" i="154"/>
  <c r="AF372" i="154"/>
  <c r="AS372" i="154"/>
  <c r="BF372" i="154"/>
  <c r="BS372" i="154"/>
  <c r="CH372" i="154"/>
  <c r="CI372" i="154"/>
  <c r="CJ372" i="154" s="1"/>
  <c r="AF373" i="154"/>
  <c r="AS373" i="154"/>
  <c r="BF373" i="154"/>
  <c r="BS373" i="154"/>
  <c r="CH373" i="154"/>
  <c r="CI373" i="154"/>
  <c r="CJ373" i="154"/>
  <c r="AF374" i="154"/>
  <c r="AS374" i="154"/>
  <c r="BF374" i="154"/>
  <c r="BS374" i="154"/>
  <c r="CH374" i="154"/>
  <c r="CI374" i="154"/>
  <c r="CJ374" i="154" s="1"/>
  <c r="AF375" i="154"/>
  <c r="AS375" i="154"/>
  <c r="BF375" i="154"/>
  <c r="BS375" i="154"/>
  <c r="CH375" i="154"/>
  <c r="CI375" i="154"/>
  <c r="CJ375" i="154"/>
  <c r="AF376" i="154"/>
  <c r="AS376" i="154"/>
  <c r="BF376" i="154"/>
  <c r="BS376" i="154"/>
  <c r="CH376" i="154"/>
  <c r="CI376" i="154"/>
  <c r="CJ376" i="154" s="1"/>
  <c r="AF377" i="154"/>
  <c r="AS377" i="154"/>
  <c r="BF377" i="154"/>
  <c r="BS377" i="154"/>
  <c r="CH377" i="154"/>
  <c r="CI377" i="154"/>
  <c r="CJ377" i="154"/>
  <c r="AF378" i="154"/>
  <c r="AS378" i="154"/>
  <c r="BF378" i="154"/>
  <c r="BS378" i="154"/>
  <c r="CH378" i="154"/>
  <c r="CI378" i="154"/>
  <c r="CJ378" i="154" s="1"/>
  <c r="AF379" i="154"/>
  <c r="AS379" i="154"/>
  <c r="BF379" i="154"/>
  <c r="BS379" i="154"/>
  <c r="CH379" i="154"/>
  <c r="CI379" i="154"/>
  <c r="CJ379" i="154"/>
  <c r="AF380" i="154"/>
  <c r="AS380" i="154"/>
  <c r="BF380" i="154"/>
  <c r="BS380" i="154"/>
  <c r="CH380" i="154"/>
  <c r="CI380" i="154"/>
  <c r="CJ380" i="154" s="1"/>
  <c r="AF381" i="154"/>
  <c r="AS381" i="154"/>
  <c r="BF381" i="154"/>
  <c r="BS381" i="154"/>
  <c r="CH381" i="154"/>
  <c r="CI381" i="154"/>
  <c r="CJ381" i="154"/>
  <c r="AF382" i="154"/>
  <c r="AS382" i="154"/>
  <c r="BF382" i="154"/>
  <c r="BL382" i="154"/>
  <c r="BS382" i="154" s="1"/>
  <c r="CH382" i="154"/>
  <c r="AF383" i="154"/>
  <c r="AS383" i="154"/>
  <c r="BF383" i="154"/>
  <c r="BS383" i="154"/>
  <c r="CH383" i="154"/>
  <c r="CI383" i="154"/>
  <c r="CJ383" i="154" s="1"/>
  <c r="AF384" i="154"/>
  <c r="AS384" i="154"/>
  <c r="BF384" i="154"/>
  <c r="BS384" i="154"/>
  <c r="CH384" i="154"/>
  <c r="CI384" i="154"/>
  <c r="CJ384" i="154"/>
  <c r="AF385" i="154"/>
  <c r="AS385" i="154"/>
  <c r="BF385" i="154"/>
  <c r="BS385" i="154"/>
  <c r="CH385" i="154"/>
  <c r="CI385" i="154"/>
  <c r="CJ385" i="154" s="1"/>
  <c r="CH386" i="154"/>
  <c r="CI386" i="154"/>
  <c r="CJ386" i="154"/>
  <c r="AF387" i="154"/>
  <c r="AS387" i="154"/>
  <c r="BF387" i="154"/>
  <c r="BS387" i="154"/>
  <c r="CH387" i="154"/>
  <c r="CI387" i="154"/>
  <c r="CJ387" i="154" s="1"/>
  <c r="AF388" i="154"/>
  <c r="AS388" i="154"/>
  <c r="BF388" i="154"/>
  <c r="BS388" i="154"/>
  <c r="CH388" i="154"/>
  <c r="CI388" i="154"/>
  <c r="CJ388" i="154"/>
  <c r="AF389" i="154"/>
  <c r="AS389" i="154"/>
  <c r="BF389" i="154"/>
  <c r="BS389" i="154"/>
  <c r="CH389" i="154"/>
  <c r="CI389" i="154"/>
  <c r="CJ389" i="154" s="1"/>
  <c r="AF390" i="154"/>
  <c r="AS390" i="154"/>
  <c r="BF390" i="154"/>
  <c r="BS390" i="154"/>
  <c r="CH390" i="154"/>
  <c r="CI390" i="154"/>
  <c r="CJ390" i="154"/>
  <c r="AF391" i="154"/>
  <c r="AS391" i="154"/>
  <c r="BF391" i="154"/>
  <c r="BS391" i="154"/>
  <c r="CH391" i="154"/>
  <c r="CI391" i="154"/>
  <c r="CJ391" i="154" s="1"/>
  <c r="AF392" i="154"/>
  <c r="AS392" i="154"/>
  <c r="BF392" i="154"/>
  <c r="BS392" i="154"/>
  <c r="CH392" i="154"/>
  <c r="CI392" i="154"/>
  <c r="CJ392" i="154"/>
  <c r="AF393" i="154"/>
  <c r="AS393" i="154"/>
  <c r="BF393" i="154"/>
  <c r="BS393" i="154"/>
  <c r="CH393" i="154"/>
  <c r="CI393" i="154"/>
  <c r="CJ393" i="154" s="1"/>
  <c r="AF394" i="154"/>
  <c r="AS394" i="154"/>
  <c r="BF394" i="154"/>
  <c r="BS394" i="154"/>
  <c r="CH394" i="154"/>
  <c r="CI394" i="154"/>
  <c r="CJ394" i="154"/>
  <c r="AF395" i="154"/>
  <c r="AS395" i="154"/>
  <c r="BF395" i="154"/>
  <c r="BS395" i="154"/>
  <c r="CH395" i="154"/>
  <c r="CI395" i="154"/>
  <c r="CJ395" i="154" s="1"/>
  <c r="CH396" i="154"/>
  <c r="CI396" i="154"/>
  <c r="CJ396" i="154"/>
  <c r="AF397" i="154"/>
  <c r="AS397" i="154"/>
  <c r="BF397" i="154"/>
  <c r="BS397" i="154"/>
  <c r="CH397" i="154"/>
  <c r="CI397" i="154"/>
  <c r="CJ397" i="154" s="1"/>
  <c r="AF398" i="154"/>
  <c r="AS398" i="154"/>
  <c r="BF398" i="154"/>
  <c r="BS398" i="154"/>
  <c r="CH398" i="154"/>
  <c r="CI398" i="154"/>
  <c r="CJ398" i="154"/>
  <c r="AF399" i="154"/>
  <c r="AS399" i="154"/>
  <c r="BF399" i="154"/>
  <c r="BS399" i="154"/>
  <c r="CH399" i="154"/>
  <c r="CI399" i="154"/>
  <c r="CJ399" i="154" s="1"/>
  <c r="AF400" i="154"/>
  <c r="AS400" i="154"/>
  <c r="BF400" i="154"/>
  <c r="BS400" i="154"/>
  <c r="CH400" i="154"/>
  <c r="CI400" i="154"/>
  <c r="CJ400" i="154"/>
  <c r="AF401" i="154"/>
  <c r="AS401" i="154"/>
  <c r="BF401" i="154"/>
  <c r="BS401" i="154"/>
  <c r="CH401" i="154"/>
  <c r="CI401" i="154"/>
  <c r="CJ401" i="154" s="1"/>
  <c r="AF402" i="154"/>
  <c r="AS402" i="154"/>
  <c r="BF402" i="154"/>
  <c r="BS402" i="154"/>
  <c r="CH402" i="154"/>
  <c r="CI402" i="154"/>
  <c r="CJ402" i="154"/>
  <c r="AF403" i="154"/>
  <c r="AS403" i="154"/>
  <c r="BF403" i="154"/>
  <c r="BS403" i="154"/>
  <c r="CH403" i="154"/>
  <c r="CI403" i="154"/>
  <c r="CJ403" i="154" s="1"/>
  <c r="AF404" i="154"/>
  <c r="AS404" i="154"/>
  <c r="BF404" i="154"/>
  <c r="BS404" i="154"/>
  <c r="CH404" i="154"/>
  <c r="CI404" i="154"/>
  <c r="CJ404" i="154"/>
  <c r="AF405" i="154"/>
  <c r="AS405" i="154"/>
  <c r="BF405" i="154"/>
  <c r="BS405" i="154"/>
  <c r="CH405" i="154"/>
  <c r="CI405" i="154"/>
  <c r="CJ405" i="154" s="1"/>
  <c r="AF406" i="154"/>
  <c r="AS406" i="154"/>
  <c r="BF406" i="154"/>
  <c r="BS406" i="154"/>
  <c r="CH406" i="154"/>
  <c r="CI406" i="154"/>
  <c r="CJ406" i="154"/>
  <c r="AF407" i="154"/>
  <c r="AS407" i="154"/>
  <c r="BF407" i="154"/>
  <c r="BS407" i="154"/>
  <c r="CH407" i="154"/>
  <c r="CI407" i="154"/>
  <c r="CJ407" i="154" s="1"/>
  <c r="AF408" i="154"/>
  <c r="AS408" i="154"/>
  <c r="BF408" i="154"/>
  <c r="BS408" i="154"/>
  <c r="CH408" i="154"/>
  <c r="CI408" i="154"/>
  <c r="CJ408" i="154"/>
  <c r="AF409" i="154"/>
  <c r="AS409" i="154"/>
  <c r="BF409" i="154"/>
  <c r="BS409" i="154"/>
  <c r="CH409" i="154"/>
  <c r="CI409" i="154"/>
  <c r="CJ409" i="154" s="1"/>
  <c r="AF410" i="154"/>
  <c r="AS410" i="154"/>
  <c r="BF410" i="154"/>
  <c r="BS410" i="154"/>
  <c r="CH410" i="154"/>
  <c r="CI410" i="154"/>
  <c r="CJ410" i="154"/>
  <c r="AF411" i="154"/>
  <c r="AS411" i="154"/>
  <c r="BF411" i="154"/>
  <c r="BS411" i="154"/>
  <c r="CH411" i="154"/>
  <c r="CI411" i="154"/>
  <c r="CJ411" i="154" s="1"/>
  <c r="AF412" i="154"/>
  <c r="AS412" i="154"/>
  <c r="BF412" i="154"/>
  <c r="BS412" i="154"/>
  <c r="CH412" i="154"/>
  <c r="CI412" i="154"/>
  <c r="CJ412" i="154"/>
  <c r="AF413" i="154"/>
  <c r="AS413" i="154"/>
  <c r="BF413" i="154"/>
  <c r="BS413" i="154"/>
  <c r="CH413" i="154"/>
  <c r="CI413" i="154"/>
  <c r="CJ413" i="154" s="1"/>
  <c r="AF414" i="154"/>
  <c r="AS414" i="154"/>
  <c r="BF414" i="154"/>
  <c r="BS414" i="154"/>
  <c r="CH414" i="154"/>
  <c r="CI414" i="154"/>
  <c r="CJ414" i="154"/>
  <c r="AF415" i="154"/>
  <c r="AS415" i="154"/>
  <c r="BF415" i="154"/>
  <c r="BS415" i="154"/>
  <c r="CH415" i="154"/>
  <c r="CI415" i="154"/>
  <c r="CJ415" i="154" s="1"/>
  <c r="AF416" i="154"/>
  <c r="AS416" i="154"/>
  <c r="BF416" i="154"/>
  <c r="BS416" i="154"/>
  <c r="CH416" i="154"/>
  <c r="CI416" i="154"/>
  <c r="CJ416" i="154"/>
  <c r="AF417" i="154"/>
  <c r="AS417" i="154"/>
  <c r="BF417" i="154"/>
  <c r="BS417" i="154"/>
  <c r="CH417" i="154"/>
  <c r="CI417" i="154"/>
  <c r="CJ417" i="154" s="1"/>
  <c r="AF418" i="154"/>
  <c r="AS418" i="154"/>
  <c r="BF418" i="154"/>
  <c r="BS418" i="154"/>
  <c r="CH418" i="154"/>
  <c r="CI418" i="154"/>
  <c r="CJ418" i="154"/>
  <c r="AF419" i="154"/>
  <c r="AS419" i="154"/>
  <c r="BF419" i="154"/>
  <c r="BS419" i="154"/>
  <c r="CH419" i="154"/>
  <c r="CI419" i="154"/>
  <c r="CJ419" i="154" s="1"/>
  <c r="AF420" i="154"/>
  <c r="AS420" i="154"/>
  <c r="BF420" i="154"/>
  <c r="BS420" i="154"/>
  <c r="CH420" i="154"/>
  <c r="CI420" i="154"/>
  <c r="CJ420" i="154"/>
  <c r="AF421" i="154"/>
  <c r="AS421" i="154"/>
  <c r="BF421" i="154"/>
  <c r="BS421" i="154"/>
  <c r="CH421" i="154"/>
  <c r="CI421" i="154"/>
  <c r="CJ421" i="154" s="1"/>
  <c r="AF422" i="154"/>
  <c r="AS422" i="154"/>
  <c r="BF422" i="154"/>
  <c r="BS422" i="154"/>
  <c r="CH422" i="154"/>
  <c r="CI422" i="154"/>
  <c r="CJ422" i="154"/>
  <c r="AF423" i="154"/>
  <c r="AS423" i="154"/>
  <c r="BF423" i="154"/>
  <c r="BL423" i="154"/>
  <c r="BS423" i="154" s="1"/>
  <c r="CH423" i="154"/>
  <c r="CI423" i="154"/>
  <c r="CJ423" i="154"/>
  <c r="AF424" i="154"/>
  <c r="AS424" i="154"/>
  <c r="BF424" i="154"/>
  <c r="BS424" i="154"/>
  <c r="CH424" i="154"/>
  <c r="CI424" i="154"/>
  <c r="CJ424" i="154" s="1"/>
  <c r="AF425" i="154"/>
  <c r="AS425" i="154"/>
  <c r="BF425" i="154"/>
  <c r="BS425" i="154"/>
  <c r="CH425" i="154"/>
  <c r="CI425" i="154"/>
  <c r="CJ425" i="154"/>
  <c r="AF426" i="154"/>
  <c r="AS426" i="154"/>
  <c r="BF426" i="154"/>
  <c r="BL426" i="154"/>
  <c r="BS426" i="154" s="1"/>
  <c r="CH426" i="154"/>
  <c r="CI426" i="154"/>
  <c r="CJ426" i="154"/>
  <c r="AF427" i="154"/>
  <c r="AS427" i="154"/>
  <c r="BF427" i="154"/>
  <c r="BS427" i="154"/>
  <c r="CH427" i="154"/>
  <c r="CI427" i="154"/>
  <c r="CJ427" i="154" s="1"/>
  <c r="AF428" i="154"/>
  <c r="AS428" i="154"/>
  <c r="BF428" i="154"/>
  <c r="BS428" i="154"/>
  <c r="CH428" i="154"/>
  <c r="CI428" i="154"/>
  <c r="CJ428" i="154"/>
  <c r="AF429" i="154"/>
  <c r="AS429" i="154"/>
  <c r="BF429" i="154"/>
  <c r="BS429" i="154"/>
  <c r="CH429" i="154"/>
  <c r="CI429" i="154"/>
  <c r="CJ429" i="154" s="1"/>
  <c r="AF430" i="154"/>
  <c r="AS430" i="154"/>
  <c r="BF430" i="154"/>
  <c r="BS430" i="154"/>
  <c r="CH430" i="154"/>
  <c r="CI430" i="154"/>
  <c r="CJ430" i="154"/>
  <c r="AF431" i="154"/>
  <c r="AS431" i="154"/>
  <c r="BF431" i="154"/>
  <c r="BS431" i="154"/>
  <c r="CH431" i="154"/>
  <c r="CI431" i="154"/>
  <c r="CJ431" i="154" s="1"/>
  <c r="AF432" i="154"/>
  <c r="AS432" i="154"/>
  <c r="BF432" i="154"/>
  <c r="BS432" i="154"/>
  <c r="CH432" i="154"/>
  <c r="CI432" i="154"/>
  <c r="CJ432" i="154"/>
  <c r="AF433" i="154"/>
  <c r="AS433" i="154"/>
  <c r="BF433" i="154"/>
  <c r="BS433" i="154"/>
  <c r="CH433" i="154"/>
  <c r="CI433" i="154"/>
  <c r="CJ433" i="154" s="1"/>
  <c r="AF434" i="154"/>
  <c r="AS434" i="154"/>
  <c r="BF434" i="154"/>
  <c r="BS434" i="154"/>
  <c r="CH434" i="154"/>
  <c r="CI434" i="154"/>
  <c r="CJ434" i="154"/>
  <c r="AF435" i="154"/>
  <c r="AS435" i="154"/>
  <c r="BF435" i="154"/>
  <c r="BS435" i="154"/>
  <c r="CH435" i="154"/>
  <c r="CI435" i="154"/>
  <c r="CJ435" i="154" s="1"/>
  <c r="AF436" i="154"/>
  <c r="AS436" i="154"/>
  <c r="BF436" i="154"/>
  <c r="BS436" i="154"/>
  <c r="CH436" i="154"/>
  <c r="CI436" i="154"/>
  <c r="CJ436" i="154"/>
  <c r="AF437" i="154"/>
  <c r="AS437" i="154"/>
  <c r="BF437" i="154"/>
  <c r="BS437" i="154"/>
  <c r="CH437" i="154"/>
  <c r="CI437" i="154"/>
  <c r="CJ437" i="154" s="1"/>
  <c r="T440" i="154"/>
  <c r="U440" i="154"/>
  <c r="V440" i="154"/>
  <c r="W440" i="154"/>
  <c r="X440" i="154"/>
  <c r="Y440" i="154"/>
  <c r="Z440" i="154"/>
  <c r="AA440" i="154"/>
  <c r="AB440" i="154"/>
  <c r="AC440" i="154"/>
  <c r="AD440" i="154"/>
  <c r="AE440" i="154"/>
  <c r="AF440" i="154"/>
  <c r="AG440" i="154"/>
  <c r="AH440" i="154"/>
  <c r="AI440" i="154"/>
  <c r="AJ440" i="154"/>
  <c r="AK440" i="154"/>
  <c r="AL440" i="154"/>
  <c r="AM440" i="154"/>
  <c r="AN440" i="154"/>
  <c r="AO440" i="154"/>
  <c r="AP440" i="154"/>
  <c r="AQ440" i="154"/>
  <c r="AR440" i="154"/>
  <c r="AS440" i="154"/>
  <c r="AT440" i="154"/>
  <c r="AU440" i="154"/>
  <c r="AV440" i="154"/>
  <c r="AW440" i="154"/>
  <c r="AX440" i="154"/>
  <c r="AY440" i="154"/>
  <c r="AZ440" i="154"/>
  <c r="BA440" i="154"/>
  <c r="BB440" i="154"/>
  <c r="BC440" i="154"/>
  <c r="BD440" i="154"/>
  <c r="BE440" i="154"/>
  <c r="BF440" i="154"/>
  <c r="BG440" i="154"/>
  <c r="BH440" i="154"/>
  <c r="BI440" i="154"/>
  <c r="BJ440" i="154"/>
  <c r="BK440" i="154"/>
  <c r="BL440" i="154"/>
  <c r="BM440" i="154"/>
  <c r="BN440" i="154"/>
  <c r="BO440" i="154"/>
  <c r="BP440" i="154"/>
  <c r="BQ440" i="154"/>
  <c r="BR440" i="154"/>
  <c r="AF441" i="154"/>
  <c r="AJ441" i="154"/>
  <c r="AS441" i="154"/>
  <c r="AZ441" i="154"/>
  <c r="BF441" i="154"/>
  <c r="BS441" i="154"/>
  <c r="AF442" i="154"/>
  <c r="AJ442" i="154"/>
  <c r="AS442" i="154"/>
  <c r="BF442" i="154"/>
  <c r="BS442" i="154"/>
  <c r="T443" i="154"/>
  <c r="U443" i="154"/>
  <c r="V443" i="154"/>
  <c r="W443" i="154"/>
  <c r="X443" i="154"/>
  <c r="Y443" i="154"/>
  <c r="Z443" i="154"/>
  <c r="AA443" i="154"/>
  <c r="AB443" i="154"/>
  <c r="AC443" i="154"/>
  <c r="AD443" i="154"/>
  <c r="AE443" i="154"/>
  <c r="AF443" i="154"/>
  <c r="AG443" i="154"/>
  <c r="AG297" i="154" s="1"/>
  <c r="AH443" i="154"/>
  <c r="AH297" i="154" s="1"/>
  <c r="AH317" i="154" s="1"/>
  <c r="AH21" i="154" s="1"/>
  <c r="AH20" i="154" s="1"/>
  <c r="AH17" i="154" s="1"/>
  <c r="AI443" i="154"/>
  <c r="AI297" i="154" s="1"/>
  <c r="AI317" i="154" s="1"/>
  <c r="AI21" i="154" s="1"/>
  <c r="AI20" i="154" s="1"/>
  <c r="AI17" i="154" s="1"/>
  <c r="AJ443" i="154"/>
  <c r="AJ297" i="154" s="1"/>
  <c r="AJ317" i="154" s="1"/>
  <c r="AJ21" i="154" s="1"/>
  <c r="AJ20" i="154" s="1"/>
  <c r="AJ17" i="154" s="1"/>
  <c r="AK443" i="154"/>
  <c r="AK297" i="154" s="1"/>
  <c r="AK317" i="154" s="1"/>
  <c r="AK21" i="154" s="1"/>
  <c r="AK20" i="154" s="1"/>
  <c r="AK17" i="154" s="1"/>
  <c r="AL443" i="154"/>
  <c r="AL297" i="154" s="1"/>
  <c r="AL317" i="154" s="1"/>
  <c r="AL21" i="154" s="1"/>
  <c r="AL20" i="154" s="1"/>
  <c r="AL17" i="154" s="1"/>
  <c r="AM443" i="154"/>
  <c r="AM297" i="154" s="1"/>
  <c r="AM317" i="154" s="1"/>
  <c r="AM21" i="154" s="1"/>
  <c r="AM20" i="154" s="1"/>
  <c r="AM17" i="154" s="1"/>
  <c r="AN443" i="154"/>
  <c r="AN297" i="154" s="1"/>
  <c r="AN317" i="154" s="1"/>
  <c r="AN21" i="154" s="1"/>
  <c r="AN20" i="154" s="1"/>
  <c r="AN17" i="154" s="1"/>
  <c r="AO443" i="154"/>
  <c r="AO297" i="154" s="1"/>
  <c r="AO317" i="154" s="1"/>
  <c r="AO21" i="154" s="1"/>
  <c r="AO20" i="154" s="1"/>
  <c r="AO17" i="154" s="1"/>
  <c r="AP443" i="154"/>
  <c r="AP297" i="154" s="1"/>
  <c r="AP317" i="154" s="1"/>
  <c r="AP21" i="154" s="1"/>
  <c r="AP20" i="154" s="1"/>
  <c r="AP17" i="154" s="1"/>
  <c r="AQ443" i="154"/>
  <c r="AR443" i="154"/>
  <c r="AS443" i="154"/>
  <c r="AT443" i="154"/>
  <c r="AU443" i="154"/>
  <c r="AV443" i="154"/>
  <c r="AW443" i="154"/>
  <c r="AX443" i="154"/>
  <c r="AY443" i="154"/>
  <c r="AZ443" i="154"/>
  <c r="AZ297" i="154" s="1"/>
  <c r="BA443" i="154"/>
  <c r="BA297" i="154" s="1"/>
  <c r="BA317" i="154" s="1"/>
  <c r="BA21" i="154" s="1"/>
  <c r="BA20" i="154" s="1"/>
  <c r="BA17" i="154" s="1"/>
  <c r="BB443" i="154"/>
  <c r="BB297" i="154" s="1"/>
  <c r="BB317" i="154" s="1"/>
  <c r="BB21" i="154" s="1"/>
  <c r="BB20" i="154" s="1"/>
  <c r="BB17" i="154" s="1"/>
  <c r="BC443" i="154"/>
  <c r="BC297" i="154" s="1"/>
  <c r="BC317" i="154" s="1"/>
  <c r="BC21" i="154" s="1"/>
  <c r="BC20" i="154" s="1"/>
  <c r="BC17" i="154" s="1"/>
  <c r="BD443" i="154"/>
  <c r="BD297" i="154" s="1"/>
  <c r="BD317" i="154" s="1"/>
  <c r="BD21" i="154" s="1"/>
  <c r="BD20" i="154" s="1"/>
  <c r="BD17" i="154" s="1"/>
  <c r="BE443" i="154"/>
  <c r="BE297" i="154" s="1"/>
  <c r="BE317" i="154" s="1"/>
  <c r="BE21" i="154" s="1"/>
  <c r="BE20" i="154" s="1"/>
  <c r="BE17" i="154" s="1"/>
  <c r="BF443" i="154"/>
  <c r="BG443" i="154"/>
  <c r="BG297" i="154" s="1"/>
  <c r="BG317" i="154" s="1"/>
  <c r="BG21" i="154" s="1"/>
  <c r="BH443" i="154"/>
  <c r="BH297" i="154" s="1"/>
  <c r="BH317" i="154" s="1"/>
  <c r="BH21" i="154" s="1"/>
  <c r="BH20" i="154" s="1"/>
  <c r="BH17" i="154" s="1"/>
  <c r="BI443" i="154"/>
  <c r="BI297" i="154" s="1"/>
  <c r="BI317" i="154" s="1"/>
  <c r="BI21" i="154" s="1"/>
  <c r="BI20" i="154" s="1"/>
  <c r="BI17" i="154" s="1"/>
  <c r="BJ443" i="154"/>
  <c r="BJ297" i="154" s="1"/>
  <c r="BJ317" i="154" s="1"/>
  <c r="BJ21" i="154" s="1"/>
  <c r="BJ20" i="154" s="1"/>
  <c r="BJ17" i="154" s="1"/>
  <c r="BK443" i="154"/>
  <c r="BK297" i="154" s="1"/>
  <c r="BK317" i="154" s="1"/>
  <c r="BL443" i="154"/>
  <c r="BM443" i="154"/>
  <c r="BM272" i="154" s="1"/>
  <c r="BN443" i="154"/>
  <c r="BN272" i="154" s="1"/>
  <c r="BO443" i="154"/>
  <c r="BP443" i="154"/>
  <c r="BQ443" i="154"/>
  <c r="BR443" i="154"/>
  <c r="E12" i="153"/>
  <c r="B14" i="156" s="1"/>
  <c r="C15" i="156" s="1"/>
  <c r="D15" i="156" s="1"/>
  <c r="CM69" i="154" l="1"/>
  <c r="E12" i="144"/>
  <c r="BG20" i="154"/>
  <c r="BG17" i="154" s="1"/>
  <c r="BS21" i="154"/>
  <c r="BS20" i="154" s="1"/>
  <c r="AS297" i="154"/>
  <c r="AS317" i="154" s="1"/>
  <c r="AG317" i="154"/>
  <c r="AG21" i="154" s="1"/>
  <c r="BS440" i="154"/>
  <c r="BS443" i="154" s="1"/>
  <c r="CJ285" i="154"/>
  <c r="CM286" i="154"/>
  <c r="CM285" i="154" s="1"/>
  <c r="CK286" i="154"/>
  <c r="CK285" i="154" s="1"/>
  <c r="E16" i="153"/>
  <c r="E16" i="144" s="1"/>
  <c r="BF297" i="154"/>
  <c r="BF317" i="154" s="1"/>
  <c r="AZ317" i="154"/>
  <c r="AZ21" i="154" s="1"/>
  <c r="AZ20" i="154" s="1"/>
  <c r="AZ17" i="154" s="1"/>
  <c r="CI272" i="154"/>
  <c r="CJ272" i="154" s="1"/>
  <c r="BS272" i="154"/>
  <c r="AT20" i="154"/>
  <c r="AT17" i="154" s="1"/>
  <c r="BF21" i="154"/>
  <c r="BF20" i="154" s="1"/>
  <c r="T20" i="154"/>
  <c r="T17" i="154" s="1"/>
  <c r="AF21" i="154"/>
  <c r="AF20" i="154" s="1"/>
  <c r="CH21" i="154"/>
  <c r="CI285" i="154"/>
  <c r="CK278" i="154"/>
  <c r="CM278" i="154"/>
  <c r="CJ275" i="154"/>
  <c r="CK270" i="154"/>
  <c r="CL270" i="154" s="1"/>
  <c r="CM270" i="154"/>
  <c r="CM262" i="154"/>
  <c r="CK262" i="154"/>
  <c r="CM260" i="154"/>
  <c r="CK260" i="154"/>
  <c r="CM258" i="154"/>
  <c r="CK258" i="154"/>
  <c r="CK250" i="154"/>
  <c r="CM250" i="154"/>
  <c r="CK241" i="154"/>
  <c r="CM241" i="154"/>
  <c r="CI239" i="154"/>
  <c r="CF239" i="154"/>
  <c r="BF239" i="154"/>
  <c r="AF239" i="154"/>
  <c r="CM236" i="154"/>
  <c r="CK236" i="154"/>
  <c r="CM230" i="154"/>
  <c r="CK228" i="154"/>
  <c r="CL228" i="154" s="1"/>
  <c r="CM228" i="154" s="1"/>
  <c r="CK223" i="154"/>
  <c r="CM223" i="154"/>
  <c r="CJ219" i="154"/>
  <c r="CK213" i="154"/>
  <c r="CM213" i="154"/>
  <c r="CK211" i="154"/>
  <c r="CM211" i="154"/>
  <c r="CK209" i="154"/>
  <c r="CM209" i="154"/>
  <c r="CM201" i="154" s="1"/>
  <c r="CM181" i="154"/>
  <c r="CK181" i="154"/>
  <c r="CM179" i="154"/>
  <c r="CK179" i="154"/>
  <c r="CM177" i="154"/>
  <c r="CK177" i="154"/>
  <c r="CM175" i="154"/>
  <c r="CK175" i="154"/>
  <c r="CM173" i="154"/>
  <c r="CK173" i="154"/>
  <c r="CM171" i="154"/>
  <c r="CK171" i="154"/>
  <c r="CM169" i="154"/>
  <c r="CK169" i="154"/>
  <c r="CM167" i="154"/>
  <c r="CK167" i="154"/>
  <c r="CM163" i="154"/>
  <c r="CK163" i="154"/>
  <c r="CM161" i="154"/>
  <c r="CK161" i="154"/>
  <c r="CM159" i="154"/>
  <c r="CK159" i="154"/>
  <c r="CK155" i="154"/>
  <c r="CM155" i="154"/>
  <c r="CK136" i="154"/>
  <c r="CM136" i="154"/>
  <c r="AY114" i="154"/>
  <c r="CK129" i="154"/>
  <c r="CM129" i="154"/>
  <c r="AQ114" i="154"/>
  <c r="BI114" i="154"/>
  <c r="BI283" i="154" s="1"/>
  <c r="BI288" i="154" s="1"/>
  <c r="BA114" i="154"/>
  <c r="BA283" i="154" s="1"/>
  <c r="BA288" i="154" s="1"/>
  <c r="AN114" i="154"/>
  <c r="AN283" i="154" s="1"/>
  <c r="AN288" i="154" s="1"/>
  <c r="BJ114" i="154"/>
  <c r="BJ283" i="154" s="1"/>
  <c r="BJ288" i="154" s="1"/>
  <c r="BG114" i="154"/>
  <c r="BC114" i="154"/>
  <c r="BC283" i="154" s="1"/>
  <c r="BC288" i="154" s="1"/>
  <c r="AZ114" i="154"/>
  <c r="AZ226" i="154"/>
  <c r="AR114" i="154"/>
  <c r="AR283" i="154" s="1"/>
  <c r="AR288" i="154" s="1"/>
  <c r="AL114" i="154"/>
  <c r="AL283" i="154" s="1"/>
  <c r="AL288" i="154" s="1"/>
  <c r="AJ114" i="154"/>
  <c r="AJ283" i="154" s="1"/>
  <c r="AJ288" i="154" s="1"/>
  <c r="CG114" i="154"/>
  <c r="CG283" i="154" s="1"/>
  <c r="CD114" i="154"/>
  <c r="CD283" i="154" s="1"/>
  <c r="CD288" i="154" s="1"/>
  <c r="CB114" i="154"/>
  <c r="CB283" i="154" s="1"/>
  <c r="CB288" i="154" s="1"/>
  <c r="BZ114" i="154"/>
  <c r="BZ283" i="154" s="1"/>
  <c r="BZ288" i="154" s="1"/>
  <c r="BX114" i="154"/>
  <c r="BX283" i="154" s="1"/>
  <c r="BX288" i="154" s="1"/>
  <c r="BV114" i="154"/>
  <c r="BV283" i="154" s="1"/>
  <c r="BV288" i="154" s="1"/>
  <c r="BT114" i="154"/>
  <c r="BT283" i="154" s="1"/>
  <c r="BT288" i="154" s="1"/>
  <c r="BQ114" i="154"/>
  <c r="BQ273" i="154" s="1"/>
  <c r="BQ266" i="154" s="1"/>
  <c r="BQ283" i="154" s="1"/>
  <c r="BQ288" i="154" s="1"/>
  <c r="BO114" i="154"/>
  <c r="BO273" i="154" s="1"/>
  <c r="BO266" i="154" s="1"/>
  <c r="BO283" i="154" s="1"/>
  <c r="BO288" i="154" s="1"/>
  <c r="BM114" i="154"/>
  <c r="BM273" i="154" s="1"/>
  <c r="BM266" i="154" s="1"/>
  <c r="BM283" i="154" s="1"/>
  <c r="BM288" i="154" s="1"/>
  <c r="BK114" i="154"/>
  <c r="AI114" i="154"/>
  <c r="AI283" i="154" s="1"/>
  <c r="AI288" i="154" s="1"/>
  <c r="AD114" i="154"/>
  <c r="AD283" i="154" s="1"/>
  <c r="AD288" i="154" s="1"/>
  <c r="AB114" i="154"/>
  <c r="AB283" i="154" s="1"/>
  <c r="AB288" i="154" s="1"/>
  <c r="Z114" i="154"/>
  <c r="Z283" i="154" s="1"/>
  <c r="Z288" i="154" s="1"/>
  <c r="X114" i="154"/>
  <c r="X283" i="154" s="1"/>
  <c r="X288" i="154" s="1"/>
  <c r="V114" i="154"/>
  <c r="V283" i="154" s="1"/>
  <c r="V288" i="154" s="1"/>
  <c r="T114" i="154"/>
  <c r="R114" i="154"/>
  <c r="CK116" i="154"/>
  <c r="CM116" i="154"/>
  <c r="AE114" i="154"/>
  <c r="CI114" i="154"/>
  <c r="CF114" i="154"/>
  <c r="CK110" i="154"/>
  <c r="CM110" i="154"/>
  <c r="CK108" i="154"/>
  <c r="CM108" i="154"/>
  <c r="CK103" i="154"/>
  <c r="CM103" i="154"/>
  <c r="CK101" i="154"/>
  <c r="CM101" i="154"/>
  <c r="CK99" i="154"/>
  <c r="CM99" i="154"/>
  <c r="CK97" i="154"/>
  <c r="CM97" i="154"/>
  <c r="CK95" i="154"/>
  <c r="CM95" i="154"/>
  <c r="CK93" i="154"/>
  <c r="CM93" i="154"/>
  <c r="CK91" i="154"/>
  <c r="CM91" i="154"/>
  <c r="CK89" i="154"/>
  <c r="CM89" i="154"/>
  <c r="CM66" i="154"/>
  <c r="CK66" i="154"/>
  <c r="CM64" i="154"/>
  <c r="CK64" i="154"/>
  <c r="CM62" i="154"/>
  <c r="CK62" i="154"/>
  <c r="CK58" i="154"/>
  <c r="CM58" i="154"/>
  <c r="CK56" i="154"/>
  <c r="CM56" i="154"/>
  <c r="CK54" i="154"/>
  <c r="CM54" i="154"/>
  <c r="CK52" i="154"/>
  <c r="CM52" i="154"/>
  <c r="CK50" i="154"/>
  <c r="CM50" i="154"/>
  <c r="CM43" i="154"/>
  <c r="CK43" i="154"/>
  <c r="BF36" i="154"/>
  <c r="CK29" i="154"/>
  <c r="CM29" i="154"/>
  <c r="CK27" i="154"/>
  <c r="CM27" i="154"/>
  <c r="CK25" i="154"/>
  <c r="CM25" i="154"/>
  <c r="CK23" i="154"/>
  <c r="CM23" i="154"/>
  <c r="CK19" i="154"/>
  <c r="CM19" i="154"/>
  <c r="CI17" i="154"/>
  <c r="CF17" i="154"/>
  <c r="CF283" i="154" s="1"/>
  <c r="BF17" i="154"/>
  <c r="AF17" i="154"/>
  <c r="CK12" i="154"/>
  <c r="CM12" i="154"/>
  <c r="CK10" i="154"/>
  <c r="CM10" i="154"/>
  <c r="CK8" i="154"/>
  <c r="CM8" i="154"/>
  <c r="CI382" i="154"/>
  <c r="CJ382" i="154" s="1"/>
  <c r="CI371" i="154"/>
  <c r="CJ371" i="154" s="1"/>
  <c r="CI327" i="154"/>
  <c r="CJ327" i="154" s="1"/>
  <c r="AY283" i="154"/>
  <c r="AY288" i="154" s="1"/>
  <c r="AQ283" i="154"/>
  <c r="AQ288" i="154" s="1"/>
  <c r="AE283" i="154"/>
  <c r="AE288" i="154" s="1"/>
  <c r="CJ279" i="154"/>
  <c r="CM275" i="154"/>
  <c r="CK268" i="154"/>
  <c r="CL268" i="154" s="1"/>
  <c r="CM268" i="154"/>
  <c r="CK265" i="154"/>
  <c r="CL265" i="154" s="1"/>
  <c r="CM265" i="154" s="1"/>
  <c r="CK251" i="154"/>
  <c r="CM251" i="154"/>
  <c r="CK242" i="154"/>
  <c r="CM242" i="154"/>
  <c r="CH239" i="154"/>
  <c r="BS239" i="154"/>
  <c r="CJ230" i="154"/>
  <c r="CM227" i="154"/>
  <c r="CK227" i="154"/>
  <c r="CM219" i="154"/>
  <c r="CJ201" i="154"/>
  <c r="CM187" i="154"/>
  <c r="CK187" i="154"/>
  <c r="CK149" i="154"/>
  <c r="CM149" i="154"/>
  <c r="CK147" i="154"/>
  <c r="CM147" i="154"/>
  <c r="CK145" i="154"/>
  <c r="CM145" i="154"/>
  <c r="CM140" i="154"/>
  <c r="CK140" i="154"/>
  <c r="CM138" i="154"/>
  <c r="CK138" i="154"/>
  <c r="CK135" i="154"/>
  <c r="CM135" i="154"/>
  <c r="CK132" i="154"/>
  <c r="CM132" i="154"/>
  <c r="AT118" i="154"/>
  <c r="AT114" i="154" s="1"/>
  <c r="AW114" i="154"/>
  <c r="AW283" i="154" s="1"/>
  <c r="AW288" i="154" s="1"/>
  <c r="AU114" i="154"/>
  <c r="AU283" i="154" s="1"/>
  <c r="AU288" i="154" s="1"/>
  <c r="CK128" i="154"/>
  <c r="CM128" i="154"/>
  <c r="CK127" i="154"/>
  <c r="CM127" i="154"/>
  <c r="CK125" i="154"/>
  <c r="CM125" i="154"/>
  <c r="CK123" i="154"/>
  <c r="CM123" i="154"/>
  <c r="AV114" i="154"/>
  <c r="AV283" i="154" s="1"/>
  <c r="AV288" i="154" s="1"/>
  <c r="BH114" i="154"/>
  <c r="BH283" i="154" s="1"/>
  <c r="BH288" i="154" s="1"/>
  <c r="BE114" i="154"/>
  <c r="BE283" i="154" s="1"/>
  <c r="BE288" i="154" s="1"/>
  <c r="BB114" i="154"/>
  <c r="BB283" i="154" s="1"/>
  <c r="BB288" i="154" s="1"/>
  <c r="AX226" i="154"/>
  <c r="AX114" i="154"/>
  <c r="AX283" i="154" s="1"/>
  <c r="AX288" i="154" s="1"/>
  <c r="AM114" i="154"/>
  <c r="AM283" i="154" s="1"/>
  <c r="AM288" i="154" s="1"/>
  <c r="AK114" i="154"/>
  <c r="AK283" i="154" s="1"/>
  <c r="AK288" i="154" s="1"/>
  <c r="CE114" i="154"/>
  <c r="CE283" i="154" s="1"/>
  <c r="CE288" i="154" s="1"/>
  <c r="CC114" i="154"/>
  <c r="CC283" i="154" s="1"/>
  <c r="CC288" i="154" s="1"/>
  <c r="CA114" i="154"/>
  <c r="CA283" i="154" s="1"/>
  <c r="CA288" i="154" s="1"/>
  <c r="BY114" i="154"/>
  <c r="BY283" i="154" s="1"/>
  <c r="BY288" i="154" s="1"/>
  <c r="BW114" i="154"/>
  <c r="BW283" i="154" s="1"/>
  <c r="BW288" i="154" s="1"/>
  <c r="BU114" i="154"/>
  <c r="BU283" i="154" s="1"/>
  <c r="BU288" i="154" s="1"/>
  <c r="BR114" i="154"/>
  <c r="BP114" i="154"/>
  <c r="BN114" i="154"/>
  <c r="BL114" i="154"/>
  <c r="BL283" i="154" s="1"/>
  <c r="BL288" i="154" s="1"/>
  <c r="AP114" i="154"/>
  <c r="AP283" i="154" s="1"/>
  <c r="AP288" i="154" s="1"/>
  <c r="AH114" i="154"/>
  <c r="AH283" i="154" s="1"/>
  <c r="AH288" i="154" s="1"/>
  <c r="AC114" i="154"/>
  <c r="AC283" i="154" s="1"/>
  <c r="AC288" i="154" s="1"/>
  <c r="AA114" i="154"/>
  <c r="AA283" i="154" s="1"/>
  <c r="AA288" i="154" s="1"/>
  <c r="Y114" i="154"/>
  <c r="Y283" i="154" s="1"/>
  <c r="Y288" i="154" s="1"/>
  <c r="W114" i="154"/>
  <c r="W283" i="154" s="1"/>
  <c r="W288" i="154" s="1"/>
  <c r="U114" i="154"/>
  <c r="U283" i="154" s="1"/>
  <c r="U288" i="154" s="1"/>
  <c r="S114" i="154"/>
  <c r="Q114" i="154"/>
  <c r="AG114" i="154"/>
  <c r="CK111" i="154"/>
  <c r="CM111" i="154"/>
  <c r="CK100" i="154"/>
  <c r="CM100" i="154"/>
  <c r="CK85" i="154"/>
  <c r="CM85" i="154"/>
  <c r="CK84" i="154"/>
  <c r="CM84" i="154"/>
  <c r="CK82" i="154"/>
  <c r="CM82" i="154"/>
  <c r="CK75" i="154"/>
  <c r="CM75" i="154"/>
  <c r="CK73" i="154"/>
  <c r="CM73" i="154"/>
  <c r="CK71" i="154"/>
  <c r="CM71" i="154"/>
  <c r="CM67" i="154"/>
  <c r="CK67" i="154"/>
  <c r="CM60" i="154"/>
  <c r="CK60" i="154"/>
  <c r="CK51" i="154"/>
  <c r="CM51" i="154"/>
  <c r="Q283" i="154"/>
  <c r="Q288" i="154" s="1"/>
  <c r="CM44" i="154"/>
  <c r="CK44" i="154"/>
  <c r="CM42" i="154"/>
  <c r="CK42" i="154"/>
  <c r="R283" i="154"/>
  <c r="R288" i="154" s="1"/>
  <c r="S283" i="154"/>
  <c r="S288" i="154" s="1"/>
  <c r="BK283" i="154"/>
  <c r="BK288" i="154" s="1"/>
  <c r="BS17" i="154"/>
  <c r="CK13" i="154"/>
  <c r="CM13" i="154"/>
  <c r="CK11" i="154"/>
  <c r="CM11" i="154"/>
  <c r="CK9" i="154"/>
  <c r="CM9" i="154"/>
  <c r="CK276" i="154"/>
  <c r="CK275" i="154" s="1"/>
  <c r="CM274" i="154"/>
  <c r="CM271" i="154"/>
  <c r="CM269" i="154"/>
  <c r="CK267" i="154"/>
  <c r="CK240" i="154"/>
  <c r="CK202" i="154"/>
  <c r="CK201" i="154" s="1"/>
  <c r="CJ198" i="154"/>
  <c r="BF131" i="154"/>
  <c r="BF130" i="154"/>
  <c r="AS128" i="154"/>
  <c r="CO121" i="154"/>
  <c r="CO120" i="154"/>
  <c r="BS119" i="154"/>
  <c r="BS118" i="154" s="1"/>
  <c r="BS114" i="154" s="1"/>
  <c r="BD119" i="154"/>
  <c r="BD118" i="154" s="1"/>
  <c r="BD114" i="154" s="1"/>
  <c r="BD283" i="154" s="1"/>
  <c r="BD288" i="154" s="1"/>
  <c r="AO119" i="154"/>
  <c r="AS116" i="154"/>
  <c r="AF116" i="154"/>
  <c r="AF114" i="154" s="1"/>
  <c r="CK115" i="154"/>
  <c r="CO87" i="154"/>
  <c r="AS86" i="154"/>
  <c r="AS36" i="154" s="1"/>
  <c r="CO78" i="154"/>
  <c r="BS69" i="154"/>
  <c r="BS36" i="154" s="1"/>
  <c r="CM35" i="154"/>
  <c r="CK18" i="154"/>
  <c r="CJ7" i="154"/>
  <c r="CD340" i="155"/>
  <c r="CM340" i="155"/>
  <c r="CF340" i="155"/>
  <c r="CF319" i="155"/>
  <c r="CM319" i="155"/>
  <c r="CD319" i="155"/>
  <c r="CH319" i="155"/>
  <c r="AQ329" i="155"/>
  <c r="AM316" i="155"/>
  <c r="CF315" i="155"/>
  <c r="CE315" i="155"/>
  <c r="CE306" i="155" s="1"/>
  <c r="CF314" i="155"/>
  <c r="CD314" i="155"/>
  <c r="CM314" i="155"/>
  <c r="CF312" i="155"/>
  <c r="CD312" i="155"/>
  <c r="CM312" i="155"/>
  <c r="CF311" i="155"/>
  <c r="CD311" i="155"/>
  <c r="CM311" i="155"/>
  <c r="CD305" i="155"/>
  <c r="CE305" i="155"/>
  <c r="CE291" i="155" s="1"/>
  <c r="CE329" i="155" s="1"/>
  <c r="CM305" i="155"/>
  <c r="BF329" i="155"/>
  <c r="CC291" i="155"/>
  <c r="CH291" i="155" s="1"/>
  <c r="CF292" i="155"/>
  <c r="CD292" i="155"/>
  <c r="CM292" i="155"/>
  <c r="BZ291" i="155"/>
  <c r="BM291" i="155"/>
  <c r="BM329" i="155" s="1"/>
  <c r="I329" i="155"/>
  <c r="CD290" i="155"/>
  <c r="CF290" i="155"/>
  <c r="CF274" i="155"/>
  <c r="CD274" i="155"/>
  <c r="CM274" i="155"/>
  <c r="CD269" i="155"/>
  <c r="CM269" i="155"/>
  <c r="CF269" i="155"/>
  <c r="CD268" i="155"/>
  <c r="CM268" i="155"/>
  <c r="CF268" i="155"/>
  <c r="CF265" i="155" s="1"/>
  <c r="CB287" i="155"/>
  <c r="AU287" i="155"/>
  <c r="Z287" i="155"/>
  <c r="CD257" i="155"/>
  <c r="CJ257" i="155"/>
  <c r="CF257" i="155"/>
  <c r="CM257" i="155"/>
  <c r="CK280" i="154"/>
  <c r="CK279" i="154" s="1"/>
  <c r="CM264" i="154"/>
  <c r="CJ253" i="154"/>
  <c r="AS244" i="154"/>
  <c r="AS239" i="154" s="1"/>
  <c r="CK231" i="154"/>
  <c r="CK230" i="154" s="1"/>
  <c r="CM229" i="154"/>
  <c r="CK220" i="154"/>
  <c r="CK219" i="154" s="1"/>
  <c r="CJ186" i="154"/>
  <c r="CM183" i="154"/>
  <c r="CM117" i="154"/>
  <c r="CP41" i="154"/>
  <c r="AF41" i="154"/>
  <c r="AF36" i="154" s="1"/>
  <c r="AF283" i="154" s="1"/>
  <c r="AF288" i="154" s="1"/>
  <c r="CJ37" i="154"/>
  <c r="CD336" i="155"/>
  <c r="CM336" i="155"/>
  <c r="CF336" i="155"/>
  <c r="CD334" i="155"/>
  <c r="CM334" i="155"/>
  <c r="CF334" i="155"/>
  <c r="CF325" i="155"/>
  <c r="CD325" i="155"/>
  <c r="CM325" i="155"/>
  <c r="CC322" i="155"/>
  <c r="CM322" i="155" s="1"/>
  <c r="CF323" i="155"/>
  <c r="CF322" i="155" s="1"/>
  <c r="CD323" i="155"/>
  <c r="CD322" i="155" s="1"/>
  <c r="CM323" i="155"/>
  <c r="CF320" i="155"/>
  <c r="CM320" i="155"/>
  <c r="CD320" i="155"/>
  <c r="CH320" i="155"/>
  <c r="CD303" i="155"/>
  <c r="CM303" i="155"/>
  <c r="CF303" i="155"/>
  <c r="CF296" i="155"/>
  <c r="CD296" i="155"/>
  <c r="CM296" i="155"/>
  <c r="CF293" i="155"/>
  <c r="CD293" i="155"/>
  <c r="CM293" i="155"/>
  <c r="BP329" i="155"/>
  <c r="BE329" i="155"/>
  <c r="AR329" i="155"/>
  <c r="CA291" i="155"/>
  <c r="BQ329" i="155"/>
  <c r="Z329" i="155"/>
  <c r="CM291" i="155"/>
  <c r="CH288" i="155"/>
  <c r="CD288" i="155"/>
  <c r="CF279" i="155"/>
  <c r="CD279" i="155"/>
  <c r="CM279" i="155"/>
  <c r="CF278" i="155"/>
  <c r="CD278" i="155"/>
  <c r="CM278" i="155"/>
  <c r="CF275" i="155"/>
  <c r="CJ274" i="155"/>
  <c r="AS287" i="155"/>
  <c r="CJ269" i="155"/>
  <c r="CJ268" i="155"/>
  <c r="CJ265" i="155" s="1"/>
  <c r="CC265" i="155"/>
  <c r="CC287" i="155" s="1"/>
  <c r="CM287" i="155" s="1"/>
  <c r="AM287" i="155"/>
  <c r="CA287" i="155"/>
  <c r="CD256" i="155"/>
  <c r="CJ256" i="155"/>
  <c r="CF256" i="155"/>
  <c r="CM256" i="155"/>
  <c r="CF337" i="155"/>
  <c r="CD337" i="155"/>
  <c r="CM333" i="155"/>
  <c r="CC332" i="155"/>
  <c r="CM328" i="155"/>
  <c r="AZ327" i="155"/>
  <c r="AZ322" i="155" s="1"/>
  <c r="AZ329" i="155" s="1"/>
  <c r="CM326" i="155"/>
  <c r="CB322" i="155"/>
  <c r="AV316" i="155"/>
  <c r="AV329" i="155" s="1"/>
  <c r="AL316" i="155"/>
  <c r="AL329" i="155" s="1"/>
  <c r="AF316" i="155"/>
  <c r="AF329" i="155" s="1"/>
  <c r="CM304" i="155"/>
  <c r="CM302" i="155"/>
  <c r="CM301" i="155"/>
  <c r="CM300" i="155"/>
  <c r="CM299" i="155"/>
  <c r="CM298" i="155"/>
  <c r="CM297" i="155"/>
  <c r="CM294" i="155"/>
  <c r="CB291" i="155"/>
  <c r="BH291" i="155"/>
  <c r="BH329" i="155" s="1"/>
  <c r="BH275" i="155"/>
  <c r="BH287" i="155" s="1"/>
  <c r="AV275" i="155"/>
  <c r="AV287" i="155" s="1"/>
  <c r="BM270" i="155"/>
  <c r="BM269" i="155"/>
  <c r="BM265" i="155" s="1"/>
  <c r="CM267" i="155"/>
  <c r="CM266" i="155"/>
  <c r="CD266" i="155"/>
  <c r="CD265" i="155" s="1"/>
  <c r="CD287" i="155" s="1"/>
  <c r="AZ266" i="155"/>
  <c r="CF264" i="155"/>
  <c r="CF262" i="155"/>
  <c r="CD262" i="155"/>
  <c r="CM260" i="155"/>
  <c r="CJ259" i="155"/>
  <c r="CD255" i="155"/>
  <c r="CJ255" i="155"/>
  <c r="CD254" i="155"/>
  <c r="CJ254" i="155"/>
  <c r="CF254" i="155"/>
  <c r="CM254" i="155"/>
  <c r="CD251" i="155"/>
  <c r="CJ251" i="155"/>
  <c r="CF251" i="155"/>
  <c r="CM251" i="155"/>
  <c r="CD247" i="155"/>
  <c r="CJ247" i="155"/>
  <c r="CF247" i="155"/>
  <c r="CM247" i="155"/>
  <c r="CF235" i="155"/>
  <c r="CM235" i="155"/>
  <c r="CD235" i="155"/>
  <c r="CJ235" i="155"/>
  <c r="CF229" i="155"/>
  <c r="CD229" i="155"/>
  <c r="CM229" i="155"/>
  <c r="CF227" i="155"/>
  <c r="CD227" i="155"/>
  <c r="CM227" i="155"/>
  <c r="CF225" i="155"/>
  <c r="CJ225" i="155"/>
  <c r="CD225" i="155"/>
  <c r="CM225" i="155"/>
  <c r="CD223" i="155"/>
  <c r="CJ223" i="155"/>
  <c r="CF223" i="155"/>
  <c r="CM223" i="155"/>
  <c r="CB221" i="155"/>
  <c r="CB261" i="155" s="1"/>
  <c r="BZ221" i="155"/>
  <c r="AM221" i="155"/>
  <c r="CD219" i="155"/>
  <c r="CJ219" i="155"/>
  <c r="CF219" i="155"/>
  <c r="CM219" i="155"/>
  <c r="CD216" i="155"/>
  <c r="CM216" i="155"/>
  <c r="CF216" i="155"/>
  <c r="CJ212" i="155"/>
  <c r="CC212" i="155"/>
  <c r="CD207" i="155"/>
  <c r="CH207" i="155"/>
  <c r="CF207" i="155"/>
  <c r="CM207" i="155"/>
  <c r="CD205" i="155"/>
  <c r="CH205" i="155"/>
  <c r="CF205" i="155"/>
  <c r="CM205" i="155"/>
  <c r="CD203" i="155"/>
  <c r="CH203" i="155"/>
  <c r="CF203" i="155"/>
  <c r="CM203" i="155"/>
  <c r="BM198" i="155"/>
  <c r="BM197" i="155" s="1"/>
  <c r="BM191" i="155" s="1"/>
  <c r="CA198" i="155"/>
  <c r="BE197" i="155"/>
  <c r="BE191" i="155" s="1"/>
  <c r="AM191" i="155"/>
  <c r="CF186" i="155"/>
  <c r="CM186" i="155"/>
  <c r="CD186" i="155"/>
  <c r="CH186" i="155"/>
  <c r="CF184" i="155"/>
  <c r="CM184" i="155"/>
  <c r="CD184" i="155"/>
  <c r="CH184" i="155"/>
  <c r="CF180" i="155"/>
  <c r="CD180" i="155"/>
  <c r="CM180" i="155"/>
  <c r="CM324" i="155"/>
  <c r="AM323" i="155"/>
  <c r="AM322" i="155" s="1"/>
  <c r="AM329" i="155" s="1"/>
  <c r="CH321" i="155"/>
  <c r="CA318" i="155"/>
  <c r="CC318" i="155" s="1"/>
  <c r="CC316" i="155" s="1"/>
  <c r="CM316" i="155" s="1"/>
  <c r="CH317" i="155"/>
  <c r="CD317" i="155"/>
  <c r="BZ317" i="155"/>
  <c r="BZ316" i="155" s="1"/>
  <c r="CM313" i="155"/>
  <c r="CM310" i="155"/>
  <c r="CM309" i="155"/>
  <c r="CM308" i="155"/>
  <c r="CM295" i="155"/>
  <c r="CM286" i="155"/>
  <c r="CH285" i="155"/>
  <c r="CH284" i="155"/>
  <c r="CJ283" i="155"/>
  <c r="CJ282" i="155"/>
  <c r="CJ281" i="155"/>
  <c r="CJ280" i="155"/>
  <c r="CJ275" i="155" s="1"/>
  <c r="BZ280" i="155"/>
  <c r="BZ275" i="155" s="1"/>
  <c r="BZ287" i="155" s="1"/>
  <c r="BM278" i="155"/>
  <c r="BM275" i="155" s="1"/>
  <c r="CM277" i="155"/>
  <c r="AZ277" i="155"/>
  <c r="AZ275" i="155" s="1"/>
  <c r="AW129" i="155"/>
  <c r="AW128" i="155" s="1"/>
  <c r="CM276" i="155"/>
  <c r="CD276" i="155"/>
  <c r="CD275" i="155" s="1"/>
  <c r="AY275" i="155"/>
  <c r="AY287" i="155" s="1"/>
  <c r="AW275" i="155"/>
  <c r="AW287" i="155" s="1"/>
  <c r="CM273" i="155"/>
  <c r="CJ272" i="155"/>
  <c r="CJ271" i="155"/>
  <c r="AZ271" i="155"/>
  <c r="CJ270" i="155"/>
  <c r="CD252" i="155"/>
  <c r="CJ252" i="155"/>
  <c r="CF252" i="155"/>
  <c r="CM252" i="155"/>
  <c r="CD246" i="155"/>
  <c r="CJ246" i="155"/>
  <c r="CF246" i="155"/>
  <c r="CM246" i="155"/>
  <c r="CD243" i="155"/>
  <c r="CJ243" i="155"/>
  <c r="CF243" i="155"/>
  <c r="CM243" i="155"/>
  <c r="CD241" i="155"/>
  <c r="CJ241" i="155"/>
  <c r="CF241" i="155"/>
  <c r="CM241" i="155"/>
  <c r="CD238" i="155"/>
  <c r="CJ238" i="155"/>
  <c r="CF238" i="155"/>
  <c r="CM238" i="155"/>
  <c r="CF234" i="155"/>
  <c r="CM234" i="155"/>
  <c r="CD234" i="155"/>
  <c r="CJ234" i="155"/>
  <c r="CA221" i="155"/>
  <c r="CA261" i="155" s="1"/>
  <c r="AZ221" i="155"/>
  <c r="Z221" i="155"/>
  <c r="Z261" i="155" s="1"/>
  <c r="CF212" i="155"/>
  <c r="BZ212" i="155"/>
  <c r="BZ261" i="155" s="1"/>
  <c r="AZ212" i="155"/>
  <c r="AZ261" i="155" s="1"/>
  <c r="CD206" i="155"/>
  <c r="CH206" i="155"/>
  <c r="CF206" i="155"/>
  <c r="CM206" i="155"/>
  <c r="CD204" i="155"/>
  <c r="CH204" i="155"/>
  <c r="CF204" i="155"/>
  <c r="CM204" i="155"/>
  <c r="CB191" i="155"/>
  <c r="Z191" i="155"/>
  <c r="CF187" i="155"/>
  <c r="CM187" i="155"/>
  <c r="CD187" i="155"/>
  <c r="CH187" i="155"/>
  <c r="CF183" i="155"/>
  <c r="CM183" i="155"/>
  <c r="CD183" i="155"/>
  <c r="CD176" i="155" s="1"/>
  <c r="CH183" i="155"/>
  <c r="CF176" i="155"/>
  <c r="CJ253" i="155"/>
  <c r="CJ250" i="155"/>
  <c r="CJ249" i="155"/>
  <c r="CJ248" i="155"/>
  <c r="CJ245" i="155"/>
  <c r="CJ244" i="155"/>
  <c r="CJ242" i="155"/>
  <c r="CJ240" i="155"/>
  <c r="CJ239" i="155"/>
  <c r="CJ237" i="155"/>
  <c r="CJ236" i="155"/>
  <c r="CM230" i="155"/>
  <c r="CC222" i="155"/>
  <c r="CJ222" i="155" s="1"/>
  <c r="CJ221" i="155" s="1"/>
  <c r="BM222" i="155"/>
  <c r="BM221" i="155" s="1"/>
  <c r="BG129" i="155"/>
  <c r="BG128" i="155" s="1"/>
  <c r="BD221" i="155"/>
  <c r="BD261" i="155" s="1"/>
  <c r="CM220" i="155"/>
  <c r="BM220" i="155"/>
  <c r="CJ218" i="155"/>
  <c r="CM217" i="155"/>
  <c r="CM215" i="155"/>
  <c r="CM214" i="155"/>
  <c r="CM213" i="155"/>
  <c r="CM212" i="155" s="1"/>
  <c r="CD213" i="155"/>
  <c r="CD212" i="155" s="1"/>
  <c r="AY212" i="155"/>
  <c r="AY261" i="155" s="1"/>
  <c r="CH202" i="155"/>
  <c r="CH201" i="155"/>
  <c r="CM200" i="155"/>
  <c r="CH199" i="155"/>
  <c r="BZ198" i="155"/>
  <c r="BZ197" i="155" s="1"/>
  <c r="BZ191" i="155" s="1"/>
  <c r="BZ158" i="155" s="1"/>
  <c r="AZ198" i="155"/>
  <c r="AZ197" i="155" s="1"/>
  <c r="AZ191" i="155" s="1"/>
  <c r="AZ158" i="155" s="1"/>
  <c r="CH196" i="155"/>
  <c r="CH195" i="155"/>
  <c r="CH194" i="155"/>
  <c r="CH193" i="155"/>
  <c r="CH192" i="155"/>
  <c r="CD192" i="155"/>
  <c r="CH190" i="155"/>
  <c r="CH189" i="155"/>
  <c r="CH188" i="155"/>
  <c r="CC176" i="155"/>
  <c r="BQ176" i="155"/>
  <c r="CB174" i="155"/>
  <c r="CC175" i="155"/>
  <c r="CH159" i="155"/>
  <c r="CM159" i="155"/>
  <c r="CE158" i="155"/>
  <c r="CE208" i="155" s="1"/>
  <c r="BX158" i="155"/>
  <c r="BV158" i="155"/>
  <c r="BT158" i="155"/>
  <c r="BR158" i="155"/>
  <c r="BP158" i="155"/>
  <c r="BN158" i="155"/>
  <c r="BK158" i="155"/>
  <c r="BI158" i="155"/>
  <c r="BG158" i="155"/>
  <c r="BE158" i="155"/>
  <c r="BC158" i="155"/>
  <c r="BA158" i="155"/>
  <c r="AX158" i="155"/>
  <c r="AV158" i="155"/>
  <c r="AT158" i="155"/>
  <c r="AR158" i="155"/>
  <c r="AR208" i="155" s="1"/>
  <c r="AP158" i="155"/>
  <c r="AN158" i="155"/>
  <c r="AN208" i="155" s="1"/>
  <c r="AK158" i="155"/>
  <c r="AI158" i="155"/>
  <c r="AG158" i="155"/>
  <c r="AG208" i="155" s="1"/>
  <c r="AE158" i="155"/>
  <c r="AC158" i="155"/>
  <c r="AA158" i="155"/>
  <c r="X158" i="155"/>
  <c r="V158" i="155"/>
  <c r="T158" i="155"/>
  <c r="R158" i="155"/>
  <c r="P158" i="155"/>
  <c r="N158" i="155"/>
  <c r="I158" i="155"/>
  <c r="G158" i="155"/>
  <c r="CD157" i="155"/>
  <c r="CJ157" i="155"/>
  <c r="CF157" i="155"/>
  <c r="CM157" i="155"/>
  <c r="CD155" i="155"/>
  <c r="CJ155" i="155"/>
  <c r="CF155" i="155"/>
  <c r="CM155" i="155"/>
  <c r="BP129" i="155"/>
  <c r="BP128" i="155" s="1"/>
  <c r="BJ129" i="155"/>
  <c r="BJ128" i="155" s="1"/>
  <c r="CD151" i="155"/>
  <c r="CM151" i="155"/>
  <c r="CF151" i="155"/>
  <c r="CJ150" i="155"/>
  <c r="CD148" i="155"/>
  <c r="CM148" i="155"/>
  <c r="CF148" i="155"/>
  <c r="BH129" i="155"/>
  <c r="BH128" i="155" s="1"/>
  <c r="CD146" i="155"/>
  <c r="CJ146" i="155"/>
  <c r="CF146" i="155"/>
  <c r="CM146" i="155"/>
  <c r="BE129" i="155"/>
  <c r="BE128" i="155" s="1"/>
  <c r="CJ144" i="155"/>
  <c r="CJ143" i="155"/>
  <c r="CJ233" i="155"/>
  <c r="CJ232" i="155"/>
  <c r="CJ231" i="155"/>
  <c r="CM228" i="155"/>
  <c r="CM226" i="155"/>
  <c r="CJ224" i="155"/>
  <c r="BN129" i="155"/>
  <c r="BL129" i="155"/>
  <c r="BL128" i="155" s="1"/>
  <c r="BG221" i="155"/>
  <c r="BG261" i="155" s="1"/>
  <c r="BC221" i="155"/>
  <c r="BC261" i="155" s="1"/>
  <c r="BM213" i="155"/>
  <c r="BM212" i="155" s="1"/>
  <c r="BM261" i="155" s="1"/>
  <c r="AM213" i="155"/>
  <c r="AM212" i="155" s="1"/>
  <c r="AM261" i="155" s="1"/>
  <c r="CF209" i="155"/>
  <c r="CD209" i="155"/>
  <c r="CA185" i="155"/>
  <c r="CC185" i="155" s="1"/>
  <c r="CJ182" i="155"/>
  <c r="CJ181" i="155"/>
  <c r="CH179" i="155"/>
  <c r="CH178" i="155"/>
  <c r="CH177" i="155"/>
  <c r="BM176" i="155"/>
  <c r="BM158" i="155" s="1"/>
  <c r="AM176" i="155"/>
  <c r="AM158" i="155" s="1"/>
  <c r="CB158" i="155"/>
  <c r="CB208" i="155" s="1"/>
  <c r="Z158" i="155"/>
  <c r="Z208" i="155" s="1"/>
  <c r="BY158" i="155"/>
  <c r="BW158" i="155"/>
  <c r="BU158" i="155"/>
  <c r="BS158" i="155"/>
  <c r="BQ158" i="155"/>
  <c r="BO158" i="155"/>
  <c r="BL158" i="155"/>
  <c r="BJ158" i="155"/>
  <c r="BH158" i="155"/>
  <c r="BF158" i="155"/>
  <c r="BD158" i="155"/>
  <c r="BB158" i="155"/>
  <c r="AY158" i="155"/>
  <c r="AW158" i="155"/>
  <c r="AU158" i="155"/>
  <c r="AS158" i="155"/>
  <c r="AQ158" i="155"/>
  <c r="AO158" i="155"/>
  <c r="AL158" i="155"/>
  <c r="AJ158" i="155"/>
  <c r="AH158" i="155"/>
  <c r="AF158" i="155"/>
  <c r="AD158" i="155"/>
  <c r="AD208" i="155" s="1"/>
  <c r="AB158" i="155"/>
  <c r="Y158" i="155"/>
  <c r="W158" i="155"/>
  <c r="U158" i="155"/>
  <c r="S158" i="155"/>
  <c r="Q158" i="155"/>
  <c r="O158" i="155"/>
  <c r="M158" i="155"/>
  <c r="H158" i="155"/>
  <c r="F158" i="155"/>
  <c r="BQ129" i="155"/>
  <c r="BQ128" i="155" s="1"/>
  <c r="BO129" i="155"/>
  <c r="BO128" i="155" s="1"/>
  <c r="BK129" i="155"/>
  <c r="BK128" i="155" s="1"/>
  <c r="BI129" i="155"/>
  <c r="BI128" i="155" s="1"/>
  <c r="CD150" i="155"/>
  <c r="CM150" i="155"/>
  <c r="CF150" i="155"/>
  <c r="BF129" i="155"/>
  <c r="BF128" i="155" s="1"/>
  <c r="CD144" i="155"/>
  <c r="CM144" i="155"/>
  <c r="CF144" i="155"/>
  <c r="CD143" i="155"/>
  <c r="CM143" i="155"/>
  <c r="CF143" i="155"/>
  <c r="BA129" i="155"/>
  <c r="CD140" i="155"/>
  <c r="CJ140" i="155"/>
  <c r="CF140" i="155"/>
  <c r="CM140" i="155"/>
  <c r="CD138" i="155"/>
  <c r="CJ138" i="155"/>
  <c r="CF138" i="155"/>
  <c r="CM138" i="155"/>
  <c r="CD137" i="155"/>
  <c r="CM137" i="155"/>
  <c r="CF137" i="155"/>
  <c r="CD134" i="155"/>
  <c r="CM134" i="155"/>
  <c r="CF134" i="155"/>
  <c r="BB129" i="155"/>
  <c r="BB128" i="155" s="1"/>
  <c r="AU129" i="155"/>
  <c r="CM156" i="155"/>
  <c r="CM154" i="155"/>
  <c r="CA153" i="155"/>
  <c r="CC153" i="155" s="1"/>
  <c r="CA152" i="155"/>
  <c r="CC152" i="155" s="1"/>
  <c r="BM152" i="155"/>
  <c r="CM149" i="155"/>
  <c r="CJ147" i="155"/>
  <c r="CM145" i="155"/>
  <c r="CA142" i="155"/>
  <c r="CC142" i="155" s="1"/>
  <c r="CJ141" i="155"/>
  <c r="CJ139" i="155"/>
  <c r="CM136" i="155"/>
  <c r="CJ135" i="155"/>
  <c r="CM133" i="155"/>
  <c r="CM132" i="155"/>
  <c r="CJ131" i="155"/>
  <c r="CJ130" i="155"/>
  <c r="AZ129" i="155"/>
  <c r="AZ128" i="155" s="1"/>
  <c r="AM129" i="155"/>
  <c r="AM128" i="155" s="1"/>
  <c r="CF127" i="155"/>
  <c r="CD127" i="155"/>
  <c r="CC125" i="155"/>
  <c r="CD122" i="155"/>
  <c r="CH122" i="155"/>
  <c r="CF122" i="155"/>
  <c r="CM122" i="155"/>
  <c r="CD113" i="155"/>
  <c r="CH113" i="155"/>
  <c r="CF113" i="155"/>
  <c r="CM113" i="155"/>
  <c r="CD111" i="155"/>
  <c r="CH111" i="155"/>
  <c r="CF111" i="155"/>
  <c r="CM111" i="155"/>
  <c r="CD109" i="155"/>
  <c r="CH109" i="155"/>
  <c r="CF109" i="155"/>
  <c r="CM109" i="155"/>
  <c r="CD107" i="155"/>
  <c r="CH107" i="155"/>
  <c r="CF107" i="155"/>
  <c r="CM107" i="155"/>
  <c r="CD99" i="155"/>
  <c r="CH99" i="155"/>
  <c r="CF99" i="155"/>
  <c r="CM99" i="155"/>
  <c r="CD97" i="155"/>
  <c r="CH97" i="155"/>
  <c r="CF97" i="155"/>
  <c r="CM97" i="155"/>
  <c r="CD93" i="155"/>
  <c r="CH93" i="155"/>
  <c r="CF93" i="155"/>
  <c r="CM93" i="155"/>
  <c r="CD91" i="155"/>
  <c r="CH91" i="155"/>
  <c r="CF91" i="155"/>
  <c r="CM91" i="155"/>
  <c r="CH173" i="155"/>
  <c r="CA172" i="155"/>
  <c r="CC172" i="155" s="1"/>
  <c r="CH171" i="155"/>
  <c r="CH170" i="155"/>
  <c r="CH169" i="155"/>
  <c r="CH168" i="155"/>
  <c r="CH167" i="155"/>
  <c r="CH166" i="155"/>
  <c r="CH165" i="155"/>
  <c r="CH164" i="155"/>
  <c r="CH163" i="155"/>
  <c r="CH162" i="155"/>
  <c r="CH161" i="155"/>
  <c r="CH160" i="155"/>
  <c r="CD160" i="155"/>
  <c r="CD159" i="155" s="1"/>
  <c r="CD123" i="155"/>
  <c r="CH123" i="155"/>
  <c r="CF123" i="155"/>
  <c r="CM123" i="155"/>
  <c r="CD116" i="155"/>
  <c r="CH116" i="155"/>
  <c r="CM116" i="155"/>
  <c r="CF116" i="155"/>
  <c r="CJ116" i="155"/>
  <c r="CD114" i="155"/>
  <c r="CH114" i="155"/>
  <c r="CF114" i="155"/>
  <c r="CM114" i="155"/>
  <c r="CD112" i="155"/>
  <c r="CH112" i="155"/>
  <c r="CF112" i="155"/>
  <c r="CM112" i="155"/>
  <c r="CD110" i="155"/>
  <c r="CH110" i="155"/>
  <c r="CF110" i="155"/>
  <c r="CM110" i="155"/>
  <c r="CD108" i="155"/>
  <c r="CH108" i="155"/>
  <c r="CF108" i="155"/>
  <c r="CM108" i="155"/>
  <c r="CD100" i="155"/>
  <c r="CH100" i="155"/>
  <c r="CF100" i="155"/>
  <c r="CM100" i="155"/>
  <c r="CD96" i="155"/>
  <c r="CH96" i="155"/>
  <c r="CF96" i="155"/>
  <c r="CM96" i="155"/>
  <c r="AZ78" i="155"/>
  <c r="CM121" i="155"/>
  <c r="CH121" i="155"/>
  <c r="CA120" i="155"/>
  <c r="CC120" i="155" s="1"/>
  <c r="CH119" i="155"/>
  <c r="CH118" i="155"/>
  <c r="CH117" i="155"/>
  <c r="CM115" i="155"/>
  <c r="CH115" i="155"/>
  <c r="CA106" i="155"/>
  <c r="CC106" i="155" s="1"/>
  <c r="CH105" i="155"/>
  <c r="CH104" i="155"/>
  <c r="CH103" i="155"/>
  <c r="CH102" i="155"/>
  <c r="CA101" i="155"/>
  <c r="CC101" i="155" s="1"/>
  <c r="CH98" i="155"/>
  <c r="CM95" i="155"/>
  <c r="CH95" i="155"/>
  <c r="CH94" i="155"/>
  <c r="CM92" i="155"/>
  <c r="CH92" i="155"/>
  <c r="CM90" i="155"/>
  <c r="CH90" i="155"/>
  <c r="AZ90" i="155"/>
  <c r="CH89" i="155"/>
  <c r="CH88" i="155"/>
  <c r="CH87" i="155"/>
  <c r="CA86" i="155"/>
  <c r="CC86" i="155" s="1"/>
  <c r="AM86" i="155"/>
  <c r="AG78" i="155"/>
  <c r="CH85" i="155"/>
  <c r="CH84" i="155"/>
  <c r="CH83" i="155"/>
  <c r="CH82" i="155"/>
  <c r="AM82" i="155"/>
  <c r="CH81" i="155"/>
  <c r="CM80" i="155"/>
  <c r="BZ80" i="155"/>
  <c r="BZ78" i="155" s="1"/>
  <c r="AM80" i="155"/>
  <c r="AM78" i="155" s="1"/>
  <c r="CC79" i="155"/>
  <c r="CD76" i="155"/>
  <c r="CM76" i="155"/>
  <c r="CC74" i="155"/>
  <c r="CM74" i="155" s="1"/>
  <c r="CD75" i="155"/>
  <c r="CA74" i="155"/>
  <c r="BM74" i="155"/>
  <c r="AM74" i="155"/>
  <c r="CF73" i="155"/>
  <c r="CD73" i="155"/>
  <c r="CM73" i="155"/>
  <c r="CC71" i="155"/>
  <c r="CM71" i="155" s="1"/>
  <c r="AZ65" i="155"/>
  <c r="AZ124" i="155" s="1"/>
  <c r="CF59" i="155"/>
  <c r="CM59" i="155"/>
  <c r="CD59" i="155"/>
  <c r="CH59" i="155"/>
  <c r="CA61" i="155"/>
  <c r="BM61" i="155"/>
  <c r="AM61" i="155"/>
  <c r="CH24" i="155"/>
  <c r="CM24" i="155"/>
  <c r="CJ77" i="155"/>
  <c r="CF76" i="155"/>
  <c r="CE75" i="155"/>
  <c r="CE74" i="155" s="1"/>
  <c r="CE124" i="155" s="1"/>
  <c r="CF71" i="155"/>
  <c r="AM65" i="155"/>
  <c r="CD64" i="155"/>
  <c r="CF64" i="155"/>
  <c r="CF60" i="155"/>
  <c r="CM60" i="155"/>
  <c r="CD60" i="155"/>
  <c r="CH60" i="155"/>
  <c r="CC57" i="155"/>
  <c r="CF58" i="155"/>
  <c r="CM58" i="155"/>
  <c r="CD58" i="155"/>
  <c r="CH58" i="155"/>
  <c r="BZ61" i="155"/>
  <c r="AZ61" i="155"/>
  <c r="Z61" i="155"/>
  <c r="CB71" i="155"/>
  <c r="CB124" i="155" s="1"/>
  <c r="AR65" i="155"/>
  <c r="AN65" i="155"/>
  <c r="AD65" i="155"/>
  <c r="CB57" i="155"/>
  <c r="CH34" i="155"/>
  <c r="CD34" i="155"/>
  <c r="CD33" i="155" s="1"/>
  <c r="CH32" i="155"/>
  <c r="CH31" i="155"/>
  <c r="CH30" i="155"/>
  <c r="CH29" i="155"/>
  <c r="CH28" i="155"/>
  <c r="CH27" i="155"/>
  <c r="CH26" i="155"/>
  <c r="CH25" i="155"/>
  <c r="CD25" i="155"/>
  <c r="CD24" i="155" s="1"/>
  <c r="CM72" i="155"/>
  <c r="CD72" i="155"/>
  <c r="CD71" i="155" s="1"/>
  <c r="CJ70" i="155"/>
  <c r="BZ70" i="155"/>
  <c r="BZ68" i="155" s="1"/>
  <c r="BZ124" i="155" s="1"/>
  <c r="BM70" i="155"/>
  <c r="BM68" i="155" s="1"/>
  <c r="BM124" i="155" s="1"/>
  <c r="CA69" i="155"/>
  <c r="CM67" i="155"/>
  <c r="CM66" i="155"/>
  <c r="CD66" i="155"/>
  <c r="CD65" i="155" s="1"/>
  <c r="CC62" i="155"/>
  <c r="CH56" i="155"/>
  <c r="CH55" i="155"/>
  <c r="CD55" i="155"/>
  <c r="CD54" i="155" s="1"/>
  <c r="CH53" i="155"/>
  <c r="CH52" i="155"/>
  <c r="CH51" i="155"/>
  <c r="CH50" i="155"/>
  <c r="CH49" i="155"/>
  <c r="CH48" i="155"/>
  <c r="CH47" i="155"/>
  <c r="CH46" i="155"/>
  <c r="CH45" i="155"/>
  <c r="CH44" i="155"/>
  <c r="CH43" i="155"/>
  <c r="CH42" i="155"/>
  <c r="CH41" i="155"/>
  <c r="CH40" i="155"/>
  <c r="CH39" i="155"/>
  <c r="CH38" i="155"/>
  <c r="CF10" i="155"/>
  <c r="BM287" i="155" l="1"/>
  <c r="AN124" i="155"/>
  <c r="AN338" i="155"/>
  <c r="AN354" i="155" s="1"/>
  <c r="Z338" i="155"/>
  <c r="Z354" i="155" s="1"/>
  <c r="CH57" i="155"/>
  <c r="CF75" i="155"/>
  <c r="CF74" i="155" s="1"/>
  <c r="CD101" i="155"/>
  <c r="CH101" i="155"/>
  <c r="CF101" i="155"/>
  <c r="CM101" i="155"/>
  <c r="CF172" i="155"/>
  <c r="CM172" i="155"/>
  <c r="CD172" i="155"/>
  <c r="CH172" i="155"/>
  <c r="CA78" i="155"/>
  <c r="AM208" i="155"/>
  <c r="CD142" i="155"/>
  <c r="CJ142" i="155"/>
  <c r="CF142" i="155"/>
  <c r="CM142" i="155"/>
  <c r="CD153" i="155"/>
  <c r="CM153" i="155"/>
  <c r="CF153" i="155"/>
  <c r="BB208" i="155"/>
  <c r="BB338" i="155"/>
  <c r="BB354" i="155" s="1"/>
  <c r="BF208" i="155"/>
  <c r="BF338" i="155" s="1"/>
  <c r="BI208" i="155"/>
  <c r="BI338" i="155"/>
  <c r="BI354" i="155" s="1"/>
  <c r="BO208" i="155"/>
  <c r="BO338" i="155" s="1"/>
  <c r="BO343" i="155" s="1"/>
  <c r="F208" i="155"/>
  <c r="F338" i="155"/>
  <c r="F343" i="155" s="1"/>
  <c r="M208" i="155"/>
  <c r="M338" i="155" s="1"/>
  <c r="M343" i="155" s="1"/>
  <c r="Q208" i="155"/>
  <c r="Q338" i="155"/>
  <c r="Q343" i="155" s="1"/>
  <c r="U208" i="155"/>
  <c r="U338" i="155" s="1"/>
  <c r="U343" i="155" s="1"/>
  <c r="Y208" i="155"/>
  <c r="Y338" i="155"/>
  <c r="Y343" i="155" s="1"/>
  <c r="AH208" i="155"/>
  <c r="AH338" i="155" s="1"/>
  <c r="AL208" i="155"/>
  <c r="AL338" i="155"/>
  <c r="AL354" i="155" s="1"/>
  <c r="AQ208" i="155"/>
  <c r="AQ338" i="155" s="1"/>
  <c r="BU208" i="155"/>
  <c r="BU307" i="155" s="1"/>
  <c r="BY208" i="155"/>
  <c r="BY307" i="155" s="1"/>
  <c r="BY306" i="155" s="1"/>
  <c r="BY329" i="155" s="1"/>
  <c r="BL208" i="155"/>
  <c r="BL338" i="155"/>
  <c r="BL354" i="155" s="1"/>
  <c r="BH208" i="155"/>
  <c r="BH338" i="155" s="1"/>
  <c r="BJ208" i="155"/>
  <c r="BJ338" i="155"/>
  <c r="BJ354" i="155" s="1"/>
  <c r="BP208" i="155"/>
  <c r="BP338" i="155" s="1"/>
  <c r="BP343" i="155" s="1"/>
  <c r="G208" i="155"/>
  <c r="G338" i="155"/>
  <c r="G353" i="155" s="1"/>
  <c r="N208" i="155"/>
  <c r="N338" i="155" s="1"/>
  <c r="N343" i="155" s="1"/>
  <c r="R208" i="155"/>
  <c r="R338" i="155"/>
  <c r="R343" i="155" s="1"/>
  <c r="V208" i="155"/>
  <c r="V338" i="155" s="1"/>
  <c r="V343" i="155" s="1"/>
  <c r="AA208" i="155"/>
  <c r="AA338" i="155"/>
  <c r="AA354" i="155" s="1"/>
  <c r="AE208" i="155"/>
  <c r="AE338" i="155" s="1"/>
  <c r="AI208" i="155"/>
  <c r="AI338" i="155"/>
  <c r="AI354" i="155" s="1"/>
  <c r="BR208" i="155"/>
  <c r="BR338" i="155" s="1"/>
  <c r="BR343" i="155" s="1"/>
  <c r="BV208" i="155"/>
  <c r="BV307" i="155" s="1"/>
  <c r="BV306" i="155" s="1"/>
  <c r="BV329" i="155" s="1"/>
  <c r="BV338" i="155"/>
  <c r="BV343" i="155" s="1"/>
  <c r="CM176" i="155"/>
  <c r="CH176" i="155"/>
  <c r="AW208" i="155"/>
  <c r="AW338" i="155"/>
  <c r="AW354" i="155" s="1"/>
  <c r="CC198" i="155"/>
  <c r="CA197" i="155"/>
  <c r="CA191" i="155" s="1"/>
  <c r="CF287" i="155"/>
  <c r="CM265" i="155"/>
  <c r="CM186" i="154"/>
  <c r="CM185" i="154" s="1"/>
  <c r="CM184" i="154" s="1"/>
  <c r="CJ185" i="154"/>
  <c r="CJ184" i="154" s="1"/>
  <c r="CK186" i="154"/>
  <c r="CK185" i="154" s="1"/>
  <c r="CK184" i="154" s="1"/>
  <c r="CD291" i="155"/>
  <c r="CF305" i="155"/>
  <c r="CJ6" i="154"/>
  <c r="CK7" i="154"/>
  <c r="CK6" i="154" s="1"/>
  <c r="CM7" i="154"/>
  <c r="CM6" i="154" s="1"/>
  <c r="CL115" i="154"/>
  <c r="AS119" i="154"/>
  <c r="AS118" i="154" s="1"/>
  <c r="AS114" i="154" s="1"/>
  <c r="AO118" i="154"/>
  <c r="AO114" i="154" s="1"/>
  <c r="AO283" i="154" s="1"/>
  <c r="AO288" i="154" s="1"/>
  <c r="CH119" i="154"/>
  <c r="CL240" i="154"/>
  <c r="CL267" i="154"/>
  <c r="BN273" i="154"/>
  <c r="BR273" i="154"/>
  <c r="BR266" i="154" s="1"/>
  <c r="BR283" i="154"/>
  <c r="BR288" i="154" s="1"/>
  <c r="BF226" i="154"/>
  <c r="CH226" i="154"/>
  <c r="CJ226" i="154" s="1"/>
  <c r="CU6" i="154"/>
  <c r="CG288" i="154"/>
  <c r="AZ283" i="154"/>
  <c r="AZ288" i="154" s="1"/>
  <c r="AG20" i="154"/>
  <c r="AG17" i="154" s="1"/>
  <c r="AG283" i="154" s="1"/>
  <c r="AG288" i="154" s="1"/>
  <c r="AS21" i="154"/>
  <c r="AS20" i="154" s="1"/>
  <c r="AS17" i="154" s="1"/>
  <c r="BG283" i="154"/>
  <c r="BG288" i="154" s="1"/>
  <c r="CB62" i="155"/>
  <c r="CE62" i="155" s="1"/>
  <c r="CD62" i="155"/>
  <c r="CF62" i="155"/>
  <c r="CC69" i="155"/>
  <c r="CA68" i="155"/>
  <c r="CA124" i="155" s="1"/>
  <c r="AD124" i="155"/>
  <c r="AD338" i="155" s="1"/>
  <c r="AR124" i="155"/>
  <c r="AR338" i="155"/>
  <c r="AR354" i="155" s="1"/>
  <c r="CB61" i="155"/>
  <c r="CD57" i="155"/>
  <c r="CF57" i="155"/>
  <c r="AM124" i="155"/>
  <c r="CC61" i="155"/>
  <c r="CM61" i="155" s="1"/>
  <c r="CM57" i="155"/>
  <c r="CD74" i="155"/>
  <c r="CC78" i="155"/>
  <c r="CM78" i="155" s="1"/>
  <c r="CD79" i="155"/>
  <c r="CM79" i="155"/>
  <c r="CF79" i="155"/>
  <c r="AG124" i="155"/>
  <c r="AG338" i="155"/>
  <c r="AG354" i="155" s="1"/>
  <c r="CD86" i="155"/>
  <c r="CH86" i="155"/>
  <c r="CF86" i="155"/>
  <c r="CM86" i="155"/>
  <c r="CD106" i="155"/>
  <c r="CH106" i="155"/>
  <c r="CF106" i="155"/>
  <c r="CM106" i="155"/>
  <c r="CD120" i="155"/>
  <c r="CH120" i="155"/>
  <c r="CM120" i="155"/>
  <c r="CF120" i="155"/>
  <c r="CJ120" i="155"/>
  <c r="CB125" i="155"/>
  <c r="CE125" i="155" s="1"/>
  <c r="CD125" i="155"/>
  <c r="CF125" i="155"/>
  <c r="AZ208" i="155"/>
  <c r="AZ338" i="155" s="1"/>
  <c r="CD152" i="155"/>
  <c r="CM152" i="155"/>
  <c r="CF152" i="155"/>
  <c r="AU128" i="155"/>
  <c r="CA129" i="155"/>
  <c r="BA128" i="155"/>
  <c r="BM129" i="155"/>
  <c r="BM128" i="155" s="1"/>
  <c r="BM208" i="155" s="1"/>
  <c r="BK208" i="155"/>
  <c r="BK338" i="155" s="1"/>
  <c r="BQ208" i="155"/>
  <c r="BQ338" i="155"/>
  <c r="BQ343" i="155" s="1"/>
  <c r="BQ350" i="155" s="1"/>
  <c r="H208" i="155"/>
  <c r="H338" i="155" s="1"/>
  <c r="O208" i="155"/>
  <c r="O338" i="155"/>
  <c r="O343" i="155" s="1"/>
  <c r="S208" i="155"/>
  <c r="S338" i="155" s="1"/>
  <c r="S343" i="155" s="1"/>
  <c r="W208" i="155"/>
  <c r="W338" i="155"/>
  <c r="W343" i="155" s="1"/>
  <c r="AB208" i="155"/>
  <c r="AB338" i="155" s="1"/>
  <c r="AF208" i="155"/>
  <c r="AF338" i="155"/>
  <c r="AF354" i="155" s="1"/>
  <c r="AJ208" i="155"/>
  <c r="AJ338" i="155" s="1"/>
  <c r="AO208" i="155"/>
  <c r="AO338" i="155"/>
  <c r="AS208" i="155"/>
  <c r="AS338" i="155" s="1"/>
  <c r="BS208" i="155"/>
  <c r="BS338" i="155"/>
  <c r="BS343" i="155" s="1"/>
  <c r="BW208" i="155"/>
  <c r="BW307" i="155" s="1"/>
  <c r="BW306" i="155" s="1"/>
  <c r="BW329" i="155" s="1"/>
  <c r="CF185" i="155"/>
  <c r="CM185" i="155"/>
  <c r="CD185" i="155"/>
  <c r="CH185" i="155"/>
  <c r="BN128" i="155"/>
  <c r="BZ129" i="155"/>
  <c r="BZ128" i="155" s="1"/>
  <c r="BZ208" i="155" s="1"/>
  <c r="BE208" i="155"/>
  <c r="BE338" i="155"/>
  <c r="BE354" i="155" s="1"/>
  <c r="CJ152" i="155"/>
  <c r="CJ153" i="155"/>
  <c r="I208" i="155"/>
  <c r="I338" i="155" s="1"/>
  <c r="P208" i="155"/>
  <c r="P338" i="155"/>
  <c r="P343" i="155" s="1"/>
  <c r="T208" i="155"/>
  <c r="T338" i="155" s="1"/>
  <c r="T343" i="155" s="1"/>
  <c r="X208" i="155"/>
  <c r="X338" i="155"/>
  <c r="X343" i="155" s="1"/>
  <c r="AC208" i="155"/>
  <c r="AC338" i="155" s="1"/>
  <c r="AK208" i="155"/>
  <c r="AK338" i="155"/>
  <c r="AK354" i="155" s="1"/>
  <c r="AP208" i="155"/>
  <c r="AP338" i="155" s="1"/>
  <c r="AT208" i="155"/>
  <c r="AT338" i="155"/>
  <c r="AT354" i="155" s="1"/>
  <c r="AX208" i="155"/>
  <c r="AX338" i="155" s="1"/>
  <c r="BT208" i="155"/>
  <c r="BT338" i="155"/>
  <c r="BT343" i="155" s="1"/>
  <c r="BX208" i="155"/>
  <c r="BX307" i="155" s="1"/>
  <c r="BX306" i="155" s="1"/>
  <c r="BX329" i="155" s="1"/>
  <c r="CA158" i="155"/>
  <c r="CF175" i="155"/>
  <c r="CF174" i="155" s="1"/>
  <c r="CM175" i="155"/>
  <c r="CC174" i="155"/>
  <c r="CD175" i="155"/>
  <c r="CD174" i="155" s="1"/>
  <c r="CH175" i="155"/>
  <c r="BG208" i="155"/>
  <c r="BG338" i="155" s="1"/>
  <c r="CC221" i="155"/>
  <c r="CM221" i="155" s="1"/>
  <c r="CD222" i="155"/>
  <c r="CD221" i="155" s="1"/>
  <c r="CD261" i="155" s="1"/>
  <c r="CM222" i="155"/>
  <c r="CF222" i="155"/>
  <c r="CF221" i="155" s="1"/>
  <c r="CF261" i="155" s="1"/>
  <c r="BD208" i="155"/>
  <c r="BD338" i="155" s="1"/>
  <c r="BD354" i="155" s="1"/>
  <c r="AV208" i="155"/>
  <c r="CF318" i="155"/>
  <c r="CF316" i="155" s="1"/>
  <c r="CM318" i="155"/>
  <c r="CD318" i="155"/>
  <c r="CD316" i="155" s="1"/>
  <c r="CH318" i="155"/>
  <c r="BC208" i="155"/>
  <c r="BC338" i="155" s="1"/>
  <c r="BC354" i="155" s="1"/>
  <c r="AZ265" i="155"/>
  <c r="AZ287" i="155" s="1"/>
  <c r="AY208" i="155"/>
  <c r="AY338" i="155" s="1"/>
  <c r="AY354" i="155" s="1"/>
  <c r="CD332" i="155"/>
  <c r="CD331" i="155" s="1"/>
  <c r="CM332" i="155"/>
  <c r="CC331" i="155"/>
  <c r="CM331" i="155" s="1"/>
  <c r="CF332" i="155"/>
  <c r="CF331" i="155" s="1"/>
  <c r="CF288" i="155"/>
  <c r="CE288" i="155"/>
  <c r="CA316" i="155"/>
  <c r="CA329" i="155" s="1"/>
  <c r="CM37" i="154"/>
  <c r="CM36" i="154" s="1"/>
  <c r="CJ36" i="154"/>
  <c r="CK37" i="154"/>
  <c r="CK36" i="154" s="1"/>
  <c r="CM253" i="154"/>
  <c r="CM252" i="154" s="1"/>
  <c r="CJ252" i="154"/>
  <c r="CJ239" i="154" s="1"/>
  <c r="CK253" i="154"/>
  <c r="CK252" i="154" s="1"/>
  <c r="CK239" i="154" s="1"/>
  <c r="CF291" i="155"/>
  <c r="CL18" i="154"/>
  <c r="BP273" i="154"/>
  <c r="BP266" i="154" s="1"/>
  <c r="BP283" i="154"/>
  <c r="BP288" i="154" s="1"/>
  <c r="BF119" i="154"/>
  <c r="BF118" i="154" s="1"/>
  <c r="BF114" i="154" s="1"/>
  <c r="BF283" i="154" s="1"/>
  <c r="CT6" i="154"/>
  <c r="CF288" i="154"/>
  <c r="CI273" i="154"/>
  <c r="CH20" i="154"/>
  <c r="CH17" i="154" s="1"/>
  <c r="CJ21" i="154"/>
  <c r="T283" i="154"/>
  <c r="T288" i="154" s="1"/>
  <c r="AT283" i="154"/>
  <c r="AT288" i="154" s="1"/>
  <c r="CK272" i="154"/>
  <c r="CM272" i="154"/>
  <c r="A1" i="126"/>
  <c r="A1" i="129" s="1"/>
  <c r="CJ20" i="154"/>
  <c r="CJ17" i="154" s="1"/>
  <c r="CK21" i="154"/>
  <c r="CK20" i="154" s="1"/>
  <c r="CK17" i="154" s="1"/>
  <c r="CM21" i="154"/>
  <c r="CM20" i="154" s="1"/>
  <c r="CL17" i="154"/>
  <c r="CM18" i="154"/>
  <c r="CM17" i="154" s="1"/>
  <c r="CM174" i="155"/>
  <c r="CH174" i="155"/>
  <c r="BC343" i="155"/>
  <c r="AS283" i="154"/>
  <c r="CM226" i="154"/>
  <c r="CK226" i="154"/>
  <c r="CL266" i="154"/>
  <c r="CM267" i="154"/>
  <c r="CL239" i="154"/>
  <c r="CM240" i="154"/>
  <c r="CM239" i="154" s="1"/>
  <c r="CH118" i="154"/>
  <c r="CH114" i="154" s="1"/>
  <c r="CJ119" i="154"/>
  <c r="CC261" i="155"/>
  <c r="CM261" i="155" s="1"/>
  <c r="CF198" i="155"/>
  <c r="CF197" i="155" s="1"/>
  <c r="CF191" i="155" s="1"/>
  <c r="CC197" i="155"/>
  <c r="CD198" i="155"/>
  <c r="CD197" i="155" s="1"/>
  <c r="CD191" i="155" s="1"/>
  <c r="CD158" i="155" s="1"/>
  <c r="CH198" i="155"/>
  <c r="AV338" i="155"/>
  <c r="AV354" i="155" s="1"/>
  <c r="BD343" i="155"/>
  <c r="AY343" i="155"/>
  <c r="AM338" i="155"/>
  <c r="AM354" i="155" s="1"/>
  <c r="CJ273" i="154"/>
  <c r="CI266" i="154"/>
  <c r="CI283" i="154" s="1"/>
  <c r="CI288" i="154" s="1"/>
  <c r="CH283" i="154"/>
  <c r="CH288" i="154" s="1"/>
  <c r="CR6" i="154"/>
  <c r="BF288" i="154"/>
  <c r="BF292" i="154"/>
  <c r="BX338" i="155"/>
  <c r="BX343" i="155" s="1"/>
  <c r="AT343" i="155"/>
  <c r="AK343" i="155"/>
  <c r="BE343" i="155"/>
  <c r="BN208" i="155"/>
  <c r="BN338" i="155" s="1"/>
  <c r="BW338" i="155"/>
  <c r="BW343" i="155" s="1"/>
  <c r="AO343" i="155"/>
  <c r="AF343" i="155"/>
  <c r="CA128" i="155"/>
  <c r="CA208" i="155" s="1"/>
  <c r="CC129" i="155"/>
  <c r="AG343" i="155"/>
  <c r="BM338" i="155"/>
  <c r="AR343" i="155"/>
  <c r="CE338" i="155"/>
  <c r="CE343" i="155"/>
  <c r="BN266" i="154"/>
  <c r="BN283" i="154" s="1"/>
  <c r="BN288" i="154" s="1"/>
  <c r="BS273" i="154"/>
  <c r="BS266" i="154" s="1"/>
  <c r="BS283" i="154" s="1"/>
  <c r="CL114" i="154"/>
  <c r="CM115" i="154"/>
  <c r="AW343" i="155"/>
  <c r="AI343" i="155"/>
  <c r="AA343" i="155"/>
  <c r="G343" i="155"/>
  <c r="BJ343" i="155"/>
  <c r="BL343" i="155"/>
  <c r="BY338" i="155"/>
  <c r="BY343" i="155" s="1"/>
  <c r="BU306" i="155"/>
  <c r="BZ307" i="155"/>
  <c r="BZ306" i="155" s="1"/>
  <c r="BZ329" i="155" s="1"/>
  <c r="CB307" i="155"/>
  <c r="AL343" i="155"/>
  <c r="BI343" i="155"/>
  <c r="BB343" i="155"/>
  <c r="CF158" i="155"/>
  <c r="Z343" i="155"/>
  <c r="AN343" i="155"/>
  <c r="BN354" i="155" l="1"/>
  <c r="BN343" i="155"/>
  <c r="AU354" i="155"/>
  <c r="AU343" i="155"/>
  <c r="CB306" i="155"/>
  <c r="CC307" i="155"/>
  <c r="BU329" i="155"/>
  <c r="BU338" i="155"/>
  <c r="BU343" i="155" s="1"/>
  <c r="CS6" i="154"/>
  <c r="BS288" i="154"/>
  <c r="CM273" i="154"/>
  <c r="CK273" i="154"/>
  <c r="CK266" i="154" s="1"/>
  <c r="CJ266" i="154"/>
  <c r="BZ338" i="155"/>
  <c r="BZ343" i="155" s="1"/>
  <c r="CJ197" i="155"/>
  <c r="CH197" i="155"/>
  <c r="CM197" i="155"/>
  <c r="CC191" i="155"/>
  <c r="CJ118" i="154"/>
  <c r="CK119" i="154"/>
  <c r="CK118" i="154" s="1"/>
  <c r="CK114" i="154" s="1"/>
  <c r="CK283" i="154" s="1"/>
  <c r="CK288" i="154" s="1"/>
  <c r="CO119" i="154"/>
  <c r="CM119" i="154"/>
  <c r="CM118" i="154" s="1"/>
  <c r="CM114" i="154" s="1"/>
  <c r="CM283" i="154" s="1"/>
  <c r="CM288" i="154" s="1"/>
  <c r="CM266" i="154"/>
  <c r="CQ6" i="154"/>
  <c r="CV6" i="154" s="1"/>
  <c r="AS288" i="154"/>
  <c r="CJ288" i="154" s="1"/>
  <c r="CL283" i="154"/>
  <c r="CL288" i="154" s="1"/>
  <c r="AV343" i="155"/>
  <c r="AM343" i="155"/>
  <c r="CF208" i="155" l="1"/>
  <c r="CM191" i="155"/>
  <c r="CC158" i="155"/>
  <c r="CM158" i="155" s="1"/>
  <c r="CC306" i="155"/>
  <c r="CC329" i="155" s="1"/>
  <c r="CM329" i="155" s="1"/>
  <c r="CD307" i="155"/>
  <c r="CD306" i="155" s="1"/>
  <c r="CD329" i="155" s="1"/>
  <c r="CM307" i="155"/>
  <c r="CM306" i="155" s="1"/>
  <c r="CF307" i="155"/>
  <c r="CF306" i="155" s="1"/>
  <c r="CF329" i="155" s="1"/>
  <c r="CF338" i="155" s="1"/>
  <c r="CN226" i="154"/>
  <c r="CO226" i="154" s="1"/>
  <c r="CJ114" i="154"/>
  <c r="CJ283" i="154" s="1"/>
  <c r="CB329" i="155"/>
  <c r="CB343" i="155"/>
  <c r="CB338" i="155"/>
  <c r="CO284" i="154" l="1"/>
  <c r="CO285" i="154" s="1"/>
  <c r="E15" i="153"/>
  <c r="CF343" i="155"/>
  <c r="CC338" i="155"/>
  <c r="E17" i="153" l="1"/>
  <c r="E7" i="153" s="1"/>
  <c r="E15" i="144"/>
  <c r="E17" i="144" s="1"/>
  <c r="E7" i="144" s="1"/>
  <c r="B6" i="156"/>
  <c r="CI353" i="155"/>
  <c r="E11" i="153"/>
  <c r="CM338" i="155"/>
  <c r="CJ338" i="155"/>
  <c r="CC343" i="155"/>
  <c r="E13" i="153" l="1"/>
  <c r="E6" i="153" s="1"/>
  <c r="E8" i="153" s="1"/>
  <c r="E11" i="144"/>
  <c r="CM343" i="155"/>
  <c r="B14" i="147"/>
  <c r="B6" i="147" l="1"/>
  <c r="E13" i="144"/>
  <c r="E6" i="144" s="1"/>
  <c r="E8" i="144" s="1"/>
  <c r="C71" i="100" l="1"/>
  <c r="C72" i="100"/>
  <c r="C73" i="100"/>
  <c r="C74" i="100"/>
  <c r="C75" i="100"/>
  <c r="C76" i="100"/>
  <c r="C77" i="100"/>
  <c r="C78" i="100"/>
  <c r="C79" i="100"/>
  <c r="C80" i="100"/>
  <c r="C81" i="100"/>
  <c r="C82" i="100"/>
  <c r="C70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43" i="100"/>
  <c r="C11" i="128" l="1"/>
  <c r="C10" i="128" l="1"/>
  <c r="D7" i="128" l="1"/>
  <c r="D10" i="128" s="1"/>
  <c r="B3" i="147"/>
  <c r="J6" i="126" l="1"/>
  <c r="D11" i="128" l="1"/>
  <c r="B10" i="128" l="1"/>
  <c r="B13" i="125"/>
  <c r="C13" i="125" l="1"/>
  <c r="B11" i="128"/>
  <c r="C33" i="101" l="1"/>
  <c r="C34" i="101" s="1"/>
  <c r="C35" i="101" s="1"/>
  <c r="D21" i="49" l="1"/>
  <c r="G10" i="129" l="1"/>
  <c r="F10" i="129"/>
  <c r="E10" i="129"/>
  <c r="D10" i="129"/>
  <c r="C10" i="129"/>
  <c r="B10" i="129"/>
  <c r="P6" i="129"/>
  <c r="O6" i="129"/>
  <c r="N6" i="129"/>
  <c r="M6" i="129"/>
  <c r="L6" i="129"/>
  <c r="K6" i="129"/>
  <c r="J6" i="129"/>
  <c r="I6" i="129"/>
  <c r="H6" i="129"/>
  <c r="G6" i="129"/>
  <c r="F6" i="129"/>
  <c r="E6" i="129"/>
  <c r="D6" i="129"/>
  <c r="C6" i="129"/>
  <c r="B6" i="129" s="1"/>
  <c r="H10" i="129" s="1"/>
  <c r="C5" i="129"/>
  <c r="D5" i="129" s="1"/>
  <c r="E5" i="129" s="1"/>
  <c r="F5" i="129" s="1"/>
  <c r="G5" i="129" s="1"/>
  <c r="H5" i="129" s="1"/>
  <c r="I5" i="129" s="1"/>
  <c r="J5" i="129" s="1"/>
  <c r="K5" i="129" s="1"/>
  <c r="L5" i="129" s="1"/>
  <c r="M5" i="129" s="1"/>
  <c r="N5" i="129" s="1"/>
  <c r="O5" i="129" s="1"/>
  <c r="P5" i="129" s="1"/>
  <c r="B9" i="129" s="1"/>
  <c r="C9" i="129" s="1"/>
  <c r="D9" i="129" s="1"/>
  <c r="E9" i="129" s="1"/>
  <c r="F9" i="129" s="1"/>
  <c r="G9" i="129" s="1"/>
  <c r="G10" i="126"/>
  <c r="F10" i="126"/>
  <c r="E10" i="126"/>
  <c r="D10" i="126"/>
  <c r="C10" i="126"/>
  <c r="B10" i="126"/>
  <c r="P6" i="126"/>
  <c r="O6" i="126"/>
  <c r="N6" i="126"/>
  <c r="M6" i="126"/>
  <c r="L6" i="126"/>
  <c r="K6" i="126"/>
  <c r="I6" i="126"/>
  <c r="H6" i="126"/>
  <c r="G6" i="126"/>
  <c r="F6" i="126"/>
  <c r="E6" i="126"/>
  <c r="D6" i="126"/>
  <c r="C6" i="126"/>
  <c r="B6" i="126" l="1"/>
  <c r="H10" i="126" s="1"/>
  <c r="G67" i="100"/>
  <c r="G40" i="100"/>
  <c r="B72" i="100"/>
  <c r="B73" i="100"/>
  <c r="B74" i="100"/>
  <c r="B75" i="100"/>
  <c r="B76" i="100"/>
  <c r="B77" i="100"/>
  <c r="B78" i="100"/>
  <c r="B79" i="100"/>
  <c r="B80" i="100"/>
  <c r="B81" i="100"/>
  <c r="B82" i="100"/>
  <c r="B71" i="100"/>
  <c r="B45" i="100"/>
  <c r="B46" i="100"/>
  <c r="B47" i="100"/>
  <c r="B48" i="100"/>
  <c r="B49" i="100"/>
  <c r="B50" i="100"/>
  <c r="B51" i="100"/>
  <c r="B52" i="100"/>
  <c r="B53" i="100"/>
  <c r="B54" i="100"/>
  <c r="B55" i="100"/>
  <c r="B44" i="100"/>
  <c r="P105" i="99" l="1"/>
  <c r="O105" i="99"/>
  <c r="N105" i="99"/>
  <c r="M105" i="99"/>
  <c r="L105" i="99"/>
  <c r="K105" i="99"/>
  <c r="J105" i="99"/>
  <c r="I105" i="99"/>
  <c r="H105" i="99"/>
  <c r="G105" i="99"/>
  <c r="F105" i="99"/>
  <c r="E105" i="99"/>
  <c r="D105" i="99"/>
  <c r="C105" i="99"/>
  <c r="B105" i="99"/>
  <c r="P104" i="99"/>
  <c r="O104" i="99"/>
  <c r="N104" i="99"/>
  <c r="M104" i="99"/>
  <c r="L104" i="99"/>
  <c r="K104" i="99"/>
  <c r="J104" i="99"/>
  <c r="I104" i="99"/>
  <c r="H104" i="99"/>
  <c r="G104" i="99"/>
  <c r="F104" i="99"/>
  <c r="E104" i="99"/>
  <c r="D104" i="99"/>
  <c r="C104" i="99"/>
  <c r="B104" i="99"/>
  <c r="E103" i="99"/>
  <c r="E102" i="99"/>
  <c r="E101" i="99"/>
  <c r="E100" i="99"/>
  <c r="E99" i="99"/>
  <c r="E98" i="99"/>
  <c r="E97" i="99"/>
  <c r="E96" i="99"/>
  <c r="E95" i="99"/>
  <c r="E94" i="99"/>
  <c r="E93" i="99"/>
  <c r="E92" i="99"/>
  <c r="E91" i="99"/>
  <c r="E90" i="99"/>
  <c r="E89" i="99"/>
  <c r="E88" i="99"/>
  <c r="E87" i="99"/>
  <c r="E86" i="99"/>
  <c r="E85" i="99"/>
  <c r="E84" i="99"/>
  <c r="E83" i="99"/>
  <c r="E82" i="99"/>
  <c r="E81" i="99"/>
  <c r="E80" i="99"/>
  <c r="E79" i="99"/>
  <c r="E78" i="99"/>
  <c r="E77" i="99"/>
  <c r="G34" i="99"/>
  <c r="C34" i="99"/>
  <c r="B34" i="99"/>
  <c r="B17" i="125"/>
  <c r="C17" i="125" s="1"/>
  <c r="C16" i="125"/>
  <c r="B16" i="125"/>
  <c r="B19" i="125" s="1"/>
  <c r="C19" i="125" l="1"/>
  <c r="C5" i="126"/>
  <c r="D5" i="126" s="1"/>
  <c r="E5" i="126" s="1"/>
  <c r="F5" i="126" s="1"/>
  <c r="G5" i="126" s="1"/>
  <c r="H5" i="126" s="1"/>
  <c r="I5" i="126" s="1"/>
  <c r="J5" i="126" s="1"/>
  <c r="K5" i="126" s="1"/>
  <c r="L5" i="126" s="1"/>
  <c r="M5" i="126" s="1"/>
  <c r="N5" i="126" s="1"/>
  <c r="O5" i="126" s="1"/>
  <c r="P5" i="126" s="1"/>
  <c r="B9" i="126" s="1"/>
  <c r="C9" i="126" s="1"/>
  <c r="D9" i="126" s="1"/>
  <c r="E9" i="126" s="1"/>
  <c r="F9" i="126" s="1"/>
  <c r="G9" i="126" s="1"/>
  <c r="D23" i="129" l="1"/>
  <c r="D22" i="129"/>
  <c r="D21" i="129"/>
  <c r="D19" i="129"/>
  <c r="D34" i="99" s="1"/>
  <c r="B20" i="129"/>
  <c r="D20" i="129" l="1"/>
  <c r="A78" i="101"/>
  <c r="A79" i="101"/>
  <c r="A80" i="101"/>
  <c r="A81" i="101"/>
  <c r="A82" i="101"/>
  <c r="A83" i="101"/>
  <c r="A84" i="101"/>
  <c r="A85" i="101"/>
  <c r="A86" i="101"/>
  <c r="A87" i="101"/>
  <c r="A88" i="101"/>
  <c r="A89" i="101"/>
  <c r="A90" i="101"/>
  <c r="A77" i="101"/>
  <c r="A34" i="101" l="1"/>
  <c r="A35" i="101"/>
  <c r="A36" i="101"/>
  <c r="A37" i="101"/>
  <c r="A38" i="101"/>
  <c r="A39" i="101"/>
  <c r="A40" i="101"/>
  <c r="A41" i="101"/>
  <c r="A42" i="101"/>
  <c r="A43" i="101"/>
  <c r="A44" i="101"/>
  <c r="A45" i="101"/>
  <c r="A46" i="101"/>
  <c r="A33" i="101"/>
  <c r="B21" i="125" l="1"/>
  <c r="C10" i="101"/>
  <c r="C21" i="125"/>
  <c r="C36" i="101" l="1"/>
  <c r="C37" i="101" s="1"/>
  <c r="C38" i="101" s="1"/>
  <c r="C39" i="101" s="1"/>
  <c r="C40" i="101" s="1"/>
  <c r="C41" i="101" s="1"/>
  <c r="C42" i="101" s="1"/>
  <c r="C43" i="101" s="1"/>
  <c r="C44" i="101" s="1"/>
  <c r="C45" i="101" s="1"/>
  <c r="C46" i="101" s="1"/>
  <c r="C47" i="101" s="1"/>
  <c r="C49" i="101" l="1"/>
  <c r="C3" i="126"/>
  <c r="C39" i="126" l="1"/>
  <c r="C40" i="126" s="1"/>
  <c r="C37" i="99" s="1"/>
  <c r="C38" i="126"/>
  <c r="C36" i="99" l="1"/>
  <c r="C41" i="126"/>
  <c r="C42" i="126" s="1"/>
  <c r="C35" i="99"/>
  <c r="E23" i="129"/>
  <c r="E22" i="129"/>
  <c r="E21" i="129"/>
  <c r="E19" i="129"/>
  <c r="E34" i="99" s="1"/>
  <c r="E20" i="129"/>
  <c r="B23" i="125"/>
  <c r="I19" i="129" l="1"/>
  <c r="I34" i="99" s="1"/>
  <c r="C43" i="126"/>
  <c r="B25" i="125"/>
  <c r="B27" i="125"/>
  <c r="I20" i="129" l="1"/>
  <c r="L19" i="129"/>
  <c r="L34" i="99" s="1"/>
  <c r="C44" i="126"/>
  <c r="I21" i="129" l="1"/>
  <c r="L20" i="129"/>
  <c r="C45" i="126"/>
  <c r="L21" i="129" l="1"/>
  <c r="I22" i="129"/>
  <c r="C46" i="126"/>
  <c r="L22" i="129" l="1"/>
  <c r="I23" i="129"/>
  <c r="C47" i="126"/>
  <c r="L23" i="129" l="1"/>
  <c r="C48" i="126"/>
  <c r="C49" i="126" l="1"/>
  <c r="C50" i="126" l="1"/>
  <c r="A86" i="100"/>
  <c r="A85" i="100"/>
  <c r="A84" i="100"/>
  <c r="B83" i="100"/>
  <c r="G71" i="100" s="1"/>
  <c r="G72" i="100" s="1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59" i="100"/>
  <c r="A58" i="100"/>
  <c r="A57" i="100"/>
  <c r="B56" i="100"/>
  <c r="G44" i="100" s="1"/>
  <c r="G45" i="100" s="1"/>
  <c r="G46" i="100" s="1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C51" i="126" l="1"/>
  <c r="G73" i="100"/>
  <c r="G47" i="100"/>
  <c r="C52" i="126" l="1"/>
  <c r="G74" i="100"/>
  <c r="G48" i="100"/>
  <c r="C53" i="126" l="1"/>
  <c r="G75" i="100"/>
  <c r="G49" i="100"/>
  <c r="C54" i="126" l="1"/>
  <c r="G76" i="100"/>
  <c r="G50" i="100"/>
  <c r="C55" i="126" l="1"/>
  <c r="G77" i="100"/>
  <c r="G51" i="100"/>
  <c r="C56" i="126" l="1"/>
  <c r="G78" i="100"/>
  <c r="G79" i="100" s="1"/>
  <c r="G52" i="100"/>
  <c r="G53" i="100" s="1"/>
  <c r="C7" i="129"/>
  <c r="D7" i="129" s="1"/>
  <c r="E7" i="129" s="1"/>
  <c r="F7" i="129" s="1"/>
  <c r="G7" i="129" s="1"/>
  <c r="H7" i="129" s="1"/>
  <c r="I7" i="129" s="1"/>
  <c r="J7" i="129" s="1"/>
  <c r="K7" i="129" s="1"/>
  <c r="L7" i="129" s="1"/>
  <c r="M7" i="129" s="1"/>
  <c r="N7" i="129" s="1"/>
  <c r="O7" i="129" s="1"/>
  <c r="P7" i="129" s="1"/>
  <c r="B11" i="129" s="1"/>
  <c r="C11" i="129" s="1"/>
  <c r="D11" i="129" s="1"/>
  <c r="E11" i="129" s="1"/>
  <c r="F11" i="129" s="1"/>
  <c r="G11" i="129" s="1"/>
  <c r="C13" i="128"/>
  <c r="C23" i="125"/>
  <c r="C25" i="125" s="1"/>
  <c r="E11" i="128"/>
  <c r="E10" i="128"/>
  <c r="B13" i="128"/>
  <c r="C3" i="99" s="1"/>
  <c r="C3" i="129"/>
  <c r="C25" i="129" s="1"/>
  <c r="H11" i="129"/>
  <c r="D13" i="128"/>
  <c r="C11" i="101"/>
  <c r="H10" i="128" l="1"/>
  <c r="E13" i="128"/>
  <c r="C15" i="147"/>
  <c r="C12" i="101"/>
  <c r="C13" i="101" s="1"/>
  <c r="C14" i="101" s="1"/>
  <c r="C15" i="101" s="1"/>
  <c r="C16" i="101" s="1"/>
  <c r="C17" i="101" s="1"/>
  <c r="C18" i="101" s="1"/>
  <c r="C19" i="101" s="1"/>
  <c r="C20" i="101" s="1"/>
  <c r="C21" i="101" s="1"/>
  <c r="C22" i="101" s="1"/>
  <c r="C23" i="101" s="1"/>
  <c r="C38" i="99"/>
  <c r="C39" i="99"/>
  <c r="D25" i="125"/>
  <c r="C27" i="125"/>
  <c r="G80" i="100"/>
  <c r="G54" i="100"/>
  <c r="B78" i="101"/>
  <c r="C78" i="101"/>
  <c r="B79" i="101"/>
  <c r="C24" i="101" l="1"/>
  <c r="C91" i="101" s="1"/>
  <c r="C90" i="101"/>
  <c r="C26" i="101"/>
  <c r="D3" i="126"/>
  <c r="B38" i="126" s="1"/>
  <c r="E38" i="126" s="1"/>
  <c r="I10" i="128"/>
  <c r="C26" i="129"/>
  <c r="C40" i="99"/>
  <c r="G81" i="100"/>
  <c r="G55" i="100"/>
  <c r="B80" i="101"/>
  <c r="C79" i="101"/>
  <c r="B39" i="126" l="1"/>
  <c r="D38" i="126"/>
  <c r="B35" i="99"/>
  <c r="C27" i="129"/>
  <c r="C41" i="99"/>
  <c r="G82" i="100"/>
  <c r="C80" i="101"/>
  <c r="B81" i="101"/>
  <c r="E39" i="126" l="1"/>
  <c r="E36" i="99" s="1"/>
  <c r="B36" i="99"/>
  <c r="D35" i="99"/>
  <c r="C28" i="129"/>
  <c r="C42" i="99"/>
  <c r="C81" i="101"/>
  <c r="B82" i="101"/>
  <c r="C29" i="129" l="1"/>
  <c r="C30" i="129" s="1"/>
  <c r="C31" i="129" s="1"/>
  <c r="C32" i="129" s="1"/>
  <c r="C33" i="129" s="1"/>
  <c r="C34" i="129" s="1"/>
  <c r="C35" i="129" s="1"/>
  <c r="C36" i="129" s="1"/>
  <c r="C37" i="129" s="1"/>
  <c r="C82" i="101"/>
  <c r="B83" i="101"/>
  <c r="C38" i="129" l="1"/>
  <c r="C39" i="129" s="1"/>
  <c r="C40" i="129" s="1"/>
  <c r="C41" i="129" s="1"/>
  <c r="C42" i="129" s="1"/>
  <c r="C43" i="129" s="1"/>
  <c r="C44" i="129" s="1"/>
  <c r="C45" i="129" s="1"/>
  <c r="C46" i="129" s="1"/>
  <c r="C47" i="129" s="1"/>
  <c r="C48" i="129" s="1"/>
  <c r="C49" i="129" s="1"/>
  <c r="C50" i="129" s="1"/>
  <c r="C51" i="129" s="1"/>
  <c r="C52" i="129" s="1"/>
  <c r="C53" i="129" s="1"/>
  <c r="C54" i="129" s="1"/>
  <c r="C55" i="129" s="1"/>
  <c r="C56" i="129" s="1"/>
  <c r="C57" i="129" s="1"/>
  <c r="C58" i="129" s="1"/>
  <c r="C59" i="129" s="1"/>
  <c r="C60" i="129" s="1"/>
  <c r="C61" i="129" s="1"/>
  <c r="C62" i="129" s="1"/>
  <c r="C63" i="129" s="1"/>
  <c r="C64" i="129" s="1"/>
  <c r="C65" i="129" s="1"/>
  <c r="C66" i="129" s="1"/>
  <c r="C67" i="129" s="1"/>
  <c r="C68" i="129" s="1"/>
  <c r="C69" i="129" s="1"/>
  <c r="C70" i="129" s="1"/>
  <c r="C71" i="129" s="1"/>
  <c r="C72" i="129" s="1"/>
  <c r="C73" i="129" s="1"/>
  <c r="C74" i="129" s="1"/>
  <c r="C75" i="129" s="1"/>
  <c r="C76" i="129" s="1"/>
  <c r="C77" i="129" s="1"/>
  <c r="C78" i="129" s="1"/>
  <c r="C79" i="129" s="1"/>
  <c r="C80" i="129" s="1"/>
  <c r="C81" i="129" s="1"/>
  <c r="C82" i="129" s="1"/>
  <c r="C83" i="129" s="1"/>
  <c r="C84" i="129" s="1"/>
  <c r="C85" i="129" s="1"/>
  <c r="C86" i="129" s="1"/>
  <c r="C87" i="129" s="1"/>
  <c r="C88" i="129" s="1"/>
  <c r="E24" i="129"/>
  <c r="I24" i="129" s="1"/>
  <c r="D24" i="129"/>
  <c r="C43" i="99"/>
  <c r="E35" i="99"/>
  <c r="B84" i="101"/>
  <c r="C83" i="101"/>
  <c r="L24" i="129" l="1"/>
  <c r="C44" i="99"/>
  <c r="I38" i="126"/>
  <c r="I35" i="99" s="1"/>
  <c r="B40" i="126"/>
  <c r="E40" i="126" s="1"/>
  <c r="D39" i="126"/>
  <c r="D36" i="99" s="1"/>
  <c r="B85" i="101"/>
  <c r="C84" i="101"/>
  <c r="B37" i="99" l="1"/>
  <c r="B41" i="126"/>
  <c r="E41" i="126" s="1"/>
  <c r="L38" i="126"/>
  <c r="L35" i="99" s="1"/>
  <c r="C45" i="99"/>
  <c r="I39" i="126"/>
  <c r="I36" i="99" s="1"/>
  <c r="D40" i="126"/>
  <c r="D37" i="99" s="1"/>
  <c r="C85" i="101"/>
  <c r="B86" i="101"/>
  <c r="B38" i="99" l="1"/>
  <c r="E38" i="99"/>
  <c r="E37" i="99"/>
  <c r="B42" i="126"/>
  <c r="E42" i="126" s="1"/>
  <c r="D41" i="126"/>
  <c r="D38" i="99" s="1"/>
  <c r="L39" i="126"/>
  <c r="L36" i="99" s="1"/>
  <c r="C46" i="99"/>
  <c r="I40" i="126"/>
  <c r="I37" i="99" s="1"/>
  <c r="C86" i="101"/>
  <c r="B87" i="101"/>
  <c r="B39" i="99" l="1"/>
  <c r="I41" i="126"/>
  <c r="I38" i="99" s="1"/>
  <c r="D42" i="126"/>
  <c r="D39" i="99" s="1"/>
  <c r="B43" i="126"/>
  <c r="E43" i="126" s="1"/>
  <c r="L40" i="126"/>
  <c r="L37" i="99" s="1"/>
  <c r="C47" i="99"/>
  <c r="C87" i="101"/>
  <c r="B88" i="101"/>
  <c r="E39" i="99" l="1"/>
  <c r="B44" i="126"/>
  <c r="E44" i="126" s="1"/>
  <c r="D43" i="126"/>
  <c r="I42" i="126"/>
  <c r="I39" i="99" s="1"/>
  <c r="L41" i="126"/>
  <c r="L38" i="99" s="1"/>
  <c r="C48" i="99"/>
  <c r="C88" i="101"/>
  <c r="B89" i="101"/>
  <c r="L42" i="126" l="1"/>
  <c r="L39" i="99" s="1"/>
  <c r="I43" i="126"/>
  <c r="B45" i="126"/>
  <c r="E45" i="126" s="1"/>
  <c r="D44" i="126"/>
  <c r="C49" i="99"/>
  <c r="C89" i="101"/>
  <c r="C93" i="101" s="1"/>
  <c r="L43" i="126" l="1"/>
  <c r="I44" i="126"/>
  <c r="D45" i="126"/>
  <c r="B46" i="126"/>
  <c r="C50" i="99"/>
  <c r="E46" i="126" l="1"/>
  <c r="I45" i="126"/>
  <c r="I46" i="126" s="1"/>
  <c r="L44" i="126"/>
  <c r="B47" i="126"/>
  <c r="D46" i="126"/>
  <c r="C51" i="99"/>
  <c r="B48" i="126"/>
  <c r="E48" i="126" s="1"/>
  <c r="C52" i="99"/>
  <c r="E47" i="126" l="1"/>
  <c r="I47" i="126" s="1"/>
  <c r="D47" i="126"/>
  <c r="L45" i="126"/>
  <c r="L46" i="126"/>
  <c r="B49" i="126"/>
  <c r="D48" i="126"/>
  <c r="C53" i="99"/>
  <c r="B4" i="126" l="1"/>
  <c r="I48" i="126"/>
  <c r="L47" i="126"/>
  <c r="E49" i="126"/>
  <c r="D49" i="126"/>
  <c r="B50" i="126"/>
  <c r="I49" i="126" l="1"/>
  <c r="L48" i="126"/>
  <c r="E50" i="126"/>
  <c r="B51" i="126"/>
  <c r="D50" i="126"/>
  <c r="L49" i="126" l="1"/>
  <c r="I50" i="126"/>
  <c r="E51" i="126"/>
  <c r="D51" i="126"/>
  <c r="B52" i="126"/>
  <c r="L50" i="126" l="1"/>
  <c r="I51" i="126"/>
  <c r="E52" i="126"/>
  <c r="B53" i="126"/>
  <c r="D52" i="126"/>
  <c r="L51" i="126" l="1"/>
  <c r="I52" i="126"/>
  <c r="E53" i="126"/>
  <c r="D53" i="126"/>
  <c r="B54" i="126"/>
  <c r="L52" i="126" l="1"/>
  <c r="I53" i="126"/>
  <c r="E54" i="126"/>
  <c r="D54" i="126"/>
  <c r="B55" i="126"/>
  <c r="I54" i="126" l="1"/>
  <c r="L53" i="126"/>
  <c r="E55" i="126"/>
  <c r="D55" i="126"/>
  <c r="B56" i="126"/>
  <c r="I55" i="126" l="1"/>
  <c r="L54" i="126"/>
  <c r="E56" i="126"/>
  <c r="B57" i="126"/>
  <c r="D56" i="126"/>
  <c r="L55" i="126" l="1"/>
  <c r="I56" i="126"/>
  <c r="E57" i="126"/>
  <c r="D57" i="126"/>
  <c r="B58" i="126"/>
  <c r="I57" i="126" l="1"/>
  <c r="L56" i="126"/>
  <c r="L57" i="126"/>
  <c r="E58" i="126"/>
  <c r="B59" i="126"/>
  <c r="B110" i="126" s="1"/>
  <c r="D58" i="126"/>
  <c r="E59" i="126" l="1"/>
  <c r="E109" i="126" s="1"/>
  <c r="B60" i="126"/>
  <c r="D59" i="126"/>
  <c r="D110" i="126" s="1"/>
  <c r="I58" i="126"/>
  <c r="E60" i="126" l="1"/>
  <c r="I59" i="126"/>
  <c r="I110" i="126" s="1"/>
  <c r="L58" i="126"/>
  <c r="B61" i="126"/>
  <c r="D60" i="126"/>
  <c r="C4" i="126" l="1"/>
  <c r="E61" i="126"/>
  <c r="I60" i="126"/>
  <c r="L59" i="126"/>
  <c r="L110" i="126" s="1"/>
  <c r="B62" i="126"/>
  <c r="D61" i="126"/>
  <c r="D4" i="126" l="1"/>
  <c r="E62" i="126"/>
  <c r="B63" i="126"/>
  <c r="D62" i="126"/>
  <c r="L60" i="126"/>
  <c r="I61" i="126"/>
  <c r="E4" i="126" l="1"/>
  <c r="E63" i="126"/>
  <c r="L61" i="126"/>
  <c r="I62" i="126"/>
  <c r="B64" i="126"/>
  <c r="D63" i="126"/>
  <c r="F4" i="126" l="1"/>
  <c r="E64" i="126"/>
  <c r="B65" i="126"/>
  <c r="D64" i="126"/>
  <c r="L62" i="126"/>
  <c r="I63" i="126"/>
  <c r="G4" i="126" l="1"/>
  <c r="E65" i="126"/>
  <c r="L63" i="126"/>
  <c r="I64" i="126"/>
  <c r="D65" i="126"/>
  <c r="B66" i="126"/>
  <c r="H4" i="126" l="1"/>
  <c r="E66" i="126"/>
  <c r="D66" i="126"/>
  <c r="B67" i="126"/>
  <c r="I65" i="126"/>
  <c r="L64" i="126"/>
  <c r="I4" i="126" l="1"/>
  <c r="E67" i="126"/>
  <c r="J4" i="126" s="1"/>
  <c r="D67" i="126"/>
  <c r="B68" i="126"/>
  <c r="I66" i="126"/>
  <c r="L65" i="126"/>
  <c r="E68" i="126" l="1"/>
  <c r="D68" i="126"/>
  <c r="B69" i="126"/>
  <c r="I67" i="126"/>
  <c r="L66" i="126"/>
  <c r="K4" i="126" l="1"/>
  <c r="E69" i="126"/>
  <c r="D69" i="126"/>
  <c r="B70" i="126"/>
  <c r="I68" i="126"/>
  <c r="L67" i="126"/>
  <c r="L4" i="126" l="1"/>
  <c r="E70" i="126"/>
  <c r="B71" i="126"/>
  <c r="D70" i="126"/>
  <c r="I69" i="126"/>
  <c r="L68" i="126"/>
  <c r="M4" i="126" l="1"/>
  <c r="E71" i="126"/>
  <c r="L69" i="126"/>
  <c r="I70" i="126"/>
  <c r="B72" i="126"/>
  <c r="D71" i="126"/>
  <c r="N4" i="126" l="1"/>
  <c r="E72" i="126"/>
  <c r="D72" i="126"/>
  <c r="B73" i="126"/>
  <c r="I71" i="126"/>
  <c r="L70" i="126"/>
  <c r="O4" i="126" l="1"/>
  <c r="E73" i="126"/>
  <c r="D73" i="126"/>
  <c r="B74" i="126"/>
  <c r="I72" i="126"/>
  <c r="L71" i="126"/>
  <c r="P4" i="126" l="1"/>
  <c r="E74" i="126"/>
  <c r="D74" i="126"/>
  <c r="B75" i="126"/>
  <c r="I73" i="126"/>
  <c r="L72" i="126"/>
  <c r="B8" i="126" l="1"/>
  <c r="E75" i="126"/>
  <c r="D75" i="126"/>
  <c r="B76" i="126"/>
  <c r="I74" i="126"/>
  <c r="L73" i="126"/>
  <c r="C8" i="126" l="1"/>
  <c r="E76" i="126"/>
  <c r="D76" i="126"/>
  <c r="B77" i="126"/>
  <c r="I75" i="126"/>
  <c r="L74" i="126"/>
  <c r="D8" i="126" l="1"/>
  <c r="E77" i="126"/>
  <c r="B78" i="126"/>
  <c r="D77" i="126"/>
  <c r="I76" i="126"/>
  <c r="L75" i="126"/>
  <c r="E8" i="126" l="1"/>
  <c r="E78" i="126"/>
  <c r="L76" i="126"/>
  <c r="I77" i="126"/>
  <c r="B79" i="126"/>
  <c r="D78" i="126"/>
  <c r="F8" i="126" l="1"/>
  <c r="I78" i="126"/>
  <c r="E79" i="126"/>
  <c r="D79" i="126"/>
  <c r="B80" i="126"/>
  <c r="L77" i="126"/>
  <c r="G8" i="126" l="1"/>
  <c r="I79" i="126"/>
  <c r="L78" i="126"/>
  <c r="D80" i="126"/>
  <c r="B81" i="126"/>
  <c r="I80" i="126" l="1"/>
  <c r="L79" i="126"/>
  <c r="B82" i="126"/>
  <c r="D81" i="126"/>
  <c r="I81" i="126" l="1"/>
  <c r="L80" i="126"/>
  <c r="B83" i="126"/>
  <c r="D82" i="126"/>
  <c r="I82" i="126" l="1"/>
  <c r="L81" i="126"/>
  <c r="B84" i="126"/>
  <c r="D83" i="126"/>
  <c r="L82" i="126" l="1"/>
  <c r="I83" i="126"/>
  <c r="D84" i="126"/>
  <c r="B85" i="126"/>
  <c r="L83" i="126" l="1"/>
  <c r="I84" i="126"/>
  <c r="D85" i="126"/>
  <c r="B86" i="126"/>
  <c r="L84" i="126" l="1"/>
  <c r="I85" i="126"/>
  <c r="D86" i="126"/>
  <c r="B87" i="126"/>
  <c r="L85" i="126" l="1"/>
  <c r="I86" i="126"/>
  <c r="D87" i="126"/>
  <c r="B88" i="126"/>
  <c r="L86" i="126" l="1"/>
  <c r="I87" i="126"/>
  <c r="B89" i="126"/>
  <c r="D88" i="126"/>
  <c r="L87" i="126" l="1"/>
  <c r="I88" i="126"/>
  <c r="B90" i="126"/>
  <c r="D89" i="126"/>
  <c r="L88" i="126" l="1"/>
  <c r="B91" i="126"/>
  <c r="D91" i="126" s="1"/>
  <c r="I89" i="126"/>
  <c r="D90" i="126"/>
  <c r="L89" i="126" l="1"/>
  <c r="B92" i="126"/>
  <c r="I90" i="126"/>
  <c r="L90" i="126" s="1"/>
  <c r="B93" i="126" l="1"/>
  <c r="D92" i="126"/>
  <c r="I91" i="126"/>
  <c r="F14" i="129"/>
  <c r="F10" i="99"/>
  <c r="D8" i="101"/>
  <c r="F14" i="126"/>
  <c r="D31" i="101"/>
  <c r="D33" i="101" l="1"/>
  <c r="D47" i="101"/>
  <c r="D10" i="101"/>
  <c r="D24" i="101"/>
  <c r="F25" i="129"/>
  <c r="G24" i="129"/>
  <c r="F38" i="126"/>
  <c r="G38" i="126"/>
  <c r="G51" i="126"/>
  <c r="L91" i="126"/>
  <c r="F23" i="129"/>
  <c r="H23" i="129" s="1"/>
  <c r="F24" i="129"/>
  <c r="D34" i="101"/>
  <c r="D35" i="101"/>
  <c r="G91" i="126"/>
  <c r="G92" i="126"/>
  <c r="G90" i="126"/>
  <c r="F80" i="129"/>
  <c r="F82" i="129"/>
  <c r="F78" i="129"/>
  <c r="F77" i="129"/>
  <c r="F81" i="129"/>
  <c r="F83" i="129"/>
  <c r="F79" i="129"/>
  <c r="F72" i="129"/>
  <c r="F73" i="129"/>
  <c r="F74" i="129"/>
  <c r="F75" i="129"/>
  <c r="F76" i="129"/>
  <c r="I92" i="126"/>
  <c r="L92" i="126" s="1"/>
  <c r="D93" i="126"/>
  <c r="B94" i="126"/>
  <c r="D11" i="101"/>
  <c r="D75" i="101"/>
  <c r="F41" i="126"/>
  <c r="F42" i="126"/>
  <c r="F43" i="126"/>
  <c r="F44" i="126"/>
  <c r="F45" i="126"/>
  <c r="F46" i="126"/>
  <c r="F47" i="126"/>
  <c r="F48" i="126"/>
  <c r="F49" i="126"/>
  <c r="F50" i="126"/>
  <c r="F51" i="126"/>
  <c r="F52" i="126"/>
  <c r="F53" i="126"/>
  <c r="F54" i="126"/>
  <c r="F55" i="126"/>
  <c r="F56" i="126"/>
  <c r="G41" i="126"/>
  <c r="G38" i="99" s="1"/>
  <c r="G42" i="126"/>
  <c r="G39" i="99" s="1"/>
  <c r="G43" i="126"/>
  <c r="G44" i="126"/>
  <c r="G45" i="126"/>
  <c r="G46" i="126"/>
  <c r="G47" i="126"/>
  <c r="G48" i="126"/>
  <c r="G49" i="126"/>
  <c r="G50" i="126"/>
  <c r="G52" i="126"/>
  <c r="G53" i="126"/>
  <c r="G54" i="126"/>
  <c r="G55" i="126"/>
  <c r="G56" i="126"/>
  <c r="G57" i="126"/>
  <c r="F21" i="129"/>
  <c r="H21" i="129" s="1"/>
  <c r="F19" i="129"/>
  <c r="F22" i="129"/>
  <c r="H22" i="129" s="1"/>
  <c r="F20" i="129"/>
  <c r="H20" i="129" s="1"/>
  <c r="F26" i="129"/>
  <c r="G80" i="126"/>
  <c r="G88" i="126"/>
  <c r="G89" i="126"/>
  <c r="D36" i="101"/>
  <c r="D37" i="101"/>
  <c r="D38" i="101"/>
  <c r="F27" i="129"/>
  <c r="F28" i="129"/>
  <c r="F29" i="129"/>
  <c r="F30" i="129"/>
  <c r="F31" i="129"/>
  <c r="F32" i="129"/>
  <c r="F33" i="129"/>
  <c r="F34" i="129"/>
  <c r="F35" i="129"/>
  <c r="F36" i="129"/>
  <c r="F37" i="129"/>
  <c r="F38" i="129"/>
  <c r="F39" i="129"/>
  <c r="F40" i="129"/>
  <c r="F41" i="129"/>
  <c r="F42" i="129"/>
  <c r="F43" i="129"/>
  <c r="F44" i="129"/>
  <c r="F45" i="129"/>
  <c r="F46" i="129"/>
  <c r="F47" i="129"/>
  <c r="F48" i="129"/>
  <c r="F49" i="129"/>
  <c r="F50" i="129"/>
  <c r="F51" i="129"/>
  <c r="F52" i="129"/>
  <c r="F53" i="129"/>
  <c r="F54" i="129"/>
  <c r="F55" i="129"/>
  <c r="F56" i="129"/>
  <c r="F57" i="129"/>
  <c r="F58" i="129"/>
  <c r="F59" i="129"/>
  <c r="F60" i="129"/>
  <c r="F61" i="129"/>
  <c r="F62" i="129"/>
  <c r="F63" i="129"/>
  <c r="F64" i="129"/>
  <c r="F65" i="129"/>
  <c r="F66" i="129"/>
  <c r="F67" i="129"/>
  <c r="F68" i="129"/>
  <c r="F69" i="129"/>
  <c r="F70" i="129"/>
  <c r="F71" i="129"/>
  <c r="F40" i="126"/>
  <c r="F37" i="99" s="1"/>
  <c r="F39" i="126"/>
  <c r="G39" i="126"/>
  <c r="G40" i="126"/>
  <c r="G37" i="99" s="1"/>
  <c r="G58" i="126"/>
  <c r="G59" i="126"/>
  <c r="G60" i="126"/>
  <c r="G61" i="126"/>
  <c r="G83" i="126"/>
  <c r="G74" i="126"/>
  <c r="G69" i="126"/>
  <c r="G73" i="126"/>
  <c r="G77" i="126"/>
  <c r="G82" i="126"/>
  <c r="G84" i="126"/>
  <c r="G86" i="126"/>
  <c r="G68" i="126"/>
  <c r="G72" i="126"/>
  <c r="G76" i="126"/>
  <c r="G67" i="126"/>
  <c r="G71" i="126"/>
  <c r="G75" i="126"/>
  <c r="G79" i="126"/>
  <c r="G81" i="126"/>
  <c r="G85" i="126"/>
  <c r="G87" i="126"/>
  <c r="G70" i="126"/>
  <c r="G78" i="126"/>
  <c r="G66" i="126"/>
  <c r="G64" i="126"/>
  <c r="G65" i="126"/>
  <c r="G62" i="126"/>
  <c r="G63" i="126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G109" i="126" l="1"/>
  <c r="F91" i="129"/>
  <c r="D91" i="101"/>
  <c r="D25" i="101"/>
  <c r="H24" i="129"/>
  <c r="F34" i="99"/>
  <c r="G35" i="99"/>
  <c r="F35" i="99"/>
  <c r="G93" i="126"/>
  <c r="I93" i="126"/>
  <c r="L93" i="126" s="1"/>
  <c r="G36" i="99"/>
  <c r="F52" i="99"/>
  <c r="F50" i="99"/>
  <c r="F48" i="99"/>
  <c r="F46" i="99"/>
  <c r="F44" i="99"/>
  <c r="F42" i="99"/>
  <c r="F40" i="99"/>
  <c r="F38" i="99"/>
  <c r="F36" i="99"/>
  <c r="F53" i="99"/>
  <c r="F51" i="99"/>
  <c r="F49" i="99"/>
  <c r="F47" i="99"/>
  <c r="F45" i="99"/>
  <c r="F43" i="99"/>
  <c r="F41" i="99"/>
  <c r="F39" i="99"/>
  <c r="B95" i="126"/>
  <c r="D94" i="126"/>
  <c r="H55" i="126"/>
  <c r="H53" i="126"/>
  <c r="H51" i="126"/>
  <c r="H47" i="126"/>
  <c r="H45" i="126"/>
  <c r="H43" i="126"/>
  <c r="H41" i="126"/>
  <c r="H38" i="99" s="1"/>
  <c r="H46" i="126"/>
  <c r="H56" i="126"/>
  <c r="H54" i="126"/>
  <c r="H52" i="126"/>
  <c r="H50" i="126"/>
  <c r="H48" i="126"/>
  <c r="H44" i="126"/>
  <c r="H42" i="126"/>
  <c r="H49" i="126"/>
  <c r="J19" i="129"/>
  <c r="J34" i="99" s="1"/>
  <c r="H19" i="129"/>
  <c r="H34" i="99" s="1"/>
  <c r="H38" i="126"/>
  <c r="H39" i="126"/>
  <c r="H40" i="126"/>
  <c r="H37" i="99" s="1"/>
  <c r="H39" i="99" l="1"/>
  <c r="F84" i="129"/>
  <c r="H35" i="99"/>
  <c r="G94" i="126"/>
  <c r="I94" i="126"/>
  <c r="L94" i="126" s="1"/>
  <c r="H36" i="99"/>
  <c r="D95" i="126"/>
  <c r="B96" i="126"/>
  <c r="K19" i="129"/>
  <c r="J20" i="129"/>
  <c r="F85" i="129" l="1"/>
  <c r="G95" i="126"/>
  <c r="I95" i="126"/>
  <c r="L95" i="126" s="1"/>
  <c r="M19" i="129"/>
  <c r="M34" i="99" s="1"/>
  <c r="K34" i="99"/>
  <c r="B97" i="126"/>
  <c r="D96" i="126"/>
  <c r="K20" i="129"/>
  <c r="K21" i="129" s="1"/>
  <c r="K22" i="129" s="1"/>
  <c r="K23" i="129" s="1"/>
  <c r="K24" i="129" s="1"/>
  <c r="J21" i="129"/>
  <c r="A2" i="99"/>
  <c r="M20" i="129" l="1"/>
  <c r="N20" i="129" s="1"/>
  <c r="O20" i="129" s="1"/>
  <c r="N19" i="129"/>
  <c r="N34" i="99" s="1"/>
  <c r="G96" i="126"/>
  <c r="I96" i="126"/>
  <c r="L96" i="126" s="1"/>
  <c r="D97" i="126"/>
  <c r="B98" i="126"/>
  <c r="J22" i="129"/>
  <c r="M21" i="129"/>
  <c r="N21" i="129" s="1"/>
  <c r="O21" i="129" s="1"/>
  <c r="K38" i="126"/>
  <c r="K35" i="99" s="1"/>
  <c r="J38" i="126"/>
  <c r="J35" i="99" s="1"/>
  <c r="P21" i="129" l="1"/>
  <c r="O19" i="129"/>
  <c r="O34" i="99" s="1"/>
  <c r="D98" i="126"/>
  <c r="B99" i="126"/>
  <c r="G97" i="126"/>
  <c r="I97" i="126"/>
  <c r="L97" i="126" s="1"/>
  <c r="K39" i="126"/>
  <c r="K36" i="99" s="1"/>
  <c r="P20" i="129"/>
  <c r="J23" i="129"/>
  <c r="M22" i="129"/>
  <c r="N22" i="129" s="1"/>
  <c r="O22" i="129" s="1"/>
  <c r="P22" i="129" s="1"/>
  <c r="M38" i="126"/>
  <c r="M35" i="99" s="1"/>
  <c r="J39" i="126"/>
  <c r="J36" i="99" s="1"/>
  <c r="P19" i="129" l="1"/>
  <c r="P34" i="99" s="1"/>
  <c r="I98" i="126"/>
  <c r="L98" i="126" s="1"/>
  <c r="D99" i="126"/>
  <c r="B100" i="126"/>
  <c r="G98" i="126"/>
  <c r="K40" i="126"/>
  <c r="K37" i="99" s="1"/>
  <c r="J24" i="129"/>
  <c r="M23" i="129"/>
  <c r="N23" i="129" s="1"/>
  <c r="O23" i="129" s="1"/>
  <c r="N38" i="126"/>
  <c r="N35" i="99" s="1"/>
  <c r="M39" i="126"/>
  <c r="M36" i="99" s="1"/>
  <c r="J40" i="126"/>
  <c r="J37" i="99" s="1"/>
  <c r="G99" i="126" l="1"/>
  <c r="B101" i="126"/>
  <c r="D100" i="126"/>
  <c r="I99" i="126"/>
  <c r="L99" i="126" s="1"/>
  <c r="K41" i="126"/>
  <c r="K38" i="99" s="1"/>
  <c r="P23" i="129"/>
  <c r="J25" i="129"/>
  <c r="M24" i="129"/>
  <c r="N24" i="129" s="1"/>
  <c r="O24" i="129" s="1"/>
  <c r="P24" i="129" s="1"/>
  <c r="M40" i="126"/>
  <c r="M37" i="99" s="1"/>
  <c r="J41" i="126"/>
  <c r="J38" i="99" s="1"/>
  <c r="N39" i="126"/>
  <c r="N36" i="99" s="1"/>
  <c r="I100" i="126" l="1"/>
  <c r="L100" i="126" s="1"/>
  <c r="D101" i="126"/>
  <c r="B102" i="126"/>
  <c r="G100" i="126"/>
  <c r="N40" i="126"/>
  <c r="N37" i="99" s="1"/>
  <c r="K42" i="126"/>
  <c r="K39" i="99" s="1"/>
  <c r="J26" i="129"/>
  <c r="J42" i="126"/>
  <c r="J39" i="99" s="1"/>
  <c r="M41" i="126"/>
  <c r="M38" i="99" s="1"/>
  <c r="O38" i="126"/>
  <c r="O35" i="99" s="1"/>
  <c r="G101" i="126" l="1"/>
  <c r="I101" i="126"/>
  <c r="L101" i="126" s="1"/>
  <c r="B103" i="126"/>
  <c r="D102" i="126"/>
  <c r="P38" i="126"/>
  <c r="P35" i="99" s="1"/>
  <c r="N41" i="126"/>
  <c r="N38" i="99" s="1"/>
  <c r="K43" i="126"/>
  <c r="J27" i="129"/>
  <c r="E33" i="101" s="1"/>
  <c r="E34" i="101" s="1"/>
  <c r="E35" i="101" s="1"/>
  <c r="J43" i="126"/>
  <c r="M42" i="126"/>
  <c r="M39" i="99" s="1"/>
  <c r="I102" i="126" l="1"/>
  <c r="L102" i="126" s="1"/>
  <c r="D103" i="126"/>
  <c r="B104" i="126"/>
  <c r="J40" i="99"/>
  <c r="G102" i="126"/>
  <c r="N42" i="126"/>
  <c r="N39" i="99" s="1"/>
  <c r="K44" i="126"/>
  <c r="O41" i="126"/>
  <c r="O38" i="99" s="1"/>
  <c r="J28" i="129"/>
  <c r="J44" i="126"/>
  <c r="J41" i="99" s="1"/>
  <c r="M43" i="126"/>
  <c r="O39" i="126"/>
  <c r="O36" i="99" s="1"/>
  <c r="G103" i="126" l="1"/>
  <c r="I103" i="126"/>
  <c r="L103" i="126" s="1"/>
  <c r="B105" i="126"/>
  <c r="D104" i="126"/>
  <c r="P39" i="126"/>
  <c r="P36" i="99" s="1"/>
  <c r="N43" i="126"/>
  <c r="K45" i="126"/>
  <c r="O42" i="126"/>
  <c r="O39" i="99" s="1"/>
  <c r="J29" i="129"/>
  <c r="J45" i="126"/>
  <c r="M44" i="126"/>
  <c r="O40" i="126"/>
  <c r="O37" i="99" s="1"/>
  <c r="J42" i="99" l="1"/>
  <c r="E10" i="101"/>
  <c r="D105" i="126"/>
  <c r="B106" i="126"/>
  <c r="I104" i="126"/>
  <c r="L104" i="126" s="1"/>
  <c r="P41" i="126"/>
  <c r="P38" i="99" s="1"/>
  <c r="O43" i="126"/>
  <c r="P42" i="126"/>
  <c r="P39" i="99" s="1"/>
  <c r="K46" i="126"/>
  <c r="J30" i="129"/>
  <c r="N44" i="126"/>
  <c r="J46" i="126"/>
  <c r="M45" i="126"/>
  <c r="P40" i="126"/>
  <c r="P37" i="99" s="1"/>
  <c r="E77" i="101" l="1"/>
  <c r="E11" i="101"/>
  <c r="E12" i="101" s="1"/>
  <c r="E13" i="101" s="1"/>
  <c r="E14" i="101" s="1"/>
  <c r="E15" i="101" s="1"/>
  <c r="E16" i="101" s="1"/>
  <c r="E17" i="101" s="1"/>
  <c r="E18" i="101" s="1"/>
  <c r="E19" i="101" s="1"/>
  <c r="E20" i="101" s="1"/>
  <c r="E21" i="101" s="1"/>
  <c r="E22" i="101" s="1"/>
  <c r="E23" i="101" s="1"/>
  <c r="E24" i="101" s="1"/>
  <c r="E26" i="101" s="1"/>
  <c r="J43" i="99"/>
  <c r="I105" i="126"/>
  <c r="L105" i="126" s="1"/>
  <c r="D106" i="126"/>
  <c r="P43" i="126"/>
  <c r="N45" i="126"/>
  <c r="O44" i="126"/>
  <c r="P44" i="126" s="1"/>
  <c r="K47" i="126"/>
  <c r="J31" i="129"/>
  <c r="J47" i="126"/>
  <c r="M46" i="126"/>
  <c r="J44" i="99" l="1"/>
  <c r="I106" i="126"/>
  <c r="L106" i="126" s="1"/>
  <c r="N46" i="126"/>
  <c r="K48" i="126"/>
  <c r="O45" i="126"/>
  <c r="J32" i="129"/>
  <c r="J48" i="126"/>
  <c r="J45" i="99" s="1"/>
  <c r="M47" i="126"/>
  <c r="P45" i="126" l="1"/>
  <c r="N47" i="126"/>
  <c r="K49" i="126"/>
  <c r="O46" i="126"/>
  <c r="J33" i="129"/>
  <c r="J49" i="126"/>
  <c r="J46" i="99" s="1"/>
  <c r="M48" i="126"/>
  <c r="N48" i="126" l="1"/>
  <c r="P46" i="126"/>
  <c r="K50" i="126"/>
  <c r="O47" i="126"/>
  <c r="J34" i="129"/>
  <c r="J50" i="126"/>
  <c r="J47" i="99" s="1"/>
  <c r="M49" i="126"/>
  <c r="E43" i="100" l="1"/>
  <c r="N49" i="126"/>
  <c r="P47" i="126"/>
  <c r="D43" i="100" s="1"/>
  <c r="K51" i="126"/>
  <c r="O48" i="126"/>
  <c r="J35" i="129"/>
  <c r="J51" i="126"/>
  <c r="J48" i="99" s="1"/>
  <c r="M50" i="126"/>
  <c r="I43" i="100"/>
  <c r="N50" i="126" l="1"/>
  <c r="P48" i="126"/>
  <c r="K52" i="126"/>
  <c r="O49" i="126"/>
  <c r="J36" i="129"/>
  <c r="J52" i="126"/>
  <c r="J49" i="99" s="1"/>
  <c r="M51" i="126"/>
  <c r="D44" i="100" l="1"/>
  <c r="E44" i="100" s="1"/>
  <c r="P49" i="126"/>
  <c r="D45" i="100" s="1"/>
  <c r="N51" i="126"/>
  <c r="K53" i="126"/>
  <c r="O50" i="126"/>
  <c r="J37" i="129"/>
  <c r="J53" i="126"/>
  <c r="J50" i="99" s="1"/>
  <c r="M52" i="126"/>
  <c r="N52" i="126" l="1"/>
  <c r="P50" i="126"/>
  <c r="D46" i="100" s="1"/>
  <c r="K54" i="126"/>
  <c r="O51" i="126"/>
  <c r="J38" i="129"/>
  <c r="J54" i="126"/>
  <c r="J51" i="99" s="1"/>
  <c r="M53" i="126"/>
  <c r="E45" i="100"/>
  <c r="A32" i="100"/>
  <c r="A31" i="100"/>
  <c r="A30" i="100"/>
  <c r="A29" i="100"/>
  <c r="A28" i="100"/>
  <c r="B29" i="100"/>
  <c r="G17" i="100" s="1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D29" i="49"/>
  <c r="D31" i="49" s="1"/>
  <c r="F26" i="49"/>
  <c r="D15" i="49"/>
  <c r="A11" i="49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F24" i="49"/>
  <c r="F17" i="100" l="1"/>
  <c r="G18" i="100"/>
  <c r="N53" i="126"/>
  <c r="P51" i="126"/>
  <c r="D47" i="100" s="1"/>
  <c r="K55" i="126"/>
  <c r="O52" i="126"/>
  <c r="J39" i="129"/>
  <c r="J55" i="126"/>
  <c r="J52" i="99" s="1"/>
  <c r="M54" i="126"/>
  <c r="F71" i="100"/>
  <c r="E46" i="100"/>
  <c r="F18" i="100" l="1"/>
  <c r="G19" i="100"/>
  <c r="F44" i="100"/>
  <c r="H44" i="100" s="1"/>
  <c r="I44" i="100" s="1"/>
  <c r="N54" i="126"/>
  <c r="P52" i="126"/>
  <c r="D48" i="100" s="1"/>
  <c r="K56" i="126"/>
  <c r="O53" i="126"/>
  <c r="J40" i="129"/>
  <c r="J56" i="126"/>
  <c r="J53" i="99" s="1"/>
  <c r="M55" i="126"/>
  <c r="E47" i="100"/>
  <c r="F19" i="100" l="1"/>
  <c r="G20" i="100"/>
  <c r="F45" i="100"/>
  <c r="H45" i="100" s="1"/>
  <c r="I45" i="100" s="1"/>
  <c r="F72" i="100"/>
  <c r="N55" i="126"/>
  <c r="P53" i="126"/>
  <c r="D49" i="100" s="1"/>
  <c r="O54" i="126"/>
  <c r="J41" i="129"/>
  <c r="J92" i="129" s="1"/>
  <c r="M56" i="126"/>
  <c r="F46" i="100"/>
  <c r="H46" i="100" s="1"/>
  <c r="E48" i="100"/>
  <c r="E36" i="101"/>
  <c r="E12" i="49"/>
  <c r="F20" i="100" l="1"/>
  <c r="G21" i="100"/>
  <c r="F73" i="100"/>
  <c r="P54" i="126"/>
  <c r="D50" i="100" s="1"/>
  <c r="O55" i="126"/>
  <c r="J42" i="129"/>
  <c r="N56" i="126"/>
  <c r="I46" i="100"/>
  <c r="E49" i="100"/>
  <c r="F21" i="100" l="1"/>
  <c r="G22" i="100"/>
  <c r="F47" i="100"/>
  <c r="H47" i="100" s="1"/>
  <c r="I47" i="100" s="1"/>
  <c r="F74" i="100"/>
  <c r="O56" i="126"/>
  <c r="P55" i="126"/>
  <c r="D51" i="100" s="1"/>
  <c r="J43" i="129"/>
  <c r="F75" i="100"/>
  <c r="F48" i="100"/>
  <c r="H48" i="100" s="1"/>
  <c r="E50" i="100"/>
  <c r="F27" i="49"/>
  <c r="D39" i="101"/>
  <c r="F22" i="100" l="1"/>
  <c r="G23" i="100"/>
  <c r="I48" i="100"/>
  <c r="P56" i="126"/>
  <c r="D52" i="100" s="1"/>
  <c r="J44" i="129"/>
  <c r="F49" i="100"/>
  <c r="H49" i="100" s="1"/>
  <c r="E51" i="100"/>
  <c r="D40" i="101"/>
  <c r="F23" i="100" l="1"/>
  <c r="G24" i="100"/>
  <c r="F76" i="100"/>
  <c r="J45" i="129"/>
  <c r="I49" i="100"/>
  <c r="F77" i="100"/>
  <c r="E52" i="100"/>
  <c r="D41" i="101"/>
  <c r="F24" i="100" l="1"/>
  <c r="G25" i="100"/>
  <c r="F50" i="100"/>
  <c r="H50" i="100" s="1"/>
  <c r="I50" i="100" s="1"/>
  <c r="J46" i="129"/>
  <c r="D42" i="101"/>
  <c r="F25" i="100" l="1"/>
  <c r="G26" i="100"/>
  <c r="F51" i="100"/>
  <c r="H51" i="100" s="1"/>
  <c r="I51" i="100" s="1"/>
  <c r="F78" i="100"/>
  <c r="J47" i="129"/>
  <c r="D43" i="101"/>
  <c r="F26" i="100" l="1"/>
  <c r="G27" i="100"/>
  <c r="F52" i="100"/>
  <c r="H52" i="100" s="1"/>
  <c r="I52" i="100" s="1"/>
  <c r="F79" i="100"/>
  <c r="J48" i="129"/>
  <c r="F80" i="100"/>
  <c r="F53" i="100"/>
  <c r="D44" i="101"/>
  <c r="F27" i="100" l="1"/>
  <c r="G28" i="100"/>
  <c r="F28" i="100" s="1"/>
  <c r="J49" i="129"/>
  <c r="F81" i="100"/>
  <c r="F54" i="100"/>
  <c r="D45" i="101"/>
  <c r="J50" i="129" l="1"/>
  <c r="F55" i="100" l="1"/>
  <c r="F82" i="100"/>
  <c r="J51" i="129"/>
  <c r="D46" i="101"/>
  <c r="D48" i="101" l="1"/>
  <c r="D90" i="101"/>
  <c r="J52" i="129"/>
  <c r="J53" i="129" l="1"/>
  <c r="J54" i="129" l="1"/>
  <c r="F12" i="49"/>
  <c r="J55" i="129" l="1"/>
  <c r="J56" i="129" l="1"/>
  <c r="J57" i="129" l="1"/>
  <c r="J58" i="129" l="1"/>
  <c r="J59" i="129" l="1"/>
  <c r="J60" i="129" l="1"/>
  <c r="J61" i="129" l="1"/>
  <c r="J62" i="129" l="1"/>
  <c r="J63" i="129" l="1"/>
  <c r="J64" i="129" l="1"/>
  <c r="J65" i="129" l="1"/>
  <c r="J66" i="129" l="1"/>
  <c r="J67" i="129" l="1"/>
  <c r="J68" i="129" l="1"/>
  <c r="J69" i="129" l="1"/>
  <c r="J70" i="129" l="1"/>
  <c r="J71" i="129" l="1"/>
  <c r="J72" i="129" l="1"/>
  <c r="J73" i="129" l="1"/>
  <c r="J74" i="129" l="1"/>
  <c r="E29" i="49"/>
  <c r="F25" i="49"/>
  <c r="J75" i="129" l="1"/>
  <c r="F29" i="49"/>
  <c r="J76" i="129" l="1"/>
  <c r="J77" i="129" s="1"/>
  <c r="J78" i="129" l="1"/>
  <c r="J79" i="129" s="1"/>
  <c r="J80" i="129" s="1"/>
  <c r="J81" i="129" s="1"/>
  <c r="J82" i="129" s="1"/>
  <c r="J83" i="129" s="1"/>
  <c r="J84" i="129" s="1"/>
  <c r="J85" i="129" s="1"/>
  <c r="F86" i="129" l="1"/>
  <c r="J86" i="129" s="1"/>
  <c r="D78" i="101"/>
  <c r="E78" i="101" s="1"/>
  <c r="D79" i="101"/>
  <c r="D80" i="101"/>
  <c r="D81" i="101"/>
  <c r="D82" i="101"/>
  <c r="D83" i="101"/>
  <c r="D84" i="101"/>
  <c r="D85" i="101"/>
  <c r="D86" i="101"/>
  <c r="D87" i="101"/>
  <c r="D88" i="101"/>
  <c r="D89" i="101"/>
  <c r="E37" i="101"/>
  <c r="E38" i="101" s="1"/>
  <c r="E39" i="101" s="1"/>
  <c r="E40" i="101" s="1"/>
  <c r="E41" i="101" s="1"/>
  <c r="E42" i="101" s="1"/>
  <c r="E43" i="101" s="1"/>
  <c r="E44" i="101" s="1"/>
  <c r="E45" i="101" s="1"/>
  <c r="D92" i="101" l="1"/>
  <c r="F87" i="129"/>
  <c r="J87" i="129" s="1"/>
  <c r="F88" i="129" s="1"/>
  <c r="E46" i="101"/>
  <c r="E47" i="101" s="1"/>
  <c r="E49" i="101" s="1"/>
  <c r="J88" i="129" l="1"/>
  <c r="E79" i="101"/>
  <c r="E80" i="101" l="1"/>
  <c r="E81" i="101" s="1"/>
  <c r="E82" i="101" s="1"/>
  <c r="E83" i="101" s="1"/>
  <c r="E84" i="101" s="1"/>
  <c r="E85" i="101" s="1"/>
  <c r="E86" i="101" s="1"/>
  <c r="E87" i="101" s="1"/>
  <c r="E88" i="101" s="1"/>
  <c r="E89" i="101" s="1"/>
  <c r="E90" i="101" s="1"/>
  <c r="E91" i="101" s="1"/>
  <c r="E93" i="101" s="1"/>
  <c r="E13" i="49" s="1"/>
  <c r="F13" i="49" l="1"/>
  <c r="C57" i="126" l="1"/>
  <c r="P32" i="126"/>
  <c r="O32" i="126"/>
  <c r="N32" i="126"/>
  <c r="M32" i="126"/>
  <c r="L32" i="126"/>
  <c r="K32" i="126"/>
  <c r="J32" i="126"/>
  <c r="I32" i="126"/>
  <c r="G32" i="126"/>
  <c r="F32" i="126"/>
  <c r="E32" i="126"/>
  <c r="D32" i="126"/>
  <c r="C32" i="126"/>
  <c r="B32" i="126"/>
  <c r="P31" i="126"/>
  <c r="O31" i="126"/>
  <c r="N31" i="126"/>
  <c r="M31" i="126"/>
  <c r="L31" i="126"/>
  <c r="K31" i="126"/>
  <c r="J31" i="126"/>
  <c r="I31" i="126"/>
  <c r="G31" i="126"/>
  <c r="F31" i="126"/>
  <c r="E31" i="126"/>
  <c r="D31" i="126"/>
  <c r="C31" i="126"/>
  <c r="B31" i="126"/>
  <c r="P30" i="126"/>
  <c r="O30" i="126"/>
  <c r="N30" i="126"/>
  <c r="M30" i="126"/>
  <c r="L30" i="126"/>
  <c r="K30" i="126"/>
  <c r="J30" i="126"/>
  <c r="I30" i="126"/>
  <c r="G30" i="126"/>
  <c r="F30" i="126"/>
  <c r="E30" i="126"/>
  <c r="D30" i="126"/>
  <c r="C30" i="126"/>
  <c r="B30" i="126"/>
  <c r="P29" i="126"/>
  <c r="O29" i="126"/>
  <c r="N29" i="126"/>
  <c r="M29" i="126"/>
  <c r="L29" i="126"/>
  <c r="K29" i="126"/>
  <c r="J29" i="126"/>
  <c r="I29" i="126"/>
  <c r="G29" i="126"/>
  <c r="F29" i="126"/>
  <c r="E29" i="126"/>
  <c r="D29" i="126"/>
  <c r="C29" i="126"/>
  <c r="B29" i="126"/>
  <c r="P28" i="126"/>
  <c r="O28" i="126"/>
  <c r="N28" i="126"/>
  <c r="M28" i="126"/>
  <c r="L28" i="126"/>
  <c r="K28" i="126"/>
  <c r="J28" i="126"/>
  <c r="I28" i="126"/>
  <c r="G28" i="126"/>
  <c r="F28" i="126"/>
  <c r="E28" i="126"/>
  <c r="D28" i="126"/>
  <c r="C28" i="126"/>
  <c r="B28" i="126"/>
  <c r="P27" i="126"/>
  <c r="O27" i="126"/>
  <c r="N27" i="126"/>
  <c r="M27" i="126"/>
  <c r="L27" i="126"/>
  <c r="K27" i="126"/>
  <c r="J27" i="126"/>
  <c r="I27" i="126"/>
  <c r="G27" i="126"/>
  <c r="F27" i="126"/>
  <c r="E27" i="126"/>
  <c r="D27" i="126"/>
  <c r="C27" i="126"/>
  <c r="B27" i="126"/>
  <c r="P26" i="126"/>
  <c r="O26" i="126"/>
  <c r="N26" i="126"/>
  <c r="M26" i="126"/>
  <c r="L26" i="126"/>
  <c r="K26" i="126"/>
  <c r="J26" i="126"/>
  <c r="I26" i="126"/>
  <c r="G26" i="126"/>
  <c r="F26" i="126"/>
  <c r="E26" i="126"/>
  <c r="D26" i="126"/>
  <c r="C26" i="126"/>
  <c r="B26" i="126"/>
  <c r="P25" i="126"/>
  <c r="O25" i="126"/>
  <c r="N25" i="126"/>
  <c r="M25" i="126"/>
  <c r="L25" i="126"/>
  <c r="K25" i="126"/>
  <c r="J25" i="126"/>
  <c r="I25" i="126"/>
  <c r="G25" i="126"/>
  <c r="F25" i="126"/>
  <c r="E25" i="126"/>
  <c r="D25" i="126"/>
  <c r="C25" i="126"/>
  <c r="B25" i="126"/>
  <c r="P24" i="126"/>
  <c r="O24" i="126"/>
  <c r="N24" i="126"/>
  <c r="M24" i="126"/>
  <c r="L24" i="126"/>
  <c r="K24" i="126"/>
  <c r="J24" i="126"/>
  <c r="I24" i="126"/>
  <c r="G24" i="126"/>
  <c r="F24" i="126"/>
  <c r="E24" i="126"/>
  <c r="D24" i="126"/>
  <c r="C24" i="126"/>
  <c r="B24" i="126"/>
  <c r="P23" i="126"/>
  <c r="O23" i="126"/>
  <c r="N23" i="126"/>
  <c r="M23" i="126"/>
  <c r="L23" i="126"/>
  <c r="K23" i="126"/>
  <c r="J23" i="126"/>
  <c r="I23" i="126"/>
  <c r="G23" i="126"/>
  <c r="F23" i="126"/>
  <c r="E23" i="126"/>
  <c r="D23" i="126"/>
  <c r="C23" i="126"/>
  <c r="B23" i="126"/>
  <c r="P22" i="126"/>
  <c r="O22" i="126"/>
  <c r="N22" i="126"/>
  <c r="M22" i="126"/>
  <c r="L22" i="126"/>
  <c r="K22" i="126"/>
  <c r="J22" i="126"/>
  <c r="I22" i="126"/>
  <c r="G22" i="126"/>
  <c r="F22" i="126"/>
  <c r="E22" i="126"/>
  <c r="D22" i="126"/>
  <c r="C22" i="126"/>
  <c r="B22" i="126"/>
  <c r="P21" i="126"/>
  <c r="O21" i="126"/>
  <c r="N21" i="126"/>
  <c r="M21" i="126"/>
  <c r="L21" i="126"/>
  <c r="K21" i="126"/>
  <c r="J21" i="126"/>
  <c r="I21" i="126"/>
  <c r="G21" i="126"/>
  <c r="F21" i="126"/>
  <c r="E21" i="126"/>
  <c r="B21" i="126"/>
  <c r="P20" i="126"/>
  <c r="O20" i="126"/>
  <c r="N20" i="126"/>
  <c r="M20" i="126"/>
  <c r="L20" i="126"/>
  <c r="K20" i="126"/>
  <c r="J20" i="126"/>
  <c r="I20" i="126"/>
  <c r="G20" i="126"/>
  <c r="F20" i="126"/>
  <c r="E20" i="126"/>
  <c r="B20" i="126"/>
  <c r="P19" i="126"/>
  <c r="O19" i="126"/>
  <c r="N19" i="126"/>
  <c r="M19" i="126"/>
  <c r="L19" i="126"/>
  <c r="K19" i="126"/>
  <c r="J19" i="126"/>
  <c r="I19" i="126"/>
  <c r="G19" i="126"/>
  <c r="F19" i="126"/>
  <c r="E19" i="126"/>
  <c r="H11" i="126"/>
  <c r="G11" i="126"/>
  <c r="F11" i="126"/>
  <c r="E11" i="126"/>
  <c r="D11" i="126"/>
  <c r="C11" i="126"/>
  <c r="B11" i="126"/>
  <c r="P7" i="126"/>
  <c r="O7" i="126"/>
  <c r="N7" i="126"/>
  <c r="M7" i="126"/>
  <c r="L7" i="126"/>
  <c r="K7" i="126"/>
  <c r="J7" i="126"/>
  <c r="I7" i="126"/>
  <c r="H7" i="126"/>
  <c r="G7" i="126"/>
  <c r="F7" i="126"/>
  <c r="E7" i="126"/>
  <c r="D7" i="126"/>
  <c r="C7" i="126"/>
  <c r="P28" i="99"/>
  <c r="O28" i="99"/>
  <c r="N28" i="99"/>
  <c r="M28" i="99"/>
  <c r="L28" i="99"/>
  <c r="K28" i="99"/>
  <c r="J28" i="99"/>
  <c r="I28" i="99"/>
  <c r="G28" i="99"/>
  <c r="F28" i="99"/>
  <c r="E28" i="99"/>
  <c r="D28" i="99"/>
  <c r="C28" i="99"/>
  <c r="B28" i="99"/>
  <c r="P27" i="99"/>
  <c r="O27" i="99"/>
  <c r="N27" i="99"/>
  <c r="M27" i="99"/>
  <c r="L27" i="99"/>
  <c r="K27" i="99"/>
  <c r="J27" i="99"/>
  <c r="I27" i="99"/>
  <c r="G27" i="99"/>
  <c r="F27" i="99"/>
  <c r="E27" i="99"/>
  <c r="D27" i="99"/>
  <c r="C27" i="99"/>
  <c r="B27" i="99"/>
  <c r="P26" i="99"/>
  <c r="O26" i="99"/>
  <c r="N26" i="99"/>
  <c r="M26" i="99"/>
  <c r="L26" i="99"/>
  <c r="K26" i="99"/>
  <c r="J26" i="99"/>
  <c r="I26" i="99"/>
  <c r="G26" i="99"/>
  <c r="F26" i="99"/>
  <c r="E26" i="99"/>
  <c r="D26" i="99"/>
  <c r="C26" i="99"/>
  <c r="B26" i="99"/>
  <c r="P25" i="99"/>
  <c r="O25" i="99"/>
  <c r="N25" i="99"/>
  <c r="M25" i="99"/>
  <c r="L25" i="99"/>
  <c r="K25" i="99"/>
  <c r="J25" i="99"/>
  <c r="I25" i="99"/>
  <c r="G25" i="99"/>
  <c r="F25" i="99"/>
  <c r="E25" i="99"/>
  <c r="D25" i="99"/>
  <c r="C25" i="99"/>
  <c r="B25" i="99"/>
  <c r="P24" i="99"/>
  <c r="O24" i="99"/>
  <c r="N24" i="99"/>
  <c r="M24" i="99"/>
  <c r="L24" i="99"/>
  <c r="K24" i="99"/>
  <c r="J24" i="99"/>
  <c r="I24" i="99"/>
  <c r="G24" i="99"/>
  <c r="F24" i="99"/>
  <c r="E24" i="99"/>
  <c r="D24" i="99"/>
  <c r="C24" i="99"/>
  <c r="B24" i="99"/>
  <c r="P23" i="99"/>
  <c r="O23" i="99"/>
  <c r="N23" i="99"/>
  <c r="M23" i="99"/>
  <c r="L23" i="99"/>
  <c r="K23" i="99"/>
  <c r="J23" i="99"/>
  <c r="I23" i="99"/>
  <c r="G23" i="99"/>
  <c r="F23" i="99"/>
  <c r="E23" i="99"/>
  <c r="D23" i="99"/>
  <c r="C23" i="99"/>
  <c r="B23" i="99"/>
  <c r="P22" i="99"/>
  <c r="O22" i="99"/>
  <c r="N22" i="99"/>
  <c r="M22" i="99"/>
  <c r="L22" i="99"/>
  <c r="K22" i="99"/>
  <c r="J22" i="99"/>
  <c r="I22" i="99"/>
  <c r="G22" i="99"/>
  <c r="F22" i="99"/>
  <c r="E22" i="99"/>
  <c r="D22" i="99"/>
  <c r="C22" i="99"/>
  <c r="B22" i="99"/>
  <c r="P21" i="99"/>
  <c r="O21" i="99"/>
  <c r="N21" i="99"/>
  <c r="M21" i="99"/>
  <c r="L21" i="99"/>
  <c r="K21" i="99"/>
  <c r="J21" i="99"/>
  <c r="I21" i="99"/>
  <c r="G21" i="99"/>
  <c r="F21" i="99"/>
  <c r="E21" i="99"/>
  <c r="D21" i="99"/>
  <c r="C21" i="99"/>
  <c r="B21" i="99"/>
  <c r="P20" i="99"/>
  <c r="O20" i="99"/>
  <c r="N20" i="99"/>
  <c r="M20" i="99"/>
  <c r="L20" i="99"/>
  <c r="K20" i="99"/>
  <c r="J20" i="99"/>
  <c r="I20" i="99"/>
  <c r="G20" i="99"/>
  <c r="F20" i="99"/>
  <c r="E20" i="99"/>
  <c r="D20" i="99"/>
  <c r="C20" i="99"/>
  <c r="B20" i="99"/>
  <c r="P19" i="99"/>
  <c r="O19" i="99"/>
  <c r="N19" i="99"/>
  <c r="M19" i="99"/>
  <c r="L19" i="99"/>
  <c r="K19" i="99"/>
  <c r="J19" i="99"/>
  <c r="I19" i="99"/>
  <c r="G19" i="99"/>
  <c r="F19" i="99"/>
  <c r="E19" i="99"/>
  <c r="D19" i="99"/>
  <c r="C19" i="99"/>
  <c r="B19" i="99"/>
  <c r="P18" i="99"/>
  <c r="O18" i="99"/>
  <c r="N18" i="99"/>
  <c r="M18" i="99"/>
  <c r="L18" i="99"/>
  <c r="K18" i="99"/>
  <c r="J18" i="99"/>
  <c r="I18" i="99"/>
  <c r="G18" i="99"/>
  <c r="F18" i="99"/>
  <c r="E18" i="99"/>
  <c r="D18" i="99"/>
  <c r="C18" i="99"/>
  <c r="B18" i="99"/>
  <c r="P17" i="99"/>
  <c r="O17" i="99"/>
  <c r="N17" i="99"/>
  <c r="M17" i="99"/>
  <c r="L17" i="99"/>
  <c r="K17" i="99"/>
  <c r="J17" i="99"/>
  <c r="I17" i="99"/>
  <c r="G17" i="99"/>
  <c r="F17" i="99"/>
  <c r="E17" i="99"/>
  <c r="B17" i="99"/>
  <c r="P16" i="99"/>
  <c r="O16" i="99"/>
  <c r="N16" i="99"/>
  <c r="M16" i="99"/>
  <c r="L16" i="99"/>
  <c r="K16" i="99"/>
  <c r="J16" i="99"/>
  <c r="I16" i="99"/>
  <c r="G16" i="99"/>
  <c r="F16" i="99"/>
  <c r="E16" i="99"/>
  <c r="B16" i="99"/>
  <c r="P15" i="99"/>
  <c r="O15" i="99"/>
  <c r="N15" i="99"/>
  <c r="M15" i="99"/>
  <c r="L15" i="99"/>
  <c r="K15" i="99"/>
  <c r="J15" i="99"/>
  <c r="I15" i="99"/>
  <c r="G15" i="99"/>
  <c r="F15" i="99"/>
  <c r="E15" i="99"/>
  <c r="B17" i="147"/>
  <c r="C13" i="147"/>
  <c r="C12" i="147"/>
  <c r="C11" i="147"/>
  <c r="C10" i="147"/>
  <c r="C9" i="147"/>
  <c r="C8" i="147"/>
  <c r="C7" i="147"/>
  <c r="C6" i="147"/>
  <c r="C18" i="147" s="1"/>
  <c r="C20" i="147" s="1"/>
  <c r="C21" i="147" s="1"/>
  <c r="F11" i="128" s="1"/>
  <c r="B17" i="156"/>
  <c r="D13" i="156"/>
  <c r="C13" i="156"/>
  <c r="D12" i="156"/>
  <c r="C12" i="156"/>
  <c r="D11" i="156"/>
  <c r="C11" i="156"/>
  <c r="D10" i="156"/>
  <c r="C10" i="156"/>
  <c r="D9" i="156"/>
  <c r="C9" i="156"/>
  <c r="D8" i="156"/>
  <c r="C8" i="156"/>
  <c r="D7" i="156"/>
  <c r="C7" i="156"/>
  <c r="C6" i="156"/>
  <c r="BM354" i="155"/>
  <c r="BK354" i="155"/>
  <c r="BH354" i="155"/>
  <c r="BG354" i="155"/>
  <c r="BF354" i="155"/>
  <c r="BA354" i="155"/>
  <c r="AZ354" i="155"/>
  <c r="AX354" i="155"/>
  <c r="AS354" i="155"/>
  <c r="AQ354" i="155"/>
  <c r="AP354" i="155"/>
  <c r="AO354" i="155"/>
  <c r="AJ354" i="155"/>
  <c r="AH354" i="155"/>
  <c r="AE354" i="155"/>
  <c r="AD354" i="155"/>
  <c r="AC354" i="155"/>
  <c r="AB354" i="155"/>
  <c r="I353" i="155"/>
  <c r="H353" i="155"/>
  <c r="CI352" i="155"/>
  <c r="BM351" i="155"/>
  <c r="BQ349" i="155"/>
  <c r="BL347" i="155"/>
  <c r="BK347" i="155"/>
  <c r="BJ347" i="155"/>
  <c r="BI347" i="155"/>
  <c r="BH347" i="155"/>
  <c r="BG347" i="155"/>
  <c r="BF347" i="155"/>
  <c r="BE347" i="155"/>
  <c r="BD347" i="155"/>
  <c r="BC347" i="155"/>
  <c r="BB347" i="155"/>
  <c r="BA347" i="155"/>
  <c r="AT347" i="155"/>
  <c r="AT346" i="155"/>
  <c r="CM345" i="155"/>
  <c r="CF345" i="155"/>
  <c r="CE345" i="155"/>
  <c r="BZ345" i="155"/>
  <c r="BM345" i="155"/>
  <c r="BL345" i="155"/>
  <c r="BK345" i="155"/>
  <c r="BJ345" i="155"/>
  <c r="BI345" i="155"/>
  <c r="BH345" i="155"/>
  <c r="BG345" i="155"/>
  <c r="BF345" i="155"/>
  <c r="BE345" i="155"/>
  <c r="BD345" i="155"/>
  <c r="BC345" i="155"/>
  <c r="BB345" i="155"/>
  <c r="BA345" i="155"/>
  <c r="CL343" i="155"/>
  <c r="CI343" i="155"/>
  <c r="CD343" i="155"/>
  <c r="CA343" i="155"/>
  <c r="BM343" i="155"/>
  <c r="BK343" i="155"/>
  <c r="BH343" i="155"/>
  <c r="BG343" i="155"/>
  <c r="BF343" i="155"/>
  <c r="BA343" i="155"/>
  <c r="AZ343" i="155"/>
  <c r="AX343" i="155"/>
  <c r="AS343" i="155"/>
  <c r="AQ343" i="155"/>
  <c r="AP343" i="155"/>
  <c r="AJ343" i="155"/>
  <c r="AH343" i="155"/>
  <c r="AE343" i="155"/>
  <c r="AD343" i="155"/>
  <c r="AC343" i="155"/>
  <c r="AB343" i="155"/>
  <c r="I343" i="155"/>
  <c r="H343" i="155"/>
  <c r="BZ342" i="155"/>
  <c r="BM342" i="155"/>
  <c r="AZ342" i="155"/>
  <c r="AM342" i="155"/>
  <c r="Z342" i="155"/>
  <c r="CF341" i="155"/>
  <c r="CD341" i="155"/>
  <c r="CC341" i="155"/>
  <c r="CB341" i="155"/>
  <c r="CA341" i="155"/>
  <c r="BQ341" i="155"/>
  <c r="CC340" i="155"/>
  <c r="CB340" i="155"/>
  <c r="CA340" i="155"/>
  <c r="BZ340" i="155"/>
  <c r="BQ340" i="155"/>
  <c r="BM340" i="155"/>
  <c r="AZ340" i="155"/>
  <c r="AM340" i="155"/>
  <c r="Z340" i="155"/>
  <c r="BZ339" i="155"/>
  <c r="BM339" i="155"/>
  <c r="AZ339" i="155"/>
  <c r="AM339" i="155"/>
  <c r="Z339" i="155"/>
  <c r="CL338" i="155"/>
  <c r="CI338" i="155"/>
  <c r="CD338" i="155"/>
  <c r="CA338" i="155"/>
  <c r="BA338" i="155"/>
  <c r="AU338" i="155"/>
  <c r="CE337" i="155"/>
  <c r="CC337" i="155"/>
  <c r="CB337" i="155"/>
  <c r="CA337" i="155"/>
  <c r="BZ337" i="155"/>
  <c r="BM337" i="155"/>
  <c r="AZ337" i="155"/>
  <c r="AM337" i="155"/>
  <c r="Z337" i="155"/>
  <c r="CC336" i="155"/>
  <c r="CB336" i="155"/>
  <c r="CA336" i="155"/>
  <c r="BZ336" i="155"/>
  <c r="BM336" i="155"/>
  <c r="AZ336" i="155"/>
  <c r="BZ335" i="155"/>
  <c r="BM335" i="155"/>
  <c r="AZ335" i="155"/>
  <c r="AM335" i="155"/>
  <c r="Z335" i="155"/>
  <c r="CC334" i="155"/>
  <c r="CB334" i="155"/>
  <c r="CA334" i="155"/>
  <c r="BZ334" i="155"/>
  <c r="BM334" i="155"/>
  <c r="AZ334" i="155"/>
  <c r="AM334" i="155"/>
  <c r="Z334" i="155"/>
  <c r="CF333" i="155"/>
  <c r="CD333" i="155"/>
  <c r="CC333" i="155"/>
  <c r="CB333" i="155"/>
  <c r="CA333" i="155"/>
  <c r="BZ333" i="155"/>
  <c r="BM333" i="155"/>
  <c r="AZ333" i="155"/>
  <c r="AM333" i="155"/>
  <c r="Z333" i="155"/>
  <c r="CB332" i="155"/>
  <c r="CA332" i="155"/>
  <c r="BZ332" i="155"/>
  <c r="BM332" i="155"/>
  <c r="AZ332" i="155"/>
  <c r="AM332" i="155"/>
  <c r="Z332" i="155"/>
  <c r="CE331" i="155"/>
  <c r="CB331" i="155"/>
  <c r="CA331" i="155"/>
  <c r="BZ331" i="155"/>
  <c r="BY331" i="155"/>
  <c r="BX331" i="155"/>
  <c r="BW331" i="155"/>
  <c r="BV331" i="155"/>
  <c r="BU331" i="155"/>
  <c r="BT331" i="155"/>
  <c r="BS331" i="155"/>
  <c r="BR331" i="155"/>
  <c r="BQ331" i="155"/>
  <c r="BP331" i="155"/>
  <c r="BO331" i="155"/>
  <c r="BN331" i="155"/>
  <c r="BM331" i="155"/>
  <c r="BL331" i="155"/>
  <c r="BK331" i="155"/>
  <c r="BJ331" i="155"/>
  <c r="BI331" i="155"/>
  <c r="BH331" i="155"/>
  <c r="BG331" i="155"/>
  <c r="BF331" i="155"/>
  <c r="BE331" i="155"/>
  <c r="BD331" i="155"/>
  <c r="BC331" i="155"/>
  <c r="BB331" i="155"/>
  <c r="BA331" i="155"/>
  <c r="AZ331" i="155"/>
  <c r="AY331" i="155"/>
  <c r="AX331" i="155"/>
  <c r="AW331" i="155"/>
  <c r="AV331" i="155"/>
  <c r="AU331" i="155"/>
  <c r="AT331" i="155"/>
  <c r="AS331" i="155"/>
  <c r="AR331" i="155"/>
  <c r="AQ331" i="155"/>
  <c r="AP331" i="155"/>
  <c r="AO331" i="155"/>
  <c r="AN331" i="155"/>
  <c r="AM331" i="155"/>
  <c r="AL331" i="155"/>
  <c r="AK331" i="155"/>
  <c r="AJ331" i="155"/>
  <c r="AI331" i="155"/>
  <c r="AH331" i="155"/>
  <c r="AG331" i="155"/>
  <c r="AF331" i="155"/>
  <c r="AE331" i="155"/>
  <c r="AD331" i="155"/>
  <c r="AC331" i="155"/>
  <c r="AB331" i="155"/>
  <c r="AA331" i="155"/>
  <c r="Z331" i="155"/>
  <c r="Y331" i="155"/>
  <c r="X331" i="155"/>
  <c r="W331" i="155"/>
  <c r="V331" i="155"/>
  <c r="U331" i="155"/>
  <c r="T331" i="155"/>
  <c r="S331" i="155"/>
  <c r="R331" i="155"/>
  <c r="Q331" i="155"/>
  <c r="P331" i="155"/>
  <c r="O331" i="155"/>
  <c r="N331" i="155"/>
  <c r="M331" i="155"/>
  <c r="I331" i="155"/>
  <c r="H331" i="155"/>
  <c r="G331" i="155"/>
  <c r="F331" i="155"/>
  <c r="BZ330" i="155"/>
  <c r="BM330" i="155"/>
  <c r="AZ330" i="155"/>
  <c r="AM330" i="155"/>
  <c r="Z330" i="155"/>
  <c r="CL329" i="155"/>
  <c r="BT329" i="155"/>
  <c r="BS329" i="155"/>
  <c r="BR329" i="155"/>
  <c r="BO329" i="155"/>
  <c r="BN329" i="155"/>
  <c r="BL329" i="155"/>
  <c r="BK329" i="155"/>
  <c r="BJ329" i="155"/>
  <c r="BI329" i="155"/>
  <c r="BG329" i="155"/>
  <c r="BD329" i="155"/>
  <c r="BC329" i="155"/>
  <c r="BB329" i="155"/>
  <c r="BA329" i="155"/>
  <c r="AY329" i="155"/>
  <c r="AX329" i="155"/>
  <c r="AW329" i="155"/>
  <c r="AU329" i="155"/>
  <c r="AT329" i="155"/>
  <c r="AS329" i="155"/>
  <c r="AP329" i="155"/>
  <c r="AO329" i="155"/>
  <c r="AN329" i="155"/>
  <c r="AK329" i="155"/>
  <c r="AJ329" i="155"/>
  <c r="AI329" i="155"/>
  <c r="AH329" i="155"/>
  <c r="AG329" i="155"/>
  <c r="AE329" i="155"/>
  <c r="AD329" i="155"/>
  <c r="AC329" i="155"/>
  <c r="AB329" i="155"/>
  <c r="AA329" i="155"/>
  <c r="Y329" i="155"/>
  <c r="X329" i="155"/>
  <c r="W329" i="155"/>
  <c r="V329" i="155"/>
  <c r="U329" i="155"/>
  <c r="T329" i="155"/>
  <c r="S329" i="155"/>
  <c r="R329" i="155"/>
  <c r="Q329" i="155"/>
  <c r="P329" i="155"/>
  <c r="O329" i="155"/>
  <c r="N329" i="155"/>
  <c r="M329" i="155"/>
  <c r="H329" i="155"/>
  <c r="G329" i="155"/>
  <c r="F329" i="155"/>
  <c r="CF328" i="155"/>
  <c r="CD328" i="155"/>
  <c r="CC328" i="155"/>
  <c r="CB328" i="155"/>
  <c r="CA328" i="155"/>
  <c r="BZ328" i="155"/>
  <c r="BM328" i="155"/>
  <c r="AZ328" i="155"/>
  <c r="AM328" i="155"/>
  <c r="Z328" i="155"/>
  <c r="CM327" i="155"/>
  <c r="CF327" i="155"/>
  <c r="CD327" i="155"/>
  <c r="CC327" i="155"/>
  <c r="CB327" i="155"/>
  <c r="CA327" i="155"/>
  <c r="BZ327" i="155"/>
  <c r="BQ327" i="155"/>
  <c r="BM327" i="155"/>
  <c r="AQ327" i="155"/>
  <c r="AM327" i="155"/>
  <c r="Z327" i="155"/>
  <c r="CF326" i="155"/>
  <c r="CD326" i="155"/>
  <c r="CC326" i="155"/>
  <c r="CB326" i="155"/>
  <c r="CA326" i="155"/>
  <c r="BZ326" i="155"/>
  <c r="BQ326" i="155"/>
  <c r="BM326" i="155"/>
  <c r="AZ326" i="155"/>
  <c r="AM326" i="155"/>
  <c r="Z326" i="155"/>
  <c r="CC325" i="155"/>
  <c r="CB325" i="155"/>
  <c r="CA325" i="155"/>
  <c r="BZ325" i="155"/>
  <c r="BM325" i="155"/>
  <c r="AZ325" i="155"/>
  <c r="AM325" i="155"/>
  <c r="Z325" i="155"/>
  <c r="CF324" i="155"/>
  <c r="CD324" i="155"/>
  <c r="CC324" i="155"/>
  <c r="CB324" i="155"/>
  <c r="CA324" i="155"/>
  <c r="BZ324" i="155"/>
  <c r="BM324" i="155"/>
  <c r="AZ324" i="155"/>
  <c r="AM324" i="155"/>
  <c r="Z324" i="155"/>
  <c r="CC323" i="155"/>
  <c r="CB323" i="155"/>
  <c r="CA323" i="155"/>
  <c r="BZ323" i="155"/>
  <c r="BM323" i="155"/>
  <c r="AZ323" i="155"/>
  <c r="AK323" i="155"/>
  <c r="AH323" i="155"/>
  <c r="AG323" i="155"/>
  <c r="Z323" i="155"/>
  <c r="CL322" i="155"/>
  <c r="CE322" i="155"/>
  <c r="CA322" i="155"/>
  <c r="BZ322" i="155"/>
  <c r="BY322" i="155"/>
  <c r="BX322" i="155"/>
  <c r="BW322" i="155"/>
  <c r="BV322" i="155"/>
  <c r="BU322" i="155"/>
  <c r="BT322" i="155"/>
  <c r="BS322" i="155"/>
  <c r="BR322" i="155"/>
  <c r="BQ322" i="155"/>
  <c r="BP322" i="155"/>
  <c r="BO322" i="155"/>
  <c r="BN322" i="155"/>
  <c r="BM322" i="155"/>
  <c r="BL322" i="155"/>
  <c r="BK322" i="155"/>
  <c r="BJ322" i="155"/>
  <c r="BI322" i="155"/>
  <c r="BH322" i="155"/>
  <c r="BG322" i="155"/>
  <c r="BF322" i="155"/>
  <c r="BE322" i="155"/>
  <c r="BD322" i="155"/>
  <c r="BC322" i="155"/>
  <c r="BB322" i="155"/>
  <c r="BA322" i="155"/>
  <c r="AY322" i="155"/>
  <c r="AX322" i="155"/>
  <c r="AW322" i="155"/>
  <c r="AV322" i="155"/>
  <c r="AU322" i="155"/>
  <c r="AT322" i="155"/>
  <c r="AS322" i="155"/>
  <c r="AR322" i="155"/>
  <c r="AQ322" i="155"/>
  <c r="AP322" i="155"/>
  <c r="AO322" i="155"/>
  <c r="AN322" i="155"/>
  <c r="AL322" i="155"/>
  <c r="AK322" i="155"/>
  <c r="AJ322" i="155"/>
  <c r="AI322" i="155"/>
  <c r="AH322" i="155"/>
  <c r="AG322" i="155"/>
  <c r="AF322" i="155"/>
  <c r="AE322" i="155"/>
  <c r="AD322" i="155"/>
  <c r="AC322" i="155"/>
  <c r="AB322" i="155"/>
  <c r="AA322" i="155"/>
  <c r="Z322" i="155"/>
  <c r="Y322" i="155"/>
  <c r="X322" i="155"/>
  <c r="W322" i="155"/>
  <c r="V322" i="155"/>
  <c r="U322" i="155"/>
  <c r="T322" i="155"/>
  <c r="S322" i="155"/>
  <c r="R322" i="155"/>
  <c r="Q322" i="155"/>
  <c r="P322" i="155"/>
  <c r="O322" i="155"/>
  <c r="N322" i="155"/>
  <c r="M322" i="155"/>
  <c r="I322" i="155"/>
  <c r="H322" i="155"/>
  <c r="G322" i="155"/>
  <c r="F322" i="155"/>
  <c r="CM321" i="155"/>
  <c r="CF321" i="155"/>
  <c r="CD321" i="155"/>
  <c r="CC321" i="155"/>
  <c r="CB321" i="155"/>
  <c r="CA321" i="155"/>
  <c r="BZ321" i="155"/>
  <c r="BM321" i="155"/>
  <c r="AZ321" i="155"/>
  <c r="AM321" i="155"/>
  <c r="AE321" i="155"/>
  <c r="Z321" i="155"/>
  <c r="CC320" i="155"/>
  <c r="CB320" i="155"/>
  <c r="CA320" i="155"/>
  <c r="BZ320" i="155"/>
  <c r="BM320" i="155"/>
  <c r="AZ320" i="155"/>
  <c r="AM320" i="155"/>
  <c r="Z320" i="155"/>
  <c r="CC319" i="155"/>
  <c r="CB319" i="155"/>
  <c r="CA319" i="155"/>
  <c r="BZ319" i="155"/>
  <c r="BM319" i="155"/>
  <c r="AZ319" i="155"/>
  <c r="AM319" i="155"/>
  <c r="Z319" i="155"/>
  <c r="CB318" i="155"/>
  <c r="BZ318" i="155"/>
  <c r="BM318" i="155"/>
  <c r="AZ318" i="155"/>
  <c r="AR318" i="155"/>
  <c r="AQ318" i="155"/>
  <c r="AM318" i="155"/>
  <c r="AL318" i="155"/>
  <c r="Z318" i="155"/>
  <c r="CM317" i="155"/>
  <c r="CF317" i="155"/>
  <c r="CC317" i="155"/>
  <c r="CB317" i="155"/>
  <c r="CA317" i="155"/>
  <c r="BQ317" i="155"/>
  <c r="BP317" i="155"/>
  <c r="BM317" i="155"/>
  <c r="BF317" i="155"/>
  <c r="BE317" i="155"/>
  <c r="BD317" i="155"/>
  <c r="BC317" i="155"/>
  <c r="BB317" i="155"/>
  <c r="BA317" i="155"/>
  <c r="AZ317" i="155"/>
  <c r="AV317" i="155"/>
  <c r="AM317" i="155"/>
  <c r="AF317" i="155"/>
  <c r="AD317" i="155"/>
  <c r="Z317" i="155"/>
  <c r="V317" i="155"/>
  <c r="CL316" i="155"/>
  <c r="CE316" i="155"/>
  <c r="CB316" i="155"/>
  <c r="BY316" i="155"/>
  <c r="BX316" i="155"/>
  <c r="BW316" i="155"/>
  <c r="BV316" i="155"/>
  <c r="BU316" i="155"/>
  <c r="BT316" i="155"/>
  <c r="BS316" i="155"/>
  <c r="BR316" i="155"/>
  <c r="BQ316" i="155"/>
  <c r="BP316" i="155"/>
  <c r="BO316" i="155"/>
  <c r="BN316" i="155"/>
  <c r="BM316" i="155"/>
  <c r="BL316" i="155"/>
  <c r="BK316" i="155"/>
  <c r="BJ316" i="155"/>
  <c r="BI316" i="155"/>
  <c r="BH316" i="155"/>
  <c r="BG316" i="155"/>
  <c r="BF316" i="155"/>
  <c r="BE316" i="155"/>
  <c r="BD316" i="155"/>
  <c r="BC316" i="155"/>
  <c r="BB316" i="155"/>
  <c r="BA316" i="155"/>
  <c r="AZ316" i="155"/>
  <c r="AY316" i="155"/>
  <c r="AX316" i="155"/>
  <c r="AW316" i="155"/>
  <c r="AU316" i="155"/>
  <c r="AT316" i="155"/>
  <c r="AS316" i="155"/>
  <c r="AR316" i="155"/>
  <c r="AQ316" i="155"/>
  <c r="AP316" i="155"/>
  <c r="AO316" i="155"/>
  <c r="AN316" i="155"/>
  <c r="AK316" i="155"/>
  <c r="AJ316" i="155"/>
  <c r="AI316" i="155"/>
  <c r="AH316" i="155"/>
  <c r="AG316" i="155"/>
  <c r="AE316" i="155"/>
  <c r="AD316" i="155"/>
  <c r="AC316" i="155"/>
  <c r="AB316" i="155"/>
  <c r="AA316" i="155"/>
  <c r="Z316" i="155"/>
  <c r="Y316" i="155"/>
  <c r="X316" i="155"/>
  <c r="W316" i="155"/>
  <c r="V316" i="155"/>
  <c r="U316" i="155"/>
  <c r="T316" i="155"/>
  <c r="S316" i="155"/>
  <c r="R316" i="155"/>
  <c r="Q316" i="155"/>
  <c r="P316" i="155"/>
  <c r="O316" i="155"/>
  <c r="N316" i="155"/>
  <c r="M316" i="155"/>
  <c r="I316" i="155"/>
  <c r="H316" i="155"/>
  <c r="G316" i="155"/>
  <c r="F316" i="155"/>
  <c r="CM315" i="155"/>
  <c r="CD315" i="155"/>
  <c r="CC315" i="155"/>
  <c r="CB315" i="155"/>
  <c r="CA315" i="155"/>
  <c r="BZ315" i="155"/>
  <c r="BM315" i="155"/>
  <c r="AZ315" i="155"/>
  <c r="AM315" i="155"/>
  <c r="Z315" i="155"/>
  <c r="CC314" i="155"/>
  <c r="CB314" i="155"/>
  <c r="CA314" i="155"/>
  <c r="BZ314" i="155"/>
  <c r="BM314" i="155"/>
  <c r="AZ314" i="155"/>
  <c r="AM314" i="155"/>
  <c r="Z314" i="155"/>
  <c r="CF313" i="155"/>
  <c r="CD313" i="155"/>
  <c r="CC313" i="155"/>
  <c r="CB313" i="155"/>
  <c r="CA313" i="155"/>
  <c r="BZ313" i="155"/>
  <c r="BM313" i="155"/>
  <c r="AZ313" i="155"/>
  <c r="AM313" i="155"/>
  <c r="Z313" i="155"/>
  <c r="CC312" i="155"/>
  <c r="CB312" i="155"/>
  <c r="CA312" i="155"/>
  <c r="BZ312" i="155"/>
  <c r="BQ312" i="155"/>
  <c r="BM312" i="155"/>
  <c r="AZ312" i="155"/>
  <c r="AM312" i="155"/>
  <c r="Z312" i="155"/>
  <c r="CC311" i="155"/>
  <c r="CB311" i="155"/>
  <c r="CA311" i="155"/>
  <c r="BZ311" i="155"/>
  <c r="BM311" i="155"/>
  <c r="AZ311" i="155"/>
  <c r="AM311" i="155"/>
  <c r="Z311" i="155"/>
  <c r="CF310" i="155"/>
  <c r="CD310" i="155"/>
  <c r="CC310" i="155"/>
  <c r="CB310" i="155"/>
  <c r="CA310" i="155"/>
  <c r="BZ310" i="155"/>
  <c r="BQ310" i="155"/>
  <c r="BM310" i="155"/>
  <c r="AZ310" i="155"/>
  <c r="AM310" i="155"/>
  <c r="Z310" i="155"/>
  <c r="CF309" i="155"/>
  <c r="CD309" i="155"/>
  <c r="CC309" i="155"/>
  <c r="CB309" i="155"/>
  <c r="CA309" i="155"/>
  <c r="BZ309" i="155"/>
  <c r="BQ309" i="155"/>
  <c r="BM309" i="155"/>
  <c r="AZ309" i="155"/>
  <c r="AM309" i="155"/>
  <c r="Z309" i="155"/>
  <c r="CF308" i="155"/>
  <c r="CD308" i="155"/>
  <c r="CC308" i="155"/>
  <c r="CB308" i="155"/>
  <c r="CA308" i="155"/>
  <c r="BZ308" i="155"/>
  <c r="BY308" i="155"/>
  <c r="BX308" i="155"/>
  <c r="BW308" i="155"/>
  <c r="BV308" i="155"/>
  <c r="BU308" i="155"/>
  <c r="BT308" i="155"/>
  <c r="BS308" i="155"/>
  <c r="BQ308" i="155"/>
  <c r="BM308" i="155"/>
  <c r="AZ308" i="155"/>
  <c r="AM308" i="155"/>
  <c r="Z308" i="155"/>
  <c r="I308" i="155"/>
  <c r="CA307" i="155"/>
  <c r="BQ307" i="155"/>
  <c r="BM307" i="155"/>
  <c r="AZ307" i="155"/>
  <c r="AM307" i="155"/>
  <c r="Z307" i="155"/>
  <c r="I307" i="155"/>
  <c r="G307" i="155"/>
  <c r="CL306" i="155"/>
  <c r="CK306" i="155"/>
  <c r="CJ306" i="155"/>
  <c r="CI306" i="155"/>
  <c r="CH306" i="155"/>
  <c r="CA306" i="155"/>
  <c r="BT306" i="155"/>
  <c r="BS306" i="155"/>
  <c r="BR306" i="155"/>
  <c r="BQ306" i="155"/>
  <c r="BP306" i="155"/>
  <c r="BO306" i="155"/>
  <c r="BN306" i="155"/>
  <c r="BM306" i="155"/>
  <c r="BL306" i="155"/>
  <c r="BK306" i="155"/>
  <c r="BJ306" i="155"/>
  <c r="BI306" i="155"/>
  <c r="BH306" i="155"/>
  <c r="BG306" i="155"/>
  <c r="BF306" i="155"/>
  <c r="BE306" i="155"/>
  <c r="BD306" i="155"/>
  <c r="BC306" i="155"/>
  <c r="BB306" i="155"/>
  <c r="BA306" i="155"/>
  <c r="AZ306" i="155"/>
  <c r="AY306" i="155"/>
  <c r="AX306" i="155"/>
  <c r="AW306" i="155"/>
  <c r="AV306" i="155"/>
  <c r="AU306" i="155"/>
  <c r="AT306" i="155"/>
  <c r="AS306" i="155"/>
  <c r="AR306" i="155"/>
  <c r="AQ306" i="155"/>
  <c r="AP306" i="155"/>
  <c r="AO306" i="155"/>
  <c r="AN306" i="155"/>
  <c r="AM306" i="155"/>
  <c r="AL306" i="155"/>
  <c r="AK306" i="155"/>
  <c r="AJ306" i="155"/>
  <c r="AI306" i="155"/>
  <c r="AH306" i="155"/>
  <c r="AG306" i="155"/>
  <c r="AF306" i="155"/>
  <c r="AE306" i="155"/>
  <c r="AD306" i="155"/>
  <c r="AC306" i="155"/>
  <c r="AB306" i="155"/>
  <c r="AA306" i="155"/>
  <c r="Z306" i="155"/>
  <c r="Y306" i="155"/>
  <c r="X306" i="155"/>
  <c r="W306" i="155"/>
  <c r="V306" i="155"/>
  <c r="U306" i="155"/>
  <c r="T306" i="155"/>
  <c r="S306" i="155"/>
  <c r="R306" i="155"/>
  <c r="Q306" i="155"/>
  <c r="P306" i="155"/>
  <c r="O306" i="155"/>
  <c r="N306" i="155"/>
  <c r="M306" i="155"/>
  <c r="I306" i="155"/>
  <c r="H306" i="155"/>
  <c r="G306" i="155"/>
  <c r="F306" i="155"/>
  <c r="CC305" i="155"/>
  <c r="CB305" i="155"/>
  <c r="CA305" i="155"/>
  <c r="BZ305" i="155"/>
  <c r="BM305" i="155"/>
  <c r="AZ305" i="155"/>
  <c r="AM305" i="155"/>
  <c r="Z305" i="155"/>
  <c r="CF304" i="155"/>
  <c r="CD304" i="155"/>
  <c r="CC304" i="155"/>
  <c r="CB304" i="155"/>
  <c r="CA304" i="155"/>
  <c r="BZ304" i="155"/>
  <c r="BM304" i="155"/>
  <c r="AZ304" i="155"/>
  <c r="AM304" i="155"/>
  <c r="Z304" i="155"/>
  <c r="CC303" i="155"/>
  <c r="CB303" i="155"/>
  <c r="CA303" i="155"/>
  <c r="BZ303" i="155"/>
  <c r="BQ303" i="155"/>
  <c r="BP303" i="155"/>
  <c r="BM303" i="155"/>
  <c r="AZ303" i="155"/>
  <c r="AM303" i="155"/>
  <c r="Z303" i="155"/>
  <c r="CF302" i="155"/>
  <c r="CD302" i="155"/>
  <c r="CC302" i="155"/>
  <c r="CB302" i="155"/>
  <c r="CA302" i="155"/>
  <c r="BZ302" i="155"/>
  <c r="BQ302" i="155"/>
  <c r="BM302" i="155"/>
  <c r="AZ302" i="155"/>
  <c r="AM302" i="155"/>
  <c r="Z302" i="155"/>
  <c r="CF301" i="155"/>
  <c r="CD301" i="155"/>
  <c r="CC301" i="155"/>
  <c r="CB301" i="155"/>
  <c r="CA301" i="155"/>
  <c r="BZ301" i="155"/>
  <c r="BQ301" i="155"/>
  <c r="BM301" i="155"/>
  <c r="AZ301" i="155"/>
  <c r="AM301" i="155"/>
  <c r="Z301" i="155"/>
  <c r="CF300" i="155"/>
  <c r="CD300" i="155"/>
  <c r="CC300" i="155"/>
  <c r="CB300" i="155"/>
  <c r="CA300" i="155"/>
  <c r="BZ300" i="155"/>
  <c r="BQ300" i="155"/>
  <c r="BM300" i="155"/>
  <c r="AZ300" i="155"/>
  <c r="AM300" i="155"/>
  <c r="Z300" i="155"/>
  <c r="CF299" i="155"/>
  <c r="CD299" i="155"/>
  <c r="CC299" i="155"/>
  <c r="CB299" i="155"/>
  <c r="CA299" i="155"/>
  <c r="BZ299" i="155"/>
  <c r="BQ299" i="155"/>
  <c r="BM299" i="155"/>
  <c r="AZ299" i="155"/>
  <c r="AM299" i="155"/>
  <c r="Z299" i="155"/>
  <c r="CF298" i="155"/>
  <c r="CD298" i="155"/>
  <c r="CC298" i="155"/>
  <c r="CB298" i="155"/>
  <c r="CA298" i="155"/>
  <c r="BZ298" i="155"/>
  <c r="BQ298" i="155"/>
  <c r="BM298" i="155"/>
  <c r="AZ298" i="155"/>
  <c r="AM298" i="155"/>
  <c r="Z298" i="155"/>
  <c r="CF297" i="155"/>
  <c r="CD297" i="155"/>
  <c r="CC297" i="155"/>
  <c r="CB297" i="155"/>
  <c r="CA297" i="155"/>
  <c r="BZ297" i="155"/>
  <c r="BQ297" i="155"/>
  <c r="BM297" i="155"/>
  <c r="AZ297" i="155"/>
  <c r="AM297" i="155"/>
  <c r="Z297" i="155"/>
  <c r="CC296" i="155"/>
  <c r="CB296" i="155"/>
  <c r="CA296" i="155"/>
  <c r="BZ296" i="155"/>
  <c r="BM296" i="155"/>
  <c r="AZ296" i="155"/>
  <c r="AM296" i="155"/>
  <c r="Z296" i="155"/>
  <c r="CF295" i="155"/>
  <c r="CD295" i="155"/>
  <c r="CC295" i="155"/>
  <c r="CB295" i="155"/>
  <c r="CA295" i="155"/>
  <c r="BZ295" i="155"/>
  <c r="BQ295" i="155"/>
  <c r="BM295" i="155"/>
  <c r="BE295" i="155"/>
  <c r="AZ295" i="155"/>
  <c r="AM295" i="155"/>
  <c r="Z295" i="155"/>
  <c r="CF294" i="155"/>
  <c r="CD294" i="155"/>
  <c r="CC294" i="155"/>
  <c r="CB294" i="155"/>
  <c r="CA294" i="155"/>
  <c r="BZ294" i="155"/>
  <c r="BQ294" i="155"/>
  <c r="BM294" i="155"/>
  <c r="BL294" i="155"/>
  <c r="BI294" i="155"/>
  <c r="BF294" i="155"/>
  <c r="BE294" i="155"/>
  <c r="AZ294" i="155"/>
  <c r="AM294" i="155"/>
  <c r="Z294" i="155"/>
  <c r="CC293" i="155"/>
  <c r="CB293" i="155"/>
  <c r="CA293" i="155"/>
  <c r="BZ293" i="155"/>
  <c r="BQ293" i="155"/>
  <c r="BP293" i="155"/>
  <c r="BO293" i="155"/>
  <c r="BN293" i="155"/>
  <c r="BM293" i="155"/>
  <c r="BL293" i="155"/>
  <c r="BJ293" i="155"/>
  <c r="BH293" i="155"/>
  <c r="BE293" i="155"/>
  <c r="AZ293" i="155"/>
  <c r="AR293" i="155"/>
  <c r="AM293" i="155"/>
  <c r="Z293" i="155"/>
  <c r="CC292" i="155"/>
  <c r="CB292" i="155"/>
  <c r="CA292" i="155"/>
  <c r="BZ292" i="155"/>
  <c r="BQ292" i="155"/>
  <c r="BM292" i="155"/>
  <c r="AZ292" i="155"/>
  <c r="AM292" i="155"/>
  <c r="Z292" i="155"/>
  <c r="I292" i="155"/>
  <c r="CL291" i="155"/>
  <c r="BY291" i="155"/>
  <c r="BX291" i="155"/>
  <c r="BW291" i="155"/>
  <c r="BV291" i="155"/>
  <c r="BU291" i="155"/>
  <c r="BT291" i="155"/>
  <c r="BS291" i="155"/>
  <c r="BR291" i="155"/>
  <c r="BQ291" i="155"/>
  <c r="BP291" i="155"/>
  <c r="BO291" i="155"/>
  <c r="BN291" i="155"/>
  <c r="BL291" i="155"/>
  <c r="BK291" i="155"/>
  <c r="BJ291" i="155"/>
  <c r="BI291" i="155"/>
  <c r="BG291" i="155"/>
  <c r="BF291" i="155"/>
  <c r="BE291" i="155"/>
  <c r="BD291" i="155"/>
  <c r="BC291" i="155"/>
  <c r="BB291" i="155"/>
  <c r="BA291" i="155"/>
  <c r="AZ291" i="155"/>
  <c r="AY291" i="155"/>
  <c r="AX291" i="155"/>
  <c r="AW291" i="155"/>
  <c r="AV291" i="155"/>
  <c r="AU291" i="155"/>
  <c r="AT291" i="155"/>
  <c r="AS291" i="155"/>
  <c r="AR291" i="155"/>
  <c r="AQ291" i="155"/>
  <c r="AP291" i="155"/>
  <c r="AO291" i="155"/>
  <c r="AN291" i="155"/>
  <c r="AM291" i="155"/>
  <c r="AL291" i="155"/>
  <c r="AK291" i="155"/>
  <c r="AJ291" i="155"/>
  <c r="AI291" i="155"/>
  <c r="AH291" i="155"/>
  <c r="AG291" i="155"/>
  <c r="AF291" i="155"/>
  <c r="AE291" i="155"/>
  <c r="AD291" i="155"/>
  <c r="AC291" i="155"/>
  <c r="AB291" i="155"/>
  <c r="AA291" i="155"/>
  <c r="Z291" i="155"/>
  <c r="Y291" i="155"/>
  <c r="X291" i="155"/>
  <c r="W291" i="155"/>
  <c r="V291" i="155"/>
  <c r="U291" i="155"/>
  <c r="T291" i="155"/>
  <c r="S291" i="155"/>
  <c r="R291" i="155"/>
  <c r="Q291" i="155"/>
  <c r="P291" i="155"/>
  <c r="O291" i="155"/>
  <c r="N291" i="155"/>
  <c r="M291" i="155"/>
  <c r="I291" i="155"/>
  <c r="H291" i="155"/>
  <c r="G291" i="155"/>
  <c r="F291" i="155"/>
  <c r="CE290" i="155"/>
  <c r="CC290" i="155"/>
  <c r="BZ290" i="155"/>
  <c r="BM290" i="155"/>
  <c r="AZ290" i="155"/>
  <c r="AM290" i="155"/>
  <c r="Z290" i="155"/>
  <c r="CC288" i="155"/>
  <c r="CB288" i="155"/>
  <c r="CA288" i="155"/>
  <c r="BZ288" i="155"/>
  <c r="BM288" i="155"/>
  <c r="AZ288" i="155"/>
  <c r="AM288" i="155"/>
  <c r="Z288" i="155"/>
  <c r="CL287" i="155"/>
  <c r="CE287" i="155"/>
  <c r="BY287" i="155"/>
  <c r="BX287" i="155"/>
  <c r="BW287" i="155"/>
  <c r="BV287" i="155"/>
  <c r="BU287" i="155"/>
  <c r="BT287" i="155"/>
  <c r="BS287" i="155"/>
  <c r="BR287" i="155"/>
  <c r="BQ287" i="155"/>
  <c r="BP287" i="155"/>
  <c r="BO287" i="155"/>
  <c r="BN287" i="155"/>
  <c r="BL287" i="155"/>
  <c r="BK287" i="155"/>
  <c r="BJ287" i="155"/>
  <c r="BI287" i="155"/>
  <c r="BG287" i="155"/>
  <c r="BF287" i="155"/>
  <c r="BE287" i="155"/>
  <c r="BD287" i="155"/>
  <c r="BC287" i="155"/>
  <c r="BB287" i="155"/>
  <c r="BA287" i="155"/>
  <c r="AX287" i="155"/>
  <c r="AT287" i="155"/>
  <c r="AR287" i="155"/>
  <c r="AQ287" i="155"/>
  <c r="AP287" i="155"/>
  <c r="AO287" i="155"/>
  <c r="AN287" i="155"/>
  <c r="AL287" i="155"/>
  <c r="AK287" i="155"/>
  <c r="AJ287" i="155"/>
  <c r="AI287" i="155"/>
  <c r="AH287" i="155"/>
  <c r="AG287" i="155"/>
  <c r="AF287" i="155"/>
  <c r="AE287" i="155"/>
  <c r="AD287" i="155"/>
  <c r="AC287" i="155"/>
  <c r="AB287" i="155"/>
  <c r="AA287" i="155"/>
  <c r="Y287" i="155"/>
  <c r="X287" i="155"/>
  <c r="W287" i="155"/>
  <c r="V287" i="155"/>
  <c r="U287" i="155"/>
  <c r="T287" i="155"/>
  <c r="S287" i="155"/>
  <c r="R287" i="155"/>
  <c r="Q287" i="155"/>
  <c r="P287" i="155"/>
  <c r="O287" i="155"/>
  <c r="N287" i="155"/>
  <c r="M287" i="155"/>
  <c r="I287" i="155"/>
  <c r="H287" i="155"/>
  <c r="G287" i="155"/>
  <c r="F287" i="155"/>
  <c r="CJ286" i="155"/>
  <c r="CI286" i="155"/>
  <c r="CF286" i="155"/>
  <c r="CD286" i="155"/>
  <c r="CC286" i="155"/>
  <c r="CB286" i="155"/>
  <c r="CA286" i="155"/>
  <c r="BZ286" i="155"/>
  <c r="BM286" i="155"/>
  <c r="AZ286" i="155"/>
  <c r="AM286" i="155"/>
  <c r="Z286" i="155"/>
  <c r="CM285" i="155"/>
  <c r="CF285" i="155"/>
  <c r="CD285" i="155"/>
  <c r="CC285" i="155"/>
  <c r="CB285" i="155"/>
  <c r="CA285" i="155"/>
  <c r="BZ285" i="155"/>
  <c r="BM285" i="155"/>
  <c r="AZ285" i="155"/>
  <c r="AM285" i="155"/>
  <c r="Z285" i="155"/>
  <c r="CM284" i="155"/>
  <c r="CF284" i="155"/>
  <c r="CD284" i="155"/>
  <c r="CC284" i="155"/>
  <c r="CB284" i="155"/>
  <c r="CA284" i="155"/>
  <c r="BZ284" i="155"/>
  <c r="BM284" i="155"/>
  <c r="AZ284" i="155"/>
  <c r="AM284" i="155"/>
  <c r="Z284" i="155"/>
  <c r="CM283" i="155"/>
  <c r="CF283" i="155"/>
  <c r="CD283" i="155"/>
  <c r="CC283" i="155"/>
  <c r="CB283" i="155"/>
  <c r="CA283" i="155"/>
  <c r="BZ283" i="155"/>
  <c r="BM283" i="155"/>
  <c r="AZ283" i="155"/>
  <c r="AM283" i="155"/>
  <c r="Z283" i="155"/>
  <c r="CM282" i="155"/>
  <c r="CF282" i="155"/>
  <c r="CD282" i="155"/>
  <c r="CC282" i="155"/>
  <c r="CB282" i="155"/>
  <c r="CA282" i="155"/>
  <c r="BZ282" i="155"/>
  <c r="BM282" i="155"/>
  <c r="AZ282" i="155"/>
  <c r="AM282" i="155"/>
  <c r="Z282" i="155"/>
  <c r="CM281" i="155"/>
  <c r="CF281" i="155"/>
  <c r="CD281" i="155"/>
  <c r="CC281" i="155"/>
  <c r="CB281" i="155"/>
  <c r="CA281" i="155"/>
  <c r="BZ281" i="155"/>
  <c r="BM281" i="155"/>
  <c r="BC281" i="155"/>
  <c r="AZ281" i="155"/>
  <c r="AU281" i="155"/>
  <c r="AM281" i="155"/>
  <c r="Z281" i="155"/>
  <c r="CM280" i="155"/>
  <c r="CF280" i="155"/>
  <c r="CD280" i="155"/>
  <c r="CC280" i="155"/>
  <c r="CB280" i="155"/>
  <c r="CA280" i="155"/>
  <c r="BQ280" i="155"/>
  <c r="BN280" i="155"/>
  <c r="BM280" i="155"/>
  <c r="BL280" i="155"/>
  <c r="AZ280" i="155"/>
  <c r="AU280" i="155"/>
  <c r="AT280" i="155"/>
  <c r="AS280" i="155"/>
  <c r="AM280" i="155"/>
  <c r="Z280" i="155"/>
  <c r="CJ279" i="155"/>
  <c r="CI279" i="155"/>
  <c r="CC279" i="155"/>
  <c r="CB279" i="155"/>
  <c r="CA279" i="155"/>
  <c r="BZ279" i="155"/>
  <c r="BM279" i="155"/>
  <c r="BH279" i="155"/>
  <c r="AZ279" i="155"/>
  <c r="AM279" i="155"/>
  <c r="Z279" i="155"/>
  <c r="CJ278" i="155"/>
  <c r="CI278" i="155"/>
  <c r="CC278" i="155"/>
  <c r="CB278" i="155"/>
  <c r="CA278" i="155"/>
  <c r="BZ278" i="155"/>
  <c r="BA278" i="155"/>
  <c r="AZ278" i="155"/>
  <c r="AW278" i="155"/>
  <c r="AV278" i="155"/>
  <c r="AU278" i="155"/>
  <c r="AM278" i="155"/>
  <c r="Z278" i="155"/>
  <c r="CJ277" i="155"/>
  <c r="CI277" i="155"/>
  <c r="CF277" i="155"/>
  <c r="CD277" i="155"/>
  <c r="CC277" i="155"/>
  <c r="CB277" i="155"/>
  <c r="CA277" i="155"/>
  <c r="BZ277" i="155"/>
  <c r="BM277" i="155"/>
  <c r="AY277" i="155"/>
  <c r="AW277" i="155"/>
  <c r="AU277" i="155"/>
  <c r="AM277" i="155"/>
  <c r="Z277" i="155"/>
  <c r="CJ276" i="155"/>
  <c r="CI276" i="155"/>
  <c r="CF276" i="155"/>
  <c r="CC276" i="155"/>
  <c r="CB276" i="155"/>
  <c r="CA276" i="155"/>
  <c r="BZ276" i="155"/>
  <c r="BM276" i="155"/>
  <c r="AZ276" i="155"/>
  <c r="AM276" i="155"/>
  <c r="Z276" i="155"/>
  <c r="CM275" i="155"/>
  <c r="CL275" i="155"/>
  <c r="CI275" i="155"/>
  <c r="CE275" i="155"/>
  <c r="CC275" i="155"/>
  <c r="CB275" i="155"/>
  <c r="CA275" i="155"/>
  <c r="BY275" i="155"/>
  <c r="BX275" i="155"/>
  <c r="BW275" i="155"/>
  <c r="BV275" i="155"/>
  <c r="BU275" i="155"/>
  <c r="BT275" i="155"/>
  <c r="BS275" i="155"/>
  <c r="BR275" i="155"/>
  <c r="BQ275" i="155"/>
  <c r="BP275" i="155"/>
  <c r="BO275" i="155"/>
  <c r="BN275" i="155"/>
  <c r="BL275" i="155"/>
  <c r="BK275" i="155"/>
  <c r="BJ275" i="155"/>
  <c r="BI275" i="155"/>
  <c r="BG275" i="155"/>
  <c r="BF275" i="155"/>
  <c r="BE275" i="155"/>
  <c r="BD275" i="155"/>
  <c r="BC275" i="155"/>
  <c r="BB275" i="155"/>
  <c r="BA275" i="155"/>
  <c r="AX275" i="155"/>
  <c r="AU275" i="155"/>
  <c r="AT275" i="155"/>
  <c r="AS275" i="155"/>
  <c r="AR275" i="155"/>
  <c r="AQ275" i="155"/>
  <c r="AP275" i="155"/>
  <c r="AO275" i="155"/>
  <c r="AN275" i="155"/>
  <c r="AM275" i="155"/>
  <c r="AL275" i="155"/>
  <c r="AK275" i="155"/>
  <c r="AJ275" i="155"/>
  <c r="AI275" i="155"/>
  <c r="AH275" i="155"/>
  <c r="AG275" i="155"/>
  <c r="AF275" i="155"/>
  <c r="AE275" i="155"/>
  <c r="AD275" i="155"/>
  <c r="AC275" i="155"/>
  <c r="AB275" i="155"/>
  <c r="AA275" i="155"/>
  <c r="Z275" i="155"/>
  <c r="Y275" i="155"/>
  <c r="X275" i="155"/>
  <c r="W275" i="155"/>
  <c r="V275" i="155"/>
  <c r="U275" i="155"/>
  <c r="T275" i="155"/>
  <c r="S275" i="155"/>
  <c r="R275" i="155"/>
  <c r="Q275" i="155"/>
  <c r="P275" i="155"/>
  <c r="O275" i="155"/>
  <c r="N275" i="155"/>
  <c r="M275" i="155"/>
  <c r="I275" i="155"/>
  <c r="H275" i="155"/>
  <c r="G275" i="155"/>
  <c r="F275" i="155"/>
  <c r="CI274" i="155"/>
  <c r="CC274" i="155"/>
  <c r="CB274" i="155"/>
  <c r="CA274" i="155"/>
  <c r="BZ274" i="155"/>
  <c r="BM274" i="155"/>
  <c r="AZ274" i="155"/>
  <c r="AM274" i="155"/>
  <c r="Z274" i="155"/>
  <c r="CJ273" i="155"/>
  <c r="CI273" i="155"/>
  <c r="CF273" i="155"/>
  <c r="CD273" i="155"/>
  <c r="CC273" i="155"/>
  <c r="CB273" i="155"/>
  <c r="CA273" i="155"/>
  <c r="BZ273" i="155"/>
  <c r="BM273" i="155"/>
  <c r="AZ273" i="155"/>
  <c r="AM273" i="155"/>
  <c r="Z273" i="155"/>
  <c r="CM272" i="155"/>
  <c r="CF272" i="155"/>
  <c r="CD272" i="155"/>
  <c r="CC272" i="155"/>
  <c r="CB272" i="155"/>
  <c r="CA272" i="155"/>
  <c r="BZ272" i="155"/>
  <c r="BM272" i="155"/>
  <c r="AZ272" i="155"/>
  <c r="AM272" i="155"/>
  <c r="Z272" i="155"/>
  <c r="CM271" i="155"/>
  <c r="CF271" i="155"/>
  <c r="CD271" i="155"/>
  <c r="CC271" i="155"/>
  <c r="CB271" i="155"/>
  <c r="CA271" i="155"/>
  <c r="BZ271" i="155"/>
  <c r="BM271" i="155"/>
  <c r="AS271" i="155"/>
  <c r="AR271" i="155"/>
  <c r="AM271" i="155"/>
  <c r="Z271" i="155"/>
  <c r="CM270" i="155"/>
  <c r="CF270" i="155"/>
  <c r="CD270" i="155"/>
  <c r="CC270" i="155"/>
  <c r="CB270" i="155"/>
  <c r="CA270" i="155"/>
  <c r="BZ270" i="155"/>
  <c r="BG270" i="155"/>
  <c r="AZ270" i="155"/>
  <c r="AM270" i="155"/>
  <c r="Z270" i="155"/>
  <c r="CI269" i="155"/>
  <c r="CC269" i="155"/>
  <c r="CB269" i="155"/>
  <c r="CA269" i="155"/>
  <c r="BZ269" i="155"/>
  <c r="BE269" i="155"/>
  <c r="AZ269" i="155"/>
  <c r="AM269" i="155"/>
  <c r="Z269" i="155"/>
  <c r="CI268" i="155"/>
  <c r="CC268" i="155"/>
  <c r="CB268" i="155"/>
  <c r="CA268" i="155"/>
  <c r="BZ268" i="155"/>
  <c r="BM268" i="155"/>
  <c r="AZ268" i="155"/>
  <c r="AW268" i="155"/>
  <c r="AV268" i="155"/>
  <c r="AM268" i="155"/>
  <c r="Z268" i="155"/>
  <c r="CJ267" i="155"/>
  <c r="CI267" i="155"/>
  <c r="CF267" i="155"/>
  <c r="CD267" i="155"/>
  <c r="CC267" i="155"/>
  <c r="CB267" i="155"/>
  <c r="CA267" i="155"/>
  <c r="BZ267" i="155"/>
  <c r="BM267" i="155"/>
  <c r="AZ267" i="155"/>
  <c r="AU267" i="155"/>
  <c r="AM267" i="155"/>
  <c r="Z267" i="155"/>
  <c r="CJ266" i="155"/>
  <c r="CI266" i="155"/>
  <c r="CF266" i="155"/>
  <c r="CC266" i="155"/>
  <c r="CB266" i="155"/>
  <c r="CA266" i="155"/>
  <c r="BZ266" i="155"/>
  <c r="BM266" i="155"/>
  <c r="AU266" i="155"/>
  <c r="AM266" i="155"/>
  <c r="Z266" i="155"/>
  <c r="CL265" i="155"/>
  <c r="CI265" i="155"/>
  <c r="CE265" i="155"/>
  <c r="CB265" i="155"/>
  <c r="CA265" i="155"/>
  <c r="BZ265" i="155"/>
  <c r="BY265" i="155"/>
  <c r="BX265" i="155"/>
  <c r="BW265" i="155"/>
  <c r="BV265" i="155"/>
  <c r="BU265" i="155"/>
  <c r="BT265" i="155"/>
  <c r="BS265" i="155"/>
  <c r="BR265" i="155"/>
  <c r="BQ265" i="155"/>
  <c r="BP265" i="155"/>
  <c r="BO265" i="155"/>
  <c r="BN265" i="155"/>
  <c r="BL265" i="155"/>
  <c r="BK265" i="155"/>
  <c r="BJ265" i="155"/>
  <c r="BI265" i="155"/>
  <c r="BH265" i="155"/>
  <c r="BG265" i="155"/>
  <c r="BF265" i="155"/>
  <c r="BE265" i="155"/>
  <c r="BD265" i="155"/>
  <c r="BC265" i="155"/>
  <c r="BB265" i="155"/>
  <c r="BA265" i="155"/>
  <c r="AY265" i="155"/>
  <c r="AX265" i="155"/>
  <c r="AW265" i="155"/>
  <c r="AV265" i="155"/>
  <c r="AU265" i="155"/>
  <c r="AT265" i="155"/>
  <c r="AS265" i="155"/>
  <c r="AR265" i="155"/>
  <c r="AQ265" i="155"/>
  <c r="AP265" i="155"/>
  <c r="AO265" i="155"/>
  <c r="AN265" i="155"/>
  <c r="AM265" i="155"/>
  <c r="AL265" i="155"/>
  <c r="AK265" i="155"/>
  <c r="AJ265" i="155"/>
  <c r="AI265" i="155"/>
  <c r="AH265" i="155"/>
  <c r="AG265" i="155"/>
  <c r="AF265" i="155"/>
  <c r="AE265" i="155"/>
  <c r="AD265" i="155"/>
  <c r="AC265" i="155"/>
  <c r="AB265" i="155"/>
  <c r="AA265" i="155"/>
  <c r="Z265" i="155"/>
  <c r="Y265" i="155"/>
  <c r="X265" i="155"/>
  <c r="W265" i="155"/>
  <c r="V265" i="155"/>
  <c r="U265" i="155"/>
  <c r="T265" i="155"/>
  <c r="S265" i="155"/>
  <c r="R265" i="155"/>
  <c r="Q265" i="155"/>
  <c r="P265" i="155"/>
  <c r="O265" i="155"/>
  <c r="N265" i="155"/>
  <c r="M265" i="155"/>
  <c r="I265" i="155"/>
  <c r="H265" i="155"/>
  <c r="G265" i="155"/>
  <c r="F265" i="155"/>
  <c r="CE264" i="155"/>
  <c r="CD264" i="155"/>
  <c r="CC264" i="155"/>
  <c r="CA264" i="155"/>
  <c r="BZ264" i="155"/>
  <c r="BM264" i="155"/>
  <c r="AZ264" i="155"/>
  <c r="AM264" i="155"/>
  <c r="Z264" i="155"/>
  <c r="CE262" i="155"/>
  <c r="CC262" i="155"/>
  <c r="CB262" i="155"/>
  <c r="BZ262" i="155"/>
  <c r="BM262" i="155"/>
  <c r="AZ262" i="155"/>
  <c r="AM262" i="155"/>
  <c r="Z262" i="155"/>
  <c r="CL261" i="155"/>
  <c r="CE261" i="155"/>
  <c r="BY261" i="155"/>
  <c r="BX261" i="155"/>
  <c r="BW261" i="155"/>
  <c r="BV261" i="155"/>
  <c r="BU261" i="155"/>
  <c r="BT261" i="155"/>
  <c r="BS261" i="155"/>
  <c r="BR261" i="155"/>
  <c r="BQ261" i="155"/>
  <c r="BP261" i="155"/>
  <c r="BO261" i="155"/>
  <c r="BN261" i="155"/>
  <c r="BL261" i="155"/>
  <c r="BK261" i="155"/>
  <c r="BJ261" i="155"/>
  <c r="BI261" i="155"/>
  <c r="BH261" i="155"/>
  <c r="BF261" i="155"/>
  <c r="BE261" i="155"/>
  <c r="BB261" i="155"/>
  <c r="BA261" i="155"/>
  <c r="AX261" i="155"/>
  <c r="AW261" i="155"/>
  <c r="AV261" i="155"/>
  <c r="AU261" i="155"/>
  <c r="AT261" i="155"/>
  <c r="AS261" i="155"/>
  <c r="AR261" i="155"/>
  <c r="AQ261" i="155"/>
  <c r="AP261" i="155"/>
  <c r="AO261" i="155"/>
  <c r="AN261" i="155"/>
  <c r="AL261" i="155"/>
  <c r="AK261" i="155"/>
  <c r="AJ261" i="155"/>
  <c r="AI261" i="155"/>
  <c r="AH261" i="155"/>
  <c r="AG261" i="155"/>
  <c r="AF261" i="155"/>
  <c r="AE261" i="155"/>
  <c r="AD261" i="155"/>
  <c r="AC261" i="155"/>
  <c r="AB261" i="155"/>
  <c r="AA261" i="155"/>
  <c r="Y261" i="155"/>
  <c r="X261" i="155"/>
  <c r="W261" i="155"/>
  <c r="V261" i="155"/>
  <c r="U261" i="155"/>
  <c r="T261" i="155"/>
  <c r="S261" i="155"/>
  <c r="R261" i="155"/>
  <c r="Q261" i="155"/>
  <c r="P261" i="155"/>
  <c r="O261" i="155"/>
  <c r="N261" i="155"/>
  <c r="M261" i="155"/>
  <c r="I261" i="155"/>
  <c r="H261" i="155"/>
  <c r="G261" i="155"/>
  <c r="F261" i="155"/>
  <c r="CJ260" i="155"/>
  <c r="CI260" i="155"/>
  <c r="CF260" i="155"/>
  <c r="CD260" i="155"/>
  <c r="CC260" i="155"/>
  <c r="CB260" i="155"/>
  <c r="CA260" i="155"/>
  <c r="BZ260" i="155"/>
  <c r="BM260" i="155"/>
  <c r="AZ260" i="155"/>
  <c r="AM260" i="155"/>
  <c r="Z260" i="155"/>
  <c r="CM259" i="155"/>
  <c r="CF259" i="155"/>
  <c r="CD259" i="155"/>
  <c r="CC259" i="155"/>
  <c r="CB259" i="155"/>
  <c r="CA259" i="155"/>
  <c r="BZ259" i="155"/>
  <c r="BM259" i="155"/>
  <c r="AZ259" i="155"/>
  <c r="AM259" i="155"/>
  <c r="Z259" i="155"/>
  <c r="CM258" i="155"/>
  <c r="CJ258" i="155"/>
  <c r="CI258" i="155"/>
  <c r="CF258" i="155"/>
  <c r="CD258" i="155"/>
  <c r="CC258" i="155"/>
  <c r="CB258" i="155"/>
  <c r="CA258" i="155"/>
  <c r="BZ258" i="155"/>
  <c r="BM258" i="155"/>
  <c r="AZ258" i="155"/>
  <c r="AM258" i="155"/>
  <c r="Z258" i="155"/>
  <c r="CC257" i="155"/>
  <c r="CB257" i="155"/>
  <c r="CA257" i="155"/>
  <c r="BZ257" i="155"/>
  <c r="BM257" i="155"/>
  <c r="AZ257" i="155"/>
  <c r="AM257" i="155"/>
  <c r="Z257" i="155"/>
  <c r="I257" i="155"/>
  <c r="G257" i="155"/>
  <c r="CC256" i="155"/>
  <c r="CB256" i="155"/>
  <c r="CA256" i="155"/>
  <c r="BZ256" i="155"/>
  <c r="BM256" i="155"/>
  <c r="AZ256" i="155"/>
  <c r="AM256" i="155"/>
  <c r="Z256" i="155"/>
  <c r="CM255" i="155"/>
  <c r="CF255" i="155"/>
  <c r="CC255" i="155"/>
  <c r="CB255" i="155"/>
  <c r="CA255" i="155"/>
  <c r="BZ255" i="155"/>
  <c r="BQ255" i="155"/>
  <c r="BP255" i="155"/>
  <c r="BO255" i="155"/>
  <c r="BN255" i="155"/>
  <c r="BM255" i="155"/>
  <c r="BL255" i="155"/>
  <c r="AZ255" i="155"/>
  <c r="AM255" i="155"/>
  <c r="Z255" i="155"/>
  <c r="CC254" i="155"/>
  <c r="CB254" i="155"/>
  <c r="CA254" i="155"/>
  <c r="BZ254" i="155"/>
  <c r="BQ254" i="155"/>
  <c r="BP254" i="155"/>
  <c r="BO254" i="155"/>
  <c r="BN254" i="155"/>
  <c r="BM254" i="155"/>
  <c r="BL254" i="155"/>
  <c r="AZ254" i="155"/>
  <c r="AM254" i="155"/>
  <c r="Z254" i="155"/>
  <c r="CM253" i="155"/>
  <c r="CF253" i="155"/>
  <c r="CD253" i="155"/>
  <c r="CC253" i="155"/>
  <c r="CB253" i="155"/>
  <c r="CA253" i="155"/>
  <c r="BZ253" i="155"/>
  <c r="BO253" i="155"/>
  <c r="BN253" i="155"/>
  <c r="BM253" i="155"/>
  <c r="BL253" i="155"/>
  <c r="AZ253" i="155"/>
  <c r="AM253" i="155"/>
  <c r="Z253" i="155"/>
  <c r="CC252" i="155"/>
  <c r="CB252" i="155"/>
  <c r="CA252" i="155"/>
  <c r="BZ252" i="155"/>
  <c r="BN252" i="155"/>
  <c r="BM252" i="155"/>
  <c r="BL252" i="155"/>
  <c r="AZ252" i="155"/>
  <c r="AM252" i="155"/>
  <c r="Z252" i="155"/>
  <c r="CC251" i="155"/>
  <c r="CB251" i="155"/>
  <c r="CA251" i="155"/>
  <c r="BZ251" i="155"/>
  <c r="BQ251" i="155"/>
  <c r="BP251" i="155"/>
  <c r="BO251" i="155"/>
  <c r="BM251" i="155"/>
  <c r="AZ251" i="155"/>
  <c r="AM251" i="155"/>
  <c r="Z251" i="155"/>
  <c r="CM250" i="155"/>
  <c r="CF250" i="155"/>
  <c r="CD250" i="155"/>
  <c r="CC250" i="155"/>
  <c r="CB250" i="155"/>
  <c r="CA250" i="155"/>
  <c r="BZ250" i="155"/>
  <c r="BP250" i="155"/>
  <c r="BO250" i="155"/>
  <c r="BN250" i="155"/>
  <c r="BM250" i="155"/>
  <c r="BL250" i="155"/>
  <c r="AZ250" i="155"/>
  <c r="AM250" i="155"/>
  <c r="Z250" i="155"/>
  <c r="CM249" i="155"/>
  <c r="CF249" i="155"/>
  <c r="CD249" i="155"/>
  <c r="CC249" i="155"/>
  <c r="CB249" i="155"/>
  <c r="CA249" i="155"/>
  <c r="BZ249" i="155"/>
  <c r="BM249" i="155"/>
  <c r="AZ249" i="155"/>
  <c r="AM249" i="155"/>
  <c r="Z249" i="155"/>
  <c r="CM248" i="155"/>
  <c r="CF248" i="155"/>
  <c r="CD248" i="155"/>
  <c r="CC248" i="155"/>
  <c r="CB248" i="155"/>
  <c r="CA248" i="155"/>
  <c r="BZ248" i="155"/>
  <c r="BQ248" i="155"/>
  <c r="BO248" i="155"/>
  <c r="BM248" i="155"/>
  <c r="BL248" i="155"/>
  <c r="AZ248" i="155"/>
  <c r="AM248" i="155"/>
  <c r="Z248" i="155"/>
  <c r="CC247" i="155"/>
  <c r="CB247" i="155"/>
  <c r="CA247" i="155"/>
  <c r="BZ247" i="155"/>
  <c r="BN247" i="155"/>
  <c r="BM247" i="155"/>
  <c r="BL247" i="155"/>
  <c r="AZ247" i="155"/>
  <c r="AM247" i="155"/>
  <c r="Z247" i="155"/>
  <c r="CC246" i="155"/>
  <c r="CB246" i="155"/>
  <c r="CA246" i="155"/>
  <c r="BZ246" i="155"/>
  <c r="BM246" i="155"/>
  <c r="BL246" i="155"/>
  <c r="AZ246" i="155"/>
  <c r="AM246" i="155"/>
  <c r="Z246" i="155"/>
  <c r="CM245" i="155"/>
  <c r="CF245" i="155"/>
  <c r="CD245" i="155"/>
  <c r="CC245" i="155"/>
  <c r="CB245" i="155"/>
  <c r="CA245" i="155"/>
  <c r="BZ245" i="155"/>
  <c r="BP245" i="155"/>
  <c r="BM245" i="155"/>
  <c r="BL245" i="155"/>
  <c r="AZ245" i="155"/>
  <c r="AM245" i="155"/>
  <c r="Z245" i="155"/>
  <c r="CM244" i="155"/>
  <c r="CF244" i="155"/>
  <c r="CD244" i="155"/>
  <c r="CC244" i="155"/>
  <c r="CB244" i="155"/>
  <c r="CA244" i="155"/>
  <c r="BZ244" i="155"/>
  <c r="BM244" i="155"/>
  <c r="BL244" i="155"/>
  <c r="AZ244" i="155"/>
  <c r="AM244" i="155"/>
  <c r="Z244" i="155"/>
  <c r="CC243" i="155"/>
  <c r="CB243" i="155"/>
  <c r="CA243" i="155"/>
  <c r="BZ243" i="155"/>
  <c r="BM243" i="155"/>
  <c r="BL243" i="155"/>
  <c r="AZ243" i="155"/>
  <c r="AM243" i="155"/>
  <c r="Z243" i="155"/>
  <c r="CM242" i="155"/>
  <c r="CF242" i="155"/>
  <c r="CD242" i="155"/>
  <c r="CC242" i="155"/>
  <c r="CB242" i="155"/>
  <c r="CA242" i="155"/>
  <c r="BZ242" i="155"/>
  <c r="BM242" i="155"/>
  <c r="BL242" i="155"/>
  <c r="AZ242" i="155"/>
  <c r="AM242" i="155"/>
  <c r="Z242" i="155"/>
  <c r="CC241" i="155"/>
  <c r="CB241" i="155"/>
  <c r="CA241" i="155"/>
  <c r="BZ241" i="155"/>
  <c r="BM241" i="155"/>
  <c r="BL241" i="155"/>
  <c r="AZ241" i="155"/>
  <c r="AM241" i="155"/>
  <c r="Z241" i="155"/>
  <c r="CM240" i="155"/>
  <c r="CF240" i="155"/>
  <c r="CD240" i="155"/>
  <c r="CC240" i="155"/>
  <c r="CB240" i="155"/>
  <c r="CA240" i="155"/>
  <c r="BZ240" i="155"/>
  <c r="BM240" i="155"/>
  <c r="AZ240" i="155"/>
  <c r="AM240" i="155"/>
  <c r="Z240" i="155"/>
  <c r="CM239" i="155"/>
  <c r="CF239" i="155"/>
  <c r="CD239" i="155"/>
  <c r="CC239" i="155"/>
  <c r="CB239" i="155"/>
  <c r="CA239" i="155"/>
  <c r="BZ239" i="155"/>
  <c r="BM239" i="155"/>
  <c r="BH239" i="155"/>
  <c r="AZ239" i="155"/>
  <c r="AM239" i="155"/>
  <c r="Z239" i="155"/>
  <c r="CC238" i="155"/>
  <c r="CB238" i="155"/>
  <c r="CA238" i="155"/>
  <c r="BZ238" i="155"/>
  <c r="BM238" i="155"/>
  <c r="BH238" i="155"/>
  <c r="AZ238" i="155"/>
  <c r="AM238" i="155"/>
  <c r="Z238" i="155"/>
  <c r="CM237" i="155"/>
  <c r="CF237" i="155"/>
  <c r="CD237" i="155"/>
  <c r="CC237" i="155"/>
  <c r="CB237" i="155"/>
  <c r="CA237" i="155"/>
  <c r="BZ237" i="155"/>
  <c r="BM237" i="155"/>
  <c r="BI237" i="155"/>
  <c r="BH237" i="155"/>
  <c r="AZ237" i="155"/>
  <c r="AM237" i="155"/>
  <c r="Z237" i="155"/>
  <c r="CM236" i="155"/>
  <c r="CF236" i="155"/>
  <c r="CD236" i="155"/>
  <c r="CC236" i="155"/>
  <c r="CB236" i="155"/>
  <c r="CA236" i="155"/>
  <c r="BZ236" i="155"/>
  <c r="BQ236" i="155"/>
  <c r="BP236" i="155"/>
  <c r="BM236" i="155"/>
  <c r="AZ236" i="155"/>
  <c r="AM236" i="155"/>
  <c r="Z236" i="155"/>
  <c r="CC235" i="155"/>
  <c r="CB235" i="155"/>
  <c r="CA235" i="155"/>
  <c r="BZ235" i="155"/>
  <c r="BQ235" i="155"/>
  <c r="BM235" i="155"/>
  <c r="BL235" i="155"/>
  <c r="BK235" i="155"/>
  <c r="BH235" i="155"/>
  <c r="AZ235" i="155"/>
  <c r="AM235" i="155"/>
  <c r="Z235" i="155"/>
  <c r="CC234" i="155"/>
  <c r="CB234" i="155"/>
  <c r="CA234" i="155"/>
  <c r="BZ234" i="155"/>
  <c r="BM234" i="155"/>
  <c r="BI234" i="155"/>
  <c r="AZ234" i="155"/>
  <c r="AM234" i="155"/>
  <c r="Z234" i="155"/>
  <c r="CM233" i="155"/>
  <c r="CF233" i="155"/>
  <c r="CD233" i="155"/>
  <c r="CC233" i="155"/>
  <c r="CB233" i="155"/>
  <c r="CA233" i="155"/>
  <c r="BZ233" i="155"/>
  <c r="BM233" i="155"/>
  <c r="AZ233" i="155"/>
  <c r="AM233" i="155"/>
  <c r="Z233" i="155"/>
  <c r="CM232" i="155"/>
  <c r="CF232" i="155"/>
  <c r="CD232" i="155"/>
  <c r="CC232" i="155"/>
  <c r="CB232" i="155"/>
  <c r="CA232" i="155"/>
  <c r="BZ232" i="155"/>
  <c r="BQ232" i="155"/>
  <c r="BP232" i="155"/>
  <c r="BO232" i="155"/>
  <c r="BM232" i="155"/>
  <c r="BL232" i="155"/>
  <c r="BK232" i="155"/>
  <c r="BJ232" i="155"/>
  <c r="BI232" i="155"/>
  <c r="BG232" i="155"/>
  <c r="AZ232" i="155"/>
  <c r="AM232" i="155"/>
  <c r="Z232" i="155"/>
  <c r="CM231" i="155"/>
  <c r="CF231" i="155"/>
  <c r="CD231" i="155"/>
  <c r="CC231" i="155"/>
  <c r="CB231" i="155"/>
  <c r="CA231" i="155"/>
  <c r="BZ231" i="155"/>
  <c r="BM231" i="155"/>
  <c r="BL231" i="155"/>
  <c r="BJ231" i="155"/>
  <c r="BI231" i="155"/>
  <c r="BH231" i="155"/>
  <c r="BG231" i="155"/>
  <c r="BF231" i="155"/>
  <c r="AZ231" i="155"/>
  <c r="AM231" i="155"/>
  <c r="Z231" i="155"/>
  <c r="CJ230" i="155"/>
  <c r="CI230" i="155"/>
  <c r="CF230" i="155"/>
  <c r="CD230" i="155"/>
  <c r="CC230" i="155"/>
  <c r="CB230" i="155"/>
  <c r="CA230" i="155"/>
  <c r="BZ230" i="155"/>
  <c r="BO230" i="155"/>
  <c r="BM230" i="155"/>
  <c r="BL230" i="155"/>
  <c r="BK230" i="155"/>
  <c r="BJ230" i="155"/>
  <c r="BI230" i="155"/>
  <c r="BH230" i="155"/>
  <c r="BG230" i="155"/>
  <c r="AZ230" i="155"/>
  <c r="AM230" i="155"/>
  <c r="Z230" i="155"/>
  <c r="CJ229" i="155"/>
  <c r="CI229" i="155"/>
  <c r="CC229" i="155"/>
  <c r="CB229" i="155"/>
  <c r="CA229" i="155"/>
  <c r="BZ229" i="155"/>
  <c r="BM229" i="155"/>
  <c r="BK229" i="155"/>
  <c r="BH229" i="155"/>
  <c r="BG229" i="155"/>
  <c r="BF229" i="155"/>
  <c r="AZ229" i="155"/>
  <c r="AM229" i="155"/>
  <c r="Z229" i="155"/>
  <c r="CJ228" i="155"/>
  <c r="CI228" i="155"/>
  <c r="CF228" i="155"/>
  <c r="CD228" i="155"/>
  <c r="CC228" i="155"/>
  <c r="CB228" i="155"/>
  <c r="CA228" i="155"/>
  <c r="BZ228" i="155"/>
  <c r="BM228" i="155"/>
  <c r="BF228" i="155"/>
  <c r="BE228" i="155"/>
  <c r="AZ228" i="155"/>
  <c r="AM228" i="155"/>
  <c r="Z228" i="155"/>
  <c r="CJ227" i="155"/>
  <c r="CI227" i="155"/>
  <c r="CC227" i="155"/>
  <c r="CB227" i="155"/>
  <c r="CA227" i="155"/>
  <c r="BZ227" i="155"/>
  <c r="BM227" i="155"/>
  <c r="BF227" i="155"/>
  <c r="BE227" i="155"/>
  <c r="AZ227" i="155"/>
  <c r="AM227" i="155"/>
  <c r="Z227" i="155"/>
  <c r="CJ226" i="155"/>
  <c r="CI226" i="155"/>
  <c r="CF226" i="155"/>
  <c r="CD226" i="155"/>
  <c r="CC226" i="155"/>
  <c r="CB226" i="155"/>
  <c r="CA226" i="155"/>
  <c r="BZ226" i="155"/>
  <c r="BM226" i="155"/>
  <c r="BF226" i="155"/>
  <c r="BE226" i="155"/>
  <c r="AZ226" i="155"/>
  <c r="AM226" i="155"/>
  <c r="Z226" i="155"/>
  <c r="CI225" i="155"/>
  <c r="CC225" i="155"/>
  <c r="CB225" i="155"/>
  <c r="CA225" i="155"/>
  <c r="BZ225" i="155"/>
  <c r="BQ225" i="155"/>
  <c r="BM225" i="155"/>
  <c r="BL225" i="155"/>
  <c r="BJ225" i="155"/>
  <c r="BG225" i="155"/>
  <c r="BF225" i="155"/>
  <c r="AZ225" i="155"/>
  <c r="AM225" i="155"/>
  <c r="Z225" i="155"/>
  <c r="CM224" i="155"/>
  <c r="CF224" i="155"/>
  <c r="CD224" i="155"/>
  <c r="CC224" i="155"/>
  <c r="CB224" i="155"/>
  <c r="CA224" i="155"/>
  <c r="BZ224" i="155"/>
  <c r="BM224" i="155"/>
  <c r="AZ224" i="155"/>
  <c r="AM224" i="155"/>
  <c r="Z224" i="155"/>
  <c r="CC223" i="155"/>
  <c r="CB223" i="155"/>
  <c r="CA223" i="155"/>
  <c r="BZ223" i="155"/>
  <c r="BM223" i="155"/>
  <c r="BB223" i="155"/>
  <c r="AZ223" i="155"/>
  <c r="AM223" i="155"/>
  <c r="Z223" i="155"/>
  <c r="CI222" i="155"/>
  <c r="CB222" i="155"/>
  <c r="CA222" i="155"/>
  <c r="BZ222" i="155"/>
  <c r="BQ222" i="155"/>
  <c r="BP222" i="155"/>
  <c r="BO222" i="155"/>
  <c r="BN222" i="155"/>
  <c r="BL222" i="155"/>
  <c r="BK222" i="155"/>
  <c r="BJ222" i="155"/>
  <c r="BI222" i="155"/>
  <c r="BH222" i="155"/>
  <c r="BG222" i="155"/>
  <c r="BF222" i="155"/>
  <c r="BE222" i="155"/>
  <c r="BD222" i="155"/>
  <c r="BC222" i="155"/>
  <c r="BB222" i="155"/>
  <c r="BA222" i="155"/>
  <c r="AZ222" i="155"/>
  <c r="AW222" i="155"/>
  <c r="AV222" i="155"/>
  <c r="AM222" i="155"/>
  <c r="Z222" i="155"/>
  <c r="CL221" i="155"/>
  <c r="CI221" i="155"/>
  <c r="CE221" i="155"/>
  <c r="BY221" i="155"/>
  <c r="BX221" i="155"/>
  <c r="BW221" i="155"/>
  <c r="BV221" i="155"/>
  <c r="BU221" i="155"/>
  <c r="BT221" i="155"/>
  <c r="BS221" i="155"/>
  <c r="BR221" i="155"/>
  <c r="BQ221" i="155"/>
  <c r="BP221" i="155"/>
  <c r="BO221" i="155"/>
  <c r="BN221" i="155"/>
  <c r="BL221" i="155"/>
  <c r="BK221" i="155"/>
  <c r="BJ221" i="155"/>
  <c r="BI221" i="155"/>
  <c r="BH221" i="155"/>
  <c r="BF221" i="155"/>
  <c r="BE221" i="155"/>
  <c r="BB221" i="155"/>
  <c r="BA221" i="155"/>
  <c r="AY221" i="155"/>
  <c r="AX221" i="155"/>
  <c r="AW221" i="155"/>
  <c r="AV221" i="155"/>
  <c r="AU221" i="155"/>
  <c r="AT221" i="155"/>
  <c r="AS221" i="155"/>
  <c r="AR221" i="155"/>
  <c r="AQ221" i="155"/>
  <c r="AP221" i="155"/>
  <c r="AO221" i="155"/>
  <c r="AN221" i="155"/>
  <c r="AL221" i="155"/>
  <c r="AK221" i="155"/>
  <c r="AJ221" i="155"/>
  <c r="AI221" i="155"/>
  <c r="AH221" i="155"/>
  <c r="AG221" i="155"/>
  <c r="AF221" i="155"/>
  <c r="AE221" i="155"/>
  <c r="AD221" i="155"/>
  <c r="AC221" i="155"/>
  <c r="AB221" i="155"/>
  <c r="AA221" i="155"/>
  <c r="Y221" i="155"/>
  <c r="X221" i="155"/>
  <c r="W221" i="155"/>
  <c r="V221" i="155"/>
  <c r="U221" i="155"/>
  <c r="T221" i="155"/>
  <c r="S221" i="155"/>
  <c r="R221" i="155"/>
  <c r="Q221" i="155"/>
  <c r="P221" i="155"/>
  <c r="O221" i="155"/>
  <c r="N221" i="155"/>
  <c r="M221" i="155"/>
  <c r="I221" i="155"/>
  <c r="H221" i="155"/>
  <c r="G221" i="155"/>
  <c r="F221" i="155"/>
  <c r="CJ220" i="155"/>
  <c r="CI220" i="155"/>
  <c r="CF220" i="155"/>
  <c r="CD220" i="155"/>
  <c r="CC220" i="155"/>
  <c r="CB220" i="155"/>
  <c r="CA220" i="155"/>
  <c r="BZ220" i="155"/>
  <c r="BQ220" i="155"/>
  <c r="BC220" i="155"/>
  <c r="AZ220" i="155"/>
  <c r="AN220" i="155"/>
  <c r="AM220" i="155"/>
  <c r="Z220" i="155"/>
  <c r="CC219" i="155"/>
  <c r="CB219" i="155"/>
  <c r="CA219" i="155"/>
  <c r="BZ219" i="155"/>
  <c r="BQ219" i="155"/>
  <c r="BP219" i="155"/>
  <c r="BO219" i="155"/>
  <c r="BN219" i="155"/>
  <c r="BM219" i="155"/>
  <c r="AZ219" i="155"/>
  <c r="AN219" i="155"/>
  <c r="AM219" i="155"/>
  <c r="Z219" i="155"/>
  <c r="CM218" i="155"/>
  <c r="CF218" i="155"/>
  <c r="CD218" i="155"/>
  <c r="CC218" i="155"/>
  <c r="CB218" i="155"/>
  <c r="CA218" i="155"/>
  <c r="BZ218" i="155"/>
  <c r="BM218" i="155"/>
  <c r="AZ218" i="155"/>
  <c r="AN218" i="155"/>
  <c r="AM218" i="155"/>
  <c r="Z218" i="155"/>
  <c r="CJ217" i="155"/>
  <c r="CI217" i="155"/>
  <c r="CF217" i="155"/>
  <c r="CD217" i="155"/>
  <c r="CC217" i="155"/>
  <c r="CB217" i="155"/>
  <c r="CA217" i="155"/>
  <c r="BZ217" i="155"/>
  <c r="BM217" i="155"/>
  <c r="BF217" i="155"/>
  <c r="AZ217" i="155"/>
  <c r="AN217" i="155"/>
  <c r="AM217" i="155"/>
  <c r="Z217" i="155"/>
  <c r="CJ216" i="155"/>
  <c r="CI216" i="155"/>
  <c r="CC216" i="155"/>
  <c r="CB216" i="155"/>
  <c r="CA216" i="155"/>
  <c r="BZ216" i="155"/>
  <c r="BM216" i="155"/>
  <c r="BF216" i="155"/>
  <c r="AZ216" i="155"/>
  <c r="AN216" i="155"/>
  <c r="AM216" i="155"/>
  <c r="Z216" i="155"/>
  <c r="CJ215" i="155"/>
  <c r="CI215" i="155"/>
  <c r="CF215" i="155"/>
  <c r="CD215" i="155"/>
  <c r="CC215" i="155"/>
  <c r="CB215" i="155"/>
  <c r="CA215" i="155"/>
  <c r="BZ215" i="155"/>
  <c r="BM215" i="155"/>
  <c r="AZ215" i="155"/>
  <c r="AN215" i="155"/>
  <c r="AM215" i="155"/>
  <c r="Z215" i="155"/>
  <c r="CJ214" i="155"/>
  <c r="CI214" i="155"/>
  <c r="CF214" i="155"/>
  <c r="CD214" i="155"/>
  <c r="CC214" i="155"/>
  <c r="CB214" i="155"/>
  <c r="CA214" i="155"/>
  <c r="BZ214" i="155"/>
  <c r="BM214" i="155"/>
  <c r="AZ214" i="155"/>
  <c r="AN214" i="155"/>
  <c r="AM214" i="155"/>
  <c r="Z214" i="155"/>
  <c r="CJ213" i="155"/>
  <c r="CI213" i="155"/>
  <c r="CF213" i="155"/>
  <c r="CC213" i="155"/>
  <c r="CB213" i="155"/>
  <c r="CA213" i="155"/>
  <c r="BZ213" i="155"/>
  <c r="BF213" i="155"/>
  <c r="BE213" i="155"/>
  <c r="BA213" i="155"/>
  <c r="AZ213" i="155"/>
  <c r="AY213" i="155"/>
  <c r="AX213" i="155"/>
  <c r="AU213" i="155"/>
  <c r="AT213" i="155"/>
  <c r="AS213" i="155"/>
  <c r="AR213" i="155"/>
  <c r="AQ213" i="155"/>
  <c r="AP213" i="155"/>
  <c r="AN213" i="155"/>
  <c r="AL213" i="155"/>
  <c r="Z213" i="155"/>
  <c r="K213" i="155"/>
  <c r="CL212" i="155"/>
  <c r="CI212" i="155"/>
  <c r="CE212" i="155"/>
  <c r="CB212" i="155"/>
  <c r="CA212" i="155"/>
  <c r="BY212" i="155"/>
  <c r="BX212" i="155"/>
  <c r="BW212" i="155"/>
  <c r="BV212" i="155"/>
  <c r="BU212" i="155"/>
  <c r="BT212" i="155"/>
  <c r="BS212" i="155"/>
  <c r="BR212" i="155"/>
  <c r="BQ212" i="155"/>
  <c r="BP212" i="155"/>
  <c r="BO212" i="155"/>
  <c r="BN212" i="155"/>
  <c r="BL212" i="155"/>
  <c r="BK212" i="155"/>
  <c r="BJ212" i="155"/>
  <c r="BI212" i="155"/>
  <c r="BH212" i="155"/>
  <c r="BG212" i="155"/>
  <c r="BF212" i="155"/>
  <c r="BE212" i="155"/>
  <c r="BD212" i="155"/>
  <c r="BC212" i="155"/>
  <c r="BB212" i="155"/>
  <c r="BA212" i="155"/>
  <c r="AX212" i="155"/>
  <c r="AW212" i="155"/>
  <c r="AV212" i="155"/>
  <c r="AU212" i="155"/>
  <c r="AT212" i="155"/>
  <c r="AS212" i="155"/>
  <c r="AR212" i="155"/>
  <c r="AQ212" i="155"/>
  <c r="AP212" i="155"/>
  <c r="AO212" i="155"/>
  <c r="AN212" i="155"/>
  <c r="AL212" i="155"/>
  <c r="AK212" i="155"/>
  <c r="AJ212" i="155"/>
  <c r="AI212" i="155"/>
  <c r="AH212" i="155"/>
  <c r="AG212" i="155"/>
  <c r="AF212" i="155"/>
  <c r="AE212" i="155"/>
  <c r="AD212" i="155"/>
  <c r="AC212" i="155"/>
  <c r="AB212" i="155"/>
  <c r="AA212" i="155"/>
  <c r="Z212" i="155"/>
  <c r="Y212" i="155"/>
  <c r="X212" i="155"/>
  <c r="W212" i="155"/>
  <c r="V212" i="155"/>
  <c r="U212" i="155"/>
  <c r="T212" i="155"/>
  <c r="S212" i="155"/>
  <c r="R212" i="155"/>
  <c r="Q212" i="155"/>
  <c r="P212" i="155"/>
  <c r="O212" i="155"/>
  <c r="N212" i="155"/>
  <c r="M212" i="155"/>
  <c r="I212" i="155"/>
  <c r="H212" i="155"/>
  <c r="G212" i="155"/>
  <c r="F212" i="155"/>
  <c r="CF211" i="155"/>
  <c r="CE211" i="155"/>
  <c r="CD211" i="155"/>
  <c r="CC211" i="155"/>
  <c r="CA211" i="155"/>
  <c r="BZ211" i="155"/>
  <c r="BM211" i="155"/>
  <c r="AZ211" i="155"/>
  <c r="AM211" i="155"/>
  <c r="Z211" i="155"/>
  <c r="CE209" i="155"/>
  <c r="CC209" i="155"/>
  <c r="CB209" i="155"/>
  <c r="CA209" i="155"/>
  <c r="BZ209" i="155"/>
  <c r="BM209" i="155"/>
  <c r="AZ209" i="155"/>
  <c r="AM209" i="155"/>
  <c r="Z209" i="155"/>
  <c r="CM208" i="155"/>
  <c r="CL208" i="155"/>
  <c r="CD208" i="155"/>
  <c r="CC208" i="155"/>
  <c r="BA208" i="155"/>
  <c r="AU208" i="155"/>
  <c r="CC207" i="155"/>
  <c r="CB207" i="155"/>
  <c r="CA207" i="155"/>
  <c r="BZ207" i="155"/>
  <c r="BM207" i="155"/>
  <c r="AZ207" i="155"/>
  <c r="AM207" i="155"/>
  <c r="Z207" i="155"/>
  <c r="CC206" i="155"/>
  <c r="CB206" i="155"/>
  <c r="CA206" i="155"/>
  <c r="BZ206" i="155"/>
  <c r="BM206" i="155"/>
  <c r="AZ206" i="155"/>
  <c r="AM206" i="155"/>
  <c r="Z206" i="155"/>
  <c r="CC205" i="155"/>
  <c r="CB205" i="155"/>
  <c r="CA205" i="155"/>
  <c r="BZ205" i="155"/>
  <c r="BM205" i="155"/>
  <c r="AZ205" i="155"/>
  <c r="AM205" i="155"/>
  <c r="Z205" i="155"/>
  <c r="CC204" i="155"/>
  <c r="CB204" i="155"/>
  <c r="CA204" i="155"/>
  <c r="BZ204" i="155"/>
  <c r="BM204" i="155"/>
  <c r="AZ204" i="155"/>
  <c r="AM204" i="155"/>
  <c r="Z204" i="155"/>
  <c r="CC203" i="155"/>
  <c r="CB203" i="155"/>
  <c r="CA203" i="155"/>
  <c r="BZ203" i="155"/>
  <c r="BQ203" i="155"/>
  <c r="BM203" i="155"/>
  <c r="AZ203" i="155"/>
  <c r="AM203" i="155"/>
  <c r="Z203" i="155"/>
  <c r="CM202" i="155"/>
  <c r="CF202" i="155"/>
  <c r="CD202" i="155"/>
  <c r="CC202" i="155"/>
  <c r="CB202" i="155"/>
  <c r="CA202" i="155"/>
  <c r="BZ202" i="155"/>
  <c r="BM202" i="155"/>
  <c r="AZ202" i="155"/>
  <c r="AM202" i="155"/>
  <c r="Z202" i="155"/>
  <c r="CM201" i="155"/>
  <c r="CF201" i="155"/>
  <c r="CD201" i="155"/>
  <c r="CC201" i="155"/>
  <c r="CB201" i="155"/>
  <c r="CA201" i="155"/>
  <c r="BZ201" i="155"/>
  <c r="BQ201" i="155"/>
  <c r="BP201" i="155"/>
  <c r="BO201" i="155"/>
  <c r="BN201" i="155"/>
  <c r="BM201" i="155"/>
  <c r="BL201" i="155"/>
  <c r="BK201" i="155"/>
  <c r="BJ201" i="155"/>
  <c r="BI201" i="155"/>
  <c r="BH201" i="155"/>
  <c r="BG201" i="155"/>
  <c r="BF201" i="155"/>
  <c r="BE201" i="155"/>
  <c r="BD201" i="155"/>
  <c r="BC201" i="155"/>
  <c r="BB201" i="155"/>
  <c r="AZ201" i="155"/>
  <c r="AM201" i="155"/>
  <c r="Z201" i="155"/>
  <c r="CF200" i="155"/>
  <c r="CD200" i="155"/>
  <c r="CC200" i="155"/>
  <c r="CB200" i="155"/>
  <c r="CA200" i="155"/>
  <c r="BZ200" i="155"/>
  <c r="BM200" i="155"/>
  <c r="AZ200" i="155"/>
  <c r="AM200" i="155"/>
  <c r="Z200" i="155"/>
  <c r="CM199" i="155"/>
  <c r="CF199" i="155"/>
  <c r="CD199" i="155"/>
  <c r="CC199" i="155"/>
  <c r="CB199" i="155"/>
  <c r="CA199" i="155"/>
  <c r="BZ199" i="155"/>
  <c r="BM199" i="155"/>
  <c r="BE199" i="155"/>
  <c r="AZ199" i="155"/>
  <c r="AM199" i="155"/>
  <c r="Z199" i="155"/>
  <c r="CB198" i="155"/>
  <c r="BQ198" i="155"/>
  <c r="BO198" i="155"/>
  <c r="BE198" i="155"/>
  <c r="BD198" i="155"/>
  <c r="AW198" i="155"/>
  <c r="AM198" i="155"/>
  <c r="Z198" i="155"/>
  <c r="CE197" i="155"/>
  <c r="CB197" i="155"/>
  <c r="BY197" i="155"/>
  <c r="BX197" i="155"/>
  <c r="BW197" i="155"/>
  <c r="BV197" i="155"/>
  <c r="BU197" i="155"/>
  <c r="BT197" i="155"/>
  <c r="BS197" i="155"/>
  <c r="BR197" i="155"/>
  <c r="BQ197" i="155"/>
  <c r="BP197" i="155"/>
  <c r="BO197" i="155"/>
  <c r="BN197" i="155"/>
  <c r="BL197" i="155"/>
  <c r="BK197" i="155"/>
  <c r="BJ197" i="155"/>
  <c r="BI197" i="155"/>
  <c r="BH197" i="155"/>
  <c r="BG197" i="155"/>
  <c r="BF197" i="155"/>
  <c r="BD197" i="155"/>
  <c r="BC197" i="155"/>
  <c r="BB197" i="155"/>
  <c r="BA197" i="155"/>
  <c r="AY197" i="155"/>
  <c r="AX197" i="155"/>
  <c r="AW197" i="155"/>
  <c r="AV197" i="155"/>
  <c r="AU197" i="155"/>
  <c r="AT197" i="155"/>
  <c r="AS197" i="155"/>
  <c r="AR197" i="155"/>
  <c r="AQ197" i="155"/>
  <c r="AP197" i="155"/>
  <c r="AO197" i="155"/>
  <c r="AN197" i="155"/>
  <c r="AM197" i="155"/>
  <c r="AL197" i="155"/>
  <c r="AK197" i="155"/>
  <c r="AJ197" i="155"/>
  <c r="AI197" i="155"/>
  <c r="AH197" i="155"/>
  <c r="AG197" i="155"/>
  <c r="AF197" i="155"/>
  <c r="AE197" i="155"/>
  <c r="AD197" i="155"/>
  <c r="AC197" i="155"/>
  <c r="AB197" i="155"/>
  <c r="AA197" i="155"/>
  <c r="Z197" i="155"/>
  <c r="Y197" i="155"/>
  <c r="X197" i="155"/>
  <c r="W197" i="155"/>
  <c r="V197" i="155"/>
  <c r="U197" i="155"/>
  <c r="T197" i="155"/>
  <c r="S197" i="155"/>
  <c r="R197" i="155"/>
  <c r="Q197" i="155"/>
  <c r="P197" i="155"/>
  <c r="O197" i="155"/>
  <c r="N197" i="155"/>
  <c r="M197" i="155"/>
  <c r="K197" i="155"/>
  <c r="I197" i="155"/>
  <c r="H197" i="155"/>
  <c r="G197" i="155"/>
  <c r="CM196" i="155"/>
  <c r="CF196" i="155"/>
  <c r="CD196" i="155"/>
  <c r="CC196" i="155"/>
  <c r="CB196" i="155"/>
  <c r="CA196" i="155"/>
  <c r="BZ196" i="155"/>
  <c r="BM196" i="155"/>
  <c r="AZ196" i="155"/>
  <c r="AM196" i="155"/>
  <c r="Z196" i="155"/>
  <c r="CM195" i="155"/>
  <c r="CF195" i="155"/>
  <c r="CD195" i="155"/>
  <c r="CC195" i="155"/>
  <c r="CB195" i="155"/>
  <c r="CA195" i="155"/>
  <c r="BZ195" i="155"/>
  <c r="BM195" i="155"/>
  <c r="AZ195" i="155"/>
  <c r="AM195" i="155"/>
  <c r="Z195" i="155"/>
  <c r="CM194" i="155"/>
  <c r="CF194" i="155"/>
  <c r="CD194" i="155"/>
  <c r="CC194" i="155"/>
  <c r="CB194" i="155"/>
  <c r="CA194" i="155"/>
  <c r="BZ194" i="155"/>
  <c r="BM194" i="155"/>
  <c r="AZ194" i="155"/>
  <c r="AM194" i="155"/>
  <c r="Z194" i="155"/>
  <c r="CM193" i="155"/>
  <c r="CF193" i="155"/>
  <c r="CD193" i="155"/>
  <c r="CC193" i="155"/>
  <c r="CB193" i="155"/>
  <c r="CA193" i="155"/>
  <c r="BZ193" i="155"/>
  <c r="BM193" i="155"/>
  <c r="AZ193" i="155"/>
  <c r="AM193" i="155"/>
  <c r="Z193" i="155"/>
  <c r="CM192" i="155"/>
  <c r="CF192" i="155"/>
  <c r="CC192" i="155"/>
  <c r="CB192" i="155"/>
  <c r="CA192" i="155"/>
  <c r="BZ192" i="155"/>
  <c r="BM192" i="155"/>
  <c r="AZ192" i="155"/>
  <c r="AM192" i="155"/>
  <c r="Z192" i="155"/>
  <c r="CL191" i="155"/>
  <c r="CE191" i="155"/>
  <c r="BY191" i="155"/>
  <c r="BX191" i="155"/>
  <c r="BW191" i="155"/>
  <c r="BV191" i="155"/>
  <c r="BU191" i="155"/>
  <c r="BT191" i="155"/>
  <c r="BS191" i="155"/>
  <c r="BR191" i="155"/>
  <c r="BQ191" i="155"/>
  <c r="BP191" i="155"/>
  <c r="BO191" i="155"/>
  <c r="BN191" i="155"/>
  <c r="BL191" i="155"/>
  <c r="BK191" i="155"/>
  <c r="BJ191" i="155"/>
  <c r="BI191" i="155"/>
  <c r="BH191" i="155"/>
  <c r="BG191" i="155"/>
  <c r="BF191" i="155"/>
  <c r="BD191" i="155"/>
  <c r="BC191" i="155"/>
  <c r="BB191" i="155"/>
  <c r="BA191" i="155"/>
  <c r="AY191" i="155"/>
  <c r="AX191" i="155"/>
  <c r="AW191" i="155"/>
  <c r="AV191" i="155"/>
  <c r="AU191" i="155"/>
  <c r="AT191" i="155"/>
  <c r="AS191" i="155"/>
  <c r="AR191" i="155"/>
  <c r="AQ191" i="155"/>
  <c r="AP191" i="155"/>
  <c r="AO191" i="155"/>
  <c r="AN191" i="155"/>
  <c r="AL191" i="155"/>
  <c r="AK191" i="155"/>
  <c r="AJ191" i="155"/>
  <c r="AI191" i="155"/>
  <c r="AH191" i="155"/>
  <c r="AG191" i="155"/>
  <c r="AF191" i="155"/>
  <c r="AE191" i="155"/>
  <c r="AD191" i="155"/>
  <c r="AC191" i="155"/>
  <c r="AB191" i="155"/>
  <c r="AA191" i="155"/>
  <c r="Y191" i="155"/>
  <c r="X191" i="155"/>
  <c r="W191" i="155"/>
  <c r="V191" i="155"/>
  <c r="U191" i="155"/>
  <c r="T191" i="155"/>
  <c r="S191" i="155"/>
  <c r="R191" i="155"/>
  <c r="Q191" i="155"/>
  <c r="P191" i="155"/>
  <c r="O191" i="155"/>
  <c r="N191" i="155"/>
  <c r="M191" i="155"/>
  <c r="I191" i="155"/>
  <c r="H191" i="155"/>
  <c r="G191" i="155"/>
  <c r="F191" i="155"/>
  <c r="CM190" i="155"/>
  <c r="CF190" i="155"/>
  <c r="CD190" i="155"/>
  <c r="CC190" i="155"/>
  <c r="CB190" i="155"/>
  <c r="CA190" i="155"/>
  <c r="BZ190" i="155"/>
  <c r="BQ190" i="155"/>
  <c r="BO190" i="155"/>
  <c r="BM190" i="155"/>
  <c r="AZ190" i="155"/>
  <c r="AM190" i="155"/>
  <c r="Z190" i="155"/>
  <c r="CM189" i="155"/>
  <c r="CF189" i="155"/>
  <c r="CD189" i="155"/>
  <c r="CC189" i="155"/>
  <c r="CB189" i="155"/>
  <c r="CA189" i="155"/>
  <c r="BZ189" i="155"/>
  <c r="BM189" i="155"/>
  <c r="BL189" i="155"/>
  <c r="BK189" i="155"/>
  <c r="AZ189" i="155"/>
  <c r="AM189" i="155"/>
  <c r="Z189" i="155"/>
  <c r="CM188" i="155"/>
  <c r="CF188" i="155"/>
  <c r="CD188" i="155"/>
  <c r="CC188" i="155"/>
  <c r="CB188" i="155"/>
  <c r="CA188" i="155"/>
  <c r="BZ188" i="155"/>
  <c r="BM188" i="155"/>
  <c r="AZ188" i="155"/>
  <c r="AM188" i="155"/>
  <c r="Z188" i="155"/>
  <c r="CC187" i="155"/>
  <c r="CB187" i="155"/>
  <c r="CA187" i="155"/>
  <c r="BZ187" i="155"/>
  <c r="BM187" i="155"/>
  <c r="AZ187" i="155"/>
  <c r="AM187" i="155"/>
  <c r="Z187" i="155"/>
  <c r="CC186" i="155"/>
  <c r="CB186" i="155"/>
  <c r="CA186" i="155"/>
  <c r="BZ186" i="155"/>
  <c r="BM186" i="155"/>
  <c r="AZ186" i="155"/>
  <c r="AM186" i="155"/>
  <c r="Z186" i="155"/>
  <c r="CB185" i="155"/>
  <c r="BZ185" i="155"/>
  <c r="BQ185" i="155"/>
  <c r="BM185" i="155"/>
  <c r="AZ185" i="155"/>
  <c r="AY185" i="155"/>
  <c r="AM185" i="155"/>
  <c r="Z185" i="155"/>
  <c r="CC184" i="155"/>
  <c r="CB184" i="155"/>
  <c r="CA184" i="155"/>
  <c r="BZ184" i="155"/>
  <c r="BM184" i="155"/>
  <c r="AZ184" i="155"/>
  <c r="AM184" i="155"/>
  <c r="Z184" i="155"/>
  <c r="CC183" i="155"/>
  <c r="CB183" i="155"/>
  <c r="CA183" i="155"/>
  <c r="BZ183" i="155"/>
  <c r="BM183" i="155"/>
  <c r="AZ183" i="155"/>
  <c r="AM183" i="155"/>
  <c r="Z183" i="155"/>
  <c r="I183" i="155"/>
  <c r="CM182" i="155"/>
  <c r="CF182" i="155"/>
  <c r="CD182" i="155"/>
  <c r="CC182" i="155"/>
  <c r="CB182" i="155"/>
  <c r="CA182" i="155"/>
  <c r="BZ182" i="155"/>
  <c r="BM182" i="155"/>
  <c r="AZ182" i="155"/>
  <c r="AM182" i="155"/>
  <c r="Z182" i="155"/>
  <c r="CM181" i="155"/>
  <c r="CF181" i="155"/>
  <c r="CD181" i="155"/>
  <c r="CC181" i="155"/>
  <c r="CB181" i="155"/>
  <c r="CA181" i="155"/>
  <c r="BZ181" i="155"/>
  <c r="BM181" i="155"/>
  <c r="AZ181" i="155"/>
  <c r="AM181" i="155"/>
  <c r="Z181" i="155"/>
  <c r="CJ180" i="155"/>
  <c r="CI180" i="155"/>
  <c r="CC180" i="155"/>
  <c r="CB180" i="155"/>
  <c r="CA180" i="155"/>
  <c r="BZ180" i="155"/>
  <c r="BP180" i="155"/>
  <c r="BM180" i="155"/>
  <c r="AZ180" i="155"/>
  <c r="AM180" i="155"/>
  <c r="Z180" i="155"/>
  <c r="CM179" i="155"/>
  <c r="CF179" i="155"/>
  <c r="CD179" i="155"/>
  <c r="CC179" i="155"/>
  <c r="CB179" i="155"/>
  <c r="CA179" i="155"/>
  <c r="BZ179" i="155"/>
  <c r="BM179" i="155"/>
  <c r="AZ179" i="155"/>
  <c r="AM179" i="155"/>
  <c r="Z179" i="155"/>
  <c r="CM178" i="155"/>
  <c r="CF178" i="155"/>
  <c r="CD178" i="155"/>
  <c r="CC178" i="155"/>
  <c r="CB178" i="155"/>
  <c r="CA178" i="155"/>
  <c r="BZ178" i="155"/>
  <c r="BM178" i="155"/>
  <c r="AZ178" i="155"/>
  <c r="AM178" i="155"/>
  <c r="Z178" i="155"/>
  <c r="CM177" i="155"/>
  <c r="CF177" i="155"/>
  <c r="CD177" i="155"/>
  <c r="CC177" i="155"/>
  <c r="CB177" i="155"/>
  <c r="CA177" i="155"/>
  <c r="BZ177" i="155"/>
  <c r="BQ177" i="155"/>
  <c r="BM177" i="155"/>
  <c r="AZ177" i="155"/>
  <c r="AM177" i="155"/>
  <c r="Z177" i="155"/>
  <c r="CE176" i="155"/>
  <c r="CB176" i="155"/>
  <c r="CA176" i="155"/>
  <c r="BZ176" i="155"/>
  <c r="BY176" i="155"/>
  <c r="BX176" i="155"/>
  <c r="BW176" i="155"/>
  <c r="BV176" i="155"/>
  <c r="BU176" i="155"/>
  <c r="BT176" i="155"/>
  <c r="BS176" i="155"/>
  <c r="BR176" i="155"/>
  <c r="BP176" i="155"/>
  <c r="BO176" i="155"/>
  <c r="BN176" i="155"/>
  <c r="BL176" i="155"/>
  <c r="BK176" i="155"/>
  <c r="BJ176" i="155"/>
  <c r="BI176" i="155"/>
  <c r="BH176" i="155"/>
  <c r="BG176" i="155"/>
  <c r="BF176" i="155"/>
  <c r="BE176" i="155"/>
  <c r="BD176" i="155"/>
  <c r="BC176" i="155"/>
  <c r="BB176" i="155"/>
  <c r="BA176" i="155"/>
  <c r="AZ176" i="155"/>
  <c r="AY176" i="155"/>
  <c r="AX176" i="155"/>
  <c r="AW176" i="155"/>
  <c r="AV176" i="155"/>
  <c r="AU176" i="155"/>
  <c r="AT176" i="155"/>
  <c r="AS176" i="155"/>
  <c r="AR176" i="155"/>
  <c r="AQ176" i="155"/>
  <c r="AP176" i="155"/>
  <c r="AO176" i="155"/>
  <c r="AN176" i="155"/>
  <c r="AL176" i="155"/>
  <c r="AK176" i="155"/>
  <c r="AJ176" i="155"/>
  <c r="AI176" i="155"/>
  <c r="AH176" i="155"/>
  <c r="AG176" i="155"/>
  <c r="AF176" i="155"/>
  <c r="AE176" i="155"/>
  <c r="AD176" i="155"/>
  <c r="AC176" i="155"/>
  <c r="AB176" i="155"/>
  <c r="AA176" i="155"/>
  <c r="Z176" i="155"/>
  <c r="Y176" i="155"/>
  <c r="X176" i="155"/>
  <c r="W176" i="155"/>
  <c r="V176" i="155"/>
  <c r="U176" i="155"/>
  <c r="T176" i="155"/>
  <c r="S176" i="155"/>
  <c r="R176" i="155"/>
  <c r="Q176" i="155"/>
  <c r="P176" i="155"/>
  <c r="O176" i="155"/>
  <c r="N176" i="155"/>
  <c r="M176" i="155"/>
  <c r="I176" i="155"/>
  <c r="H176" i="155"/>
  <c r="G176" i="155"/>
  <c r="CB175" i="155"/>
  <c r="CA175" i="155"/>
  <c r="BZ175" i="155"/>
  <c r="BM175" i="155"/>
  <c r="AZ175" i="155"/>
  <c r="AM175" i="155"/>
  <c r="Z175" i="155"/>
  <c r="CE174" i="155"/>
  <c r="CA174" i="155"/>
  <c r="BZ174" i="155"/>
  <c r="BY174" i="155"/>
  <c r="BX174" i="155"/>
  <c r="BW174" i="155"/>
  <c r="BV174" i="155"/>
  <c r="BU174" i="155"/>
  <c r="BT174" i="155"/>
  <c r="BS174" i="155"/>
  <c r="BR174" i="155"/>
  <c r="BQ174" i="155"/>
  <c r="BP174" i="155"/>
  <c r="BO174" i="155"/>
  <c r="BN174" i="155"/>
  <c r="BM174" i="155"/>
  <c r="BL174" i="155"/>
  <c r="BK174" i="155"/>
  <c r="BJ174" i="155"/>
  <c r="BI174" i="155"/>
  <c r="BH174" i="155"/>
  <c r="BG174" i="155"/>
  <c r="BF174" i="155"/>
  <c r="BE174" i="155"/>
  <c r="BD174" i="155"/>
  <c r="BC174" i="155"/>
  <c r="BB174" i="155"/>
  <c r="BA174" i="155"/>
  <c r="AZ174" i="155"/>
  <c r="AY174" i="155"/>
  <c r="AX174" i="155"/>
  <c r="AW174" i="155"/>
  <c r="AV174" i="155"/>
  <c r="AU174" i="155"/>
  <c r="AT174" i="155"/>
  <c r="AS174" i="155"/>
  <c r="AR174" i="155"/>
  <c r="AQ174" i="155"/>
  <c r="AP174" i="155"/>
  <c r="AO174" i="155"/>
  <c r="AN174" i="155"/>
  <c r="AM174" i="155"/>
  <c r="AL174" i="155"/>
  <c r="AK174" i="155"/>
  <c r="AJ174" i="155"/>
  <c r="AI174" i="155"/>
  <c r="AH174" i="155"/>
  <c r="AG174" i="155"/>
  <c r="AF174" i="155"/>
  <c r="AE174" i="155"/>
  <c r="AD174" i="155"/>
  <c r="AC174" i="155"/>
  <c r="AB174" i="155"/>
  <c r="AA174" i="155"/>
  <c r="Z174" i="155"/>
  <c r="Y174" i="155"/>
  <c r="X174" i="155"/>
  <c r="W174" i="155"/>
  <c r="V174" i="155"/>
  <c r="U174" i="155"/>
  <c r="T174" i="155"/>
  <c r="S174" i="155"/>
  <c r="R174" i="155"/>
  <c r="Q174" i="155"/>
  <c r="P174" i="155"/>
  <c r="O174" i="155"/>
  <c r="N174" i="155"/>
  <c r="M174" i="155"/>
  <c r="I174" i="155"/>
  <c r="H174" i="155"/>
  <c r="G174" i="155"/>
  <c r="CM173" i="155"/>
  <c r="CF173" i="155"/>
  <c r="CD173" i="155"/>
  <c r="CC173" i="155"/>
  <c r="CB173" i="155"/>
  <c r="CA173" i="155"/>
  <c r="BZ173" i="155"/>
  <c r="BQ173" i="155"/>
  <c r="BP173" i="155"/>
  <c r="BM173" i="155"/>
  <c r="BA173" i="155"/>
  <c r="AZ173" i="155"/>
  <c r="AM173" i="155"/>
  <c r="AH173" i="155"/>
  <c r="AG173" i="155"/>
  <c r="AF173" i="155"/>
  <c r="AE173" i="155"/>
  <c r="Z173" i="155"/>
  <c r="CB172" i="155"/>
  <c r="BZ172" i="155"/>
  <c r="BM172" i="155"/>
  <c r="AZ172" i="155"/>
  <c r="AM172" i="155"/>
  <c r="AG172" i="155"/>
  <c r="Z172" i="155"/>
  <c r="CM171" i="155"/>
  <c r="CF171" i="155"/>
  <c r="CD171" i="155"/>
  <c r="CC171" i="155"/>
  <c r="CB171" i="155"/>
  <c r="CA171" i="155"/>
  <c r="BZ171" i="155"/>
  <c r="BM171" i="155"/>
  <c r="AZ171" i="155"/>
  <c r="AM171" i="155"/>
  <c r="Z171" i="155"/>
  <c r="CM170" i="155"/>
  <c r="CF170" i="155"/>
  <c r="CD170" i="155"/>
  <c r="CC170" i="155"/>
  <c r="CB170" i="155"/>
  <c r="CA170" i="155"/>
  <c r="BZ170" i="155"/>
  <c r="BM170" i="155"/>
  <c r="AZ170" i="155"/>
  <c r="AM170" i="155"/>
  <c r="Z170" i="155"/>
  <c r="CM169" i="155"/>
  <c r="CF169" i="155"/>
  <c r="CD169" i="155"/>
  <c r="CC169" i="155"/>
  <c r="CB169" i="155"/>
  <c r="CA169" i="155"/>
  <c r="BZ169" i="155"/>
  <c r="BM169" i="155"/>
  <c r="AZ169" i="155"/>
  <c r="AM169" i="155"/>
  <c r="Z169" i="155"/>
  <c r="CM168" i="155"/>
  <c r="CF168" i="155"/>
  <c r="CD168" i="155"/>
  <c r="CC168" i="155"/>
  <c r="CB168" i="155"/>
  <c r="CA168" i="155"/>
  <c r="BZ168" i="155"/>
  <c r="BM168" i="155"/>
  <c r="AZ168" i="155"/>
  <c r="AM168" i="155"/>
  <c r="Z168" i="155"/>
  <c r="CM167" i="155"/>
  <c r="CF167" i="155"/>
  <c r="CD167" i="155"/>
  <c r="CC167" i="155"/>
  <c r="CB167" i="155"/>
  <c r="CA167" i="155"/>
  <c r="BZ167" i="155"/>
  <c r="BM167" i="155"/>
  <c r="AZ167" i="155"/>
  <c r="AM167" i="155"/>
  <c r="Z167" i="155"/>
  <c r="CM166" i="155"/>
  <c r="CF166" i="155"/>
  <c r="CD166" i="155"/>
  <c r="CC166" i="155"/>
  <c r="CB166" i="155"/>
  <c r="CA166" i="155"/>
  <c r="BZ166" i="155"/>
  <c r="BM166" i="155"/>
  <c r="AZ166" i="155"/>
  <c r="AM166" i="155"/>
  <c r="Z166" i="155"/>
  <c r="CM165" i="155"/>
  <c r="CF165" i="155"/>
  <c r="CD165" i="155"/>
  <c r="CC165" i="155"/>
  <c r="CB165" i="155"/>
  <c r="CA165" i="155"/>
  <c r="BZ165" i="155"/>
  <c r="BM165" i="155"/>
  <c r="AZ165" i="155"/>
  <c r="AM165" i="155"/>
  <c r="Z165" i="155"/>
  <c r="CM164" i="155"/>
  <c r="CF164" i="155"/>
  <c r="CD164" i="155"/>
  <c r="CC164" i="155"/>
  <c r="CB164" i="155"/>
  <c r="CA164" i="155"/>
  <c r="BZ164" i="155"/>
  <c r="BM164" i="155"/>
  <c r="AZ164" i="155"/>
  <c r="AM164" i="155"/>
  <c r="Z164" i="155"/>
  <c r="CM163" i="155"/>
  <c r="CF163" i="155"/>
  <c r="CD163" i="155"/>
  <c r="CC163" i="155"/>
  <c r="CB163" i="155"/>
  <c r="CA163" i="155"/>
  <c r="BZ163" i="155"/>
  <c r="BM163" i="155"/>
  <c r="AZ163" i="155"/>
  <c r="AM163" i="155"/>
  <c r="Z163" i="155"/>
  <c r="CM162" i="155"/>
  <c r="CF162" i="155"/>
  <c r="CD162" i="155"/>
  <c r="CC162" i="155"/>
  <c r="CB162" i="155"/>
  <c r="CA162" i="155"/>
  <c r="BZ162" i="155"/>
  <c r="BM162" i="155"/>
  <c r="AZ162" i="155"/>
  <c r="AM162" i="155"/>
  <c r="Z162" i="155"/>
  <c r="CM161" i="155"/>
  <c r="CF161" i="155"/>
  <c r="CD161" i="155"/>
  <c r="CC161" i="155"/>
  <c r="CB161" i="155"/>
  <c r="CA161" i="155"/>
  <c r="BZ161" i="155"/>
  <c r="BM161" i="155"/>
  <c r="AZ161" i="155"/>
  <c r="AM161" i="155"/>
  <c r="Z161" i="155"/>
  <c r="CM160" i="155"/>
  <c r="CF160" i="155"/>
  <c r="CC160" i="155"/>
  <c r="CB160" i="155"/>
  <c r="CA160" i="155"/>
  <c r="BZ160" i="155"/>
  <c r="BM160" i="155"/>
  <c r="AZ160" i="155"/>
  <c r="AM160" i="155"/>
  <c r="Z160" i="155"/>
  <c r="CF159" i="155"/>
  <c r="CE159" i="155"/>
  <c r="CC159" i="155"/>
  <c r="CB159" i="155"/>
  <c r="CA159" i="155"/>
  <c r="BZ159" i="155"/>
  <c r="BY159" i="155"/>
  <c r="BX159" i="155"/>
  <c r="BW159" i="155"/>
  <c r="BV159" i="155"/>
  <c r="BU159" i="155"/>
  <c r="BT159" i="155"/>
  <c r="BS159" i="155"/>
  <c r="BR159" i="155"/>
  <c r="BQ159" i="155"/>
  <c r="BP159" i="155"/>
  <c r="BO159" i="155"/>
  <c r="BN159" i="155"/>
  <c r="BM159" i="155"/>
  <c r="BL159" i="155"/>
  <c r="BK159" i="155"/>
  <c r="BJ159" i="155"/>
  <c r="BI159" i="155"/>
  <c r="BH159" i="155"/>
  <c r="BG159" i="155"/>
  <c r="BF159" i="155"/>
  <c r="BE159" i="155"/>
  <c r="BD159" i="155"/>
  <c r="BC159" i="155"/>
  <c r="BB159" i="155"/>
  <c r="BA159" i="155"/>
  <c r="AZ159" i="155"/>
  <c r="AY159" i="155"/>
  <c r="AX159" i="155"/>
  <c r="AW159" i="155"/>
  <c r="AV159" i="155"/>
  <c r="AU159" i="155"/>
  <c r="AT159" i="155"/>
  <c r="AS159" i="155"/>
  <c r="AR159" i="155"/>
  <c r="AQ159" i="155"/>
  <c r="AP159" i="155"/>
  <c r="AO159" i="155"/>
  <c r="AN159" i="155"/>
  <c r="AM159" i="155"/>
  <c r="AL159" i="155"/>
  <c r="AK159" i="155"/>
  <c r="AJ159" i="155"/>
  <c r="AI159" i="155"/>
  <c r="AH159" i="155"/>
  <c r="AG159" i="155"/>
  <c r="AF159" i="155"/>
  <c r="AE159" i="155"/>
  <c r="AD159" i="155"/>
  <c r="AC159" i="155"/>
  <c r="AB159" i="155"/>
  <c r="AA159" i="155"/>
  <c r="Z159" i="155"/>
  <c r="Y159" i="155"/>
  <c r="X159" i="155"/>
  <c r="W159" i="155"/>
  <c r="V159" i="155"/>
  <c r="U159" i="155"/>
  <c r="T159" i="155"/>
  <c r="S159" i="155"/>
  <c r="R159" i="155"/>
  <c r="Q159" i="155"/>
  <c r="P159" i="155"/>
  <c r="O159" i="155"/>
  <c r="N159" i="155"/>
  <c r="M159" i="155"/>
  <c r="I159" i="155"/>
  <c r="H159" i="155"/>
  <c r="G159" i="155"/>
  <c r="F159" i="155"/>
  <c r="CL158" i="155"/>
  <c r="CC157" i="155"/>
  <c r="CB157" i="155"/>
  <c r="CA157" i="155"/>
  <c r="BZ157" i="155"/>
  <c r="BM157" i="155"/>
  <c r="AZ157" i="155"/>
  <c r="AM157" i="155"/>
  <c r="Z157" i="155"/>
  <c r="CJ156" i="155"/>
  <c r="CI156" i="155"/>
  <c r="CF156" i="155"/>
  <c r="CD156" i="155"/>
  <c r="CC156" i="155"/>
  <c r="CB156" i="155"/>
  <c r="CA156" i="155"/>
  <c r="BZ156" i="155"/>
  <c r="BM156" i="155"/>
  <c r="AZ156" i="155"/>
  <c r="AN156" i="155"/>
  <c r="AM156" i="155"/>
  <c r="Z156" i="155"/>
  <c r="CC155" i="155"/>
  <c r="CB155" i="155"/>
  <c r="CA155" i="155"/>
  <c r="BZ155" i="155"/>
  <c r="BM155" i="155"/>
  <c r="AZ155" i="155"/>
  <c r="AM155" i="155"/>
  <c r="Z155" i="155"/>
  <c r="CJ154" i="155"/>
  <c r="CI154" i="155"/>
  <c r="CF154" i="155"/>
  <c r="CD154" i="155"/>
  <c r="CC154" i="155"/>
  <c r="CB154" i="155"/>
  <c r="CA154" i="155"/>
  <c r="BZ154" i="155"/>
  <c r="BM154" i="155"/>
  <c r="AZ154" i="155"/>
  <c r="AM154" i="155"/>
  <c r="Z154" i="155"/>
  <c r="CI153" i="155"/>
  <c r="CB153" i="155"/>
  <c r="BZ153" i="155"/>
  <c r="BQ153" i="155"/>
  <c r="BP153" i="155"/>
  <c r="BO153" i="155"/>
  <c r="BM153" i="155"/>
  <c r="AZ153" i="155"/>
  <c r="AM153" i="155"/>
  <c r="Z153" i="155"/>
  <c r="CI152" i="155"/>
  <c r="CB152" i="155"/>
  <c r="BZ152" i="155"/>
  <c r="BK152" i="155"/>
  <c r="BJ152" i="155"/>
  <c r="BI152" i="155"/>
  <c r="AZ152" i="155"/>
  <c r="AM152" i="155"/>
  <c r="Z152" i="155"/>
  <c r="CJ151" i="155"/>
  <c r="CI151" i="155"/>
  <c r="CC151" i="155"/>
  <c r="CA151" i="155"/>
  <c r="BZ151" i="155"/>
  <c r="BM151" i="155"/>
  <c r="AZ151" i="155"/>
  <c r="AM151" i="155"/>
  <c r="Z151" i="155"/>
  <c r="CI150" i="155"/>
  <c r="CC150" i="155"/>
  <c r="CB150" i="155"/>
  <c r="CA150" i="155"/>
  <c r="BZ150" i="155"/>
  <c r="BM150" i="155"/>
  <c r="AZ150" i="155"/>
  <c r="AM150" i="155"/>
  <c r="Z150" i="155"/>
  <c r="CJ149" i="155"/>
  <c r="CI149" i="155"/>
  <c r="CF149" i="155"/>
  <c r="CD149" i="155"/>
  <c r="CC149" i="155"/>
  <c r="CB149" i="155"/>
  <c r="CA149" i="155"/>
  <c r="BZ149" i="155"/>
  <c r="BM149" i="155"/>
  <c r="AZ149" i="155"/>
  <c r="AM149" i="155"/>
  <c r="Z149" i="155"/>
  <c r="CJ148" i="155"/>
  <c r="CI148" i="155"/>
  <c r="CC148" i="155"/>
  <c r="CB148" i="155"/>
  <c r="CA148" i="155"/>
  <c r="BZ148" i="155"/>
  <c r="BM148" i="155"/>
  <c r="BH148" i="155"/>
  <c r="AZ148" i="155"/>
  <c r="AM148" i="155"/>
  <c r="Z148" i="155"/>
  <c r="CM147" i="155"/>
  <c r="CF147" i="155"/>
  <c r="CD147" i="155"/>
  <c r="CC147" i="155"/>
  <c r="CB147" i="155"/>
  <c r="CA147" i="155"/>
  <c r="BZ147" i="155"/>
  <c r="BM147" i="155"/>
  <c r="BH147" i="155"/>
  <c r="AZ147" i="155"/>
  <c r="AM147" i="155"/>
  <c r="Z147" i="155"/>
  <c r="CC146" i="155"/>
  <c r="CB146" i="155"/>
  <c r="CA146" i="155"/>
  <c r="BZ146" i="155"/>
  <c r="BM146" i="155"/>
  <c r="AZ146" i="155"/>
  <c r="AM146" i="155"/>
  <c r="Z146" i="155"/>
  <c r="CJ145" i="155"/>
  <c r="CI145" i="155"/>
  <c r="CF145" i="155"/>
  <c r="CD145" i="155"/>
  <c r="CC145" i="155"/>
  <c r="CB145" i="155"/>
  <c r="CA145" i="155"/>
  <c r="BZ145" i="155"/>
  <c r="BM145" i="155"/>
  <c r="BF145" i="155"/>
  <c r="BE145" i="155"/>
  <c r="AZ145" i="155"/>
  <c r="AM145" i="155"/>
  <c r="Z145" i="155"/>
  <c r="CI144" i="155"/>
  <c r="CC144" i="155"/>
  <c r="CB144" i="155"/>
  <c r="CA144" i="155"/>
  <c r="BZ144" i="155"/>
  <c r="BM144" i="155"/>
  <c r="BE144" i="155"/>
  <c r="AZ144" i="155"/>
  <c r="AM144" i="155"/>
  <c r="Z144" i="155"/>
  <c r="CI143" i="155"/>
  <c r="CC143" i="155"/>
  <c r="CB143" i="155"/>
  <c r="CA143" i="155"/>
  <c r="BZ143" i="155"/>
  <c r="BM143" i="155"/>
  <c r="AZ143" i="155"/>
  <c r="AM143" i="155"/>
  <c r="Z143" i="155"/>
  <c r="CB142" i="155"/>
  <c r="BZ142" i="155"/>
  <c r="BM142" i="155"/>
  <c r="BA142" i="155"/>
  <c r="AZ142" i="155"/>
  <c r="AM142" i="155"/>
  <c r="Z142" i="155"/>
  <c r="CM141" i="155"/>
  <c r="CF141" i="155"/>
  <c r="CD141" i="155"/>
  <c r="CC141" i="155"/>
  <c r="CB141" i="155"/>
  <c r="CA141" i="155"/>
  <c r="BZ141" i="155"/>
  <c r="BM141" i="155"/>
  <c r="BA141" i="155"/>
  <c r="AZ141" i="155"/>
  <c r="AM141" i="155"/>
  <c r="Z141" i="155"/>
  <c r="CC140" i="155"/>
  <c r="CB140" i="155"/>
  <c r="CA140" i="155"/>
  <c r="BZ140" i="155"/>
  <c r="BM140" i="155"/>
  <c r="AZ140" i="155"/>
  <c r="AY140" i="155"/>
  <c r="AM140" i="155"/>
  <c r="Z140" i="155"/>
  <c r="CM139" i="155"/>
  <c r="CF139" i="155"/>
  <c r="CD139" i="155"/>
  <c r="CC139" i="155"/>
  <c r="CB139" i="155"/>
  <c r="CA139" i="155"/>
  <c r="BZ139" i="155"/>
  <c r="BM139" i="155"/>
  <c r="AZ139" i="155"/>
  <c r="AY139" i="155"/>
  <c r="AM139" i="155"/>
  <c r="Z139" i="155"/>
  <c r="CC138" i="155"/>
  <c r="CB138" i="155"/>
  <c r="CA138" i="155"/>
  <c r="BZ138" i="155"/>
  <c r="BM138" i="155"/>
  <c r="AZ138" i="155"/>
  <c r="AY138" i="155"/>
  <c r="AM138" i="155"/>
  <c r="Z138" i="155"/>
  <c r="CJ137" i="155"/>
  <c r="CI137" i="155"/>
  <c r="CC137" i="155"/>
  <c r="CB137" i="155"/>
  <c r="CA137" i="155"/>
  <c r="BZ137" i="155"/>
  <c r="BM137" i="155"/>
  <c r="AZ137" i="155"/>
  <c r="AY137" i="155"/>
  <c r="AX137" i="155"/>
  <c r="AM137" i="155"/>
  <c r="Z137" i="155"/>
  <c r="CJ136" i="155"/>
  <c r="CI136" i="155"/>
  <c r="CF136" i="155"/>
  <c r="CD136" i="155"/>
  <c r="CC136" i="155"/>
  <c r="CB136" i="155"/>
  <c r="CA136" i="155"/>
  <c r="BZ136" i="155"/>
  <c r="BM136" i="155"/>
  <c r="AZ136" i="155"/>
  <c r="AY136" i="155"/>
  <c r="AX136" i="155"/>
  <c r="AM136" i="155"/>
  <c r="Z136" i="155"/>
  <c r="CM135" i="155"/>
  <c r="CF135" i="155"/>
  <c r="CD135" i="155"/>
  <c r="CC135" i="155"/>
  <c r="CB135" i="155"/>
  <c r="CA135" i="155"/>
  <c r="BZ135" i="155"/>
  <c r="BM135" i="155"/>
  <c r="AZ135" i="155"/>
  <c r="AM135" i="155"/>
  <c r="Z135" i="155"/>
  <c r="CJ134" i="155"/>
  <c r="CI134" i="155"/>
  <c r="CC134" i="155"/>
  <c r="CB134" i="155"/>
  <c r="CA134" i="155"/>
  <c r="BZ134" i="155"/>
  <c r="BM134" i="155"/>
  <c r="AZ134" i="155"/>
  <c r="AM134" i="155"/>
  <c r="Z134" i="155"/>
  <c r="CJ133" i="155"/>
  <c r="CI133" i="155"/>
  <c r="CF133" i="155"/>
  <c r="CD133" i="155"/>
  <c r="CC133" i="155"/>
  <c r="CB133" i="155"/>
  <c r="CA133" i="155"/>
  <c r="BZ133" i="155"/>
  <c r="BM133" i="155"/>
  <c r="AZ133" i="155"/>
  <c r="AU133" i="155"/>
  <c r="AM133" i="155"/>
  <c r="Z133" i="155"/>
  <c r="CJ132" i="155"/>
  <c r="CI132" i="155"/>
  <c r="CF132" i="155"/>
  <c r="CD132" i="155"/>
  <c r="CC132" i="155"/>
  <c r="CB132" i="155"/>
  <c r="CA132" i="155"/>
  <c r="BZ132" i="155"/>
  <c r="BM132" i="155"/>
  <c r="BB132" i="155"/>
  <c r="AZ132" i="155"/>
  <c r="AU132" i="155"/>
  <c r="AM132" i="155"/>
  <c r="Z132" i="155"/>
  <c r="CM131" i="155"/>
  <c r="CF131" i="155"/>
  <c r="CD131" i="155"/>
  <c r="CC131" i="155"/>
  <c r="CB131" i="155"/>
  <c r="CA131" i="155"/>
  <c r="BZ131" i="155"/>
  <c r="BS131" i="155"/>
  <c r="BR131" i="155"/>
  <c r="BQ131" i="155"/>
  <c r="BP131" i="155"/>
  <c r="BO131" i="155"/>
  <c r="BN131" i="155"/>
  <c r="BM131" i="155"/>
  <c r="BL131" i="155"/>
  <c r="BK131" i="155"/>
  <c r="BJ131" i="155"/>
  <c r="BI131" i="155"/>
  <c r="BH131" i="155"/>
  <c r="BG131" i="155"/>
  <c r="BF131" i="155"/>
  <c r="BE131" i="155"/>
  <c r="BD131" i="155"/>
  <c r="BC131" i="155"/>
  <c r="BB131" i="155"/>
  <c r="BA131" i="155"/>
  <c r="AZ131" i="155"/>
  <c r="AY131" i="155"/>
  <c r="AN131" i="155"/>
  <c r="AM131" i="155"/>
  <c r="Z131" i="155"/>
  <c r="CM130" i="155"/>
  <c r="CF130" i="155"/>
  <c r="CD130" i="155"/>
  <c r="CC130" i="155"/>
  <c r="CB130" i="155"/>
  <c r="CA130" i="155"/>
  <c r="BZ130" i="155"/>
  <c r="BQ130" i="155"/>
  <c r="BP130" i="155"/>
  <c r="BO130" i="155"/>
  <c r="BN130" i="155"/>
  <c r="BM130" i="155"/>
  <c r="BL130" i="155"/>
  <c r="BK130" i="155"/>
  <c r="BJ130" i="155"/>
  <c r="BI130" i="155"/>
  <c r="BH130" i="155"/>
  <c r="BG130" i="155"/>
  <c r="BF130" i="155"/>
  <c r="BE130" i="155"/>
  <c r="BD130" i="155"/>
  <c r="BC130" i="155"/>
  <c r="BB130" i="155"/>
  <c r="BA130" i="155"/>
  <c r="AZ130" i="155"/>
  <c r="AY130" i="155"/>
  <c r="AX130" i="155"/>
  <c r="AW130" i="155"/>
  <c r="AV130" i="155"/>
  <c r="AU130" i="155"/>
  <c r="AT130" i="155"/>
  <c r="AS130" i="155"/>
  <c r="AR130" i="155"/>
  <c r="AQ130" i="155"/>
  <c r="AP130" i="155"/>
  <c r="AO130" i="155"/>
  <c r="AN130" i="155"/>
  <c r="AM130" i="155"/>
  <c r="AL130" i="155"/>
  <c r="Z130" i="155"/>
  <c r="CM129" i="155"/>
  <c r="CJ129" i="155"/>
  <c r="CI129" i="155"/>
  <c r="CF129" i="155"/>
  <c r="CD129" i="155"/>
  <c r="CB129" i="155"/>
  <c r="BD129" i="155"/>
  <c r="BC129" i="155"/>
  <c r="AY129" i="155"/>
  <c r="AX129" i="155"/>
  <c r="AV129" i="155"/>
  <c r="AS129" i="155"/>
  <c r="AR129" i="155"/>
  <c r="AQ129" i="155"/>
  <c r="AP129" i="155"/>
  <c r="AO129" i="155"/>
  <c r="AN129" i="155"/>
  <c r="AL129" i="155"/>
  <c r="Z129" i="155"/>
  <c r="K129" i="155"/>
  <c r="I129" i="155"/>
  <c r="F129" i="155"/>
  <c r="CM128" i="155"/>
  <c r="CL128" i="155"/>
  <c r="CJ128" i="155"/>
  <c r="CI128" i="155"/>
  <c r="CF128" i="155"/>
  <c r="CE128" i="155"/>
  <c r="CD128" i="155"/>
  <c r="CC128" i="155"/>
  <c r="CB128" i="155"/>
  <c r="BY128" i="155"/>
  <c r="BX128" i="155"/>
  <c r="BW128" i="155"/>
  <c r="BV128" i="155"/>
  <c r="BU128" i="155"/>
  <c r="BT128" i="155"/>
  <c r="BS128" i="155"/>
  <c r="BR128" i="155"/>
  <c r="BD128" i="155"/>
  <c r="BC128" i="155"/>
  <c r="AY128" i="155"/>
  <c r="AX128" i="155"/>
  <c r="AV128" i="155"/>
  <c r="AT128" i="155"/>
  <c r="AS128" i="155"/>
  <c r="AR128" i="155"/>
  <c r="AQ128" i="155"/>
  <c r="AP128" i="155"/>
  <c r="AO128" i="155"/>
  <c r="AN128" i="155"/>
  <c r="AL128" i="155"/>
  <c r="AK128" i="155"/>
  <c r="AJ128" i="155"/>
  <c r="AI128" i="155"/>
  <c r="AH128" i="155"/>
  <c r="AG128" i="155"/>
  <c r="AF128" i="155"/>
  <c r="AE128" i="155"/>
  <c r="AD128" i="155"/>
  <c r="AC128" i="155"/>
  <c r="AB128" i="155"/>
  <c r="AA128" i="155"/>
  <c r="Z128" i="155"/>
  <c r="Y128" i="155"/>
  <c r="X128" i="155"/>
  <c r="W128" i="155"/>
  <c r="V128" i="155"/>
  <c r="U128" i="155"/>
  <c r="T128" i="155"/>
  <c r="S128" i="155"/>
  <c r="R128" i="155"/>
  <c r="Q128" i="155"/>
  <c r="P128" i="155"/>
  <c r="O128" i="155"/>
  <c r="N128" i="155"/>
  <c r="M128" i="155"/>
  <c r="I128" i="155"/>
  <c r="H128" i="155"/>
  <c r="G128" i="155"/>
  <c r="F128" i="155"/>
  <c r="CE127" i="155"/>
  <c r="CC127" i="155"/>
  <c r="CB127" i="155"/>
  <c r="CA127" i="155"/>
  <c r="BZ127" i="155"/>
  <c r="BM127" i="155"/>
  <c r="AZ127" i="155"/>
  <c r="AM127" i="155"/>
  <c r="Z127" i="155"/>
  <c r="CA125" i="155"/>
  <c r="BZ125" i="155"/>
  <c r="BM125" i="155"/>
  <c r="AZ125" i="155"/>
  <c r="AM125" i="155"/>
  <c r="Z125" i="155"/>
  <c r="CM124" i="155"/>
  <c r="CL124" i="155"/>
  <c r="CF124" i="155"/>
  <c r="CD124" i="155"/>
  <c r="CC124" i="155"/>
  <c r="BY124" i="155"/>
  <c r="BX124" i="155"/>
  <c r="BW124" i="155"/>
  <c r="BV124" i="155"/>
  <c r="BU124" i="155"/>
  <c r="BT124" i="155"/>
  <c r="BS124" i="155"/>
  <c r="BR124" i="155"/>
  <c r="BQ124" i="155"/>
  <c r="BP124" i="155"/>
  <c r="BO124" i="155"/>
  <c r="BN124" i="155"/>
  <c r="BL124" i="155"/>
  <c r="BK124" i="155"/>
  <c r="BJ124" i="155"/>
  <c r="BI124" i="155"/>
  <c r="BH124" i="155"/>
  <c r="BG124" i="155"/>
  <c r="BF124" i="155"/>
  <c r="BE124" i="155"/>
  <c r="BD124" i="155"/>
  <c r="BC124" i="155"/>
  <c r="BB124" i="155"/>
  <c r="BA124" i="155"/>
  <c r="AY124" i="155"/>
  <c r="AX124" i="155"/>
  <c r="AW124" i="155"/>
  <c r="AV124" i="155"/>
  <c r="AU124" i="155"/>
  <c r="AT124" i="155"/>
  <c r="AS124" i="155"/>
  <c r="AQ124" i="155"/>
  <c r="AP124" i="155"/>
  <c r="AO124" i="155"/>
  <c r="AL124" i="155"/>
  <c r="AK124" i="155"/>
  <c r="AJ124" i="155"/>
  <c r="AI124" i="155"/>
  <c r="AH124" i="155"/>
  <c r="AF124" i="155"/>
  <c r="AE124" i="155"/>
  <c r="AC124" i="155"/>
  <c r="AB124" i="155"/>
  <c r="AA124" i="155"/>
  <c r="Z124" i="155"/>
  <c r="Y124" i="155"/>
  <c r="X124" i="155"/>
  <c r="W124" i="155"/>
  <c r="V124" i="155"/>
  <c r="U124" i="155"/>
  <c r="T124" i="155"/>
  <c r="S124" i="155"/>
  <c r="R124" i="155"/>
  <c r="Q124" i="155"/>
  <c r="P124" i="155"/>
  <c r="O124" i="155"/>
  <c r="N124" i="155"/>
  <c r="M124" i="155"/>
  <c r="I124" i="155"/>
  <c r="H124" i="155"/>
  <c r="G124" i="155"/>
  <c r="F124" i="155"/>
  <c r="CC123" i="155"/>
  <c r="CB123" i="155"/>
  <c r="CA123" i="155"/>
  <c r="BZ123" i="155"/>
  <c r="BM123" i="155"/>
  <c r="AZ123" i="155"/>
  <c r="AM123" i="155"/>
  <c r="Z123" i="155"/>
  <c r="CC122" i="155"/>
  <c r="CB122" i="155"/>
  <c r="CA122" i="155"/>
  <c r="BZ122" i="155"/>
  <c r="BM122" i="155"/>
  <c r="AZ122" i="155"/>
  <c r="AM122" i="155"/>
  <c r="Z122" i="155"/>
  <c r="CJ121" i="155"/>
  <c r="CF121" i="155"/>
  <c r="CD121" i="155"/>
  <c r="CC121" i="155"/>
  <c r="CB121" i="155"/>
  <c r="CA121" i="155"/>
  <c r="BZ121" i="155"/>
  <c r="BM121" i="155"/>
  <c r="AZ121" i="155"/>
  <c r="AM121" i="155"/>
  <c r="Z121" i="155"/>
  <c r="CB120" i="155"/>
  <c r="BZ120" i="155"/>
  <c r="BM120" i="155"/>
  <c r="AZ120" i="155"/>
  <c r="AM120" i="155"/>
  <c r="AF120" i="155"/>
  <c r="Z120" i="155"/>
  <c r="CM119" i="155"/>
  <c r="CF119" i="155"/>
  <c r="CD119" i="155"/>
  <c r="CC119" i="155"/>
  <c r="CB119" i="155"/>
  <c r="CA119" i="155"/>
  <c r="BZ119" i="155"/>
  <c r="BM119" i="155"/>
  <c r="AZ119" i="155"/>
  <c r="AM119" i="155"/>
  <c r="Z119" i="155"/>
  <c r="CM118" i="155"/>
  <c r="CF118" i="155"/>
  <c r="CD118" i="155"/>
  <c r="CC118" i="155"/>
  <c r="CB118" i="155"/>
  <c r="CA118" i="155"/>
  <c r="BZ118" i="155"/>
  <c r="BM118" i="155"/>
  <c r="AZ118" i="155"/>
  <c r="AM118" i="155"/>
  <c r="Z118" i="155"/>
  <c r="CM117" i="155"/>
  <c r="CF117" i="155"/>
  <c r="CD117" i="155"/>
  <c r="CC117" i="155"/>
  <c r="CB117" i="155"/>
  <c r="CA117" i="155"/>
  <c r="BZ117" i="155"/>
  <c r="BM117" i="155"/>
  <c r="AZ117" i="155"/>
  <c r="AM117" i="155"/>
  <c r="Z117" i="155"/>
  <c r="CC116" i="155"/>
  <c r="CB116" i="155"/>
  <c r="CA116" i="155"/>
  <c r="BZ116" i="155"/>
  <c r="BM116" i="155"/>
  <c r="AZ116" i="155"/>
  <c r="AM116" i="155"/>
  <c r="Z116" i="155"/>
  <c r="CJ115" i="155"/>
  <c r="CF115" i="155"/>
  <c r="CD115" i="155"/>
  <c r="CC115" i="155"/>
  <c r="CB115" i="155"/>
  <c r="CA115" i="155"/>
  <c r="BZ115" i="155"/>
  <c r="BM115" i="155"/>
  <c r="AZ115" i="155"/>
  <c r="AM115" i="155"/>
  <c r="AH115" i="155"/>
  <c r="Z115" i="155"/>
  <c r="CC114" i="155"/>
  <c r="CB114" i="155"/>
  <c r="CA114" i="155"/>
  <c r="BZ114" i="155"/>
  <c r="BM114" i="155"/>
  <c r="AZ114" i="155"/>
  <c r="AM114" i="155"/>
  <c r="Z114" i="155"/>
  <c r="CC113" i="155"/>
  <c r="CB113" i="155"/>
  <c r="CA113" i="155"/>
  <c r="BZ113" i="155"/>
  <c r="BM113" i="155"/>
  <c r="AZ113" i="155"/>
  <c r="AM113" i="155"/>
  <c r="Z113" i="155"/>
  <c r="CC112" i="155"/>
  <c r="CB112" i="155"/>
  <c r="CA112" i="155"/>
  <c r="BZ112" i="155"/>
  <c r="BM112" i="155"/>
  <c r="AZ112" i="155"/>
  <c r="AM112" i="155"/>
  <c r="Z112" i="155"/>
  <c r="CC111" i="155"/>
  <c r="CB111" i="155"/>
  <c r="CA111" i="155"/>
  <c r="BZ111" i="155"/>
  <c r="BM111" i="155"/>
  <c r="AZ111" i="155"/>
  <c r="AM111" i="155"/>
  <c r="Z111" i="155"/>
  <c r="CC110" i="155"/>
  <c r="CB110" i="155"/>
  <c r="CA110" i="155"/>
  <c r="BZ110" i="155"/>
  <c r="BM110" i="155"/>
  <c r="AZ110" i="155"/>
  <c r="AM110" i="155"/>
  <c r="Z110" i="155"/>
  <c r="CC109" i="155"/>
  <c r="CB109" i="155"/>
  <c r="CA109" i="155"/>
  <c r="BZ109" i="155"/>
  <c r="BM109" i="155"/>
  <c r="AZ109" i="155"/>
  <c r="AM109" i="155"/>
  <c r="Z109" i="155"/>
  <c r="CC108" i="155"/>
  <c r="CB108" i="155"/>
  <c r="CA108" i="155"/>
  <c r="BZ108" i="155"/>
  <c r="BM108" i="155"/>
  <c r="AZ108" i="155"/>
  <c r="AM108" i="155"/>
  <c r="Z108" i="155"/>
  <c r="CC107" i="155"/>
  <c r="CB107" i="155"/>
  <c r="CA107" i="155"/>
  <c r="BZ107" i="155"/>
  <c r="BM107" i="155"/>
  <c r="AZ107" i="155"/>
  <c r="AN107" i="155"/>
  <c r="AM107" i="155"/>
  <c r="AL107" i="155"/>
  <c r="Z107" i="155"/>
  <c r="CB106" i="155"/>
  <c r="BZ106" i="155"/>
  <c r="BM106" i="155"/>
  <c r="AZ106" i="155"/>
  <c r="AM106" i="155"/>
  <c r="AL106" i="155"/>
  <c r="Z106" i="155"/>
  <c r="CM105" i="155"/>
  <c r="CF105" i="155"/>
  <c r="CD105" i="155"/>
  <c r="CC105" i="155"/>
  <c r="CB105" i="155"/>
  <c r="CA105" i="155"/>
  <c r="BZ105" i="155"/>
  <c r="BM105" i="155"/>
  <c r="AZ105" i="155"/>
  <c r="AM105" i="155"/>
  <c r="AH105" i="155"/>
  <c r="AG105" i="155"/>
  <c r="Z105" i="155"/>
  <c r="CM104" i="155"/>
  <c r="CF104" i="155"/>
  <c r="CD104" i="155"/>
  <c r="CC104" i="155"/>
  <c r="CB104" i="155"/>
  <c r="CA104" i="155"/>
  <c r="BZ104" i="155"/>
  <c r="BM104" i="155"/>
  <c r="AZ104" i="155"/>
  <c r="AM104" i="155"/>
  <c r="Z104" i="155"/>
  <c r="CM103" i="155"/>
  <c r="CF103" i="155"/>
  <c r="CD103" i="155"/>
  <c r="CC103" i="155"/>
  <c r="CB103" i="155"/>
  <c r="CA103" i="155"/>
  <c r="BZ103" i="155"/>
  <c r="BM103" i="155"/>
  <c r="AZ103" i="155"/>
  <c r="AM103" i="155"/>
  <c r="Z103" i="155"/>
  <c r="CM102" i="155"/>
  <c r="CF102" i="155"/>
  <c r="CD102" i="155"/>
  <c r="CC102" i="155"/>
  <c r="CB102" i="155"/>
  <c r="CA102" i="155"/>
  <c r="BZ102" i="155"/>
  <c r="BM102" i="155"/>
  <c r="AZ102" i="155"/>
  <c r="AM102" i="155"/>
  <c r="AL102" i="155"/>
  <c r="Z102" i="155"/>
  <c r="CB101" i="155"/>
  <c r="BZ101" i="155"/>
  <c r="BQ101" i="155"/>
  <c r="BP101" i="155"/>
  <c r="BO101" i="155"/>
  <c r="BM101" i="155"/>
  <c r="BE101" i="155"/>
  <c r="AZ101" i="155"/>
  <c r="AM101" i="155"/>
  <c r="AH101" i="155"/>
  <c r="AG101" i="155"/>
  <c r="Z101" i="155"/>
  <c r="CC100" i="155"/>
  <c r="CB100" i="155"/>
  <c r="CA100" i="155"/>
  <c r="BZ100" i="155"/>
  <c r="BM100" i="155"/>
  <c r="AZ100" i="155"/>
  <c r="AM100" i="155"/>
  <c r="Z100" i="155"/>
  <c r="CC99" i="155"/>
  <c r="CB99" i="155"/>
  <c r="CA99" i="155"/>
  <c r="BZ99" i="155"/>
  <c r="BM99" i="155"/>
  <c r="AZ99" i="155"/>
  <c r="AY99" i="155"/>
  <c r="AM99" i="155"/>
  <c r="Z99" i="155"/>
  <c r="CM98" i="155"/>
  <c r="CF98" i="155"/>
  <c r="CD98" i="155"/>
  <c r="CC98" i="155"/>
  <c r="CB98" i="155"/>
  <c r="CA98" i="155"/>
  <c r="BZ98" i="155"/>
  <c r="BQ98" i="155"/>
  <c r="BM98" i="155"/>
  <c r="AZ98" i="155"/>
  <c r="AM98" i="155"/>
  <c r="Z98" i="155"/>
  <c r="CC97" i="155"/>
  <c r="CB97" i="155"/>
  <c r="CA97" i="155"/>
  <c r="BZ97" i="155"/>
  <c r="BM97" i="155"/>
  <c r="AZ97" i="155"/>
  <c r="AM97" i="155"/>
  <c r="Z97" i="155"/>
  <c r="CC96" i="155"/>
  <c r="CB96" i="155"/>
  <c r="CA96" i="155"/>
  <c r="BZ96" i="155"/>
  <c r="BM96" i="155"/>
  <c r="AZ96" i="155"/>
  <c r="AM96" i="155"/>
  <c r="Z96" i="155"/>
  <c r="CJ95" i="155"/>
  <c r="CF95" i="155"/>
  <c r="CD95" i="155"/>
  <c r="CC95" i="155"/>
  <c r="CB95" i="155"/>
  <c r="CA95" i="155"/>
  <c r="BZ95" i="155"/>
  <c r="BM95" i="155"/>
  <c r="AZ95" i="155"/>
  <c r="AM95" i="155"/>
  <c r="Z95" i="155"/>
  <c r="CM94" i="155"/>
  <c r="CF94" i="155"/>
  <c r="CD94" i="155"/>
  <c r="CC94" i="155"/>
  <c r="CB94" i="155"/>
  <c r="CA94" i="155"/>
  <c r="BZ94" i="155"/>
  <c r="BN94" i="155"/>
  <c r="BM94" i="155"/>
  <c r="AZ94" i="155"/>
  <c r="AM94" i="155"/>
  <c r="Z94" i="155"/>
  <c r="CC93" i="155"/>
  <c r="CB93" i="155"/>
  <c r="CA93" i="155"/>
  <c r="BZ93" i="155"/>
  <c r="BM93" i="155"/>
  <c r="AZ93" i="155"/>
  <c r="AM93" i="155"/>
  <c r="Z93" i="155"/>
  <c r="CJ92" i="155"/>
  <c r="CF92" i="155"/>
  <c r="CD92" i="155"/>
  <c r="CC92" i="155"/>
  <c r="CB92" i="155"/>
  <c r="CA92" i="155"/>
  <c r="BZ92" i="155"/>
  <c r="BM92" i="155"/>
  <c r="BB92" i="155"/>
  <c r="AZ92" i="155"/>
  <c r="AM92" i="155"/>
  <c r="Z92" i="155"/>
  <c r="CC91" i="155"/>
  <c r="CB91" i="155"/>
  <c r="CA91" i="155"/>
  <c r="BZ91" i="155"/>
  <c r="BM91" i="155"/>
  <c r="AZ91" i="155"/>
  <c r="AM91" i="155"/>
  <c r="Z91" i="155"/>
  <c r="CJ90" i="155"/>
  <c r="CF90" i="155"/>
  <c r="CD90" i="155"/>
  <c r="CC90" i="155"/>
  <c r="CB90" i="155"/>
  <c r="CA90" i="155"/>
  <c r="BZ90" i="155"/>
  <c r="BM90" i="155"/>
  <c r="AS90" i="155"/>
  <c r="AR90" i="155"/>
  <c r="AM90" i="155"/>
  <c r="Z90" i="155"/>
  <c r="CM89" i="155"/>
  <c r="CF89" i="155"/>
  <c r="CD89" i="155"/>
  <c r="CC89" i="155"/>
  <c r="CB89" i="155"/>
  <c r="CA89" i="155"/>
  <c r="BZ89" i="155"/>
  <c r="BM89" i="155"/>
  <c r="AZ89" i="155"/>
  <c r="AM89" i="155"/>
  <c r="Z89" i="155"/>
  <c r="CM88" i="155"/>
  <c r="CF88" i="155"/>
  <c r="CD88" i="155"/>
  <c r="CC88" i="155"/>
  <c r="CB88" i="155"/>
  <c r="CA88" i="155"/>
  <c r="BZ88" i="155"/>
  <c r="BM88" i="155"/>
  <c r="AZ88" i="155"/>
  <c r="AM88" i="155"/>
  <c r="Z88" i="155"/>
  <c r="CM87" i="155"/>
  <c r="CF87" i="155"/>
  <c r="CD87" i="155"/>
  <c r="CC87" i="155"/>
  <c r="CB87" i="155"/>
  <c r="CA87" i="155"/>
  <c r="BZ87" i="155"/>
  <c r="BM87" i="155"/>
  <c r="AZ87" i="155"/>
  <c r="AM87" i="155"/>
  <c r="AE87" i="155"/>
  <c r="Z87" i="155"/>
  <c r="CB86" i="155"/>
  <c r="BZ86" i="155"/>
  <c r="BM86" i="155"/>
  <c r="AZ86" i="155"/>
  <c r="AI86" i="155"/>
  <c r="AG86" i="155"/>
  <c r="AF86" i="155"/>
  <c r="Z86" i="155"/>
  <c r="CM85" i="155"/>
  <c r="CF85" i="155"/>
  <c r="CD85" i="155"/>
  <c r="CC85" i="155"/>
  <c r="CB85" i="155"/>
  <c r="CA85" i="155"/>
  <c r="BZ85" i="155"/>
  <c r="BM85" i="155"/>
  <c r="AZ85" i="155"/>
  <c r="AM85" i="155"/>
  <c r="Z85" i="155"/>
  <c r="CM84" i="155"/>
  <c r="CF84" i="155"/>
  <c r="CD84" i="155"/>
  <c r="CC84" i="155"/>
  <c r="CB84" i="155"/>
  <c r="CA84" i="155"/>
  <c r="BZ84" i="155"/>
  <c r="BM84" i="155"/>
  <c r="AZ84" i="155"/>
  <c r="AM84" i="155"/>
  <c r="Z84" i="155"/>
  <c r="CM83" i="155"/>
  <c r="CF83" i="155"/>
  <c r="CD83" i="155"/>
  <c r="CC83" i="155"/>
  <c r="CB83" i="155"/>
  <c r="CA83" i="155"/>
  <c r="BZ83" i="155"/>
  <c r="BM83" i="155"/>
  <c r="AZ83" i="155"/>
  <c r="AM83" i="155"/>
  <c r="Z83" i="155"/>
  <c r="CM82" i="155"/>
  <c r="CF82" i="155"/>
  <c r="CD82" i="155"/>
  <c r="CC82" i="155"/>
  <c r="CB82" i="155"/>
  <c r="CA82" i="155"/>
  <c r="BZ82" i="155"/>
  <c r="BQ82" i="155"/>
  <c r="BM82" i="155"/>
  <c r="AZ82" i="155"/>
  <c r="AD82" i="155"/>
  <c r="Z82" i="155"/>
  <c r="CM81" i="155"/>
  <c r="CF81" i="155"/>
  <c r="CD81" i="155"/>
  <c r="CC81" i="155"/>
  <c r="CB81" i="155"/>
  <c r="CA81" i="155"/>
  <c r="BZ81" i="155"/>
  <c r="BM81" i="155"/>
  <c r="AZ81" i="155"/>
  <c r="AM81" i="155"/>
  <c r="AH81" i="155"/>
  <c r="Z81" i="155"/>
  <c r="CF80" i="155"/>
  <c r="CD80" i="155"/>
  <c r="CC80" i="155"/>
  <c r="CB80" i="155"/>
  <c r="CA80" i="155"/>
  <c r="BQ80" i="155"/>
  <c r="BP80" i="155"/>
  <c r="BO80" i="155"/>
  <c r="BN80" i="155"/>
  <c r="BM80" i="155"/>
  <c r="BL80" i="155"/>
  <c r="BK80" i="155"/>
  <c r="BJ80" i="155"/>
  <c r="BI80" i="155"/>
  <c r="BH80" i="155"/>
  <c r="BG80" i="155"/>
  <c r="BF80" i="155"/>
  <c r="BE80" i="155"/>
  <c r="BD80" i="155"/>
  <c r="BC80" i="155"/>
  <c r="BB80" i="155"/>
  <c r="AZ80" i="155"/>
  <c r="AU80" i="155"/>
  <c r="AR80" i="155"/>
  <c r="AP80" i="155"/>
  <c r="AN80" i="155"/>
  <c r="AL80" i="155"/>
  <c r="AH80" i="155"/>
  <c r="Z80" i="155"/>
  <c r="F80" i="155"/>
  <c r="CB79" i="155"/>
  <c r="CA79" i="155"/>
  <c r="BZ79" i="155"/>
  <c r="BM79" i="155"/>
  <c r="AZ79" i="155"/>
  <c r="AM79" i="155"/>
  <c r="Z79" i="155"/>
  <c r="CL78" i="155"/>
  <c r="CF78" i="155"/>
  <c r="CE78" i="155"/>
  <c r="CD78" i="155"/>
  <c r="CB78" i="155"/>
  <c r="BY78" i="155"/>
  <c r="BX78" i="155"/>
  <c r="BW78" i="155"/>
  <c r="BV78" i="155"/>
  <c r="BU78" i="155"/>
  <c r="BT78" i="155"/>
  <c r="BS78" i="155"/>
  <c r="BR78" i="155"/>
  <c r="BQ78" i="155"/>
  <c r="BP78" i="155"/>
  <c r="BO78" i="155"/>
  <c r="BN78" i="155"/>
  <c r="BM78" i="155"/>
  <c r="BL78" i="155"/>
  <c r="BK78" i="155"/>
  <c r="BJ78" i="155"/>
  <c r="BI78" i="155"/>
  <c r="BH78" i="155"/>
  <c r="BG78" i="155"/>
  <c r="BF78" i="155"/>
  <c r="BE78" i="155"/>
  <c r="BD78" i="155"/>
  <c r="BC78" i="155"/>
  <c r="BB78" i="155"/>
  <c r="BA78" i="155"/>
  <c r="AY78" i="155"/>
  <c r="AX78" i="155"/>
  <c r="AW78" i="155"/>
  <c r="AV78" i="155"/>
  <c r="AU78" i="155"/>
  <c r="AT78" i="155"/>
  <c r="AS78" i="155"/>
  <c r="AR78" i="155"/>
  <c r="AQ78" i="155"/>
  <c r="AP78" i="155"/>
  <c r="AO78" i="155"/>
  <c r="AN78" i="155"/>
  <c r="AL78" i="155"/>
  <c r="AK78" i="155"/>
  <c r="AJ78" i="155"/>
  <c r="AI78" i="155"/>
  <c r="AH78" i="155"/>
  <c r="AF78" i="155"/>
  <c r="AE78" i="155"/>
  <c r="AD78" i="155"/>
  <c r="AC78" i="155"/>
  <c r="AB78" i="155"/>
  <c r="AA78" i="155"/>
  <c r="Z78" i="155"/>
  <c r="Y78" i="155"/>
  <c r="X78" i="155"/>
  <c r="W78" i="155"/>
  <c r="V78" i="155"/>
  <c r="U78" i="155"/>
  <c r="T78" i="155"/>
  <c r="S78" i="155"/>
  <c r="R78" i="155"/>
  <c r="Q78" i="155"/>
  <c r="P78" i="155"/>
  <c r="O78" i="155"/>
  <c r="N78" i="155"/>
  <c r="M78" i="155"/>
  <c r="I78" i="155"/>
  <c r="H78" i="155"/>
  <c r="G78" i="155"/>
  <c r="F78" i="155"/>
  <c r="CM77" i="155"/>
  <c r="CI77" i="155"/>
  <c r="CF77" i="155"/>
  <c r="CD77" i="155"/>
  <c r="CC77" i="155"/>
  <c r="CB77" i="155"/>
  <c r="CA77" i="155"/>
  <c r="BZ77" i="155"/>
  <c r="BM77" i="155"/>
  <c r="AZ77" i="155"/>
  <c r="AM77" i="155"/>
  <c r="Z77" i="155"/>
  <c r="Y77" i="155"/>
  <c r="W77" i="155"/>
  <c r="CC76" i="155"/>
  <c r="CB76" i="155"/>
  <c r="CA76" i="155"/>
  <c r="BZ76" i="155"/>
  <c r="BM76" i="155"/>
  <c r="AZ76" i="155"/>
  <c r="AM76" i="155"/>
  <c r="Z76" i="155"/>
  <c r="CM75" i="155"/>
  <c r="CC75" i="155"/>
  <c r="CB75" i="155"/>
  <c r="CA75" i="155"/>
  <c r="BZ75" i="155"/>
  <c r="BM75" i="155"/>
  <c r="AZ75" i="155"/>
  <c r="AM75" i="155"/>
  <c r="Z75" i="155"/>
  <c r="CL74" i="155"/>
  <c r="CB74" i="155"/>
  <c r="BZ74" i="155"/>
  <c r="BY74" i="155"/>
  <c r="BX74" i="155"/>
  <c r="BW74" i="155"/>
  <c r="BV74" i="155"/>
  <c r="BU74" i="155"/>
  <c r="BT74" i="155"/>
  <c r="BS74" i="155"/>
  <c r="BR74" i="155"/>
  <c r="BQ74" i="155"/>
  <c r="BP74" i="155"/>
  <c r="BO74" i="155"/>
  <c r="BN74" i="155"/>
  <c r="BL74" i="155"/>
  <c r="BK74" i="155"/>
  <c r="BJ74" i="155"/>
  <c r="BI74" i="155"/>
  <c r="BH74" i="155"/>
  <c r="BG74" i="155"/>
  <c r="BF74" i="155"/>
  <c r="BE74" i="155"/>
  <c r="BD74" i="155"/>
  <c r="BC74" i="155"/>
  <c r="BB74" i="155"/>
  <c r="BA74" i="155"/>
  <c r="AZ74" i="155"/>
  <c r="AY74" i="155"/>
  <c r="AX74" i="155"/>
  <c r="AW74" i="155"/>
  <c r="AV74" i="155"/>
  <c r="AU74" i="155"/>
  <c r="AT74" i="155"/>
  <c r="AS74" i="155"/>
  <c r="AR74" i="155"/>
  <c r="AQ74" i="155"/>
  <c r="AP74" i="155"/>
  <c r="AO74" i="155"/>
  <c r="AN74" i="155"/>
  <c r="AL74" i="155"/>
  <c r="AK74" i="155"/>
  <c r="AJ74" i="155"/>
  <c r="AI74" i="155"/>
  <c r="AH74" i="155"/>
  <c r="AG74" i="155"/>
  <c r="AF74" i="155"/>
  <c r="AE74" i="155"/>
  <c r="AD74" i="155"/>
  <c r="AC74" i="155"/>
  <c r="AB74" i="155"/>
  <c r="AA74" i="155"/>
  <c r="Z74" i="155"/>
  <c r="Y74" i="155"/>
  <c r="X74" i="155"/>
  <c r="W74" i="155"/>
  <c r="V74" i="155"/>
  <c r="U74" i="155"/>
  <c r="T74" i="155"/>
  <c r="S74" i="155"/>
  <c r="R74" i="155"/>
  <c r="Q74" i="155"/>
  <c r="P74" i="155"/>
  <c r="O74" i="155"/>
  <c r="N74" i="155"/>
  <c r="M74" i="155"/>
  <c r="I74" i="155"/>
  <c r="H74" i="155"/>
  <c r="G74" i="155"/>
  <c r="F74" i="155"/>
  <c r="CC73" i="155"/>
  <c r="CB73" i="155"/>
  <c r="CA73" i="155"/>
  <c r="BZ73" i="155"/>
  <c r="BM73" i="155"/>
  <c r="AZ73" i="155"/>
  <c r="AM73" i="155"/>
  <c r="Z73" i="155"/>
  <c r="CF72" i="155"/>
  <c r="CC72" i="155"/>
  <c r="CB72" i="155"/>
  <c r="CA72" i="155"/>
  <c r="BZ72" i="155"/>
  <c r="BM72" i="155"/>
  <c r="AZ72" i="155"/>
  <c r="AM72" i="155"/>
  <c r="Z72" i="155"/>
  <c r="CL71" i="155"/>
  <c r="CE71" i="155"/>
  <c r="CA71" i="155"/>
  <c r="BZ71" i="155"/>
  <c r="BY71" i="155"/>
  <c r="BX71" i="155"/>
  <c r="BW71" i="155"/>
  <c r="BV71" i="155"/>
  <c r="BU71" i="155"/>
  <c r="BT71" i="155"/>
  <c r="BS71" i="155"/>
  <c r="BR71" i="155"/>
  <c r="BQ71" i="155"/>
  <c r="BP71" i="155"/>
  <c r="BO71" i="155"/>
  <c r="BN71" i="155"/>
  <c r="BM71" i="155"/>
  <c r="BL71" i="155"/>
  <c r="BK71" i="155"/>
  <c r="BJ71" i="155"/>
  <c r="BI71" i="155"/>
  <c r="BH71" i="155"/>
  <c r="BG71" i="155"/>
  <c r="BF71" i="155"/>
  <c r="BE71" i="155"/>
  <c r="BD71" i="155"/>
  <c r="BC71" i="155"/>
  <c r="BB71" i="155"/>
  <c r="BA71" i="155"/>
  <c r="AZ71" i="155"/>
  <c r="AY71" i="155"/>
  <c r="AX71" i="155"/>
  <c r="AW71" i="155"/>
  <c r="AV71" i="155"/>
  <c r="AU71" i="155"/>
  <c r="AT71" i="155"/>
  <c r="AS71" i="155"/>
  <c r="AR71" i="155"/>
  <c r="AQ71" i="155"/>
  <c r="AP71" i="155"/>
  <c r="AO71" i="155"/>
  <c r="AN71" i="155"/>
  <c r="AM71" i="155"/>
  <c r="AL71" i="155"/>
  <c r="AK71" i="155"/>
  <c r="AJ71" i="155"/>
  <c r="AI71" i="155"/>
  <c r="AH71" i="155"/>
  <c r="AG71" i="155"/>
  <c r="AF71" i="155"/>
  <c r="AE71" i="155"/>
  <c r="AD71" i="155"/>
  <c r="AC71" i="155"/>
  <c r="AB71" i="155"/>
  <c r="AA71" i="155"/>
  <c r="Z71" i="155"/>
  <c r="Y71" i="155"/>
  <c r="X71" i="155"/>
  <c r="W71" i="155"/>
  <c r="V71" i="155"/>
  <c r="U71" i="155"/>
  <c r="T71" i="155"/>
  <c r="S71" i="155"/>
  <c r="R71" i="155"/>
  <c r="Q71" i="155"/>
  <c r="P71" i="155"/>
  <c r="O71" i="155"/>
  <c r="N71" i="155"/>
  <c r="M71" i="155"/>
  <c r="I71" i="155"/>
  <c r="H71" i="155"/>
  <c r="G71" i="155"/>
  <c r="F71" i="155"/>
  <c r="CM70" i="155"/>
  <c r="CF70" i="155"/>
  <c r="CD70" i="155"/>
  <c r="CC70" i="155"/>
  <c r="CB70" i="155"/>
  <c r="CA70" i="155"/>
  <c r="BQ70" i="155"/>
  <c r="BP70" i="155"/>
  <c r="BN70" i="155"/>
  <c r="BL70" i="155"/>
  <c r="BK70" i="155"/>
  <c r="BJ70" i="155"/>
  <c r="BI70" i="155"/>
  <c r="BH70" i="155"/>
  <c r="BG70" i="155"/>
  <c r="BF70" i="155"/>
  <c r="BE70" i="155"/>
  <c r="BD70" i="155"/>
  <c r="BC70" i="155"/>
  <c r="BB70" i="155"/>
  <c r="BA70" i="155"/>
  <c r="AZ70" i="155"/>
  <c r="AX70" i="155"/>
  <c r="AW70" i="155"/>
  <c r="AV70" i="155"/>
  <c r="AU70" i="155"/>
  <c r="AT70" i="155"/>
  <c r="AS70" i="155"/>
  <c r="AR70" i="155"/>
  <c r="AQ70" i="155"/>
  <c r="AP70" i="155"/>
  <c r="AM70" i="155"/>
  <c r="AF70" i="155"/>
  <c r="Z70" i="155"/>
  <c r="Y70" i="155"/>
  <c r="CM69" i="155"/>
  <c r="CF69" i="155"/>
  <c r="CD69" i="155"/>
  <c r="CB69" i="155"/>
  <c r="BZ69" i="155"/>
  <c r="BM69" i="155"/>
  <c r="AZ69" i="155"/>
  <c r="AP69" i="155"/>
  <c r="AO69" i="155"/>
  <c r="AN69" i="155"/>
  <c r="AM69" i="155"/>
  <c r="AL69" i="155"/>
  <c r="AH69" i="155"/>
  <c r="AD69" i="155"/>
  <c r="Z69" i="155"/>
  <c r="CM68" i="155"/>
  <c r="CL68" i="155"/>
  <c r="CF68" i="155"/>
  <c r="CE68" i="155"/>
  <c r="CD68" i="155"/>
  <c r="CC68" i="155"/>
  <c r="CB68" i="155"/>
  <c r="BY68" i="155"/>
  <c r="BX68" i="155"/>
  <c r="BW68" i="155"/>
  <c r="BV68" i="155"/>
  <c r="BU68" i="155"/>
  <c r="BT68" i="155"/>
  <c r="BS68" i="155"/>
  <c r="BR68" i="155"/>
  <c r="BQ68" i="155"/>
  <c r="BP68" i="155"/>
  <c r="BO68" i="155"/>
  <c r="BN68" i="155"/>
  <c r="BL68" i="155"/>
  <c r="BK68" i="155"/>
  <c r="BJ68" i="155"/>
  <c r="BI68" i="155"/>
  <c r="BH68" i="155"/>
  <c r="BG68" i="155"/>
  <c r="BF68" i="155"/>
  <c r="BE68" i="155"/>
  <c r="BD68" i="155"/>
  <c r="BC68" i="155"/>
  <c r="BB68" i="155"/>
  <c r="BA68" i="155"/>
  <c r="AZ68" i="155"/>
  <c r="AY68" i="155"/>
  <c r="AX68" i="155"/>
  <c r="AW68" i="155"/>
  <c r="AV68" i="155"/>
  <c r="AU68" i="155"/>
  <c r="AT68" i="155"/>
  <c r="AS68" i="155"/>
  <c r="AR68" i="155"/>
  <c r="AQ68" i="155"/>
  <c r="AP68" i="155"/>
  <c r="AO68" i="155"/>
  <c r="AN68" i="155"/>
  <c r="AM68" i="155"/>
  <c r="AL68" i="155"/>
  <c r="AK68" i="155"/>
  <c r="AJ68" i="155"/>
  <c r="AI68" i="155"/>
  <c r="AH68" i="155"/>
  <c r="AG68" i="155"/>
  <c r="AF68" i="155"/>
  <c r="AE68" i="155"/>
  <c r="AD68" i="155"/>
  <c r="AC68" i="155"/>
  <c r="AB68" i="155"/>
  <c r="AA68" i="155"/>
  <c r="Z68" i="155"/>
  <c r="Y68" i="155"/>
  <c r="X68" i="155"/>
  <c r="W68" i="155"/>
  <c r="V68" i="155"/>
  <c r="U68" i="155"/>
  <c r="T68" i="155"/>
  <c r="S68" i="155"/>
  <c r="R68" i="155"/>
  <c r="Q68" i="155"/>
  <c r="P68" i="155"/>
  <c r="O68" i="155"/>
  <c r="N68" i="155"/>
  <c r="M68" i="155"/>
  <c r="I68" i="155"/>
  <c r="H68" i="155"/>
  <c r="G68" i="155"/>
  <c r="F68" i="155"/>
  <c r="CF67" i="155"/>
  <c r="CD67" i="155"/>
  <c r="CC67" i="155"/>
  <c r="CB67" i="155"/>
  <c r="CA67" i="155"/>
  <c r="BZ67" i="155"/>
  <c r="BM67" i="155"/>
  <c r="BB67" i="155"/>
  <c r="BA67" i="155"/>
  <c r="AZ67" i="155"/>
  <c r="AY67" i="155"/>
  <c r="AX67" i="155"/>
  <c r="AW67" i="155"/>
  <c r="AV67" i="155"/>
  <c r="AU67" i="155"/>
  <c r="AS67" i="155"/>
  <c r="AR67" i="155"/>
  <c r="AM67" i="155"/>
  <c r="AL67" i="155"/>
  <c r="Z67" i="155"/>
  <c r="F67" i="155"/>
  <c r="CF66" i="155"/>
  <c r="CC66" i="155"/>
  <c r="CB66" i="155"/>
  <c r="CA66" i="155"/>
  <c r="BZ66" i="155"/>
  <c r="BM66" i="155"/>
  <c r="AZ66" i="155"/>
  <c r="AN66" i="155"/>
  <c r="AM66" i="155"/>
  <c r="AL66" i="155"/>
  <c r="AH66" i="155"/>
  <c r="AD66" i="155"/>
  <c r="AB66" i="155"/>
  <c r="Z66" i="155"/>
  <c r="Y66" i="155"/>
  <c r="X66" i="155"/>
  <c r="F66" i="155"/>
  <c r="CM65" i="155"/>
  <c r="CL65" i="155"/>
  <c r="CF65" i="155"/>
  <c r="CE65" i="155"/>
  <c r="CC65" i="155"/>
  <c r="CB65" i="155"/>
  <c r="CA65" i="155"/>
  <c r="BZ65" i="155"/>
  <c r="BY65" i="155"/>
  <c r="BX65" i="155"/>
  <c r="BW65" i="155"/>
  <c r="BV65" i="155"/>
  <c r="BU65" i="155"/>
  <c r="BT65" i="155"/>
  <c r="BS65" i="155"/>
  <c r="BR65" i="155"/>
  <c r="BQ65" i="155"/>
  <c r="BP65" i="155"/>
  <c r="BO65" i="155"/>
  <c r="BN65" i="155"/>
  <c r="BM65" i="155"/>
  <c r="BL65" i="155"/>
  <c r="BK65" i="155"/>
  <c r="BJ65" i="155"/>
  <c r="BI65" i="155"/>
  <c r="BH65" i="155"/>
  <c r="BG65" i="155"/>
  <c r="BF65" i="155"/>
  <c r="BE65" i="155"/>
  <c r="BD65" i="155"/>
  <c r="BC65" i="155"/>
  <c r="BB65" i="155"/>
  <c r="BA65" i="155"/>
  <c r="AY65" i="155"/>
  <c r="AX65" i="155"/>
  <c r="AW65" i="155"/>
  <c r="AV65" i="155"/>
  <c r="AU65" i="155"/>
  <c r="AT65" i="155"/>
  <c r="AS65" i="155"/>
  <c r="AQ65" i="155"/>
  <c r="AP65" i="155"/>
  <c r="AO65" i="155"/>
  <c r="AL65" i="155"/>
  <c r="AK65" i="155"/>
  <c r="AJ65" i="155"/>
  <c r="AI65" i="155"/>
  <c r="AH65" i="155"/>
  <c r="AG65" i="155"/>
  <c r="AF65" i="155"/>
  <c r="AE65" i="155"/>
  <c r="AC65" i="155"/>
  <c r="AB65" i="155"/>
  <c r="AA65" i="155"/>
  <c r="Z65" i="155"/>
  <c r="Y65" i="155"/>
  <c r="X65" i="155"/>
  <c r="W65" i="155"/>
  <c r="V65" i="155"/>
  <c r="U65" i="155"/>
  <c r="T65" i="155"/>
  <c r="S65" i="155"/>
  <c r="R65" i="155"/>
  <c r="Q65" i="155"/>
  <c r="P65" i="155"/>
  <c r="O65" i="155"/>
  <c r="N65" i="155"/>
  <c r="M65" i="155"/>
  <c r="I65" i="155"/>
  <c r="H65" i="155"/>
  <c r="G65" i="155"/>
  <c r="F65" i="155"/>
  <c r="CE64" i="155"/>
  <c r="CC64" i="155"/>
  <c r="CA64" i="155"/>
  <c r="BZ64" i="155"/>
  <c r="BM64" i="155"/>
  <c r="AZ64" i="155"/>
  <c r="AM64" i="155"/>
  <c r="Z64" i="155"/>
  <c r="CA62" i="155"/>
  <c r="BZ62" i="155"/>
  <c r="BM62" i="155"/>
  <c r="AZ62" i="155"/>
  <c r="AM62" i="155"/>
  <c r="Z62" i="155"/>
  <c r="CL61" i="155"/>
  <c r="CF61" i="155"/>
  <c r="CE61" i="155"/>
  <c r="CD61" i="155"/>
  <c r="BY61" i="155"/>
  <c r="BX61" i="155"/>
  <c r="BW61" i="155"/>
  <c r="BV61" i="155"/>
  <c r="BU61" i="155"/>
  <c r="BT61" i="155"/>
  <c r="BS61" i="155"/>
  <c r="BR61" i="155"/>
  <c r="BQ61" i="155"/>
  <c r="BP61" i="155"/>
  <c r="BO61" i="155"/>
  <c r="BN61" i="155"/>
  <c r="BL61" i="155"/>
  <c r="BK61" i="155"/>
  <c r="BJ61" i="155"/>
  <c r="BI61" i="155"/>
  <c r="BH61" i="155"/>
  <c r="BG61" i="155"/>
  <c r="BF61" i="155"/>
  <c r="BE61" i="155"/>
  <c r="BD61" i="155"/>
  <c r="BC61" i="155"/>
  <c r="BB61" i="155"/>
  <c r="BA61" i="155"/>
  <c r="AY61" i="155"/>
  <c r="AX61" i="155"/>
  <c r="AW61" i="155"/>
  <c r="AV61" i="155"/>
  <c r="AU61" i="155"/>
  <c r="AT61" i="155"/>
  <c r="AS61" i="155"/>
  <c r="AR61" i="155"/>
  <c r="AQ61" i="155"/>
  <c r="AP61" i="155"/>
  <c r="AO61" i="155"/>
  <c r="AN61" i="155"/>
  <c r="AL61" i="155"/>
  <c r="AK61" i="155"/>
  <c r="AJ61" i="155"/>
  <c r="AI61" i="155"/>
  <c r="AH61" i="155"/>
  <c r="AG61" i="155"/>
  <c r="AF61" i="155"/>
  <c r="AE61" i="155"/>
  <c r="AD61" i="155"/>
  <c r="AC61" i="155"/>
  <c r="AB61" i="155"/>
  <c r="AA61" i="155"/>
  <c r="Y61" i="155"/>
  <c r="X61" i="155"/>
  <c r="W61" i="155"/>
  <c r="V61" i="155"/>
  <c r="U61" i="155"/>
  <c r="T61" i="155"/>
  <c r="S61" i="155"/>
  <c r="R61" i="155"/>
  <c r="Q61" i="155"/>
  <c r="P61" i="155"/>
  <c r="O61" i="155"/>
  <c r="N61" i="155"/>
  <c r="M61" i="155"/>
  <c r="I61" i="155"/>
  <c r="H61" i="155"/>
  <c r="G61" i="155"/>
  <c r="F61" i="155"/>
  <c r="CC60" i="155"/>
  <c r="CB60" i="155"/>
  <c r="CA60" i="155"/>
  <c r="BZ60" i="155"/>
  <c r="BM60" i="155"/>
  <c r="AZ60" i="155"/>
  <c r="AM60" i="155"/>
  <c r="Z60" i="155"/>
  <c r="CC59" i="155"/>
  <c r="CB59" i="155"/>
  <c r="CA59" i="155"/>
  <c r="BZ59" i="155"/>
  <c r="BM59" i="155"/>
  <c r="AZ59" i="155"/>
  <c r="AM59" i="155"/>
  <c r="Z59" i="155"/>
  <c r="CC58" i="155"/>
  <c r="CB58" i="155"/>
  <c r="CA58" i="155"/>
  <c r="BZ58" i="155"/>
  <c r="BM58" i="155"/>
  <c r="AZ58" i="155"/>
  <c r="AM58" i="155"/>
  <c r="Z58" i="155"/>
  <c r="CL57" i="155"/>
  <c r="CE57" i="155"/>
  <c r="CA57" i="155"/>
  <c r="BZ57" i="155"/>
  <c r="BY57" i="155"/>
  <c r="BX57" i="155"/>
  <c r="BW57" i="155"/>
  <c r="BV57" i="155"/>
  <c r="BU57" i="155"/>
  <c r="BT57" i="155"/>
  <c r="BS57" i="155"/>
  <c r="BR57" i="155"/>
  <c r="BQ57" i="155"/>
  <c r="BP57" i="155"/>
  <c r="BO57" i="155"/>
  <c r="BN57" i="155"/>
  <c r="BM57" i="155"/>
  <c r="BL57" i="155"/>
  <c r="BK57" i="155"/>
  <c r="BJ57" i="155"/>
  <c r="BI57" i="155"/>
  <c r="BH57" i="155"/>
  <c r="BG57" i="155"/>
  <c r="BF57" i="155"/>
  <c r="BE57" i="155"/>
  <c r="BD57" i="155"/>
  <c r="BC57" i="155"/>
  <c r="BB57" i="155"/>
  <c r="BA57" i="155"/>
  <c r="AZ57" i="155"/>
  <c r="AY57" i="155"/>
  <c r="AX57" i="155"/>
  <c r="AW57" i="155"/>
  <c r="AV57" i="155"/>
  <c r="AU57" i="155"/>
  <c r="AT57" i="155"/>
  <c r="AS57" i="155"/>
  <c r="AR57" i="155"/>
  <c r="AQ57" i="155"/>
  <c r="AP57" i="155"/>
  <c r="AO57" i="155"/>
  <c r="AN57" i="155"/>
  <c r="AM57" i="155"/>
  <c r="AL57" i="155"/>
  <c r="AK57" i="155"/>
  <c r="AJ57" i="155"/>
  <c r="AI57" i="155"/>
  <c r="AH57" i="155"/>
  <c r="AG57" i="155"/>
  <c r="AF57" i="155"/>
  <c r="AE57" i="155"/>
  <c r="AD57" i="155"/>
  <c r="AC57" i="155"/>
  <c r="AB57" i="155"/>
  <c r="AA57" i="155"/>
  <c r="Z57" i="155"/>
  <c r="Y57" i="155"/>
  <c r="X57" i="155"/>
  <c r="W57" i="155"/>
  <c r="V57" i="155"/>
  <c r="U57" i="155"/>
  <c r="T57" i="155"/>
  <c r="S57" i="155"/>
  <c r="R57" i="155"/>
  <c r="Q57" i="155"/>
  <c r="P57" i="155"/>
  <c r="O57" i="155"/>
  <c r="N57" i="155"/>
  <c r="M57" i="155"/>
  <c r="I57" i="155"/>
  <c r="H57" i="155"/>
  <c r="G57" i="155"/>
  <c r="F57" i="155"/>
  <c r="CM56" i="155"/>
  <c r="CF56" i="155"/>
  <c r="CD56" i="155"/>
  <c r="CC56" i="155"/>
  <c r="CB56" i="155"/>
  <c r="CA56" i="155"/>
  <c r="BZ56" i="155"/>
  <c r="BM56" i="155"/>
  <c r="AZ56" i="155"/>
  <c r="AM56" i="155"/>
  <c r="Z56" i="155"/>
  <c r="CM55" i="155"/>
  <c r="CF55" i="155"/>
  <c r="CC55" i="155"/>
  <c r="CB55" i="155"/>
  <c r="CA55" i="155"/>
  <c r="BZ55" i="155"/>
  <c r="BM55" i="155"/>
  <c r="AZ55" i="155"/>
  <c r="AM55" i="155"/>
  <c r="Z55" i="155"/>
  <c r="CM54" i="155"/>
  <c r="CL54" i="155"/>
  <c r="CF54" i="155"/>
  <c r="CE54" i="155"/>
  <c r="CC54" i="155"/>
  <c r="CB54" i="155"/>
  <c r="CA54" i="155"/>
  <c r="BZ54" i="155"/>
  <c r="BY54" i="155"/>
  <c r="BX54" i="155"/>
  <c r="BW54" i="155"/>
  <c r="BV54" i="155"/>
  <c r="BU54" i="155"/>
  <c r="BT54" i="155"/>
  <c r="BS54" i="155"/>
  <c r="BR54" i="155"/>
  <c r="BQ54" i="155"/>
  <c r="BP54" i="155"/>
  <c r="BO54" i="155"/>
  <c r="BN54" i="155"/>
  <c r="BM54" i="155"/>
  <c r="BL54" i="155"/>
  <c r="BK54" i="155"/>
  <c r="BJ54" i="155"/>
  <c r="BI54" i="155"/>
  <c r="BH54" i="155"/>
  <c r="BG54" i="155"/>
  <c r="BF54" i="155"/>
  <c r="BE54" i="155"/>
  <c r="BD54" i="155"/>
  <c r="BC54" i="155"/>
  <c r="BB54" i="155"/>
  <c r="BA54" i="155"/>
  <c r="AZ54" i="155"/>
  <c r="AY54" i="155"/>
  <c r="AX54" i="155"/>
  <c r="AW54" i="155"/>
  <c r="AV54" i="155"/>
  <c r="AU54" i="155"/>
  <c r="AT54" i="155"/>
  <c r="AS54" i="155"/>
  <c r="AR54" i="155"/>
  <c r="AQ54" i="155"/>
  <c r="AP54" i="155"/>
  <c r="AO54" i="155"/>
  <c r="AN54" i="155"/>
  <c r="AM54" i="155"/>
  <c r="AL54" i="155"/>
  <c r="AK54" i="155"/>
  <c r="AJ54" i="155"/>
  <c r="AI54" i="155"/>
  <c r="AH54" i="155"/>
  <c r="AG54" i="155"/>
  <c r="AF54" i="155"/>
  <c r="AE54" i="155"/>
  <c r="AD54" i="155"/>
  <c r="AC54" i="155"/>
  <c r="AB54" i="155"/>
  <c r="AA54" i="155"/>
  <c r="Z54" i="155"/>
  <c r="Y54" i="155"/>
  <c r="X54" i="155"/>
  <c r="W54" i="155"/>
  <c r="V54" i="155"/>
  <c r="U54" i="155"/>
  <c r="T54" i="155"/>
  <c r="S54" i="155"/>
  <c r="R54" i="155"/>
  <c r="Q54" i="155"/>
  <c r="P54" i="155"/>
  <c r="O54" i="155"/>
  <c r="N54" i="155"/>
  <c r="M54" i="155"/>
  <c r="I54" i="155"/>
  <c r="H54" i="155"/>
  <c r="G54" i="155"/>
  <c r="F54" i="155"/>
  <c r="CM53" i="155"/>
  <c r="CF53" i="155"/>
  <c r="CD53" i="155"/>
  <c r="CC53" i="155"/>
  <c r="CB53" i="155"/>
  <c r="CA53" i="155"/>
  <c r="BZ53" i="155"/>
  <c r="BM53" i="155"/>
  <c r="AZ53" i="155"/>
  <c r="AM53" i="155"/>
  <c r="Z53" i="155"/>
  <c r="CM52" i="155"/>
  <c r="CF52" i="155"/>
  <c r="CD52" i="155"/>
  <c r="CC52" i="155"/>
  <c r="CB52" i="155"/>
  <c r="CA52" i="155"/>
  <c r="BZ52" i="155"/>
  <c r="BM52" i="155"/>
  <c r="AZ52" i="155"/>
  <c r="AM52" i="155"/>
  <c r="Z52" i="155"/>
  <c r="CM51" i="155"/>
  <c r="CF51" i="155"/>
  <c r="CD51" i="155"/>
  <c r="CC51" i="155"/>
  <c r="CB51" i="155"/>
  <c r="CA51" i="155"/>
  <c r="BZ51" i="155"/>
  <c r="BM51" i="155"/>
  <c r="AZ51" i="155"/>
  <c r="AM51" i="155"/>
  <c r="Z51" i="155"/>
  <c r="CM50" i="155"/>
  <c r="CF50" i="155"/>
  <c r="CD50" i="155"/>
  <c r="CC50" i="155"/>
  <c r="CB50" i="155"/>
  <c r="CA50" i="155"/>
  <c r="BZ50" i="155"/>
  <c r="BM50" i="155"/>
  <c r="AZ50" i="155"/>
  <c r="AM50" i="155"/>
  <c r="Z50" i="155"/>
  <c r="CM49" i="155"/>
  <c r="CF49" i="155"/>
  <c r="CD49" i="155"/>
  <c r="CC49" i="155"/>
  <c r="CB49" i="155"/>
  <c r="CA49" i="155"/>
  <c r="BZ49" i="155"/>
  <c r="BM49" i="155"/>
  <c r="AZ49" i="155"/>
  <c r="AM49" i="155"/>
  <c r="Z49" i="155"/>
  <c r="CM48" i="155"/>
  <c r="CF48" i="155"/>
  <c r="CD48" i="155"/>
  <c r="CC48" i="155"/>
  <c r="CB48" i="155"/>
  <c r="CA48" i="155"/>
  <c r="BZ48" i="155"/>
  <c r="BM48" i="155"/>
  <c r="AZ48" i="155"/>
  <c r="AM48" i="155"/>
  <c r="Z48" i="155"/>
  <c r="CM47" i="155"/>
  <c r="CF47" i="155"/>
  <c r="CD47" i="155"/>
  <c r="CC47" i="155"/>
  <c r="CB47" i="155"/>
  <c r="CA47" i="155"/>
  <c r="BZ47" i="155"/>
  <c r="BM47" i="155"/>
  <c r="AZ47" i="155"/>
  <c r="AM47" i="155"/>
  <c r="Z47" i="155"/>
  <c r="CM46" i="155"/>
  <c r="CF46" i="155"/>
  <c r="CD46" i="155"/>
  <c r="CC46" i="155"/>
  <c r="CB46" i="155"/>
  <c r="CA46" i="155"/>
  <c r="BZ46" i="155"/>
  <c r="BM46" i="155"/>
  <c r="AZ46" i="155"/>
  <c r="AM46" i="155"/>
  <c r="Z46" i="155"/>
  <c r="CM45" i="155"/>
  <c r="CF45" i="155"/>
  <c r="CD45" i="155"/>
  <c r="CC45" i="155"/>
  <c r="CB45" i="155"/>
  <c r="CA45" i="155"/>
  <c r="BZ45" i="155"/>
  <c r="BM45" i="155"/>
  <c r="AZ45" i="155"/>
  <c r="AM45" i="155"/>
  <c r="Z45" i="155"/>
  <c r="CM44" i="155"/>
  <c r="CF44" i="155"/>
  <c r="CD44" i="155"/>
  <c r="CC44" i="155"/>
  <c r="CB44" i="155"/>
  <c r="CA44" i="155"/>
  <c r="BZ44" i="155"/>
  <c r="BM44" i="155"/>
  <c r="AZ44" i="155"/>
  <c r="AM44" i="155"/>
  <c r="Z44" i="155"/>
  <c r="CM43" i="155"/>
  <c r="CF43" i="155"/>
  <c r="CD43" i="155"/>
  <c r="CC43" i="155"/>
  <c r="CB43" i="155"/>
  <c r="CA43" i="155"/>
  <c r="BZ43" i="155"/>
  <c r="BM43" i="155"/>
  <c r="AZ43" i="155"/>
  <c r="AM43" i="155"/>
  <c r="Z43" i="155"/>
  <c r="CM42" i="155"/>
  <c r="CF42" i="155"/>
  <c r="CD42" i="155"/>
  <c r="CC42" i="155"/>
  <c r="CB42" i="155"/>
  <c r="CA42" i="155"/>
  <c r="BZ42" i="155"/>
  <c r="BM42" i="155"/>
  <c r="AZ42" i="155"/>
  <c r="AM42" i="155"/>
  <c r="Z42" i="155"/>
  <c r="CM41" i="155"/>
  <c r="CF41" i="155"/>
  <c r="CD41" i="155"/>
  <c r="CC41" i="155"/>
  <c r="CB41" i="155"/>
  <c r="CA41" i="155"/>
  <c r="BZ41" i="155"/>
  <c r="BM41" i="155"/>
  <c r="AZ41" i="155"/>
  <c r="AM41" i="155"/>
  <c r="Z41" i="155"/>
  <c r="CM40" i="155"/>
  <c r="CF40" i="155"/>
  <c r="CD40" i="155"/>
  <c r="CC40" i="155"/>
  <c r="CB40" i="155"/>
  <c r="CA40" i="155"/>
  <c r="BZ40" i="155"/>
  <c r="BM40" i="155"/>
  <c r="AZ40" i="155"/>
  <c r="AM40" i="155"/>
  <c r="Z40" i="155"/>
  <c r="CM39" i="155"/>
  <c r="CF39" i="155"/>
  <c r="CD39" i="155"/>
  <c r="CC39" i="155"/>
  <c r="CB39" i="155"/>
  <c r="CA39" i="155"/>
  <c r="BZ39" i="155"/>
  <c r="BM39" i="155"/>
  <c r="AZ39" i="155"/>
  <c r="AM39" i="155"/>
  <c r="Z39" i="155"/>
  <c r="CM38" i="155"/>
  <c r="CF38" i="155"/>
  <c r="CD38" i="155"/>
  <c r="CC38" i="155"/>
  <c r="CB38" i="155"/>
  <c r="CA38" i="155"/>
  <c r="BZ38" i="155"/>
  <c r="BM38" i="155"/>
  <c r="AZ38" i="155"/>
  <c r="AM38" i="155"/>
  <c r="Z38" i="155"/>
  <c r="CM37" i="155"/>
  <c r="CH37" i="155"/>
  <c r="CF37" i="155"/>
  <c r="CD37" i="155"/>
  <c r="CC37" i="155"/>
  <c r="CB37" i="155"/>
  <c r="CA37" i="155"/>
  <c r="BZ37" i="155"/>
  <c r="BM37" i="155"/>
  <c r="AZ37" i="155"/>
  <c r="AM37" i="155"/>
  <c r="Z37" i="155"/>
  <c r="CM36" i="155"/>
  <c r="CH36" i="155"/>
  <c r="CF36" i="155"/>
  <c r="CD36" i="155"/>
  <c r="CC36" i="155"/>
  <c r="CB36" i="155"/>
  <c r="CA36" i="155"/>
  <c r="BZ36" i="155"/>
  <c r="BM36" i="155"/>
  <c r="AZ36" i="155"/>
  <c r="AM36" i="155"/>
  <c r="Z36" i="155"/>
  <c r="CM35" i="155"/>
  <c r="CH35" i="155"/>
  <c r="CF35" i="155"/>
  <c r="CD35" i="155"/>
  <c r="CC35" i="155"/>
  <c r="CB35" i="155"/>
  <c r="CA35" i="155"/>
  <c r="BZ35" i="155"/>
  <c r="BM35" i="155"/>
  <c r="AZ35" i="155"/>
  <c r="AM35" i="155"/>
  <c r="Z35" i="155"/>
  <c r="F35" i="155"/>
  <c r="CM34" i="155"/>
  <c r="CF34" i="155"/>
  <c r="CC34" i="155"/>
  <c r="CB34" i="155"/>
  <c r="CA34" i="155"/>
  <c r="BZ34" i="155"/>
  <c r="BM34" i="155"/>
  <c r="AZ34" i="155"/>
  <c r="AM34" i="155"/>
  <c r="Z34" i="155"/>
  <c r="CM33" i="155"/>
  <c r="CL33" i="155"/>
  <c r="CF33" i="155"/>
  <c r="CE33" i="155"/>
  <c r="CC33" i="155"/>
  <c r="CB33" i="155"/>
  <c r="CA33" i="155"/>
  <c r="BZ33" i="155"/>
  <c r="BY33" i="155"/>
  <c r="BX33" i="155"/>
  <c r="BW33" i="155"/>
  <c r="BV33" i="155"/>
  <c r="BU33" i="155"/>
  <c r="BT33" i="155"/>
  <c r="BS33" i="155"/>
  <c r="BR33" i="155"/>
  <c r="BQ33" i="155"/>
  <c r="BP33" i="155"/>
  <c r="BO33" i="155"/>
  <c r="BN33" i="155"/>
  <c r="BM33" i="155"/>
  <c r="BL33" i="155"/>
  <c r="BK33" i="155"/>
  <c r="BJ33" i="155"/>
  <c r="BI33" i="155"/>
  <c r="BH33" i="155"/>
  <c r="BG33" i="155"/>
  <c r="BF33" i="155"/>
  <c r="BE33" i="155"/>
  <c r="BD33" i="155"/>
  <c r="BC33" i="155"/>
  <c r="BB33" i="155"/>
  <c r="BA33" i="155"/>
  <c r="AZ33" i="155"/>
  <c r="AY33" i="155"/>
  <c r="AX33" i="155"/>
  <c r="AW33" i="155"/>
  <c r="AV33" i="155"/>
  <c r="AU33" i="155"/>
  <c r="AT33" i="155"/>
  <c r="AS33" i="155"/>
  <c r="AR33" i="155"/>
  <c r="AQ33" i="155"/>
  <c r="AP33" i="155"/>
  <c r="AO33" i="155"/>
  <c r="AN33" i="155"/>
  <c r="AM33" i="155"/>
  <c r="AL33" i="155"/>
  <c r="AK33" i="155"/>
  <c r="AJ33" i="155"/>
  <c r="AI33" i="155"/>
  <c r="AH33" i="155"/>
  <c r="AG33" i="155"/>
  <c r="AF33" i="155"/>
  <c r="AE33" i="155"/>
  <c r="AD33" i="155"/>
  <c r="AC33" i="155"/>
  <c r="AB33" i="155"/>
  <c r="AA33" i="155"/>
  <c r="Z33" i="155"/>
  <c r="Y33" i="155"/>
  <c r="X33" i="155"/>
  <c r="W33" i="155"/>
  <c r="V33" i="155"/>
  <c r="U33" i="155"/>
  <c r="T33" i="155"/>
  <c r="S33" i="155"/>
  <c r="R33" i="155"/>
  <c r="Q33" i="155"/>
  <c r="P33" i="155"/>
  <c r="O33" i="155"/>
  <c r="N33" i="155"/>
  <c r="M33" i="155"/>
  <c r="I33" i="155"/>
  <c r="H33" i="155"/>
  <c r="G33" i="155"/>
  <c r="F33" i="155"/>
  <c r="CM32" i="155"/>
  <c r="CF32" i="155"/>
  <c r="CD32" i="155"/>
  <c r="CC32" i="155"/>
  <c r="CB32" i="155"/>
  <c r="CA32" i="155"/>
  <c r="BZ32" i="155"/>
  <c r="BM32" i="155"/>
  <c r="AZ32" i="155"/>
  <c r="AM32" i="155"/>
  <c r="Z32" i="155"/>
  <c r="CM31" i="155"/>
  <c r="CF31" i="155"/>
  <c r="CD31" i="155"/>
  <c r="CC31" i="155"/>
  <c r="CB31" i="155"/>
  <c r="CA31" i="155"/>
  <c r="BZ31" i="155"/>
  <c r="BM31" i="155"/>
  <c r="AZ31" i="155"/>
  <c r="AM31" i="155"/>
  <c r="Z31" i="155"/>
  <c r="CM30" i="155"/>
  <c r="CF30" i="155"/>
  <c r="CD30" i="155"/>
  <c r="CC30" i="155"/>
  <c r="CB30" i="155"/>
  <c r="CA30" i="155"/>
  <c r="BZ30" i="155"/>
  <c r="BM30" i="155"/>
  <c r="AZ30" i="155"/>
  <c r="AM30" i="155"/>
  <c r="Z30" i="155"/>
  <c r="CM29" i="155"/>
  <c r="CF29" i="155"/>
  <c r="CD29" i="155"/>
  <c r="CC29" i="155"/>
  <c r="CB29" i="155"/>
  <c r="CA29" i="155"/>
  <c r="BZ29" i="155"/>
  <c r="BM29" i="155"/>
  <c r="AZ29" i="155"/>
  <c r="AM29" i="155"/>
  <c r="Z29" i="155"/>
  <c r="CM28" i="155"/>
  <c r="CF28" i="155"/>
  <c r="CD28" i="155"/>
  <c r="CC28" i="155"/>
  <c r="CB28" i="155"/>
  <c r="CA28" i="155"/>
  <c r="BZ28" i="155"/>
  <c r="BM28" i="155"/>
  <c r="AZ28" i="155"/>
  <c r="AM28" i="155"/>
  <c r="Z28" i="155"/>
  <c r="CM27" i="155"/>
  <c r="CF27" i="155"/>
  <c r="CD27" i="155"/>
  <c r="CC27" i="155"/>
  <c r="CB27" i="155"/>
  <c r="CA27" i="155"/>
  <c r="BZ27" i="155"/>
  <c r="BM27" i="155"/>
  <c r="AZ27" i="155"/>
  <c r="AM27" i="155"/>
  <c r="Z27" i="155"/>
  <c r="CM26" i="155"/>
  <c r="CF26" i="155"/>
  <c r="CD26" i="155"/>
  <c r="CC26" i="155"/>
  <c r="CB26" i="155"/>
  <c r="CA26" i="155"/>
  <c r="BZ26" i="155"/>
  <c r="BM26" i="155"/>
  <c r="AZ26" i="155"/>
  <c r="AM26" i="155"/>
  <c r="Z26" i="155"/>
  <c r="CM25" i="155"/>
  <c r="CF25" i="155"/>
  <c r="CC25" i="155"/>
  <c r="CB25" i="155"/>
  <c r="CA25" i="155"/>
  <c r="BZ25" i="155"/>
  <c r="BM25" i="155"/>
  <c r="AZ25" i="155"/>
  <c r="AM25" i="155"/>
  <c r="Z25" i="155"/>
  <c r="CL24" i="155"/>
  <c r="CF24" i="155"/>
  <c r="CE24" i="155"/>
  <c r="CC24" i="155"/>
  <c r="CB24" i="155"/>
  <c r="CA24" i="155"/>
  <c r="BZ24" i="155"/>
  <c r="BY24" i="155"/>
  <c r="BX24" i="155"/>
  <c r="BW24" i="155"/>
  <c r="BV24" i="155"/>
  <c r="BU24" i="155"/>
  <c r="BT24" i="155"/>
  <c r="BS24" i="155"/>
  <c r="BR24" i="155"/>
  <c r="BQ24" i="155"/>
  <c r="BP24" i="155"/>
  <c r="BO24" i="155"/>
  <c r="BN24" i="155"/>
  <c r="BM24" i="155"/>
  <c r="BL24" i="155"/>
  <c r="BK24" i="155"/>
  <c r="BJ24" i="155"/>
  <c r="BI24" i="155"/>
  <c r="BH24" i="155"/>
  <c r="BG24" i="155"/>
  <c r="BF24" i="155"/>
  <c r="BE24" i="155"/>
  <c r="BD24" i="155"/>
  <c r="BC24" i="155"/>
  <c r="BB24" i="155"/>
  <c r="BA24" i="155"/>
  <c r="AZ24" i="155"/>
  <c r="AY24" i="155"/>
  <c r="AX24" i="155"/>
  <c r="AW24" i="155"/>
  <c r="AV24" i="155"/>
  <c r="AU24" i="155"/>
  <c r="AT24" i="155"/>
  <c r="AS24" i="155"/>
  <c r="AR24" i="155"/>
  <c r="AQ24" i="155"/>
  <c r="AP24" i="155"/>
  <c r="AO24" i="155"/>
  <c r="AN24" i="155"/>
  <c r="AM24" i="155"/>
  <c r="AL24" i="155"/>
  <c r="AK24" i="155"/>
  <c r="AJ24" i="155"/>
  <c r="AI24" i="155"/>
  <c r="AH24" i="155"/>
  <c r="AG24" i="155"/>
  <c r="AF24" i="155"/>
  <c r="AE24" i="155"/>
  <c r="AD24" i="155"/>
  <c r="AC24" i="155"/>
  <c r="AB24" i="155"/>
  <c r="AA24" i="155"/>
  <c r="Z24" i="155"/>
  <c r="Y24" i="155"/>
  <c r="X24" i="155"/>
  <c r="W24" i="155"/>
  <c r="V24" i="155"/>
  <c r="U24" i="155"/>
  <c r="T24" i="155"/>
  <c r="S24" i="155"/>
  <c r="R24" i="155"/>
  <c r="Q24" i="155"/>
  <c r="P24" i="155"/>
  <c r="O24" i="155"/>
  <c r="N24" i="155"/>
  <c r="M24" i="155"/>
  <c r="I24" i="155"/>
  <c r="H24" i="155"/>
  <c r="G24" i="155"/>
  <c r="F24" i="155"/>
  <c r="CM23" i="155"/>
  <c r="CH23" i="155"/>
  <c r="CF23" i="155"/>
  <c r="CD23" i="155"/>
  <c r="CC23" i="155"/>
  <c r="CB23" i="155"/>
  <c r="CA23" i="155"/>
  <c r="BZ23" i="155"/>
  <c r="BM23" i="155"/>
  <c r="AZ23" i="155"/>
  <c r="AM23" i="155"/>
  <c r="Z23" i="155"/>
  <c r="CM22" i="155"/>
  <c r="CH22" i="155"/>
  <c r="CF22" i="155"/>
  <c r="CD22" i="155"/>
  <c r="CC22" i="155"/>
  <c r="CB22" i="155"/>
  <c r="CA22" i="155"/>
  <c r="BZ22" i="155"/>
  <c r="BM22" i="155"/>
  <c r="AZ22" i="155"/>
  <c r="AM22" i="155"/>
  <c r="Z22" i="155"/>
  <c r="CM21" i="155"/>
  <c r="CH21" i="155"/>
  <c r="CF21" i="155"/>
  <c r="CD21" i="155"/>
  <c r="CC21" i="155"/>
  <c r="CB21" i="155"/>
  <c r="CA21" i="155"/>
  <c r="BZ21" i="155"/>
  <c r="BM21" i="155"/>
  <c r="AZ21" i="155"/>
  <c r="AM21" i="155"/>
  <c r="Z21" i="155"/>
  <c r="CM20" i="155"/>
  <c r="CH20" i="155"/>
  <c r="CF20" i="155"/>
  <c r="CD20" i="155"/>
  <c r="CC20" i="155"/>
  <c r="CB20" i="155"/>
  <c r="CA20" i="155"/>
  <c r="BZ20" i="155"/>
  <c r="BM20" i="155"/>
  <c r="AZ20" i="155"/>
  <c r="AM20" i="155"/>
  <c r="Z20" i="155"/>
  <c r="CM19" i="155"/>
  <c r="CH19" i="155"/>
  <c r="CF19" i="155"/>
  <c r="CD19" i="155"/>
  <c r="CC19" i="155"/>
  <c r="CB19" i="155"/>
  <c r="CA19" i="155"/>
  <c r="BZ19" i="155"/>
  <c r="BM19" i="155"/>
  <c r="AZ19" i="155"/>
  <c r="AM19" i="155"/>
  <c r="Z19" i="155"/>
  <c r="CM18" i="155"/>
  <c r="CH18" i="155"/>
  <c r="CF18" i="155"/>
  <c r="CD18" i="155"/>
  <c r="CC18" i="155"/>
  <c r="CB18" i="155"/>
  <c r="CA18" i="155"/>
  <c r="BZ18" i="155"/>
  <c r="BM18" i="155"/>
  <c r="AZ18" i="155"/>
  <c r="AM18" i="155"/>
  <c r="Z18" i="155"/>
  <c r="CM17" i="155"/>
  <c r="CH17" i="155"/>
  <c r="CF17" i="155"/>
  <c r="CD17" i="155"/>
  <c r="CC17" i="155"/>
  <c r="CB17" i="155"/>
  <c r="CA17" i="155"/>
  <c r="BZ17" i="155"/>
  <c r="BM17" i="155"/>
  <c r="AZ17" i="155"/>
  <c r="AM17" i="155"/>
  <c r="Z17" i="155"/>
  <c r="CM16" i="155"/>
  <c r="CH16" i="155"/>
  <c r="CF16" i="155"/>
  <c r="CD16" i="155"/>
  <c r="CC16" i="155"/>
  <c r="CB16" i="155"/>
  <c r="CA16" i="155"/>
  <c r="BZ16" i="155"/>
  <c r="BM16" i="155"/>
  <c r="AZ16" i="155"/>
  <c r="AM16" i="155"/>
  <c r="Z16" i="155"/>
  <c r="CM15" i="155"/>
  <c r="CH15" i="155"/>
  <c r="CF15" i="155"/>
  <c r="CD15" i="155"/>
  <c r="CC15" i="155"/>
  <c r="CB15" i="155"/>
  <c r="CA15" i="155"/>
  <c r="BZ15" i="155"/>
  <c r="BM15" i="155"/>
  <c r="AZ15" i="155"/>
  <c r="AM15" i="155"/>
  <c r="Z15" i="155"/>
  <c r="CM14" i="155"/>
  <c r="CH14" i="155"/>
  <c r="CF14" i="155"/>
  <c r="CD14" i="155"/>
  <c r="CC14" i="155"/>
  <c r="CB14" i="155"/>
  <c r="CA14" i="155"/>
  <c r="BZ14" i="155"/>
  <c r="BM14" i="155"/>
  <c r="AZ14" i="155"/>
  <c r="AM14" i="155"/>
  <c r="Z14" i="155"/>
  <c r="CM13" i="155"/>
  <c r="CH13" i="155"/>
  <c r="CF13" i="155"/>
  <c r="CD13" i="155"/>
  <c r="CC13" i="155"/>
  <c r="CB13" i="155"/>
  <c r="CA13" i="155"/>
  <c r="BZ13" i="155"/>
  <c r="BM13" i="155"/>
  <c r="AZ13" i="155"/>
  <c r="AM13" i="155"/>
  <c r="Z13" i="155"/>
  <c r="CM12" i="155"/>
  <c r="CH12" i="155"/>
  <c r="CF12" i="155"/>
  <c r="CD12" i="155"/>
  <c r="CC12" i="155"/>
  <c r="CB12" i="155"/>
  <c r="CA12" i="155"/>
  <c r="BZ12" i="155"/>
  <c r="BM12" i="155"/>
  <c r="AZ12" i="155"/>
  <c r="AM12" i="155"/>
  <c r="Z12" i="155"/>
  <c r="CM11" i="155"/>
  <c r="CL11" i="155"/>
  <c r="CH11" i="155"/>
  <c r="CF11" i="155"/>
  <c r="CE11" i="155"/>
  <c r="CD11" i="155"/>
  <c r="CC11" i="155"/>
  <c r="CB11" i="155"/>
  <c r="CA11" i="155"/>
  <c r="BZ11" i="155"/>
  <c r="BY11" i="155"/>
  <c r="BX11" i="155"/>
  <c r="BW11" i="155"/>
  <c r="BV11" i="155"/>
  <c r="BU11" i="155"/>
  <c r="BT11" i="155"/>
  <c r="BS11" i="155"/>
  <c r="BR11" i="155"/>
  <c r="BQ11" i="155"/>
  <c r="BP11" i="155"/>
  <c r="BO11" i="155"/>
  <c r="BN11" i="155"/>
  <c r="BM11" i="155"/>
  <c r="BL11" i="155"/>
  <c r="BK11" i="155"/>
  <c r="BJ11" i="155"/>
  <c r="BI11" i="155"/>
  <c r="BH11" i="155"/>
  <c r="BG11" i="155"/>
  <c r="BF11" i="155"/>
  <c r="BE11" i="155"/>
  <c r="BD11" i="155"/>
  <c r="BC11" i="155"/>
  <c r="BB11" i="155"/>
  <c r="BA11" i="155"/>
  <c r="AZ11" i="155"/>
  <c r="AY11" i="155"/>
  <c r="AX11" i="155"/>
  <c r="AW11" i="155"/>
  <c r="AV11" i="155"/>
  <c r="AU11" i="155"/>
  <c r="AT11" i="155"/>
  <c r="AS11" i="155"/>
  <c r="AR11" i="155"/>
  <c r="AQ11" i="155"/>
  <c r="AP11" i="155"/>
  <c r="AO11" i="155"/>
  <c r="AN11" i="155"/>
  <c r="AM11" i="155"/>
  <c r="AL11" i="155"/>
  <c r="AK11" i="155"/>
  <c r="AJ11" i="155"/>
  <c r="AI11" i="155"/>
  <c r="AH11" i="155"/>
  <c r="AG11" i="155"/>
  <c r="AF11" i="155"/>
  <c r="AE11" i="155"/>
  <c r="AD11" i="155"/>
  <c r="AC11" i="155"/>
  <c r="AB11" i="155"/>
  <c r="AA11" i="155"/>
  <c r="Z11" i="155"/>
  <c r="Y11" i="155"/>
  <c r="X11" i="155"/>
  <c r="W11" i="155"/>
  <c r="V11" i="155"/>
  <c r="U11" i="155"/>
  <c r="T11" i="155"/>
  <c r="S11" i="155"/>
  <c r="R11" i="155"/>
  <c r="Q11" i="155"/>
  <c r="P11" i="155"/>
  <c r="O11" i="155"/>
  <c r="N11" i="155"/>
  <c r="M11" i="155"/>
  <c r="I11" i="155"/>
  <c r="H11" i="155"/>
  <c r="G11" i="155"/>
  <c r="F11" i="155"/>
  <c r="CE10" i="155"/>
  <c r="CD10" i="155"/>
  <c r="CC10" i="155"/>
  <c r="CA10" i="155"/>
  <c r="BZ10" i="155"/>
  <c r="BM10" i="155"/>
  <c r="AZ10" i="155"/>
  <c r="AM10" i="155"/>
  <c r="Z10" i="155"/>
  <c r="CH9" i="155"/>
  <c r="CF8" i="155"/>
  <c r="CE8" i="155"/>
  <c r="CD8" i="155"/>
  <c r="CC8" i="155"/>
  <c r="CB8" i="155"/>
  <c r="CA8" i="155"/>
  <c r="BZ8" i="155"/>
  <c r="BM8" i="155"/>
  <c r="AZ8" i="155"/>
  <c r="AM8" i="155"/>
  <c r="Z8" i="155"/>
  <c r="C18" i="156" l="1"/>
  <c r="C20" i="156" s="1"/>
  <c r="C21" i="156" s="1"/>
  <c r="D6" i="156"/>
  <c r="G11" i="128"/>
  <c r="F13" i="128"/>
  <c r="C58" i="126"/>
  <c r="C54" i="99"/>
  <c r="F57" i="126"/>
  <c r="F54" i="99" l="1"/>
  <c r="H57" i="126"/>
  <c r="J57" i="126"/>
  <c r="H11" i="128"/>
  <c r="G13" i="128"/>
  <c r="C59" i="126"/>
  <c r="C110" i="126" s="1"/>
  <c r="C55" i="99"/>
  <c r="F58" i="126"/>
  <c r="C60" i="126" l="1"/>
  <c r="C56" i="99"/>
  <c r="C108" i="99" s="1"/>
  <c r="F59" i="126"/>
  <c r="F109" i="126" s="1"/>
  <c r="J54" i="99"/>
  <c r="J58" i="126"/>
  <c r="H58" i="126"/>
  <c r="F55" i="99"/>
  <c r="K57" i="126"/>
  <c r="I11" i="128"/>
  <c r="I13" i="128" s="1"/>
  <c r="H13" i="128"/>
  <c r="D3" i="99" s="1"/>
  <c r="D3" i="129"/>
  <c r="H109" i="126" l="1"/>
  <c r="H59" i="126"/>
  <c r="F56" i="99"/>
  <c r="F107" i="99" s="1"/>
  <c r="K58" i="126"/>
  <c r="B25" i="129"/>
  <c r="J55" i="99"/>
  <c r="J59" i="126"/>
  <c r="J110" i="126" s="1"/>
  <c r="M58" i="126"/>
  <c r="M57" i="126"/>
  <c r="C61" i="126"/>
  <c r="C57" i="99"/>
  <c r="F60" i="126"/>
  <c r="N58" i="126" l="1"/>
  <c r="J56" i="99"/>
  <c r="J108" i="99" s="1"/>
  <c r="J60" i="126"/>
  <c r="E25" i="129"/>
  <c r="D25" i="129"/>
  <c r="B26" i="129"/>
  <c r="B40" i="99"/>
  <c r="F57" i="99"/>
  <c r="H60" i="126"/>
  <c r="C62" i="126"/>
  <c r="C58" i="99"/>
  <c r="F61" i="126"/>
  <c r="N57" i="126"/>
  <c r="K59" i="126"/>
  <c r="K110" i="126" s="1"/>
  <c r="I25" i="129" l="1"/>
  <c r="E40" i="99"/>
  <c r="O57" i="126"/>
  <c r="C63" i="126"/>
  <c r="C59" i="99"/>
  <c r="F62" i="126"/>
  <c r="K60" i="126"/>
  <c r="F58" i="99"/>
  <c r="H61" i="126"/>
  <c r="E26" i="129"/>
  <c r="E41" i="99" s="1"/>
  <c r="D26" i="129"/>
  <c r="B27" i="129"/>
  <c r="B41" i="99"/>
  <c r="M59" i="126"/>
  <c r="M110" i="126" s="1"/>
  <c r="D40" i="99"/>
  <c r="G25" i="129"/>
  <c r="J57" i="99"/>
  <c r="J61" i="126"/>
  <c r="O58" i="126"/>
  <c r="E27" i="129" l="1"/>
  <c r="E42" i="99" s="1"/>
  <c r="B28" i="129"/>
  <c r="D27" i="129"/>
  <c r="B42" i="99"/>
  <c r="D41" i="99"/>
  <c r="G26" i="129"/>
  <c r="K61" i="126"/>
  <c r="C64" i="126"/>
  <c r="C60" i="99"/>
  <c r="F63" i="126"/>
  <c r="J58" i="99"/>
  <c r="J62" i="126"/>
  <c r="N59" i="126"/>
  <c r="P57" i="126"/>
  <c r="I26" i="129"/>
  <c r="I40" i="99"/>
  <c r="L25" i="129"/>
  <c r="P58" i="126"/>
  <c r="M60" i="126"/>
  <c r="G40" i="99"/>
  <c r="H25" i="129"/>
  <c r="F59" i="99"/>
  <c r="H62" i="126"/>
  <c r="J59" i="99" l="1"/>
  <c r="J63" i="126"/>
  <c r="C65" i="126"/>
  <c r="C61" i="99"/>
  <c r="F64" i="126"/>
  <c r="H26" i="129"/>
  <c r="H41" i="99" s="1"/>
  <c r="G41" i="99"/>
  <c r="L26" i="129"/>
  <c r="L41" i="99" s="1"/>
  <c r="I27" i="129"/>
  <c r="I41" i="99"/>
  <c r="O59" i="126"/>
  <c r="O110" i="126" s="1"/>
  <c r="K62" i="126"/>
  <c r="D42" i="99"/>
  <c r="G27" i="129"/>
  <c r="D54" i="100"/>
  <c r="H63" i="126"/>
  <c r="F60" i="99"/>
  <c r="E28" i="129"/>
  <c r="B29" i="129"/>
  <c r="D28" i="129"/>
  <c r="B43" i="99"/>
  <c r="H40" i="99"/>
  <c r="K25" i="129"/>
  <c r="N60" i="126"/>
  <c r="L40" i="99"/>
  <c r="D53" i="100"/>
  <c r="M61" i="126"/>
  <c r="E43" i="99" l="1"/>
  <c r="H54" i="100"/>
  <c r="C66" i="126"/>
  <c r="C62" i="99"/>
  <c r="F65" i="126"/>
  <c r="K26" i="129"/>
  <c r="K40" i="99"/>
  <c r="M25" i="129"/>
  <c r="K63" i="126"/>
  <c r="M62" i="126"/>
  <c r="E53" i="100"/>
  <c r="E54" i="100" s="1"/>
  <c r="H53" i="100"/>
  <c r="I53" i="100" s="1"/>
  <c r="I54" i="100" s="1"/>
  <c r="G28" i="129"/>
  <c r="D43" i="99"/>
  <c r="I28" i="129"/>
  <c r="I42" i="99"/>
  <c r="L27" i="129"/>
  <c r="L42" i="99" s="1"/>
  <c r="F61" i="99"/>
  <c r="H64" i="126"/>
  <c r="J60" i="99"/>
  <c r="J64" i="126"/>
  <c r="M63" i="126"/>
  <c r="N61" i="126"/>
  <c r="O60" i="126"/>
  <c r="E29" i="129"/>
  <c r="E44" i="99" s="1"/>
  <c r="B30" i="129"/>
  <c r="D29" i="129"/>
  <c r="B44" i="99"/>
  <c r="H27" i="129"/>
  <c r="H42" i="99" s="1"/>
  <c r="G42" i="99"/>
  <c r="P59" i="126"/>
  <c r="P109" i="126" s="1"/>
  <c r="J61" i="99" l="1"/>
  <c r="J65" i="126"/>
  <c r="K27" i="129"/>
  <c r="K41" i="99"/>
  <c r="M26" i="129"/>
  <c r="D44" i="99"/>
  <c r="G29" i="129"/>
  <c r="E30" i="129"/>
  <c r="E45" i="99" s="1"/>
  <c r="B31" i="129"/>
  <c r="D30" i="129"/>
  <c r="B45" i="99"/>
  <c r="O61" i="126"/>
  <c r="N25" i="129"/>
  <c r="M40" i="99"/>
  <c r="F62" i="99"/>
  <c r="H65" i="126"/>
  <c r="I29" i="129"/>
  <c r="I43" i="99"/>
  <c r="L28" i="129"/>
  <c r="L43" i="99" s="1"/>
  <c r="G43" i="99"/>
  <c r="H28" i="129"/>
  <c r="H43" i="99" s="1"/>
  <c r="N62" i="126"/>
  <c r="D55" i="100"/>
  <c r="P60" i="126"/>
  <c r="N63" i="126"/>
  <c r="K64" i="126"/>
  <c r="M64" i="126" s="1"/>
  <c r="C67" i="126"/>
  <c r="C63" i="99"/>
  <c r="F66" i="126"/>
  <c r="B4" i="129" l="1"/>
  <c r="N64" i="126"/>
  <c r="F63" i="99"/>
  <c r="H66" i="126"/>
  <c r="O62" i="126"/>
  <c r="N26" i="129"/>
  <c r="M41" i="99"/>
  <c r="O63" i="126"/>
  <c r="O25" i="129"/>
  <c r="N40" i="99"/>
  <c r="J62" i="99"/>
  <c r="J66" i="126"/>
  <c r="C68" i="126"/>
  <c r="C64" i="99"/>
  <c r="F67" i="126"/>
  <c r="H55" i="100"/>
  <c r="D56" i="100"/>
  <c r="I30" i="129"/>
  <c r="I44" i="99"/>
  <c r="L29" i="129"/>
  <c r="L44" i="99" s="1"/>
  <c r="P61" i="126"/>
  <c r="D45" i="99"/>
  <c r="G30" i="129"/>
  <c r="G44" i="99"/>
  <c r="H29" i="129"/>
  <c r="K28" i="129"/>
  <c r="K42" i="99"/>
  <c r="M27" i="129"/>
  <c r="K65" i="126"/>
  <c r="B32" i="129"/>
  <c r="D31" i="129"/>
  <c r="E31" i="129"/>
  <c r="E46" i="99" s="1"/>
  <c r="B46" i="99"/>
  <c r="E55" i="100"/>
  <c r="E58" i="100" s="1"/>
  <c r="B33" i="129" l="1"/>
  <c r="E32" i="129"/>
  <c r="E47" i="99" s="1"/>
  <c r="D32" i="129"/>
  <c r="B47" i="99"/>
  <c r="N27" i="129"/>
  <c r="M42" i="99"/>
  <c r="H67" i="126"/>
  <c r="F64" i="99"/>
  <c r="J63" i="99"/>
  <c r="J67" i="126"/>
  <c r="O26" i="129"/>
  <c r="N41" i="99"/>
  <c r="I31" i="129"/>
  <c r="I45" i="99"/>
  <c r="L30" i="129"/>
  <c r="L45" i="99" s="1"/>
  <c r="P63" i="126"/>
  <c r="K66" i="126"/>
  <c r="K29" i="129"/>
  <c r="K43" i="99"/>
  <c r="M28" i="129"/>
  <c r="C69" i="126"/>
  <c r="C65" i="99"/>
  <c r="F68" i="126"/>
  <c r="P62" i="126"/>
  <c r="O64" i="126"/>
  <c r="D46" i="99"/>
  <c r="G31" i="129"/>
  <c r="H44" i="99"/>
  <c r="H30" i="129"/>
  <c r="G45" i="99"/>
  <c r="H56" i="100"/>
  <c r="I55" i="100"/>
  <c r="I58" i="100" s="1"/>
  <c r="M65" i="126"/>
  <c r="P25" i="129"/>
  <c r="P40" i="99" s="1"/>
  <c r="O40" i="99"/>
  <c r="H45" i="99" l="1"/>
  <c r="N28" i="129"/>
  <c r="M43" i="99"/>
  <c r="K67" i="126"/>
  <c r="J64" i="99"/>
  <c r="J68" i="126"/>
  <c r="M67" i="126"/>
  <c r="D47" i="99"/>
  <c r="G32" i="129"/>
  <c r="P64" i="126"/>
  <c r="F65" i="99"/>
  <c r="H68" i="126"/>
  <c r="O27" i="129"/>
  <c r="N42" i="99"/>
  <c r="I32" i="129"/>
  <c r="I46" i="99"/>
  <c r="L31" i="129"/>
  <c r="L46" i="99" s="1"/>
  <c r="P26" i="129"/>
  <c r="P41" i="99" s="1"/>
  <c r="O41" i="99"/>
  <c r="B34" i="129"/>
  <c r="E33" i="129"/>
  <c r="E48" i="99" s="1"/>
  <c r="D33" i="129"/>
  <c r="B48" i="99"/>
  <c r="N65" i="126"/>
  <c r="H31" i="129"/>
  <c r="G46" i="99"/>
  <c r="C70" i="126"/>
  <c r="C66" i="99"/>
  <c r="F69" i="126"/>
  <c r="K30" i="129"/>
  <c r="K44" i="99"/>
  <c r="M29" i="129"/>
  <c r="M66" i="126"/>
  <c r="N66" i="126" l="1"/>
  <c r="F66" i="99"/>
  <c r="H69" i="126"/>
  <c r="O65" i="126"/>
  <c r="D48" i="99"/>
  <c r="G33" i="129"/>
  <c r="J65" i="99"/>
  <c r="J69" i="126"/>
  <c r="H32" i="129"/>
  <c r="H47" i="99" s="1"/>
  <c r="G47" i="99"/>
  <c r="C71" i="126"/>
  <c r="C67" i="99"/>
  <c r="F70" i="126"/>
  <c r="H46" i="99"/>
  <c r="B35" i="129"/>
  <c r="E34" i="129"/>
  <c r="E49" i="99" s="1"/>
  <c r="D34" i="129"/>
  <c r="B49" i="99"/>
  <c r="K68" i="126"/>
  <c r="M68" i="126" s="1"/>
  <c r="O28" i="129"/>
  <c r="N43" i="99"/>
  <c r="N29" i="129"/>
  <c r="M44" i="99"/>
  <c r="K31" i="129"/>
  <c r="K45" i="99"/>
  <c r="M30" i="129"/>
  <c r="I33" i="129"/>
  <c r="I47" i="99"/>
  <c r="L32" i="129"/>
  <c r="L47" i="99" s="1"/>
  <c r="P27" i="129"/>
  <c r="P42" i="99" s="1"/>
  <c r="O42" i="99"/>
  <c r="N67" i="126"/>
  <c r="N68" i="126" l="1"/>
  <c r="N30" i="129"/>
  <c r="M45" i="99"/>
  <c r="O29" i="129"/>
  <c r="N44" i="99"/>
  <c r="D49" i="99"/>
  <c r="G34" i="129"/>
  <c r="F67" i="99"/>
  <c r="H70" i="126"/>
  <c r="P65" i="126"/>
  <c r="O66" i="126"/>
  <c r="O67" i="126"/>
  <c r="K32" i="129"/>
  <c r="K46" i="99"/>
  <c r="M31" i="129"/>
  <c r="P28" i="129"/>
  <c r="P43" i="99" s="1"/>
  <c r="O43" i="99"/>
  <c r="B36" i="129"/>
  <c r="E35" i="129"/>
  <c r="E50" i="99" s="1"/>
  <c r="D35" i="129"/>
  <c r="B50" i="99"/>
  <c r="I34" i="129"/>
  <c r="I48" i="99"/>
  <c r="L33" i="129"/>
  <c r="L48" i="99" s="1"/>
  <c r="K69" i="126"/>
  <c r="C72" i="126"/>
  <c r="C68" i="99"/>
  <c r="F71" i="126"/>
  <c r="J66" i="99"/>
  <c r="J70" i="126"/>
  <c r="G48" i="99"/>
  <c r="H33" i="129"/>
  <c r="K70" i="126" l="1"/>
  <c r="J67" i="99"/>
  <c r="J71" i="126"/>
  <c r="C73" i="126"/>
  <c r="C69" i="99"/>
  <c r="F72" i="126"/>
  <c r="D50" i="99"/>
  <c r="G35" i="129"/>
  <c r="K33" i="129"/>
  <c r="K47" i="99"/>
  <c r="M32" i="129"/>
  <c r="O30" i="129"/>
  <c r="N45" i="99"/>
  <c r="H48" i="99"/>
  <c r="I35" i="129"/>
  <c r="I49" i="99"/>
  <c r="L34" i="129"/>
  <c r="L49" i="99" s="1"/>
  <c r="P67" i="126"/>
  <c r="F68" i="99"/>
  <c r="H71" i="126"/>
  <c r="B37" i="129"/>
  <c r="E36" i="129"/>
  <c r="E51" i="99" s="1"/>
  <c r="D36" i="129"/>
  <c r="B51" i="99"/>
  <c r="N31" i="129"/>
  <c r="M46" i="99"/>
  <c r="E70" i="100"/>
  <c r="P29" i="129"/>
  <c r="O44" i="99"/>
  <c r="E16" i="100" s="1"/>
  <c r="I16" i="100" s="1"/>
  <c r="O68" i="126"/>
  <c r="M69" i="126"/>
  <c r="P66" i="126"/>
  <c r="G49" i="99"/>
  <c r="H34" i="129"/>
  <c r="H49" i="99" s="1"/>
  <c r="O31" i="129" l="1"/>
  <c r="N46" i="99"/>
  <c r="K34" i="129"/>
  <c r="K48" i="99"/>
  <c r="M33" i="129"/>
  <c r="F69" i="99"/>
  <c r="H72" i="126"/>
  <c r="J68" i="99"/>
  <c r="J72" i="126"/>
  <c r="B38" i="129"/>
  <c r="E37" i="129"/>
  <c r="E52" i="99" s="1"/>
  <c r="D37" i="129"/>
  <c r="B52" i="99"/>
  <c r="I36" i="129"/>
  <c r="I50" i="99"/>
  <c r="L35" i="129"/>
  <c r="L50" i="99" s="1"/>
  <c r="E71" i="100"/>
  <c r="P30" i="129"/>
  <c r="O45" i="99"/>
  <c r="N69" i="126"/>
  <c r="P68" i="126"/>
  <c r="I70" i="100"/>
  <c r="N32" i="129"/>
  <c r="M47" i="99"/>
  <c r="G50" i="99"/>
  <c r="H35" i="129"/>
  <c r="H50" i="99" s="1"/>
  <c r="C74" i="126"/>
  <c r="C70" i="99"/>
  <c r="F73" i="126"/>
  <c r="K71" i="126"/>
  <c r="M71" i="126" s="1"/>
  <c r="D70" i="100"/>
  <c r="P44" i="99"/>
  <c r="D16" i="100" s="1"/>
  <c r="D51" i="99"/>
  <c r="G36" i="129"/>
  <c r="M70" i="126"/>
  <c r="N71" i="126" l="1"/>
  <c r="O32" i="129"/>
  <c r="N47" i="99"/>
  <c r="H36" i="129"/>
  <c r="H51" i="99" s="1"/>
  <c r="G51" i="99"/>
  <c r="B39" i="129"/>
  <c r="D38" i="129"/>
  <c r="E38" i="129"/>
  <c r="E53" i="99" s="1"/>
  <c r="B53" i="99"/>
  <c r="K35" i="129"/>
  <c r="K49" i="99"/>
  <c r="M34" i="129"/>
  <c r="N70" i="126"/>
  <c r="D71" i="100"/>
  <c r="P45" i="99"/>
  <c r="I37" i="129"/>
  <c r="I51" i="99"/>
  <c r="L36" i="129"/>
  <c r="L51" i="99" s="1"/>
  <c r="F70" i="99"/>
  <c r="H73" i="126"/>
  <c r="K72" i="126"/>
  <c r="C75" i="126"/>
  <c r="C71" i="99"/>
  <c r="F74" i="126"/>
  <c r="O69" i="126"/>
  <c r="D52" i="99"/>
  <c r="G37" i="129"/>
  <c r="J69" i="99"/>
  <c r="J73" i="126"/>
  <c r="M72" i="126"/>
  <c r="N33" i="129"/>
  <c r="M48" i="99"/>
  <c r="E72" i="100"/>
  <c r="P31" i="129"/>
  <c r="O46" i="99"/>
  <c r="G52" i="99" l="1"/>
  <c r="H37" i="129"/>
  <c r="H52" i="99" s="1"/>
  <c r="F71" i="99"/>
  <c r="H74" i="126"/>
  <c r="O70" i="126"/>
  <c r="K36" i="129"/>
  <c r="K50" i="99"/>
  <c r="M35" i="129"/>
  <c r="E73" i="100"/>
  <c r="P32" i="129"/>
  <c r="O47" i="99"/>
  <c r="I38" i="129"/>
  <c r="I52" i="99"/>
  <c r="L37" i="129"/>
  <c r="D53" i="99"/>
  <c r="G38" i="129"/>
  <c r="O71" i="126"/>
  <c r="O33" i="129"/>
  <c r="N48" i="99"/>
  <c r="P69" i="126"/>
  <c r="C76" i="126"/>
  <c r="C72" i="99"/>
  <c r="F75" i="126"/>
  <c r="D17" i="100"/>
  <c r="N34" i="129"/>
  <c r="M49" i="99"/>
  <c r="B40" i="129"/>
  <c r="E39" i="129"/>
  <c r="E54" i="99" s="1"/>
  <c r="D39" i="129"/>
  <c r="B54" i="99"/>
  <c r="J70" i="99"/>
  <c r="J74" i="126"/>
  <c r="D72" i="100"/>
  <c r="H72" i="100" s="1"/>
  <c r="P46" i="99"/>
  <c r="D18" i="100" s="1"/>
  <c r="H18" i="100" s="1"/>
  <c r="N72" i="126"/>
  <c r="K73" i="126"/>
  <c r="H71" i="100"/>
  <c r="I71" i="100" s="1"/>
  <c r="I72" i="100" l="1"/>
  <c r="K74" i="126"/>
  <c r="J71" i="99"/>
  <c r="J75" i="126"/>
  <c r="D54" i="99"/>
  <c r="G39" i="129"/>
  <c r="O34" i="129"/>
  <c r="N49" i="99"/>
  <c r="C77" i="126"/>
  <c r="C73" i="99"/>
  <c r="F76" i="126"/>
  <c r="E74" i="100"/>
  <c r="P33" i="129"/>
  <c r="O48" i="99"/>
  <c r="H38" i="129"/>
  <c r="H53" i="99" s="1"/>
  <c r="G53" i="99"/>
  <c r="D73" i="100"/>
  <c r="P47" i="99"/>
  <c r="D19" i="100" s="1"/>
  <c r="H19" i="100" s="1"/>
  <c r="K37" i="129"/>
  <c r="K51" i="99"/>
  <c r="M36" i="129"/>
  <c r="O72" i="126"/>
  <c r="B41" i="129"/>
  <c r="E40" i="129"/>
  <c r="D40" i="129"/>
  <c r="B55" i="99"/>
  <c r="E17" i="100"/>
  <c r="E18" i="100" s="1"/>
  <c r="E19" i="100" s="1"/>
  <c r="H17" i="100"/>
  <c r="P71" i="126"/>
  <c r="I39" i="129"/>
  <c r="I53" i="99"/>
  <c r="L38" i="129"/>
  <c r="L53" i="99" s="1"/>
  <c r="P70" i="126"/>
  <c r="M73" i="126"/>
  <c r="H75" i="126"/>
  <c r="F72" i="99"/>
  <c r="L52" i="99"/>
  <c r="N35" i="129"/>
  <c r="M50" i="99"/>
  <c r="I40" i="129" l="1"/>
  <c r="I54" i="99"/>
  <c r="L39" i="129"/>
  <c r="L54" i="99" s="1"/>
  <c r="B42" i="129"/>
  <c r="E41" i="129"/>
  <c r="E56" i="99" s="1"/>
  <c r="D41" i="129"/>
  <c r="B56" i="99"/>
  <c r="B108" i="99" s="1"/>
  <c r="J72" i="99"/>
  <c r="J76" i="126"/>
  <c r="I17" i="100"/>
  <c r="I18" i="100" s="1"/>
  <c r="I19" i="100" s="1"/>
  <c r="P72" i="126"/>
  <c r="K38" i="129"/>
  <c r="K52" i="99"/>
  <c r="M37" i="129"/>
  <c r="F73" i="99"/>
  <c r="H76" i="126"/>
  <c r="H39" i="129"/>
  <c r="H54" i="99" s="1"/>
  <c r="G54" i="99"/>
  <c r="D55" i="99"/>
  <c r="G40" i="129"/>
  <c r="K75" i="126"/>
  <c r="O35" i="129"/>
  <c r="N50" i="99"/>
  <c r="N73" i="126"/>
  <c r="E55" i="99"/>
  <c r="N36" i="129"/>
  <c r="M51" i="99"/>
  <c r="H73" i="100"/>
  <c r="I73" i="100" s="1"/>
  <c r="D74" i="100"/>
  <c r="H74" i="100" s="1"/>
  <c r="P48" i="99"/>
  <c r="D20" i="100" s="1"/>
  <c r="E20" i="100" s="1"/>
  <c r="C78" i="126"/>
  <c r="C74" i="99"/>
  <c r="F77" i="126"/>
  <c r="E75" i="100"/>
  <c r="P34" i="129"/>
  <c r="O49" i="99"/>
  <c r="M74" i="126"/>
  <c r="E76" i="100" l="1"/>
  <c r="P35" i="129"/>
  <c r="O50" i="99"/>
  <c r="K39" i="129"/>
  <c r="K53" i="99"/>
  <c r="M38" i="129"/>
  <c r="J73" i="99"/>
  <c r="J77" i="126"/>
  <c r="N74" i="126"/>
  <c r="F74" i="99"/>
  <c r="H77" i="126"/>
  <c r="H20" i="100"/>
  <c r="O73" i="126"/>
  <c r="K76" i="126"/>
  <c r="H40" i="129"/>
  <c r="G55" i="99"/>
  <c r="N37" i="129"/>
  <c r="M52" i="99"/>
  <c r="D56" i="99"/>
  <c r="D108" i="99" s="1"/>
  <c r="G41" i="129"/>
  <c r="G91" i="129" s="1"/>
  <c r="E107" i="99"/>
  <c r="I41" i="129"/>
  <c r="I55" i="99"/>
  <c r="L40" i="129"/>
  <c r="I74" i="100"/>
  <c r="O36" i="129"/>
  <c r="N51" i="99"/>
  <c r="D75" i="100"/>
  <c r="H75" i="100" s="1"/>
  <c r="P49" i="99"/>
  <c r="D21" i="100" s="1"/>
  <c r="H21" i="100" s="1"/>
  <c r="C79" i="126"/>
  <c r="C75" i="99"/>
  <c r="F78" i="126"/>
  <c r="M75" i="126"/>
  <c r="B43" i="129"/>
  <c r="E42" i="129"/>
  <c r="D42" i="129"/>
  <c r="B57" i="99"/>
  <c r="F75" i="99" l="1"/>
  <c r="H78" i="126"/>
  <c r="L55" i="99"/>
  <c r="O37" i="129"/>
  <c r="N52" i="99"/>
  <c r="K77" i="126"/>
  <c r="O74" i="126"/>
  <c r="N75" i="126"/>
  <c r="I20" i="100"/>
  <c r="I21" i="100" s="1"/>
  <c r="N38" i="129"/>
  <c r="M53" i="99"/>
  <c r="D76" i="100"/>
  <c r="H76" i="100" s="1"/>
  <c r="P50" i="99"/>
  <c r="D57" i="99"/>
  <c r="G42" i="129"/>
  <c r="C80" i="126"/>
  <c r="C76" i="99"/>
  <c r="F79" i="126"/>
  <c r="E77" i="100"/>
  <c r="P36" i="129"/>
  <c r="O51" i="99"/>
  <c r="I42" i="129"/>
  <c r="I56" i="99"/>
  <c r="I108" i="99" s="1"/>
  <c r="L41" i="129"/>
  <c r="L56" i="99" s="1"/>
  <c r="P73" i="126"/>
  <c r="M76" i="126"/>
  <c r="B44" i="129"/>
  <c r="E43" i="129"/>
  <c r="D43" i="129"/>
  <c r="B58" i="99"/>
  <c r="C4" i="129"/>
  <c r="E57" i="99"/>
  <c r="I75" i="100"/>
  <c r="G56" i="99"/>
  <c r="G107" i="99" s="1"/>
  <c r="E18" i="49" s="1"/>
  <c r="H41" i="129"/>
  <c r="H55" i="99"/>
  <c r="J74" i="99"/>
  <c r="J78" i="126"/>
  <c r="M77" i="126"/>
  <c r="K40" i="129"/>
  <c r="K54" i="99"/>
  <c r="M39" i="129"/>
  <c r="E21" i="100"/>
  <c r="H56" i="99" l="1"/>
  <c r="H107" i="99" s="1"/>
  <c r="E19" i="49" s="1"/>
  <c r="H91" i="129"/>
  <c r="L108" i="99"/>
  <c r="N77" i="126"/>
  <c r="N76" i="126"/>
  <c r="D77" i="100"/>
  <c r="P51" i="99"/>
  <c r="D23" i="100" s="1"/>
  <c r="H23" i="100" s="1"/>
  <c r="C81" i="126"/>
  <c r="C77" i="99"/>
  <c r="F80" i="126"/>
  <c r="O38" i="129"/>
  <c r="N53" i="99"/>
  <c r="K78" i="126"/>
  <c r="E20" i="49"/>
  <c r="E21" i="49" s="1"/>
  <c r="E31" i="49" s="1"/>
  <c r="F19" i="49"/>
  <c r="F20" i="49" s="1"/>
  <c r="D58" i="99"/>
  <c r="G43" i="129"/>
  <c r="D22" i="100"/>
  <c r="P74" i="126"/>
  <c r="N39" i="129"/>
  <c r="M54" i="99"/>
  <c r="J75" i="99"/>
  <c r="J79" i="126"/>
  <c r="M78" i="126"/>
  <c r="F18" i="49"/>
  <c r="D4" i="129"/>
  <c r="E58" i="99"/>
  <c r="I43" i="129"/>
  <c r="I57" i="99"/>
  <c r="L42" i="129"/>
  <c r="L57" i="99" s="1"/>
  <c r="H79" i="126"/>
  <c r="F76" i="99"/>
  <c r="G57" i="99"/>
  <c r="H42" i="129"/>
  <c r="H57" i="99" s="1"/>
  <c r="I76" i="100"/>
  <c r="K41" i="129"/>
  <c r="K92" i="129" s="1"/>
  <c r="K55" i="99"/>
  <c r="M40" i="129"/>
  <c r="B45" i="129"/>
  <c r="E44" i="129"/>
  <c r="D44" i="129"/>
  <c r="B59" i="99"/>
  <c r="O75" i="126"/>
  <c r="E78" i="100"/>
  <c r="P37" i="129"/>
  <c r="O52" i="99"/>
  <c r="F21" i="49" l="1"/>
  <c r="F31" i="49" s="1"/>
  <c r="F33" i="49" s="1"/>
  <c r="J76" i="99"/>
  <c r="J80" i="126"/>
  <c r="E79" i="100"/>
  <c r="P38" i="129"/>
  <c r="O53" i="99"/>
  <c r="C82" i="126"/>
  <c r="C78" i="99"/>
  <c r="F81" i="126"/>
  <c r="P75" i="126"/>
  <c r="D59" i="99"/>
  <c r="G44" i="129"/>
  <c r="I44" i="129"/>
  <c r="I58" i="99"/>
  <c r="L43" i="129"/>
  <c r="L58" i="99" s="1"/>
  <c r="G58" i="99"/>
  <c r="H43" i="129"/>
  <c r="H58" i="99" s="1"/>
  <c r="K79" i="126"/>
  <c r="M79" i="126" s="1"/>
  <c r="O77" i="126"/>
  <c r="N40" i="129"/>
  <c r="M55" i="99"/>
  <c r="E4" i="129"/>
  <c r="E59" i="99"/>
  <c r="F77" i="99"/>
  <c r="H80" i="126"/>
  <c r="H77" i="100"/>
  <c r="I77" i="100" s="1"/>
  <c r="D78" i="100"/>
  <c r="H78" i="100" s="1"/>
  <c r="P52" i="99"/>
  <c r="D24" i="100" s="1"/>
  <c r="H24" i="100" s="1"/>
  <c r="B46" i="129"/>
  <c r="E45" i="129"/>
  <c r="D45" i="129"/>
  <c r="B60" i="99"/>
  <c r="K42" i="129"/>
  <c r="K56" i="99"/>
  <c r="K108" i="99" s="1"/>
  <c r="M41" i="129"/>
  <c r="M92" i="129" s="1"/>
  <c r="N78" i="126"/>
  <c r="O39" i="129"/>
  <c r="N54" i="99"/>
  <c r="H22" i="100"/>
  <c r="O76" i="126"/>
  <c r="E22" i="100"/>
  <c r="E23" i="100" s="1"/>
  <c r="E24" i="100" s="1"/>
  <c r="I78" i="100" l="1"/>
  <c r="N79" i="126"/>
  <c r="P77" i="126"/>
  <c r="I45" i="129"/>
  <c r="I59" i="99"/>
  <c r="L44" i="129"/>
  <c r="L59" i="99" s="1"/>
  <c r="C83" i="126"/>
  <c r="C79" i="99"/>
  <c r="F82" i="126"/>
  <c r="E80" i="100"/>
  <c r="P39" i="129"/>
  <c r="O54" i="99"/>
  <c r="D60" i="99"/>
  <c r="G45" i="129"/>
  <c r="O78" i="126"/>
  <c r="K43" i="129"/>
  <c r="K57" i="99"/>
  <c r="M42" i="129"/>
  <c r="F4" i="129"/>
  <c r="E60" i="99"/>
  <c r="K80" i="126"/>
  <c r="H44" i="129"/>
  <c r="H59" i="99" s="1"/>
  <c r="G59" i="99"/>
  <c r="H81" i="126"/>
  <c r="F78" i="99"/>
  <c r="D79" i="100"/>
  <c r="H79" i="100" s="1"/>
  <c r="I79" i="100" s="1"/>
  <c r="P53" i="99"/>
  <c r="D25" i="100" s="1"/>
  <c r="J77" i="99"/>
  <c r="J81" i="126"/>
  <c r="M80" i="126"/>
  <c r="E25" i="100"/>
  <c r="I22" i="100"/>
  <c r="I23" i="100" s="1"/>
  <c r="I24" i="100" s="1"/>
  <c r="B47" i="129"/>
  <c r="E46" i="129"/>
  <c r="D46" i="129"/>
  <c r="B61" i="99"/>
  <c r="P76" i="126"/>
  <c r="N41" i="129"/>
  <c r="M56" i="99"/>
  <c r="M108" i="99" s="1"/>
  <c r="O40" i="129"/>
  <c r="N55" i="99"/>
  <c r="O41" i="129" l="1"/>
  <c r="O92" i="129" s="1"/>
  <c r="N56" i="99"/>
  <c r="J78" i="99"/>
  <c r="J82" i="126"/>
  <c r="K81" i="126"/>
  <c r="N42" i="129"/>
  <c r="M57" i="99"/>
  <c r="F79" i="99"/>
  <c r="H82" i="126"/>
  <c r="D61" i="99"/>
  <c r="G46" i="129"/>
  <c r="E81" i="100"/>
  <c r="P40" i="129"/>
  <c r="O55" i="99"/>
  <c r="G4" i="129"/>
  <c r="E61" i="99"/>
  <c r="H25" i="100"/>
  <c r="I25" i="100" s="1"/>
  <c r="K44" i="129"/>
  <c r="K58" i="99"/>
  <c r="M43" i="129"/>
  <c r="D80" i="100"/>
  <c r="H80" i="100" s="1"/>
  <c r="I80" i="100" s="1"/>
  <c r="P54" i="99"/>
  <c r="D26" i="100" s="1"/>
  <c r="H26" i="100" s="1"/>
  <c r="C84" i="126"/>
  <c r="C80" i="99"/>
  <c r="F83" i="126"/>
  <c r="I46" i="129"/>
  <c r="I60" i="99"/>
  <c r="L45" i="129"/>
  <c r="L60" i="99" s="1"/>
  <c r="O79" i="126"/>
  <c r="B48" i="129"/>
  <c r="E47" i="129"/>
  <c r="D47" i="129"/>
  <c r="B62" i="99"/>
  <c r="N80" i="126"/>
  <c r="P78" i="126"/>
  <c r="G60" i="99"/>
  <c r="H45" i="129"/>
  <c r="H60" i="99" s="1"/>
  <c r="I26" i="100" l="1"/>
  <c r="H83" i="126"/>
  <c r="F80" i="99"/>
  <c r="B49" i="129"/>
  <c r="E48" i="129"/>
  <c r="D48" i="129"/>
  <c r="B63" i="99"/>
  <c r="C85" i="126"/>
  <c r="C81" i="99"/>
  <c r="F84" i="126"/>
  <c r="E26" i="100"/>
  <c r="K82" i="126"/>
  <c r="P79" i="126"/>
  <c r="I47" i="129"/>
  <c r="I61" i="99"/>
  <c r="L46" i="129"/>
  <c r="L61" i="99" s="1"/>
  <c r="K45" i="129"/>
  <c r="K59" i="99"/>
  <c r="M44" i="129"/>
  <c r="D81" i="100"/>
  <c r="H81" i="100" s="1"/>
  <c r="I81" i="100" s="1"/>
  <c r="P55" i="99"/>
  <c r="D27" i="100" s="1"/>
  <c r="H27" i="100" s="1"/>
  <c r="I27" i="100" s="1"/>
  <c r="H46" i="129"/>
  <c r="H61" i="99" s="1"/>
  <c r="G61" i="99"/>
  <c r="M81" i="126"/>
  <c r="O80" i="126"/>
  <c r="D62" i="99"/>
  <c r="G47" i="129"/>
  <c r="H4" i="129"/>
  <c r="E62" i="99"/>
  <c r="N43" i="129"/>
  <c r="M58" i="99"/>
  <c r="O42" i="129"/>
  <c r="N57" i="99"/>
  <c r="J79" i="99"/>
  <c r="J83" i="126"/>
  <c r="M82" i="126"/>
  <c r="E82" i="100"/>
  <c r="E85" i="100" s="1"/>
  <c r="P41" i="129"/>
  <c r="P91" i="129" s="1"/>
  <c r="O56" i="99"/>
  <c r="O108" i="99" s="1"/>
  <c r="N44" i="129" l="1"/>
  <c r="M59" i="99"/>
  <c r="K83" i="126"/>
  <c r="F81" i="99"/>
  <c r="H84" i="126"/>
  <c r="J80" i="99"/>
  <c r="J84" i="126"/>
  <c r="M83" i="126"/>
  <c r="O43" i="129"/>
  <c r="N58" i="99"/>
  <c r="H47" i="129"/>
  <c r="H62" i="99" s="1"/>
  <c r="G62" i="99"/>
  <c r="N81" i="126"/>
  <c r="I48" i="129"/>
  <c r="I62" i="99"/>
  <c r="L47" i="129"/>
  <c r="L62" i="99" s="1"/>
  <c r="D63" i="99"/>
  <c r="G48" i="129"/>
  <c r="D82" i="100"/>
  <c r="P56" i="99"/>
  <c r="N82" i="126"/>
  <c r="P42" i="129"/>
  <c r="P57" i="99" s="1"/>
  <c r="O57" i="99"/>
  <c r="K46" i="129"/>
  <c r="K60" i="99"/>
  <c r="M45" i="129"/>
  <c r="C86" i="126"/>
  <c r="C82" i="99"/>
  <c r="F85" i="126"/>
  <c r="I4" i="129"/>
  <c r="E63" i="99"/>
  <c r="P80" i="126"/>
  <c r="E27" i="100"/>
  <c r="B50" i="129"/>
  <c r="E49" i="129"/>
  <c r="D49" i="129"/>
  <c r="B64" i="99"/>
  <c r="J4" i="129" l="1"/>
  <c r="E64" i="99"/>
  <c r="H82" i="100"/>
  <c r="D83" i="100"/>
  <c r="P43" i="129"/>
  <c r="P58" i="99" s="1"/>
  <c r="O58" i="99"/>
  <c r="B51" i="129"/>
  <c r="E50" i="129"/>
  <c r="D50" i="129"/>
  <c r="B65" i="99"/>
  <c r="F82" i="99"/>
  <c r="H85" i="126"/>
  <c r="O82" i="126"/>
  <c r="N83" i="126"/>
  <c r="O44" i="129"/>
  <c r="N59" i="99"/>
  <c r="K47" i="129"/>
  <c r="K61" i="99"/>
  <c r="M46" i="129"/>
  <c r="G63" i="99"/>
  <c r="H48" i="129"/>
  <c r="H63" i="99" s="1"/>
  <c r="I49" i="129"/>
  <c r="I63" i="99"/>
  <c r="L48" i="129"/>
  <c r="L63" i="99" s="1"/>
  <c r="J81" i="99"/>
  <c r="J85" i="126"/>
  <c r="K84" i="126"/>
  <c r="M84" i="126" s="1"/>
  <c r="N45" i="129"/>
  <c r="M60" i="99"/>
  <c r="D64" i="99"/>
  <c r="G49" i="129"/>
  <c r="C87" i="126"/>
  <c r="C83" i="99"/>
  <c r="F86" i="126"/>
  <c r="D28" i="100"/>
  <c r="P107" i="99"/>
  <c r="O81" i="126"/>
  <c r="H28" i="100" l="1"/>
  <c r="D29" i="100"/>
  <c r="O45" i="129"/>
  <c r="N60" i="99"/>
  <c r="J82" i="99"/>
  <c r="J86" i="126"/>
  <c r="I50" i="129"/>
  <c r="I64" i="99"/>
  <c r="L49" i="129"/>
  <c r="L64" i="99" s="1"/>
  <c r="P44" i="129"/>
  <c r="P59" i="99" s="1"/>
  <c r="O59" i="99"/>
  <c r="P81" i="126"/>
  <c r="F83" i="99"/>
  <c r="H86" i="126"/>
  <c r="H49" i="129"/>
  <c r="H64" i="99" s="1"/>
  <c r="G64" i="99"/>
  <c r="K85" i="126"/>
  <c r="K48" i="129"/>
  <c r="K62" i="99"/>
  <c r="M47" i="129"/>
  <c r="O83" i="126"/>
  <c r="D65" i="99"/>
  <c r="G50" i="129"/>
  <c r="H83" i="100"/>
  <c r="I82" i="100"/>
  <c r="I85" i="100" s="1"/>
  <c r="E28" i="100"/>
  <c r="E31" i="100" s="1"/>
  <c r="K4" i="129"/>
  <c r="E65" i="99"/>
  <c r="C88" i="126"/>
  <c r="C84" i="99"/>
  <c r="F87" i="126"/>
  <c r="N84" i="126"/>
  <c r="N46" i="129"/>
  <c r="M61" i="99"/>
  <c r="P82" i="126"/>
  <c r="B52" i="129"/>
  <c r="E51" i="129"/>
  <c r="D51" i="129"/>
  <c r="B66" i="99"/>
  <c r="L4" i="129" l="1"/>
  <c r="E66" i="99"/>
  <c r="F84" i="99"/>
  <c r="H87" i="126"/>
  <c r="B53" i="129"/>
  <c r="E52" i="129"/>
  <c r="D52" i="129"/>
  <c r="B67" i="99"/>
  <c r="O46" i="129"/>
  <c r="N61" i="99"/>
  <c r="G65" i="99"/>
  <c r="H50" i="129"/>
  <c r="H65" i="99" s="1"/>
  <c r="K86" i="126"/>
  <c r="I51" i="129"/>
  <c r="I65" i="99"/>
  <c r="L50" i="129"/>
  <c r="L65" i="99" s="1"/>
  <c r="N47" i="129"/>
  <c r="M62" i="99"/>
  <c r="M85" i="126"/>
  <c r="P45" i="129"/>
  <c r="P60" i="99" s="1"/>
  <c r="O60" i="99"/>
  <c r="O84" i="126"/>
  <c r="C89" i="126"/>
  <c r="C85" i="99"/>
  <c r="F88" i="126"/>
  <c r="D66" i="99"/>
  <c r="G51" i="129"/>
  <c r="J83" i="99"/>
  <c r="J87" i="126"/>
  <c r="M86" i="126"/>
  <c r="P83" i="126"/>
  <c r="K49" i="129"/>
  <c r="K63" i="99"/>
  <c r="M48" i="129"/>
  <c r="H29" i="100"/>
  <c r="I28" i="100"/>
  <c r="I31" i="100" s="1"/>
  <c r="E14" i="49" s="1"/>
  <c r="K50" i="129" l="1"/>
  <c r="K64" i="99"/>
  <c r="M49" i="129"/>
  <c r="J84" i="99"/>
  <c r="J88" i="126"/>
  <c r="G66" i="99"/>
  <c r="H51" i="129"/>
  <c r="H66" i="99" s="1"/>
  <c r="C90" i="126"/>
  <c r="C86" i="99"/>
  <c r="F89" i="126"/>
  <c r="P84" i="126"/>
  <c r="N85" i="126"/>
  <c r="K87" i="126"/>
  <c r="M87" i="126" s="1"/>
  <c r="D67" i="99"/>
  <c r="G52" i="129"/>
  <c r="E15" i="49"/>
  <c r="F14" i="49"/>
  <c r="F15" i="49" s="1"/>
  <c r="N48" i="129"/>
  <c r="M63" i="99"/>
  <c r="F85" i="99"/>
  <c r="H88" i="126"/>
  <c r="P46" i="129"/>
  <c r="P61" i="99" s="1"/>
  <c r="O61" i="99"/>
  <c r="M4" i="129"/>
  <c r="E67" i="99"/>
  <c r="N86" i="126"/>
  <c r="O47" i="129"/>
  <c r="N62" i="99"/>
  <c r="I52" i="129"/>
  <c r="I66" i="99"/>
  <c r="L51" i="129"/>
  <c r="L66" i="99" s="1"/>
  <c r="B54" i="129"/>
  <c r="E53" i="129"/>
  <c r="D53" i="129"/>
  <c r="B68" i="99"/>
  <c r="N87" i="126" l="1"/>
  <c r="B55" i="129"/>
  <c r="E54" i="129"/>
  <c r="D54" i="129"/>
  <c r="B69" i="99"/>
  <c r="O48" i="129"/>
  <c r="N63" i="99"/>
  <c r="G67" i="99"/>
  <c r="H52" i="129"/>
  <c r="H67" i="99" s="1"/>
  <c r="O85" i="126"/>
  <c r="F86" i="99"/>
  <c r="H89" i="126"/>
  <c r="N49" i="129"/>
  <c r="M64" i="99"/>
  <c r="P47" i="129"/>
  <c r="P62" i="99" s="1"/>
  <c r="O62" i="99"/>
  <c r="D68" i="99"/>
  <c r="G53" i="129"/>
  <c r="O86" i="126"/>
  <c r="K88" i="126"/>
  <c r="N4" i="129"/>
  <c r="E68" i="99"/>
  <c r="I53" i="129"/>
  <c r="I67" i="99"/>
  <c r="L52" i="129"/>
  <c r="L67" i="99" s="1"/>
  <c r="C91" i="126"/>
  <c r="C87" i="99"/>
  <c r="F90" i="126"/>
  <c r="J85" i="99"/>
  <c r="J89" i="126"/>
  <c r="K51" i="129"/>
  <c r="K65" i="99"/>
  <c r="M50" i="129"/>
  <c r="K89" i="126" l="1"/>
  <c r="O4" i="129"/>
  <c r="E69" i="99"/>
  <c r="F87" i="99"/>
  <c r="H90" i="126"/>
  <c r="M88" i="126"/>
  <c r="I54" i="129"/>
  <c r="I68" i="99"/>
  <c r="L53" i="129"/>
  <c r="L68" i="99" s="1"/>
  <c r="G68" i="99"/>
  <c r="H53" i="129"/>
  <c r="H68" i="99" s="1"/>
  <c r="B56" i="129"/>
  <c r="E55" i="129"/>
  <c r="D55" i="129"/>
  <c r="B70" i="99"/>
  <c r="K52" i="129"/>
  <c r="K66" i="99"/>
  <c r="M51" i="129"/>
  <c r="J86" i="99"/>
  <c r="J90" i="126"/>
  <c r="M89" i="126"/>
  <c r="C92" i="126"/>
  <c r="C88" i="99"/>
  <c r="F91" i="126"/>
  <c r="P86" i="126"/>
  <c r="P85" i="126"/>
  <c r="O87" i="126"/>
  <c r="N50" i="129"/>
  <c r="M65" i="99"/>
  <c r="O49" i="129"/>
  <c r="N64" i="99"/>
  <c r="P48" i="129"/>
  <c r="P63" i="99" s="1"/>
  <c r="O63" i="99"/>
  <c r="D69" i="99"/>
  <c r="G54" i="129"/>
  <c r="P49" i="129" l="1"/>
  <c r="P64" i="99" s="1"/>
  <c r="O64" i="99"/>
  <c r="N89" i="126"/>
  <c r="F88" i="99"/>
  <c r="H91" i="126"/>
  <c r="J87" i="99"/>
  <c r="J91" i="126"/>
  <c r="K53" i="129"/>
  <c r="K67" i="99"/>
  <c r="M52" i="129"/>
  <c r="P4" i="129"/>
  <c r="E70" i="99"/>
  <c r="D70" i="99"/>
  <c r="G55" i="129"/>
  <c r="O50" i="129"/>
  <c r="N65" i="99"/>
  <c r="B57" i="129"/>
  <c r="E56" i="129"/>
  <c r="D56" i="129"/>
  <c r="B71" i="99"/>
  <c r="K90" i="126"/>
  <c r="N88" i="126"/>
  <c r="H54" i="129"/>
  <c r="H69" i="99" s="1"/>
  <c r="G69" i="99"/>
  <c r="P87" i="126"/>
  <c r="C93" i="126"/>
  <c r="C89" i="99"/>
  <c r="F92" i="126"/>
  <c r="N51" i="129"/>
  <c r="M66" i="99"/>
  <c r="I55" i="129"/>
  <c r="I69" i="99"/>
  <c r="L54" i="129"/>
  <c r="L69" i="99" s="1"/>
  <c r="C94" i="126" l="1"/>
  <c r="C90" i="99"/>
  <c r="F93" i="126"/>
  <c r="K91" i="126"/>
  <c r="D71" i="99"/>
  <c r="G56" i="129"/>
  <c r="P50" i="129"/>
  <c r="P65" i="99" s="1"/>
  <c r="O65" i="99"/>
  <c r="O89" i="126"/>
  <c r="O51" i="129"/>
  <c r="N66" i="99"/>
  <c r="B8" i="129"/>
  <c r="E71" i="99"/>
  <c r="K54" i="129"/>
  <c r="K68" i="99"/>
  <c r="M53" i="129"/>
  <c r="O88" i="126"/>
  <c r="B58" i="129"/>
  <c r="E57" i="129"/>
  <c r="D57" i="129"/>
  <c r="B72" i="99"/>
  <c r="G70" i="99"/>
  <c r="H55" i="129"/>
  <c r="H70" i="99" s="1"/>
  <c r="M90" i="126"/>
  <c r="F89" i="99"/>
  <c r="H92" i="126"/>
  <c r="I56" i="129"/>
  <c r="I70" i="99"/>
  <c r="L55" i="129"/>
  <c r="L70" i="99" s="1"/>
  <c r="N52" i="129"/>
  <c r="M67" i="99"/>
  <c r="J88" i="99"/>
  <c r="J92" i="126"/>
  <c r="M91" i="126"/>
  <c r="J93" i="126" l="1"/>
  <c r="J89" i="99"/>
  <c r="B59" i="129"/>
  <c r="E58" i="129"/>
  <c r="D58" i="129"/>
  <c r="B73" i="99"/>
  <c r="P89" i="126"/>
  <c r="N53" i="129"/>
  <c r="M68" i="99"/>
  <c r="G71" i="99"/>
  <c r="H56" i="129"/>
  <c r="H71" i="99" s="1"/>
  <c r="F90" i="99"/>
  <c r="H93" i="126"/>
  <c r="N90" i="126"/>
  <c r="P88" i="126"/>
  <c r="I57" i="129"/>
  <c r="I71" i="99"/>
  <c r="L56" i="129"/>
  <c r="L71" i="99" s="1"/>
  <c r="D72" i="99"/>
  <c r="G57" i="129"/>
  <c r="N91" i="126"/>
  <c r="O52" i="129"/>
  <c r="N67" i="99"/>
  <c r="K92" i="126"/>
  <c r="C8" i="129"/>
  <c r="E72" i="99"/>
  <c r="K55" i="129"/>
  <c r="K69" i="99"/>
  <c r="M54" i="129"/>
  <c r="P51" i="129"/>
  <c r="P66" i="99" s="1"/>
  <c r="O66" i="99"/>
  <c r="C95" i="126"/>
  <c r="C91" i="99"/>
  <c r="F94" i="126"/>
  <c r="C96" i="126" l="1"/>
  <c r="C92" i="99"/>
  <c r="F95" i="126"/>
  <c r="N54" i="129"/>
  <c r="M69" i="99"/>
  <c r="O91" i="126"/>
  <c r="B60" i="129"/>
  <c r="E59" i="129"/>
  <c r="D59" i="129"/>
  <c r="B74" i="99"/>
  <c r="F91" i="99"/>
  <c r="H94" i="126"/>
  <c r="K56" i="129"/>
  <c r="K70" i="99"/>
  <c r="M55" i="129"/>
  <c r="K93" i="126"/>
  <c r="O53" i="129"/>
  <c r="N68" i="99"/>
  <c r="M92" i="126"/>
  <c r="O90" i="126"/>
  <c r="D73" i="99"/>
  <c r="G58" i="129"/>
  <c r="P52" i="129"/>
  <c r="P67" i="99" s="1"/>
  <c r="O67" i="99"/>
  <c r="H57" i="129"/>
  <c r="H72" i="99" s="1"/>
  <c r="G72" i="99"/>
  <c r="I58" i="129"/>
  <c r="I72" i="99"/>
  <c r="L57" i="129"/>
  <c r="L72" i="99" s="1"/>
  <c r="D8" i="129"/>
  <c r="E73" i="99"/>
  <c r="J90" i="99"/>
  <c r="J94" i="126"/>
  <c r="M93" i="126"/>
  <c r="N92" i="126" l="1"/>
  <c r="D74" i="99"/>
  <c r="G59" i="129"/>
  <c r="O54" i="129"/>
  <c r="N69" i="99"/>
  <c r="I59" i="129"/>
  <c r="I73" i="99"/>
  <c r="L58" i="129"/>
  <c r="L73" i="99" s="1"/>
  <c r="N55" i="129"/>
  <c r="M70" i="99"/>
  <c r="E8" i="129"/>
  <c r="E74" i="99"/>
  <c r="P91" i="126"/>
  <c r="F92" i="99"/>
  <c r="H95" i="126"/>
  <c r="P90" i="126"/>
  <c r="P53" i="129"/>
  <c r="P68" i="99" s="1"/>
  <c r="O68" i="99"/>
  <c r="B61" i="129"/>
  <c r="E60" i="129"/>
  <c r="D60" i="129"/>
  <c r="B75" i="99"/>
  <c r="N93" i="126"/>
  <c r="J95" i="126"/>
  <c r="J91" i="99"/>
  <c r="G73" i="99"/>
  <c r="H58" i="129"/>
  <c r="H73" i="99" s="1"/>
  <c r="K94" i="126"/>
  <c r="K57" i="129"/>
  <c r="K71" i="99"/>
  <c r="M56" i="129"/>
  <c r="C97" i="126"/>
  <c r="C93" i="99"/>
  <c r="F96" i="126"/>
  <c r="N56" i="129" l="1"/>
  <c r="M71" i="99"/>
  <c r="B62" i="129"/>
  <c r="E61" i="129"/>
  <c r="D61" i="129"/>
  <c r="B76" i="99"/>
  <c r="O55" i="129"/>
  <c r="N70" i="99"/>
  <c r="F93" i="99"/>
  <c r="H96" i="126"/>
  <c r="J96" i="126"/>
  <c r="J92" i="99"/>
  <c r="P54" i="129"/>
  <c r="P69" i="99" s="1"/>
  <c r="O69" i="99"/>
  <c r="K58" i="129"/>
  <c r="K72" i="99"/>
  <c r="M57" i="129"/>
  <c r="O93" i="126"/>
  <c r="D75" i="99"/>
  <c r="G60" i="129"/>
  <c r="O92" i="126"/>
  <c r="C98" i="126"/>
  <c r="C94" i="99"/>
  <c r="F97" i="126"/>
  <c r="K95" i="126"/>
  <c r="M94" i="126"/>
  <c r="F8" i="129"/>
  <c r="E75" i="99"/>
  <c r="I60" i="129"/>
  <c r="I74" i="99"/>
  <c r="L59" i="129"/>
  <c r="L74" i="99" s="1"/>
  <c r="G74" i="99"/>
  <c r="H59" i="129"/>
  <c r="H74" i="99" s="1"/>
  <c r="N94" i="126" l="1"/>
  <c r="P93" i="126"/>
  <c r="G8" i="129"/>
  <c r="E76" i="99"/>
  <c r="K96" i="126"/>
  <c r="C99" i="126"/>
  <c r="C95" i="99"/>
  <c r="F98" i="126"/>
  <c r="H60" i="129"/>
  <c r="H75" i="99" s="1"/>
  <c r="G75" i="99"/>
  <c r="N57" i="129"/>
  <c r="M72" i="99"/>
  <c r="J97" i="126"/>
  <c r="J93" i="99"/>
  <c r="P55" i="129"/>
  <c r="P70" i="99" s="1"/>
  <c r="O70" i="99"/>
  <c r="B63" i="129"/>
  <c r="D62" i="129"/>
  <c r="B77" i="99"/>
  <c r="I61" i="129"/>
  <c r="I75" i="99"/>
  <c r="L60" i="129"/>
  <c r="L75" i="99" s="1"/>
  <c r="F94" i="99"/>
  <c r="H97" i="126"/>
  <c r="P92" i="126"/>
  <c r="K59" i="129"/>
  <c r="K73" i="99"/>
  <c r="M58" i="129"/>
  <c r="M95" i="126"/>
  <c r="D76" i="99"/>
  <c r="G61" i="129"/>
  <c r="O56" i="129"/>
  <c r="N71" i="99"/>
  <c r="P56" i="129" l="1"/>
  <c r="P71" i="99" s="1"/>
  <c r="O71" i="99"/>
  <c r="J94" i="99"/>
  <c r="J98" i="126"/>
  <c r="K97" i="126"/>
  <c r="N58" i="129"/>
  <c r="M73" i="99"/>
  <c r="F95" i="99"/>
  <c r="H98" i="126"/>
  <c r="H61" i="129"/>
  <c r="H76" i="99" s="1"/>
  <c r="G76" i="99"/>
  <c r="L61" i="129"/>
  <c r="L76" i="99" s="1"/>
  <c r="I62" i="129"/>
  <c r="I76" i="99"/>
  <c r="D77" i="99"/>
  <c r="G62" i="129"/>
  <c r="M96" i="126"/>
  <c r="O57" i="129"/>
  <c r="N72" i="99"/>
  <c r="O94" i="126"/>
  <c r="N95" i="126"/>
  <c r="K60" i="129"/>
  <c r="K74" i="99"/>
  <c r="M59" i="129"/>
  <c r="B64" i="129"/>
  <c r="D63" i="129"/>
  <c r="B78" i="99"/>
  <c r="C100" i="126"/>
  <c r="C96" i="99"/>
  <c r="F99" i="126"/>
  <c r="P57" i="129" l="1"/>
  <c r="P72" i="99" s="1"/>
  <c r="O72" i="99"/>
  <c r="O58" i="129"/>
  <c r="N73" i="99"/>
  <c r="J95" i="99"/>
  <c r="J99" i="126"/>
  <c r="F96" i="99"/>
  <c r="H99" i="126"/>
  <c r="N96" i="126"/>
  <c r="K98" i="126"/>
  <c r="M98" i="126" s="1"/>
  <c r="N59" i="129"/>
  <c r="M74" i="99"/>
  <c r="K61" i="129"/>
  <c r="K75" i="99"/>
  <c r="M60" i="129"/>
  <c r="I63" i="129"/>
  <c r="I77" i="99"/>
  <c r="L62" i="129"/>
  <c r="L77" i="99" s="1"/>
  <c r="D78" i="99"/>
  <c r="G63" i="129"/>
  <c r="P94" i="126"/>
  <c r="C101" i="126"/>
  <c r="C97" i="99"/>
  <c r="F100" i="126"/>
  <c r="B65" i="129"/>
  <c r="D64" i="129"/>
  <c r="B79" i="99"/>
  <c r="O95" i="126"/>
  <c r="H62" i="129"/>
  <c r="H77" i="99" s="1"/>
  <c r="G77" i="99"/>
  <c r="M97" i="126"/>
  <c r="D79" i="99" l="1"/>
  <c r="G64" i="129"/>
  <c r="C102" i="126"/>
  <c r="F101" i="126"/>
  <c r="C98" i="99"/>
  <c r="H63" i="129"/>
  <c r="H78" i="99" s="1"/>
  <c r="G78" i="99"/>
  <c r="I64" i="129"/>
  <c r="I78" i="99"/>
  <c r="L63" i="129"/>
  <c r="L78" i="99" s="1"/>
  <c r="O96" i="126"/>
  <c r="N98" i="126"/>
  <c r="P58" i="129"/>
  <c r="P73" i="99" s="1"/>
  <c r="O73" i="99"/>
  <c r="B66" i="129"/>
  <c r="D65" i="129"/>
  <c r="B80" i="99"/>
  <c r="N60" i="129"/>
  <c r="M75" i="99"/>
  <c r="O59" i="129"/>
  <c r="N74" i="99"/>
  <c r="J96" i="99"/>
  <c r="J100" i="126"/>
  <c r="P95" i="126"/>
  <c r="F97" i="99"/>
  <c r="H100" i="126"/>
  <c r="K99" i="126"/>
  <c r="M99" i="126" s="1"/>
  <c r="N97" i="126"/>
  <c r="K62" i="129"/>
  <c r="K76" i="99"/>
  <c r="M61" i="129"/>
  <c r="N99" i="126" l="1"/>
  <c r="P59" i="129"/>
  <c r="P74" i="99" s="1"/>
  <c r="O74" i="99"/>
  <c r="C103" i="126"/>
  <c r="F102" i="126"/>
  <c r="C99" i="99"/>
  <c r="N61" i="129"/>
  <c r="M76" i="99"/>
  <c r="K63" i="129"/>
  <c r="K77" i="99"/>
  <c r="M62" i="129"/>
  <c r="K100" i="126"/>
  <c r="J97" i="99"/>
  <c r="J101" i="126"/>
  <c r="M100" i="126"/>
  <c r="D80" i="99"/>
  <c r="G65" i="129"/>
  <c r="O98" i="126"/>
  <c r="O97" i="126"/>
  <c r="O60" i="129"/>
  <c r="N75" i="99"/>
  <c r="B67" i="129"/>
  <c r="D66" i="129"/>
  <c r="B81" i="99"/>
  <c r="H64" i="129"/>
  <c r="H79" i="99" s="1"/>
  <c r="G79" i="99"/>
  <c r="P96" i="126"/>
  <c r="I65" i="129"/>
  <c r="I79" i="99"/>
  <c r="L64" i="129"/>
  <c r="L79" i="99" s="1"/>
  <c r="F98" i="99"/>
  <c r="H101" i="126"/>
  <c r="G80" i="99" l="1"/>
  <c r="H65" i="129"/>
  <c r="H80" i="99" s="1"/>
  <c r="P60" i="129"/>
  <c r="P75" i="99" s="1"/>
  <c r="O75" i="99"/>
  <c r="K64" i="129"/>
  <c r="K78" i="99"/>
  <c r="M63" i="129"/>
  <c r="F99" i="99"/>
  <c r="H102" i="126"/>
  <c r="D81" i="99"/>
  <c r="G66" i="129"/>
  <c r="P98" i="126"/>
  <c r="N100" i="126"/>
  <c r="K101" i="126"/>
  <c r="C104" i="126"/>
  <c r="F103" i="126"/>
  <c r="C100" i="99"/>
  <c r="O99" i="126"/>
  <c r="I66" i="129"/>
  <c r="I80" i="99"/>
  <c r="L65" i="129"/>
  <c r="L80" i="99" s="1"/>
  <c r="B68" i="129"/>
  <c r="D67" i="129"/>
  <c r="B82" i="99"/>
  <c r="P97" i="126"/>
  <c r="J98" i="99"/>
  <c r="J102" i="126"/>
  <c r="N62" i="129"/>
  <c r="M77" i="99"/>
  <c r="O61" i="129"/>
  <c r="N76" i="99"/>
  <c r="C105" i="126" l="1"/>
  <c r="C101" i="99"/>
  <c r="H66" i="129"/>
  <c r="H81" i="99" s="1"/>
  <c r="G81" i="99"/>
  <c r="N63" i="129"/>
  <c r="M78" i="99"/>
  <c r="P99" i="126"/>
  <c r="K102" i="126"/>
  <c r="J99" i="99"/>
  <c r="J103" i="126"/>
  <c r="F104" i="126" s="1"/>
  <c r="O62" i="129"/>
  <c r="N77" i="99"/>
  <c r="D82" i="99"/>
  <c r="G67" i="129"/>
  <c r="I67" i="129"/>
  <c r="I81" i="99"/>
  <c r="L66" i="129"/>
  <c r="L81" i="99" s="1"/>
  <c r="K65" i="129"/>
  <c r="K79" i="99"/>
  <c r="M64" i="129"/>
  <c r="P61" i="129"/>
  <c r="P76" i="99" s="1"/>
  <c r="O76" i="99"/>
  <c r="M101" i="126"/>
  <c r="B69" i="129"/>
  <c r="D68" i="129"/>
  <c r="B83" i="99"/>
  <c r="F100" i="99"/>
  <c r="H103" i="126"/>
  <c r="O100" i="126"/>
  <c r="B70" i="129" l="1"/>
  <c r="D69" i="129"/>
  <c r="B84" i="99"/>
  <c r="I68" i="129"/>
  <c r="I82" i="99"/>
  <c r="L67" i="129"/>
  <c r="L82" i="99" s="1"/>
  <c r="N64" i="129"/>
  <c r="M79" i="99"/>
  <c r="P62" i="129"/>
  <c r="P77" i="99" s="1"/>
  <c r="O77" i="99"/>
  <c r="K103" i="126"/>
  <c r="F101" i="99"/>
  <c r="G82" i="99"/>
  <c r="H67" i="129"/>
  <c r="H82" i="99" s="1"/>
  <c r="M102" i="126"/>
  <c r="O63" i="129"/>
  <c r="N78" i="99"/>
  <c r="P100" i="126"/>
  <c r="N101" i="126"/>
  <c r="D83" i="99"/>
  <c r="G68" i="129"/>
  <c r="K66" i="129"/>
  <c r="K80" i="99"/>
  <c r="M65" i="129"/>
  <c r="J100" i="99"/>
  <c r="J104" i="126"/>
  <c r="M103" i="126"/>
  <c r="C106" i="126"/>
  <c r="C102" i="99"/>
  <c r="F105" i="126"/>
  <c r="N65" i="129" l="1"/>
  <c r="M80" i="99"/>
  <c r="H68" i="129"/>
  <c r="H83" i="99" s="1"/>
  <c r="G83" i="99"/>
  <c r="P63" i="129"/>
  <c r="P78" i="99" s="1"/>
  <c r="O78" i="99"/>
  <c r="N102" i="126"/>
  <c r="F102" i="99"/>
  <c r="J101" i="99"/>
  <c r="J105" i="126"/>
  <c r="D84" i="99"/>
  <c r="G69" i="129"/>
  <c r="C103" i="99"/>
  <c r="G104" i="126"/>
  <c r="N103" i="126"/>
  <c r="K67" i="129"/>
  <c r="K81" i="99"/>
  <c r="M66" i="129"/>
  <c r="O101" i="126"/>
  <c r="O64" i="129"/>
  <c r="N79" i="99"/>
  <c r="I69" i="129"/>
  <c r="I83" i="99"/>
  <c r="L68" i="129"/>
  <c r="L83" i="99" s="1"/>
  <c r="B71" i="129"/>
  <c r="D70" i="129"/>
  <c r="B85" i="99"/>
  <c r="D85" i="99" l="1"/>
  <c r="G70" i="129"/>
  <c r="I70" i="129"/>
  <c r="I84" i="99"/>
  <c r="L69" i="129"/>
  <c r="L84" i="99" s="1"/>
  <c r="P101" i="126"/>
  <c r="O103" i="126"/>
  <c r="J102" i="99"/>
  <c r="O102" i="126"/>
  <c r="B72" i="129"/>
  <c r="D71" i="129"/>
  <c r="B86" i="99"/>
  <c r="N66" i="129"/>
  <c r="M81" i="99"/>
  <c r="P64" i="129"/>
  <c r="P79" i="99" s="1"/>
  <c r="O79" i="99"/>
  <c r="H104" i="126"/>
  <c r="H69" i="129"/>
  <c r="H84" i="99" s="1"/>
  <c r="G84" i="99"/>
  <c r="K68" i="129"/>
  <c r="K82" i="99"/>
  <c r="M67" i="129"/>
  <c r="F106" i="126"/>
  <c r="J106" i="126" s="1"/>
  <c r="O65" i="129"/>
  <c r="N80" i="99"/>
  <c r="J103" i="99" l="1"/>
  <c r="P65" i="129"/>
  <c r="P80" i="99" s="1"/>
  <c r="O80" i="99"/>
  <c r="K69" i="129"/>
  <c r="K83" i="99"/>
  <c r="M68" i="129"/>
  <c r="O66" i="129"/>
  <c r="N81" i="99"/>
  <c r="B73" i="129"/>
  <c r="D72" i="129"/>
  <c r="B87" i="99"/>
  <c r="I71" i="129"/>
  <c r="I85" i="99"/>
  <c r="L70" i="129"/>
  <c r="L85" i="99" s="1"/>
  <c r="F103" i="99"/>
  <c r="N67" i="129"/>
  <c r="M82" i="99"/>
  <c r="P102" i="126"/>
  <c r="H70" i="129"/>
  <c r="H85" i="99" s="1"/>
  <c r="G85" i="99"/>
  <c r="K104" i="126"/>
  <c r="D86" i="99"/>
  <c r="G71" i="129"/>
  <c r="P103" i="126"/>
  <c r="O67" i="129" l="1"/>
  <c r="N82" i="99"/>
  <c r="P66" i="129"/>
  <c r="P81" i="99" s="1"/>
  <c r="O81" i="99"/>
  <c r="D87" i="99"/>
  <c r="G72" i="129"/>
  <c r="N68" i="129"/>
  <c r="M83" i="99"/>
  <c r="I72" i="129"/>
  <c r="I86" i="99"/>
  <c r="L71" i="129"/>
  <c r="L86" i="99" s="1"/>
  <c r="B74" i="129"/>
  <c r="D73" i="129"/>
  <c r="B88" i="99"/>
  <c r="M104" i="126"/>
  <c r="G86" i="99"/>
  <c r="H71" i="129"/>
  <c r="H86" i="99" s="1"/>
  <c r="K70" i="129"/>
  <c r="K84" i="99"/>
  <c r="M69" i="129"/>
  <c r="G105" i="126" l="1"/>
  <c r="N104" i="126"/>
  <c r="O68" i="129"/>
  <c r="N83" i="99"/>
  <c r="D88" i="99"/>
  <c r="G73" i="129"/>
  <c r="I73" i="129"/>
  <c r="I87" i="99"/>
  <c r="L72" i="129"/>
  <c r="L87" i="99" s="1"/>
  <c r="G87" i="99"/>
  <c r="H72" i="129"/>
  <c r="H87" i="99" s="1"/>
  <c r="K71" i="129"/>
  <c r="K85" i="99"/>
  <c r="M70" i="129"/>
  <c r="B75" i="129"/>
  <c r="D74" i="129"/>
  <c r="B89" i="99"/>
  <c r="N69" i="129"/>
  <c r="M84" i="99"/>
  <c r="P67" i="129"/>
  <c r="P82" i="99" s="1"/>
  <c r="O82" i="99"/>
  <c r="P68" i="129" l="1"/>
  <c r="P83" i="99" s="1"/>
  <c r="O83" i="99"/>
  <c r="G88" i="99"/>
  <c r="H73" i="129"/>
  <c r="H88" i="99" s="1"/>
  <c r="O104" i="126"/>
  <c r="N70" i="129"/>
  <c r="M85" i="99"/>
  <c r="D89" i="99"/>
  <c r="G74" i="129"/>
  <c r="K72" i="129"/>
  <c r="K86" i="99"/>
  <c r="M71" i="129"/>
  <c r="O69" i="129"/>
  <c r="N84" i="99"/>
  <c r="B76" i="129"/>
  <c r="D75" i="129"/>
  <c r="B90" i="99"/>
  <c r="I74" i="129"/>
  <c r="I88" i="99"/>
  <c r="L73" i="129"/>
  <c r="L88" i="99" s="1"/>
  <c r="H105" i="126"/>
  <c r="I75" i="129" l="1"/>
  <c r="I89" i="99"/>
  <c r="L74" i="129"/>
  <c r="L89" i="99" s="1"/>
  <c r="B77" i="129"/>
  <c r="D76" i="129"/>
  <c r="B91" i="99"/>
  <c r="M72" i="129"/>
  <c r="K73" i="129"/>
  <c r="K87" i="99"/>
  <c r="O70" i="129"/>
  <c r="N85" i="99"/>
  <c r="K105" i="126"/>
  <c r="P69" i="129"/>
  <c r="P84" i="99" s="1"/>
  <c r="O84" i="99"/>
  <c r="G89" i="99"/>
  <c r="H74" i="129"/>
  <c r="G75" i="129"/>
  <c r="D90" i="99"/>
  <c r="N71" i="129"/>
  <c r="M86" i="99"/>
  <c r="P104" i="126"/>
  <c r="N72" i="129" l="1"/>
  <c r="M87" i="99"/>
  <c r="B78" i="129"/>
  <c r="D77" i="129"/>
  <c r="B92" i="99"/>
  <c r="G90" i="99"/>
  <c r="H75" i="129"/>
  <c r="K74" i="129"/>
  <c r="H89" i="99"/>
  <c r="M105" i="126"/>
  <c r="P70" i="129"/>
  <c r="P85" i="99" s="1"/>
  <c r="O85" i="99"/>
  <c r="O71" i="129"/>
  <c r="N86" i="99"/>
  <c r="K88" i="99"/>
  <c r="M73" i="129"/>
  <c r="G76" i="129"/>
  <c r="D91" i="99"/>
  <c r="I76" i="129"/>
  <c r="I90" i="99"/>
  <c r="L75" i="129"/>
  <c r="L90" i="99" s="1"/>
  <c r="N73" i="129" l="1"/>
  <c r="M88" i="99"/>
  <c r="K75" i="129"/>
  <c r="H90" i="99"/>
  <c r="G77" i="129"/>
  <c r="D92" i="99"/>
  <c r="I77" i="129"/>
  <c r="I91" i="99"/>
  <c r="L76" i="129"/>
  <c r="L91" i="99" s="1"/>
  <c r="B79" i="129"/>
  <c r="D78" i="129"/>
  <c r="B93" i="99"/>
  <c r="G91" i="99"/>
  <c r="H76" i="129"/>
  <c r="P71" i="129"/>
  <c r="P86" i="99" s="1"/>
  <c r="O86" i="99"/>
  <c r="G106" i="126"/>
  <c r="N105" i="126"/>
  <c r="M74" i="129"/>
  <c r="K89" i="99"/>
  <c r="O72" i="129"/>
  <c r="N87" i="99"/>
  <c r="O105" i="126" l="1"/>
  <c r="P72" i="129"/>
  <c r="P87" i="99" s="1"/>
  <c r="O87" i="99"/>
  <c r="K76" i="129"/>
  <c r="H91" i="99"/>
  <c r="G78" i="129"/>
  <c r="D93" i="99"/>
  <c r="I78" i="129"/>
  <c r="I92" i="99"/>
  <c r="L77" i="129"/>
  <c r="L92" i="99" s="1"/>
  <c r="M75" i="129"/>
  <c r="K90" i="99"/>
  <c r="H106" i="126"/>
  <c r="B80" i="129"/>
  <c r="D79" i="129"/>
  <c r="B94" i="99"/>
  <c r="N74" i="129"/>
  <c r="M89" i="99"/>
  <c r="G92" i="99"/>
  <c r="H77" i="129"/>
  <c r="O73" i="129"/>
  <c r="N88" i="99"/>
  <c r="K77" i="129" l="1"/>
  <c r="H92" i="99"/>
  <c r="K106" i="126"/>
  <c r="G93" i="99"/>
  <c r="H78" i="129"/>
  <c r="G79" i="129"/>
  <c r="G94" i="99" s="1"/>
  <c r="D94" i="99"/>
  <c r="I79" i="129"/>
  <c r="I93" i="99"/>
  <c r="L78" i="129"/>
  <c r="L93" i="99" s="1"/>
  <c r="P73" i="129"/>
  <c r="P88" i="99" s="1"/>
  <c r="O88" i="99"/>
  <c r="O74" i="129"/>
  <c r="N89" i="99"/>
  <c r="B81" i="129"/>
  <c r="D80" i="129"/>
  <c r="B95" i="99"/>
  <c r="N75" i="129"/>
  <c r="M90" i="99"/>
  <c r="M76" i="129"/>
  <c r="K91" i="99"/>
  <c r="P105" i="126"/>
  <c r="O75" i="129" l="1"/>
  <c r="N90" i="99"/>
  <c r="B82" i="129"/>
  <c r="D81" i="129"/>
  <c r="B96" i="99"/>
  <c r="M106" i="126"/>
  <c r="N76" i="129"/>
  <c r="M91" i="99"/>
  <c r="P74" i="129"/>
  <c r="P89" i="99" s="1"/>
  <c r="O89" i="99"/>
  <c r="K78" i="129"/>
  <c r="H93" i="99"/>
  <c r="G80" i="129"/>
  <c r="D95" i="99"/>
  <c r="I80" i="129"/>
  <c r="I94" i="99"/>
  <c r="L79" i="129"/>
  <c r="L94" i="99" s="1"/>
  <c r="M77" i="129"/>
  <c r="K92" i="99"/>
  <c r="B83" i="129" l="1"/>
  <c r="D82" i="129"/>
  <c r="B97" i="99"/>
  <c r="I81" i="129"/>
  <c r="I95" i="99"/>
  <c r="L80" i="129"/>
  <c r="L95" i="99" s="1"/>
  <c r="K93" i="99"/>
  <c r="M78" i="129"/>
  <c r="O76" i="129"/>
  <c r="N91" i="99"/>
  <c r="P75" i="129"/>
  <c r="P90" i="99" s="1"/>
  <c r="O90" i="99"/>
  <c r="G95" i="99"/>
  <c r="H80" i="129"/>
  <c r="N77" i="129"/>
  <c r="M92" i="99"/>
  <c r="N106" i="126"/>
  <c r="G81" i="129"/>
  <c r="D96" i="99"/>
  <c r="O77" i="129" l="1"/>
  <c r="N92" i="99"/>
  <c r="H95" i="99"/>
  <c r="G96" i="99"/>
  <c r="H81" i="129"/>
  <c r="O106" i="126"/>
  <c r="P76" i="129"/>
  <c r="P91" i="99" s="1"/>
  <c r="O91" i="99"/>
  <c r="G82" i="129"/>
  <c r="D97" i="99"/>
  <c r="H79" i="129"/>
  <c r="N78" i="129"/>
  <c r="M93" i="99"/>
  <c r="I82" i="129"/>
  <c r="I96" i="99"/>
  <c r="L81" i="129"/>
  <c r="L96" i="99" s="1"/>
  <c r="B84" i="129"/>
  <c r="D83" i="129"/>
  <c r="B98" i="99"/>
  <c r="G83" i="129" l="1"/>
  <c r="D98" i="99"/>
  <c r="G97" i="99"/>
  <c r="H82" i="129"/>
  <c r="P106" i="126"/>
  <c r="B85" i="129"/>
  <c r="D84" i="129"/>
  <c r="B99" i="99"/>
  <c r="O78" i="129"/>
  <c r="N93" i="99"/>
  <c r="H96" i="99"/>
  <c r="I83" i="129"/>
  <c r="I97" i="99"/>
  <c r="L82" i="129"/>
  <c r="L97" i="99" s="1"/>
  <c r="K79" i="129"/>
  <c r="H94" i="99"/>
  <c r="P77" i="129"/>
  <c r="P92" i="99" s="1"/>
  <c r="O92" i="99"/>
  <c r="G84" i="129" l="1"/>
  <c r="D99" i="99"/>
  <c r="H97" i="99"/>
  <c r="I84" i="129"/>
  <c r="I98" i="99"/>
  <c r="L83" i="129"/>
  <c r="L98" i="99" s="1"/>
  <c r="P78" i="129"/>
  <c r="P93" i="99" s="1"/>
  <c r="O93" i="99"/>
  <c r="B86" i="129"/>
  <c r="D85" i="129"/>
  <c r="B100" i="99"/>
  <c r="M79" i="129"/>
  <c r="K94" i="99"/>
  <c r="K80" i="129"/>
  <c r="G98" i="99"/>
  <c r="H83" i="129"/>
  <c r="N79" i="129" l="1"/>
  <c r="M94" i="99"/>
  <c r="G85" i="129"/>
  <c r="D100" i="99"/>
  <c r="B87" i="129"/>
  <c r="D86" i="129"/>
  <c r="D101" i="99" s="1"/>
  <c r="B101" i="99"/>
  <c r="H98" i="99"/>
  <c r="M80" i="129"/>
  <c r="K95" i="99"/>
  <c r="K81" i="129"/>
  <c r="I85" i="129"/>
  <c r="I99" i="99"/>
  <c r="L84" i="129"/>
  <c r="L99" i="99" s="1"/>
  <c r="G99" i="99"/>
  <c r="H84" i="129"/>
  <c r="N80" i="129" l="1"/>
  <c r="M95" i="99"/>
  <c r="G100" i="99"/>
  <c r="H85" i="129"/>
  <c r="H99" i="99"/>
  <c r="I86" i="129"/>
  <c r="I100" i="99"/>
  <c r="L85" i="129"/>
  <c r="L100" i="99" s="1"/>
  <c r="M81" i="129"/>
  <c r="K96" i="99"/>
  <c r="K82" i="129"/>
  <c r="B88" i="129"/>
  <c r="D87" i="129"/>
  <c r="B102" i="99"/>
  <c r="O79" i="129"/>
  <c r="N94" i="99"/>
  <c r="H100" i="99" l="1"/>
  <c r="M82" i="129"/>
  <c r="K97" i="99"/>
  <c r="K83" i="129"/>
  <c r="I87" i="129"/>
  <c r="I101" i="99"/>
  <c r="L86" i="129"/>
  <c r="L101" i="99" s="1"/>
  <c r="D102" i="99"/>
  <c r="N81" i="129"/>
  <c r="M96" i="99"/>
  <c r="O94" i="99"/>
  <c r="P79" i="129"/>
  <c r="P94" i="99" s="1"/>
  <c r="D88" i="129"/>
  <c r="B103" i="99"/>
  <c r="O80" i="129"/>
  <c r="N95" i="99"/>
  <c r="O81" i="129" l="1"/>
  <c r="N96" i="99"/>
  <c r="N82" i="129"/>
  <c r="M97" i="99"/>
  <c r="I88" i="129"/>
  <c r="I102" i="99"/>
  <c r="L87" i="129"/>
  <c r="L102" i="99" s="1"/>
  <c r="D103" i="99"/>
  <c r="P80" i="129"/>
  <c r="P95" i="99" s="1"/>
  <c r="O95" i="99"/>
  <c r="M83" i="129"/>
  <c r="K98" i="99"/>
  <c r="K84" i="129"/>
  <c r="O82" i="129" l="1"/>
  <c r="N97" i="99"/>
  <c r="M84" i="129"/>
  <c r="K99" i="99"/>
  <c r="K85" i="129"/>
  <c r="N83" i="129"/>
  <c r="M98" i="99"/>
  <c r="I103" i="99"/>
  <c r="L88" i="129"/>
  <c r="L103" i="99" s="1"/>
  <c r="P81" i="129"/>
  <c r="P96" i="99" s="1"/>
  <c r="O96" i="99"/>
  <c r="N84" i="129" l="1"/>
  <c r="M99" i="99"/>
  <c r="O83" i="129"/>
  <c r="N98" i="99"/>
  <c r="M85" i="129"/>
  <c r="K100" i="99"/>
  <c r="P82" i="129"/>
  <c r="P97" i="99" s="1"/>
  <c r="O97" i="99"/>
  <c r="P83" i="129" l="1"/>
  <c r="P98" i="99" s="1"/>
  <c r="O98" i="99"/>
  <c r="G86" i="129"/>
  <c r="N85" i="129"/>
  <c r="M100" i="99"/>
  <c r="O84" i="129"/>
  <c r="N99" i="99"/>
  <c r="H86" i="129" l="1"/>
  <c r="G101" i="99"/>
  <c r="O85" i="129"/>
  <c r="N100" i="99"/>
  <c r="P84" i="129"/>
  <c r="P99" i="99" s="1"/>
  <c r="O99" i="99"/>
  <c r="P85" i="129" l="1"/>
  <c r="P100" i="99" s="1"/>
  <c r="O100" i="99"/>
  <c r="K86" i="129"/>
  <c r="H101" i="99"/>
  <c r="M86" i="129" l="1"/>
  <c r="K101" i="99"/>
  <c r="G87" i="129" l="1"/>
  <c r="N86" i="129"/>
  <c r="M101" i="99"/>
  <c r="O86" i="129" l="1"/>
  <c r="N101" i="99"/>
  <c r="H87" i="129"/>
  <c r="G102" i="99"/>
  <c r="H102" i="99" l="1"/>
  <c r="K87" i="129"/>
  <c r="P86" i="129"/>
  <c r="P101" i="99" s="1"/>
  <c r="O101" i="99"/>
  <c r="K102" i="99" l="1"/>
  <c r="M87" i="129"/>
  <c r="N87" i="129" l="1"/>
  <c r="G88" i="129"/>
  <c r="M102" i="99"/>
  <c r="H88" i="129" l="1"/>
  <c r="G103" i="99"/>
  <c r="O87" i="129"/>
  <c r="N102" i="99"/>
  <c r="P87" i="129" l="1"/>
  <c r="P102" i="99" s="1"/>
  <c r="O102" i="99"/>
  <c r="H103" i="99"/>
  <c r="K88" i="129"/>
  <c r="K103" i="99" l="1"/>
  <c r="M88" i="129"/>
  <c r="N88" i="129" l="1"/>
  <c r="M103" i="99"/>
  <c r="O88" i="129" l="1"/>
  <c r="N103" i="99"/>
  <c r="P88" i="129" l="1"/>
  <c r="P103" i="99" s="1"/>
  <c r="O103" i="99"/>
</calcChain>
</file>

<file path=xl/comments1.xml><?xml version="1.0" encoding="utf-8"?>
<comments xmlns="http://schemas.openxmlformats.org/spreadsheetml/2006/main">
  <authors>
    <author>Puget Sound Energy</author>
  </authors>
  <commentList>
    <comment ref="BI2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vs Forecast of $39K</t>
        </r>
      </text>
    </comment>
    <comment ref="I2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Brad Canady estimate 2/2/2011</t>
        </r>
      </text>
    </comment>
    <comment ref="S3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F&amp;G Summary shows $642k not $406k</t>
        </r>
      </text>
    </comment>
    <comment ref="CH3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of which $233,831 = MWH</t>
        </r>
      </text>
    </comment>
    <comment ref="AE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$541,778 accrual
</t>
        </r>
      </text>
    </comment>
    <comment ref="AG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($541,778) Dec accrual reversal and $330,556 Jan re-accrual </t>
        </r>
      </text>
    </comment>
    <comment ref="AH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($330,556) accrual reversal, $270,550 accrual 
</t>
        </r>
      </text>
    </comment>
    <comment ref="AI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($270,550) accrual reversal and $270,400 re-accrual</t>
        </r>
      </text>
    </comment>
    <comment ref="CO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Contract amount as per May billing</t>
        </r>
      </text>
    </comment>
    <comment ref="CQ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MWH in pre-design</t>
        </r>
      </text>
    </comment>
    <comment ref="AP4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Final invoice for "shoreside facilities pier geotechnical explorations and engineering report".
</t>
        </r>
      </text>
    </comment>
    <comment ref="AE4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$8,268 accrual
</t>
        </r>
      </text>
    </comment>
    <comment ref="AG4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$8,268 accrual reversal
</t>
        </r>
      </text>
    </comment>
    <comment ref="AD5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Bruce Blake</t>
        </r>
      </text>
    </comment>
    <comment ref="AE5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Bruce Blake</t>
        </r>
      </text>
    </comment>
    <comment ref="AH5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Bruce Blake
</t>
        </r>
      </text>
    </comment>
    <comment ref="AD6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218 accrual</t>
        </r>
      </text>
    </comment>
    <comment ref="AG6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-$509.60 accrual reversal and $109.2 re-accrual
</t>
        </r>
      </text>
    </comment>
    <comment ref="AH6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-$109.2 accrual reversal</t>
        </r>
      </text>
    </comment>
    <comment ref="AL7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($210.45) and $18.30 accruals</t>
        </r>
      </text>
    </comment>
    <comment ref="AP7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$97.60 accrual
</t>
        </r>
      </text>
    </comment>
    <comment ref="AQ7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Accrual reversal</t>
        </r>
      </text>
    </comment>
    <comment ref="AR7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$6.10 accrual</t>
        </r>
      </text>
    </comment>
    <comment ref="AU7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Location of underground utilities
</t>
        </r>
      </text>
    </comment>
    <comment ref="O8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No info available
</t>
        </r>
      </text>
    </comment>
    <comment ref="AW8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FSC Gulper document
</t>
        </r>
      </text>
    </comment>
    <comment ref="CI8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Potential savings</t>
        </r>
      </text>
    </comment>
    <comment ref="CN8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monthly MWH report 7/12/2011 - take into account work under Design phase and pre - 2009 spend of $233,831 (cell S35)
</t>
        </r>
      </text>
    </comment>
    <comment ref="AL8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($130,000) accrual reversal and $163,188 and $150,000 new accruals</t>
        </r>
      </text>
    </comment>
    <comment ref="AZ8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Sandblast, prime and paint 60" buoy and 2 ramps</t>
        </r>
      </text>
    </comment>
    <comment ref="AU9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Wrongly coded</t>
        </r>
      </text>
    </comment>
    <comment ref="AU9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Wrongly coded</t>
        </r>
      </text>
    </comment>
    <comment ref="BK9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Work on old gulper</t>
        </r>
      </text>
    </comment>
    <comment ref="CJ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Agreement expires 6/30/2012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S.00774.01.01.05.03 for T&amp;D work</t>
        </r>
      </text>
    </comment>
    <comment ref="AR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$2,447.22 accrual</t>
        </r>
      </text>
    </comment>
    <comment ref="CJ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Add $6K as per D Koch 1/23/2012</t>
        </r>
      </text>
    </comment>
    <comment ref="AZ10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JE correction</t>
        </r>
      </text>
    </comment>
    <comment ref="AN10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K Meaders June + July 2011</t>
        </r>
      </text>
    </comment>
    <comment ref="CI10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Forecast based on historical burn rate
</t>
        </r>
      </text>
    </comment>
    <comment ref="AE11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$161,347 accrual</t>
        </r>
      </text>
    </comment>
    <comment ref="AG11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-$161,347 accrual reversal
</t>
        </r>
      </text>
    </comment>
    <comment ref="AP11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2 Invoices paid in Sept - $6K) adjustment on sept invoices
</t>
        </r>
      </text>
    </comment>
    <comment ref="AL12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($1,596,336) accrual reversal and $1,069,300 June accrual</t>
        </r>
      </text>
    </comment>
    <comment ref="H15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D Loreen approval 7/13/2012
</t>
        </r>
      </text>
    </comment>
    <comment ref="BI19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Conveyor dock segment for NTS debris system
</t>
        </r>
      </text>
    </comment>
    <comment ref="BK19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Debris conveyor control panel</t>
        </r>
      </text>
    </comment>
    <comment ref="H1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Allowance of $141K transferred to Communications Building as per Dan Koch 2/2/2011</t>
        </r>
      </text>
    </comment>
    <comment ref="AZ22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30% down for mob - pedestrian gates and hardware
</t>
        </r>
      </text>
    </comment>
    <comment ref="AK22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Tax on LNTP (Progress Billing 1) and Billing #2 </t>
        </r>
      </text>
    </comment>
    <comment ref="AL22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tax on pay app 3</t>
        </r>
      </text>
    </comment>
    <comment ref="CH22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8.2% on pay app before retention as well as on accrued retention</t>
        </r>
      </text>
    </comment>
    <comment ref="AW22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Kvichak Marine - overpay on WSST - 9.5% vs 8.2%</t>
        </r>
      </text>
    </comment>
    <comment ref="AZ22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Overpay of WSST - 9.5% vs 8.2% on Kvichak marine invoice</t>
        </r>
      </text>
    </comment>
    <comment ref="AE24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Accrual of $20,000
</t>
        </r>
      </text>
    </comment>
    <comment ref="AG24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accrual reversal and re-accrual</t>
        </r>
      </text>
    </comment>
    <comment ref="AH24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-$20K accrual reversal
</t>
        </r>
      </text>
    </comment>
    <comment ref="AR25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$4,074.78 accrual</t>
        </r>
      </text>
    </comment>
    <comment ref="BK25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 Fish and Wildlife Services </t>
        </r>
      </text>
    </comment>
    <comment ref="AX25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Aluminum live haul transport tank</t>
        </r>
      </text>
    </comment>
    <comment ref="AP26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Prelim Design and Scoping - Aug and Sept</t>
        </r>
      </text>
    </comment>
    <comment ref="AR26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Invoice received for Nov work
</t>
        </r>
      </text>
    </comment>
    <comment ref="BK3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Refund on old gulper - amount captured as N/A under Out SVS other</t>
        </r>
      </text>
    </comment>
    <comment ref="AV32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EP temp worker for Gerry Kincheloe</t>
        </r>
      </text>
    </comment>
    <comment ref="AT32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Mechanic - report to Gerry Kincheloe</t>
        </r>
      </text>
    </comment>
    <comment ref="BJ32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</t>
        </r>
      </text>
    </comment>
    <comment ref="BE32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Communication Techs - Client Svc
Sr Comm Tech II
</t>
        </r>
      </text>
    </comment>
    <comment ref="BK33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 Installation</t>
        </r>
      </text>
    </comment>
    <comment ref="BH33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Electron Generating Station
Hydro Mechanic
</t>
        </r>
      </text>
    </comment>
    <comment ref="AT33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Tech - report to Gerry Kincheloe</t>
        </r>
      </text>
    </comment>
    <comment ref="AT33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Mechanic - report to Gerry Kincheloe</t>
        </r>
      </text>
    </comment>
    <comment ref="AX33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Telecommunications Engineering
I/T Consultant
</t>
        </r>
      </text>
    </comment>
    <comment ref="AT33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Resource scientists - report to Cary Feldman</t>
        </r>
      </text>
    </comment>
    <comment ref="AQ34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New entry</t>
        </r>
      </text>
    </comment>
    <comment ref="AT34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 and Wildlife specialist report to Douglas Bruland</t>
        </r>
      </text>
    </comment>
    <comment ref="AT34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 and Wildlife specialist report to Douglas Bruland</t>
        </r>
      </text>
    </comment>
    <comment ref="AW34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Communication Techs - Client Svc
Sr Comm Tech II</t>
        </r>
      </text>
    </comment>
    <comment ref="BE34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Voice
Assoc Voice Engineer
</t>
        </r>
      </text>
    </comment>
    <comment ref="AY35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Creative Services
Multi Media Program Manager
</t>
        </r>
      </text>
    </comment>
    <comment ref="AT35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Consulting Engineer report to Chris Brown</t>
        </r>
      </text>
    </comment>
    <comment ref="BJ35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Security</t>
        </r>
      </text>
    </comment>
    <comment ref="BJ354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PSE Employee
Licensing
Resource Scientist - Terrestrial
</t>
        </r>
      </text>
    </comment>
    <comment ref="AQ36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New entry</t>
        </r>
      </text>
    </comment>
    <comment ref="AZ36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Corporate Security
Security Project Manager
</t>
        </r>
      </text>
    </comment>
    <comment ref="BJ36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</t>
        </r>
      </text>
    </comment>
    <comment ref="BE3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SCADA
Sr SCADA Engineer
</t>
        </r>
      </text>
    </comment>
    <comment ref="AV37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Mechanic - report to Gerry Kincheloe</t>
        </r>
      </text>
    </comment>
    <comment ref="BG37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Electron Generating Station
Hydro Mechanic
</t>
        </r>
      </text>
    </comment>
    <comment ref="AW37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
EP Temp Worker 2nd 6mo</t>
        </r>
      </text>
    </comment>
    <comment ref="AV37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EP temp worker for Gerry Kincheloe</t>
        </r>
      </text>
    </comment>
    <comment ref="AQ3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New entry - Baker Maintenance  PTA/EP Helper 
</t>
        </r>
      </text>
    </comment>
    <comment ref="AX37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Communication Techs - Client Svc
Comm Tech Foreman
</t>
        </r>
      </text>
    </comment>
    <comment ref="AQ37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New entry - quality assurance inspector
</t>
        </r>
      </text>
    </comment>
    <comment ref="AT3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EP helper report to Gerry Kincheloe</t>
        </r>
      </text>
    </comment>
    <comment ref="AW3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
EP Temp Worker 1st 6mo</t>
        </r>
      </text>
    </comment>
    <comment ref="AV38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EP temp worker for Gerry Kincheloe</t>
        </r>
      </text>
    </comment>
    <comment ref="AT38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Mechanic - report to Gerry Kincheloe</t>
        </r>
      </text>
    </comment>
    <comment ref="BI38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Communication Techs - Client Svc
Sr Comm Tech II
</t>
        </r>
      </text>
    </comment>
    <comment ref="AW38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
EP Temp Worker 2nd 6mo</t>
        </r>
      </text>
    </comment>
    <comment ref="BJ39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</t>
        </r>
      </text>
    </comment>
    <comment ref="AW39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
EP Temp Worker 1st 6mo</t>
        </r>
      </text>
    </comment>
    <comment ref="BI39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Electron Generating Station
Hydro Mechanic
</t>
        </r>
      </text>
    </comment>
    <comment ref="AT39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 and Wildlife specialist report to Douglas Bruland</t>
        </r>
      </text>
    </comment>
    <comment ref="AT3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Lower Baker EP helper report John Jensen
</t>
        </r>
      </text>
    </comment>
    <comment ref="AX40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Communication Techs - Client Svc
Comm Tech 1st 2 Years
</t>
        </r>
      </text>
    </comment>
    <comment ref="BH40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Communication Techs - Client Svc
Comm Repairman
</t>
        </r>
      </text>
    </comment>
    <comment ref="AT40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Mechanic - report to Gerry Kincheloe</t>
        </r>
      </text>
    </comment>
    <comment ref="AY41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Creative Services
Multimedia Analyst
</t>
        </r>
      </text>
    </comment>
    <comment ref="AX41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Baker Maintenance
Hydro Electrician
</t>
        </r>
      </text>
    </comment>
    <comment ref="AR4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Hydro mechanic report to  Gerry Kincheloe</t>
        </r>
      </text>
    </comment>
    <comment ref="AW41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Fisheries Ops
Fish &amp; Wildlife Specialist I</t>
        </r>
      </text>
    </comment>
    <comment ref="BJ415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
</t>
        </r>
      </text>
    </comment>
    <comment ref="AT41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Apprentice - report to Gerry Kincheloe</t>
        </r>
      </text>
    </comment>
    <comment ref="BJ418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</t>
        </r>
      </text>
    </comment>
    <comment ref="AW41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
EP Temp Worker 2nd 6mo</t>
        </r>
      </text>
    </comment>
    <comment ref="AQ42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New entry - Baker maintenance hydro electrician</t>
        </r>
      </text>
    </comment>
    <comment ref="BJ421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IT</t>
        </r>
      </text>
    </comment>
    <comment ref="BD42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IT Facilities Infrastructure
IT Facilities Infrastruct Engineer
</t>
        </r>
      </text>
    </comment>
    <comment ref="BJ424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PSE Employee
Baker Maintenance
EP Temp Worker 1st 6mo
</t>
        </r>
      </text>
    </comment>
    <comment ref="AW4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Fisheries Ops
Fish &amp; Wildlife Specialist III</t>
        </r>
      </text>
    </comment>
    <comment ref="AT43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Energy Resources Project manager</t>
        </r>
      </text>
    </comment>
    <comment ref="AT43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Fish and Wildlife specialist report to Douglas Bruland</t>
        </r>
      </text>
    </comment>
    <comment ref="BE43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PSE Employee
SCADA
Sr Comm Tech II
</t>
        </r>
      </text>
    </comment>
    <comment ref="AT43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Maintenance Hydro Apprentice - report to Gerry Kincheloe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  <author>Lenovo User</author>
  </authors>
  <commentList>
    <comment ref="AG6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$349,175 accrual
</t>
        </r>
      </text>
    </comment>
    <comment ref="AH6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($349,175) accrual reversal and $302,354 re-accrual
</t>
        </r>
      </text>
    </comment>
    <comment ref="AL6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Dec 2010 accrual
</t>
        </r>
      </text>
    </comment>
    <comment ref="AN6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$200K accrual reversal</t>
        </r>
      </text>
    </comment>
    <comment ref="CC6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S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($200,00) accrual reversal</t>
        </r>
      </text>
    </comment>
    <comment ref="AV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$250K are-accrual</t>
        </r>
      </text>
    </comment>
    <comment ref="AW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Accruals
</t>
        </r>
      </text>
    </comment>
    <comment ref="AX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Accruals</t>
        </r>
      </text>
    </comment>
    <comment ref="CI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$403,315 to go less $250,000 accrual = $153,000 - assume billed every 6 months at $50K pm</t>
        </r>
      </text>
    </comment>
    <comment ref="AL6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$451,458 Dec 2010 accrual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($400,770) accrual reversal and $140,000 re-accrual</t>
        </r>
      </text>
    </comment>
    <comment ref="AS7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($76,000) accrual reversal</t>
        </r>
      </text>
    </comment>
    <comment ref="AV7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$50K + $50K new accruals
</t>
        </r>
      </text>
    </comment>
    <comment ref="AX7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Construction support 8/27 - 9/30</t>
        </r>
      </text>
    </comment>
    <comment ref="CF7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Saving on Jan &amp; Feb invoices - move budget alllowance to project controls
</t>
        </r>
      </text>
    </comment>
    <comment ref="AP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For work during Aug/Sept 2010</t>
        </r>
      </text>
    </comment>
    <comment ref="CI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$2,900,000 as per invoice 8/27/2011 less work during Development phase</t>
        </r>
      </text>
    </comment>
    <comment ref="AL7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$215.04 accrual</t>
        </r>
      </text>
    </comment>
    <comment ref="AL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$215.04 accrual</t>
        </r>
      </text>
    </comment>
    <comment ref="AS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($256.20) accrual reversal</t>
        </r>
      </text>
    </comment>
    <comment ref="BB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Elizabeth Hendrickson</t>
        </r>
      </text>
    </comment>
    <comment ref="AV8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No info
</t>
        </r>
      </text>
    </comment>
    <comment ref="BI8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Locate utilities (power, comms and water)</t>
        </r>
      </text>
    </comment>
    <comment ref="K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Yep - that's right </t>
        </r>
      </text>
    </comment>
    <comment ref="AL8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$10,000 Dec 2010 accrual
</t>
        </r>
      </text>
    </comment>
    <comment ref="AS9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($10,000 accrual reversal)
</t>
        </r>
      </text>
    </comment>
    <comment ref="AV9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Board of consultants meeting</t>
        </r>
      </text>
    </comment>
    <comment ref="AY9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Board of consultants</t>
        </r>
      </text>
    </comment>
    <comment ref="BE9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 meeting</t>
        </r>
      </text>
    </comment>
    <comment ref="AW9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Services for Project Management and Construction Documentation</t>
        </r>
      </text>
    </comment>
    <comment ref="AX9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For "project management and construction documentation" </t>
        </r>
      </text>
    </comment>
    <comment ref="AY9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For "project management and construction documentation" </t>
        </r>
      </text>
    </comment>
    <comment ref="BB9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for Project Management and Construction Documentation</t>
        </r>
      </text>
    </comment>
    <comment ref="BD9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 meeting printing</t>
        </r>
      </text>
    </comment>
    <comment ref="BJ9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Company printing and postage services</t>
        </r>
      </text>
    </comment>
    <comment ref="AV9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Fence installation</t>
        </r>
      </text>
    </comment>
    <comment ref="AV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Board of consultants meeting and travel</t>
        </r>
      </text>
    </comment>
    <comment ref="AY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</t>
        </r>
      </text>
    </comment>
    <comment ref="BC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 meeting</t>
        </r>
      </text>
    </comment>
    <comment ref="AX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Accrual
</t>
        </r>
      </text>
    </comment>
    <comment ref="AY9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Over accrual on invoice due to differing exchange rates</t>
        </r>
      </text>
    </comment>
    <comment ref="AX10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Water quality monitoring services from June through 12 Aug</t>
        </r>
      </text>
    </comment>
    <comment ref="AY10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Water quality monitoring services from 15 Oct through 11 Nov</t>
        </r>
      </text>
    </comment>
    <comment ref="BJ10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Water Quality monitoring</t>
        </r>
      </text>
    </comment>
    <comment ref="BE10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Professional Services for april 2012 - "PSE Baker Hydro DAHP Level II"
</t>
        </r>
      </text>
    </comment>
    <comment ref="AV10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Conference call and review of comments regarding "Koncar"</t>
        </r>
      </text>
    </comment>
    <comment ref="AY105" authorId="0">
      <text>
        <r>
          <rPr>
            <b/>
            <sz val="8"/>
            <color indexed="81"/>
            <rFont val="Tahoma"/>
            <family val="2"/>
          </rPr>
          <t xml:space="preserve">Puget Sound Energy: </t>
        </r>
        <r>
          <rPr>
            <sz val="8"/>
            <color indexed="81"/>
            <rFont val="Tahoma"/>
            <family val="2"/>
          </rPr>
          <t>BOC meeting? - travel for Doug Aaron</t>
        </r>
      </text>
    </comment>
    <comment ref="BA10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Review stacking specifications and drawings with Ryan Murphy</t>
        </r>
      </text>
    </comment>
    <comment ref="BC10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no info on credit</t>
        </r>
      </text>
    </comment>
    <comment ref="BE10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Conference call and schedule review with Ryan Murphy</t>
        </r>
      </text>
    </comment>
    <comment ref="BK10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Generator inspection</t>
        </r>
      </text>
    </comment>
    <comment ref="AL10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$10,000 Dec 2010 accrual
</t>
        </r>
      </text>
    </comment>
    <comment ref="AY10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</t>
        </r>
      </text>
    </comment>
    <comment ref="AL10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$10,000 Dec 2010 accrual
</t>
        </r>
      </text>
    </comment>
    <comment ref="AV10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Construction monitoring secant pile wall, slope monitoring</t>
        </r>
      </text>
    </comment>
    <comment ref="AX10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"Conference call re blast monitoring and Geoengineers access road slope stabilization"</t>
        </r>
      </text>
    </comment>
    <comment ref="AY10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BOC </t>
        </r>
      </text>
    </comment>
    <comment ref="AV1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Honeybucket rental
</t>
        </r>
      </text>
    </comment>
    <comment ref="AX1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Honeybucket rental</t>
        </r>
      </text>
    </comment>
    <comment ref="AY1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Honeybucket rental</t>
        </r>
      </text>
    </comment>
    <comment ref="BG11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Lead hazard control plan</t>
        </r>
      </text>
    </comment>
    <comment ref="AY120" authorId="1">
      <text>
        <r>
          <rPr>
            <b/>
            <sz val="8"/>
            <color indexed="81"/>
            <rFont val="Tahoma"/>
            <family val="2"/>
          </rPr>
          <t>Lenovo User:</t>
        </r>
        <r>
          <rPr>
            <sz val="8"/>
            <color indexed="81"/>
            <rFont val="Tahoma"/>
            <family val="2"/>
          </rPr>
          <t xml:space="preserve">
Work through end 10/2011 for "Imminent flood analysis study" - approved by Irena Netik (PSE)</t>
        </r>
      </text>
    </comment>
    <comment ref="AX12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Remove and reinstall fence and hydraulic gate (for equipment to pass through)</t>
        </r>
      </text>
    </comment>
    <comment ref="BB12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Repairs to gate</t>
        </r>
      </text>
    </comment>
    <comment ref="BP12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Gate repair from PCL Insurance claim?</t>
        </r>
      </text>
    </comment>
    <comment ref="AV12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Coordinate plant availibility and construction approach</t>
        </r>
      </text>
    </comment>
    <comment ref="AW12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Review of technical specifications and Restoration Planting plan</t>
        </r>
      </text>
    </comment>
    <comment ref="AX12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Construction administration: work scope and costs, coordinate construction start schedule</t>
        </r>
      </text>
    </comment>
    <comment ref="AY122" authorId="1">
      <text>
        <r>
          <rPr>
            <b/>
            <sz val="8"/>
            <color indexed="81"/>
            <rFont val="Tahoma"/>
            <family val="2"/>
          </rPr>
          <t>Lenovo User:</t>
        </r>
        <r>
          <rPr>
            <sz val="8"/>
            <color indexed="81"/>
            <rFont val="Tahoma"/>
            <family val="2"/>
          </rPr>
          <t xml:space="preserve">
Fill restoration planting - meetings and inspections</t>
        </r>
      </text>
    </comment>
    <comment ref="CI12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$42,939,000 + WST
</t>
        </r>
      </text>
    </comment>
    <comment ref="AL1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$958,002 Dec 2010 accrual
</t>
        </r>
      </text>
    </comment>
    <comment ref="AO1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Inlude -$958,002 accrual reversal, as well as $1,306,032 Jan 2011 + $3,002,233 Feb 2011 accruals</t>
        </r>
      </text>
    </comment>
    <comment ref="AR1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Check contract value
</t>
        </r>
      </text>
    </comment>
    <comment ref="AS13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($3,379,841) and ($1,200,079) accrual reversals and $1,200,079 and $1,000,000 accruals
</t>
        </r>
      </text>
    </comment>
    <comment ref="D14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Design split out from line 149 - CPR 19/CP59
</t>
        </r>
      </text>
    </comment>
    <comment ref="CB15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Moved $100K to Mayes Testing Engineers</t>
        </r>
      </text>
    </comment>
    <comment ref="CI15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BD16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River Clubhouse Phase 1 - design work?</t>
        </r>
      </text>
    </comment>
    <comment ref="BE16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Baker River Clubhouse Phase 1 - design work?</t>
        </r>
      </text>
    </comment>
    <comment ref="BI16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Turbine cover machined per instructions
</t>
        </r>
      </text>
    </comment>
    <comment ref="BI17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Unload equipment at shuffleton</t>
        </r>
      </text>
    </comment>
    <comment ref="BA17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Louise Popelka, 
26 hrs </t>
        </r>
      </text>
    </comment>
    <comment ref="BG17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Fiber consulting</t>
        </r>
      </text>
    </comment>
    <comment ref="BA17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time for Dan Howell 6 hrs, Bill Steele 8 hrs, no additional detail, billed to Dennis Taylor PSE Communications</t>
        </r>
      </text>
    </comment>
    <comment ref="AV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Work by Brad Canady</t>
        </r>
      </text>
    </comment>
    <comment ref="AW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Brad Cannady</t>
        </r>
      </text>
    </comment>
    <comment ref="AX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Brad Canady
</t>
        </r>
      </text>
    </comment>
    <comment ref="AY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Brad Canady
</t>
        </r>
      </text>
    </comment>
    <comment ref="BC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Incorrect charges?</t>
        </r>
      </text>
    </comment>
    <comment ref="BE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Brad Canady 16 hrs 
</t>
        </r>
      </text>
    </comment>
    <comment ref="BG17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6/1/2012 - 6/29/2012
Brad Canady 20 hrs</t>
        </r>
      </text>
    </comment>
    <comment ref="G1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R Bollich email 10/17/2012 - $500K "transferred" from IT department to project</t>
        </r>
      </text>
    </comment>
    <comment ref="H1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R Bollich email 10/17/2012 - $500K "transferred" from IT department to project</t>
        </r>
      </text>
    </comment>
    <comment ref="I1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R Bollich email 10/17/2012 - $500K "transferred" from IT department to project</t>
        </r>
      </text>
    </comment>
    <comment ref="AY18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Analysis of test samples (acid wash and silica gel cleanup)</t>
        </r>
      </text>
    </comment>
    <comment ref="BK18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Maintenance testing of htg</t>
        </r>
      </text>
    </comment>
    <comment ref="AY1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Credit for double payment of invoice in Oct 2011
</t>
        </r>
      </text>
    </comment>
    <comment ref="CI19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invoice</t>
        </r>
      </text>
    </comment>
    <comment ref="AY19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Credit for double payment of invoice in Oct 2011
</t>
        </r>
      </text>
    </comment>
    <comment ref="CI19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invoice</t>
        </r>
      </text>
    </comment>
    <comment ref="BD20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Hauling gravel to LB - approved by John Jensen.
</t>
        </r>
      </text>
    </comment>
    <comment ref="BI20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move eco blocks</t>
        </r>
      </text>
    </comment>
    <comment ref="AY20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"Sweep lower park way and road at Baker Dam"</t>
        </r>
      </text>
    </comment>
    <comment ref="AL2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$276,250 Dec 2010 accrual</t>
        </r>
      </text>
    </comment>
    <comment ref="AO2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Dec 2010 accrual reversal
</t>
        </r>
      </text>
    </comment>
    <comment ref="AS2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($1,633,878) accrual reversal and $1,611,024 new accrual</t>
        </r>
      </text>
    </comment>
    <comment ref="CI212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AL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Include $276,250 Dec 2010 accrual</t>
        </r>
      </text>
    </comment>
    <comment ref="AO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Dec 2010 accrual reversal
</t>
        </r>
      </text>
    </comment>
    <comment ref="AS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($1,633,878) accrual reversal and $1,611,024 new accrual</t>
        </r>
      </text>
    </comment>
    <comment ref="BC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milestone 10</t>
        </r>
      </text>
    </comment>
    <comment ref="CD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7.8% WA state tax rate in estimate, 8.2% use tax billed</t>
        </r>
      </text>
    </comment>
    <comment ref="CI21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4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7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CI219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BC22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Supervision for Jan and Feb 2012</t>
        </r>
      </text>
    </comment>
    <comment ref="CB22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Moved $100K to Mayes Testing Engineers</t>
        </r>
      </text>
    </comment>
    <comment ref="CI22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Adjusted GMP including CO's 1-3 (8/16/2011)
</t>
        </r>
      </text>
    </comment>
    <comment ref="AS27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($10,000) accrual reversal</t>
        </r>
      </text>
    </comment>
    <comment ref="BE27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Final billing for rockslope stability monitoring</t>
        </r>
      </text>
    </comment>
    <comment ref="BA278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As per pay app
</t>
        </r>
      </text>
    </comment>
    <comment ref="AX2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Subsurface explorations, work through 10/15/2011</t>
        </r>
      </text>
    </comment>
    <comment ref="AY2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Subsurface explorations, work through 11/12/2011</t>
        </r>
      </text>
    </comment>
    <comment ref="BA280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Subsurface explorations 11/13 - 12/17
</t>
        </r>
      </text>
    </comment>
    <comment ref="AX28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Monthly slope stability monitoring, work though 10/15/2011</t>
        </r>
      </text>
    </comment>
    <comment ref="AY281" authorId="1">
      <text>
        <r>
          <rPr>
            <b/>
            <sz val="8"/>
            <color indexed="81"/>
            <rFont val="Tahoma"/>
            <family val="2"/>
          </rPr>
          <t>Lenovo User:</t>
        </r>
        <r>
          <rPr>
            <sz val="8"/>
            <color indexed="81"/>
            <rFont val="Tahoma"/>
            <family val="2"/>
          </rPr>
          <t xml:space="preserve">
Monthly slope stability monitoring. Forecast to complete - no money going forward?</t>
        </r>
      </text>
    </comment>
    <comment ref="CB283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Actuals to date charged to internal order - John Peterman to move</t>
        </r>
      </text>
    </comment>
    <comment ref="BE285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Powerhouse trail inadvertent discovery</t>
        </r>
      </text>
    </comment>
    <comment ref="CC28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Moved remaining $67K 
to Shannon Wilson
</t>
        </r>
      </text>
    </comment>
    <comment ref="BO291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vs $75K forecast in Jan</t>
        </r>
      </text>
    </comment>
    <comment ref="BO306" authorId="0">
      <text>
        <r>
          <rPr>
            <b/>
            <sz val="8"/>
            <color indexed="81"/>
            <rFont val="Tahoma"/>
            <family val="2"/>
          </rPr>
          <t>Puget Sound Energy:</t>
        </r>
        <r>
          <rPr>
            <sz val="8"/>
            <color indexed="81"/>
            <rFont val="Tahoma"/>
            <family val="2"/>
          </rPr>
          <t xml:space="preserve">
vs $71K forecast in Jan</t>
        </r>
      </text>
    </comment>
  </commentList>
</comments>
</file>

<file path=xl/comments3.xml><?xml version="1.0" encoding="utf-8"?>
<comments xmlns="http://schemas.openxmlformats.org/spreadsheetml/2006/main">
  <authors>
    <author>Mickelson, Christopher (UTC)</author>
  </authors>
  <commentList>
    <comment ref="E8" authorId="0">
      <text>
        <r>
          <rPr>
            <b/>
            <sz val="9"/>
            <color indexed="81"/>
            <rFont val="Tahoma"/>
            <family val="2"/>
          </rPr>
          <t>Mickelson, Christopher (UTC):</t>
        </r>
        <r>
          <rPr>
            <sz val="9"/>
            <color indexed="81"/>
            <rFont val="Tahoma"/>
            <family val="2"/>
          </rPr>
          <t xml:space="preserve">
Per PSE's response to Staff DR 43 - Attach
 B </t>
        </r>
      </text>
    </comment>
  </commentList>
</comments>
</file>

<file path=xl/comments4.xml><?xml version="1.0" encoding="utf-8"?>
<comments xmlns="http://schemas.openxmlformats.org/spreadsheetml/2006/main">
  <authors>
    <author>nchar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nchar:</t>
        </r>
        <r>
          <rPr>
            <sz val="9"/>
            <color indexed="81"/>
            <rFont val="Tahoma"/>
            <family val="2"/>
          </rPr>
          <t xml:space="preserve">
2 months in 2008 plus 2009-2012</t>
        </r>
      </text>
    </comment>
  </commentList>
</comments>
</file>

<file path=xl/sharedStrings.xml><?xml version="1.0" encoding="utf-8"?>
<sst xmlns="http://schemas.openxmlformats.org/spreadsheetml/2006/main" count="1845" uniqueCount="973">
  <si>
    <t>Date</t>
  </si>
  <si>
    <t>Total</t>
  </si>
  <si>
    <t>Depreciation</t>
  </si>
  <si>
    <t>Taxes</t>
  </si>
  <si>
    <t>Month</t>
  </si>
  <si>
    <t>PUGET SOUND ENERGY</t>
  </si>
  <si>
    <t>Tax</t>
  </si>
  <si>
    <t>IRS Calculation</t>
  </si>
  <si>
    <t>Accumulated</t>
  </si>
  <si>
    <t>Days in</t>
  </si>
  <si>
    <t>Deferred Tax</t>
  </si>
  <si>
    <t>Deferred</t>
  </si>
  <si>
    <t># Days</t>
  </si>
  <si>
    <t>Total Days</t>
  </si>
  <si>
    <t>IRS</t>
  </si>
  <si>
    <t>Cum IRS</t>
  </si>
  <si>
    <t>Expense</t>
  </si>
  <si>
    <t>to include</t>
  </si>
  <si>
    <t>in Period</t>
  </si>
  <si>
    <t>Amount</t>
  </si>
  <si>
    <t>Average of the Monthly Averages</t>
  </si>
  <si>
    <t>Total Depreciable</t>
  </si>
  <si>
    <t>Depr Exp</t>
  </si>
  <si>
    <t>Plant Balance</t>
  </si>
  <si>
    <t>(d )= (c) x dep rate</t>
  </si>
  <si>
    <t>(a)</t>
  </si>
  <si>
    <t>(b)</t>
  </si>
  <si>
    <t>(c) = (a) - (b)</t>
  </si>
  <si>
    <r>
      <t>¸</t>
    </r>
    <r>
      <rPr>
        <b/>
        <sz val="10"/>
        <rFont val="Arial"/>
        <family val="2"/>
      </rPr>
      <t xml:space="preserve"> 12 mos.</t>
    </r>
  </si>
  <si>
    <t>(e) = prior month - (d)</t>
  </si>
  <si>
    <t>Depreciable Plant Balance</t>
  </si>
  <si>
    <t>Depreciation Expense</t>
  </si>
  <si>
    <t>Net Book Value</t>
  </si>
  <si>
    <t>NBV Diff</t>
  </si>
  <si>
    <t>ADFIT</t>
  </si>
  <si>
    <t>DFIT</t>
  </si>
  <si>
    <t>Book</t>
  </si>
  <si>
    <t>Book &gt; Tax</t>
  </si>
  <si>
    <t>Table</t>
  </si>
  <si>
    <t>DETERMINATION OF RATE YEAR DEFERRED FEDERAL INCOME TAX ARISING FROM DEPRECIATION</t>
  </si>
  <si>
    <t>DFIT arising from Depreciation Expense</t>
  </si>
  <si>
    <t>AMA Calculation</t>
  </si>
  <si>
    <t>Row</t>
  </si>
  <si>
    <t>Ended</t>
  </si>
  <si>
    <t>Balance</t>
  </si>
  <si>
    <t>a</t>
  </si>
  <si>
    <t>b</t>
  </si>
  <si>
    <t>c</t>
  </si>
  <si>
    <t>d = prior</t>
  </si>
  <si>
    <t>e =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</si>
  <si>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</si>
  <si>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</si>
  <si>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</si>
  <si>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</si>
  <si>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</si>
  <si>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PUGET SOUND ENERGY-ELECTRIC</t>
  </si>
  <si>
    <t>LINE</t>
  </si>
  <si>
    <t>NO.</t>
  </si>
  <si>
    <t>DESCRIPTION</t>
  </si>
  <si>
    <t>TEST YEAR</t>
  </si>
  <si>
    <t>ADJUSTMENT</t>
  </si>
  <si>
    <t>UTILITY PLANT RATEBASE</t>
  </si>
  <si>
    <t>PLANT BALANCE</t>
  </si>
  <si>
    <t xml:space="preserve">ACCUM DEPRECIATION </t>
  </si>
  <si>
    <t>DEFERRED INCOME TAX LIABILITY</t>
  </si>
  <si>
    <t>PROPERTY INSURANCE</t>
  </si>
  <si>
    <t>PROPERTY TAXES</t>
  </si>
  <si>
    <t>PRODUCTION O&amp;M</t>
  </si>
  <si>
    <t>TOTAL POWER COST AND PROD O&amp;M</t>
  </si>
  <si>
    <t>INCREASE (DECREASE ) EXPENSE</t>
  </si>
  <si>
    <t>12ME December 2015</t>
  </si>
  <si>
    <t>12ME December 2016</t>
  </si>
  <si>
    <t>12ME December 2017</t>
  </si>
  <si>
    <t>12ME December 2018</t>
  </si>
  <si>
    <t>12ME December 2019</t>
  </si>
  <si>
    <t>12ME December 2020</t>
  </si>
  <si>
    <t>12ME December 2021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</si>
  <si>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</si>
  <si>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</si>
  <si>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</si>
  <si>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</si>
  <si>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</si>
  <si>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</si>
  <si>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</si>
  <si>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</si>
  <si>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</si>
  <si>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12ME December 2031</t>
  </si>
  <si>
    <t>12ME December 2032</t>
  </si>
  <si>
    <t>12ME December 2033</t>
  </si>
  <si>
    <t>12ME December 2034</t>
  </si>
  <si>
    <t>12ME December 2035</t>
  </si>
  <si>
    <t>(d) = (a) x Tax</t>
  </si>
  <si>
    <t>12ME December 2036</t>
  </si>
  <si>
    <t>Using Tax Basis</t>
  </si>
  <si>
    <t>BOOK</t>
  </si>
  <si>
    <t>Permanent Difference</t>
  </si>
  <si>
    <t>(c)</t>
  </si>
  <si>
    <t>TAXABLE DEPRECIATION EXPENSE</t>
  </si>
  <si>
    <t>NON-TAXABLE DEPRECIATION EXPENSE</t>
  </si>
  <si>
    <t>TOTAL DEPRECIATION EXPENSE</t>
  </si>
  <si>
    <t>Net Difference</t>
  </si>
  <si>
    <t>(g) = (e) x (f)</t>
  </si>
  <si>
    <t>Book Depr.</t>
  </si>
  <si>
    <t>(h) = prior month - (d)</t>
  </si>
  <si>
    <t>(i) = prior month - (e)</t>
  </si>
  <si>
    <t>(j) = prior month - (g)</t>
  </si>
  <si>
    <t>(k) = (a) + (h)</t>
  </si>
  <si>
    <t>(m) = (k) - (l)</t>
  </si>
  <si>
    <t>(n) = - (m) * 35%</t>
  </si>
  <si>
    <t>(o) = - curr month (n)</t>
  </si>
  <si>
    <t>+ prior month (n)</t>
  </si>
  <si>
    <t>POWER COST  - PURCHASED POWER</t>
  </si>
  <si>
    <t>POWER COST  - WHEELING *</t>
  </si>
  <si>
    <t xml:space="preserve">Plant </t>
  </si>
  <si>
    <t>12ME December 2037</t>
  </si>
  <si>
    <t>Baker</t>
  </si>
  <si>
    <t>FSC</t>
  </si>
  <si>
    <t>Unit 4</t>
  </si>
  <si>
    <t>12ME December 2038</t>
  </si>
  <si>
    <t>12ME December 2039</t>
  </si>
  <si>
    <t>12ME December 2040</t>
  </si>
  <si>
    <t>12ME December 2041</t>
  </si>
  <si>
    <t>12ME December 2042</t>
  </si>
  <si>
    <t>12ME December 2043</t>
  </si>
  <si>
    <t>12ME December 2044</t>
  </si>
  <si>
    <t>12ME December 2045</t>
  </si>
  <si>
    <t>Depreciation Method:  Day of Service Convention, Straight-line</t>
  </si>
  <si>
    <t>Accumulated Depreciation</t>
  </si>
  <si>
    <t>Hydro Projects</t>
  </si>
  <si>
    <t>Timing &amp; Capital</t>
  </si>
  <si>
    <t>In Service</t>
  </si>
  <si>
    <t xml:space="preserve">Budget </t>
  </si>
  <si>
    <t>Closings</t>
  </si>
  <si>
    <t>Sub-Total</t>
  </si>
  <si>
    <t>AFUDC</t>
  </si>
  <si>
    <t xml:space="preserve">Proposed Depreciation Rate </t>
  </si>
  <si>
    <t>Depreciation per month</t>
  </si>
  <si>
    <t>Annual Depreciation</t>
  </si>
  <si>
    <t>Annual Depreciation Rate</t>
  </si>
  <si>
    <t>Annual Depreciation with effects of rounding removed</t>
  </si>
  <si>
    <t>Average Deprec. Rate</t>
  </si>
  <si>
    <t>20 Year MACRS Table</t>
  </si>
  <si>
    <t xml:space="preserve">In service Date </t>
  </si>
  <si>
    <t>Months</t>
  </si>
  <si>
    <t>(e) = (b) x 3.18%</t>
  </si>
  <si>
    <t>(f) = (c) x 3.18%</t>
  </si>
  <si>
    <t>Book Basis</t>
  </si>
  <si>
    <t>Tax Basis</t>
  </si>
  <si>
    <t>GRAND TOTAL OF OPERATING EXPENSES</t>
  </si>
  <si>
    <t>based on Tax Basis</t>
  </si>
  <si>
    <t>(l) = (c) + (i) +(j)</t>
  </si>
  <si>
    <t>Baker RATEBASE (AMA)</t>
  </si>
  <si>
    <t>NET Baker RATEBASE</t>
  </si>
  <si>
    <t>Baker OPERATING EXPENSE</t>
  </si>
  <si>
    <t xml:space="preserve">POWER COST &amp; PRODUCTION O&amp;M RELATED TO </t>
  </si>
  <si>
    <t>Project Name:   Baker Upgrade</t>
  </si>
  <si>
    <t>Total Baker Upgrade</t>
  </si>
  <si>
    <t>12ME December 2046</t>
  </si>
  <si>
    <t>12ME December 2047</t>
  </si>
  <si>
    <t>12ME December 2048</t>
  </si>
  <si>
    <t>12ME December 2049</t>
  </si>
  <si>
    <t>12ME December 2050</t>
  </si>
  <si>
    <t xml:space="preserve">Baker TOTAL PROJECT  </t>
  </si>
  <si>
    <t xml:space="preserve">Total Baker Deferred FIT </t>
  </si>
  <si>
    <t>(Half year)</t>
  </si>
  <si>
    <t>Baker:</t>
  </si>
  <si>
    <t>Remaining months to be depreciated and used for dep rate on NEW Plant (a)</t>
  </si>
  <si>
    <t>(e) = (b) x 2.20%</t>
  </si>
  <si>
    <t>(f) = (c) x 2.20%</t>
  </si>
  <si>
    <t>12ME December 2051</t>
  </si>
  <si>
    <t>12ME December 2052</t>
  </si>
  <si>
    <t>12ME December 2053</t>
  </si>
  <si>
    <t>12ME December 2054</t>
  </si>
  <si>
    <t>12ME December 2055</t>
  </si>
  <si>
    <t>12ME December 2056</t>
  </si>
  <si>
    <t>12ME December 2057</t>
  </si>
  <si>
    <t>12ME December 2058</t>
  </si>
  <si>
    <t>12ME December 2059</t>
  </si>
  <si>
    <t>12ME December 2060</t>
  </si>
  <si>
    <t>12ME December 2061</t>
  </si>
  <si>
    <t>12ME December 2062</t>
  </si>
  <si>
    <t>License Life for Baker = 50 Years</t>
  </si>
  <si>
    <t>(a)  The plant's depreciable life is 50 years per FERC License that PSE obtained in Nov, 2008.  The new plant is</t>
  </si>
  <si>
    <t>Addtions</t>
  </si>
  <si>
    <t>f = col. a row 29</t>
  </si>
  <si>
    <t>Open</t>
  </si>
  <si>
    <t>TOTAL Baker Upgrade</t>
  </si>
  <si>
    <t>for Baker Upgrade - FSC and Unit 4</t>
  </si>
  <si>
    <t>Total grant-eligible costs</t>
  </si>
  <si>
    <t>Total cost estimate incl. AFUDC</t>
  </si>
  <si>
    <t>Construction Period Interest</t>
  </si>
  <si>
    <t>Total project cost</t>
  </si>
  <si>
    <t>% AFUDC eligible as CPI:</t>
  </si>
  <si>
    <t xml:space="preserve">Months oper under lic through latest full year (2012) since Lic obtained Nov 2008 </t>
  </si>
  <si>
    <t>May</t>
  </si>
  <si>
    <t>Aug</t>
  </si>
  <si>
    <t>REVENUE ADJUSTMENT for FLOW-THRU TAXES</t>
  </si>
  <si>
    <t>In service Date June 10, 2013</t>
  </si>
  <si>
    <t>(f)</t>
  </si>
  <si>
    <t>Project Cost at Completion</t>
  </si>
  <si>
    <t>AFUDC* Eligible CPI%</t>
  </si>
  <si>
    <t>Basis</t>
  </si>
  <si>
    <t>Before</t>
  </si>
  <si>
    <t>Treasury Grant</t>
  </si>
  <si>
    <t>Impact of CPI</t>
  </si>
  <si>
    <t xml:space="preserve">Treasury  </t>
  </si>
  <si>
    <t>Grant</t>
  </si>
  <si>
    <t>n/a</t>
  </si>
  <si>
    <t>Adjustment</t>
  </si>
  <si>
    <t>(e) =(d) x 30%</t>
  </si>
  <si>
    <t>(d)</t>
  </si>
  <si>
    <t>(e)</t>
  </si>
  <si>
    <t>(g)</t>
  </si>
  <si>
    <t>(f) =(e) x 50%</t>
  </si>
  <si>
    <t>(g) =(d) - (f)</t>
  </si>
  <si>
    <t>(h)</t>
  </si>
  <si>
    <t>Book vs</t>
  </si>
  <si>
    <t>(d)=(a) + ( c)</t>
  </si>
  <si>
    <t>Tax Basis Baker Upgrade</t>
  </si>
  <si>
    <t xml:space="preserve">   date to use for purposes of calculating the depreciation rate for Baker is 549 months or 45.75 years </t>
  </si>
  <si>
    <t>In Service Date: Feb 14th 2013</t>
  </si>
  <si>
    <t>U4 powerhouse AFUDC Split</t>
  </si>
  <si>
    <t>FSC AFUDC Split</t>
  </si>
  <si>
    <t>In service Date February 14th 2013</t>
  </si>
  <si>
    <t>(h) =(a) - (g)</t>
  </si>
  <si>
    <t>Estimated Treasury Grant-eligible costs</t>
  </si>
  <si>
    <t>RATE YEAR END Ocotober 31, 2014</t>
  </si>
  <si>
    <t>Sequestration 8.7%</t>
  </si>
  <si>
    <t>Estimated Treasury Grant amount with 8.7% Sequestration</t>
  </si>
  <si>
    <t>Estimated Treasury Grant amount pre-sequestration</t>
  </si>
  <si>
    <t>Sep</t>
  </si>
  <si>
    <t>Oct</t>
  </si>
  <si>
    <t>Lower Baker Powerhouse</t>
  </si>
  <si>
    <t>Lower Baker FSC</t>
  </si>
  <si>
    <t>Lower Baker Powerhouse Treasury Grant estimate Revised for Sequestration 8.7%</t>
  </si>
  <si>
    <t>Lower Baker FSC estimates in service date Feb 14th 2013</t>
  </si>
  <si>
    <t xml:space="preserve">   on the FSC, and 544 months or 45.3 years on the Powerhouse.</t>
  </si>
  <si>
    <t>Total LB Powerhouse before AFUDC</t>
  </si>
  <si>
    <t>Lower Baker Powerhouse estimates in service date July 24th 2013</t>
  </si>
  <si>
    <t>Months oper under lic in 2013 prior to On-line dates (2.14.13 FSC; 7.24.13 Unit 4)</t>
  </si>
  <si>
    <t xml:space="preserve">   estimated to be in service Feb 14th, 2013 (FSC) and July 24nd, 2013 (Unit 4).  Therefore, the terminal retirement </t>
  </si>
  <si>
    <t>In Service Date: July 24th 2013</t>
  </si>
  <si>
    <t>Pending</t>
  </si>
  <si>
    <t>Within last 20% of Agreement Value</t>
  </si>
  <si>
    <t>Exceeds Agreement Value</t>
  </si>
  <si>
    <t>LB FSC - S.10774.01.01.05.02, S000774.01.01.05.03</t>
  </si>
  <si>
    <t>Agreement #</t>
  </si>
  <si>
    <t>Target Value</t>
  </si>
  <si>
    <t>Status</t>
  </si>
  <si>
    <t>Original Budget</t>
  </si>
  <si>
    <t>Current Budget</t>
  </si>
  <si>
    <t>Inception through 2009</t>
  </si>
  <si>
    <t>Jan</t>
  </si>
  <si>
    <t>Feb</t>
  </si>
  <si>
    <t>Mar</t>
  </si>
  <si>
    <t>Apr</t>
  </si>
  <si>
    <t>Jun</t>
  </si>
  <si>
    <t>Jul</t>
  </si>
  <si>
    <t>Nov</t>
  </si>
  <si>
    <t>Dec</t>
  </si>
  <si>
    <t>Cost to Date</t>
  </si>
  <si>
    <t>Forecast to Completion</t>
  </si>
  <si>
    <t>Current Forecast at Completion</t>
  </si>
  <si>
    <t>Current Budget Variance</t>
  </si>
  <si>
    <t>Previous month forecast</t>
  </si>
  <si>
    <t>Forecast  Variance - Current to previous</t>
  </si>
  <si>
    <t xml:space="preserve">5-Year Capital Plan </t>
  </si>
  <si>
    <t>Actual</t>
  </si>
  <si>
    <t>Forecast</t>
  </si>
  <si>
    <t>Plan Title</t>
  </si>
  <si>
    <t>excl AFUDC</t>
  </si>
  <si>
    <t xml:space="preserve">A. </t>
  </si>
  <si>
    <t>ACQUISITIONS / EASEMENTS</t>
  </si>
  <si>
    <t>LB Dwnstrm Fish Passage Cap</t>
  </si>
  <si>
    <t>Current forecast</t>
  </si>
  <si>
    <t>PURCHASE / LEASE</t>
  </si>
  <si>
    <t>Current plan</t>
  </si>
  <si>
    <t>Cal Portland Purchase</t>
  </si>
  <si>
    <t>Commission</t>
  </si>
  <si>
    <t>CAL-PORTLAND EASEMENT</t>
  </si>
  <si>
    <t>Demolition</t>
  </si>
  <si>
    <t>LEGAL (Acquisitions)</t>
  </si>
  <si>
    <t>Contract</t>
  </si>
  <si>
    <t>Negotiations</t>
  </si>
  <si>
    <t>Other</t>
  </si>
  <si>
    <t>B.</t>
  </si>
  <si>
    <t>PSE INTERNAL</t>
  </si>
  <si>
    <t>PSE LABOR &amp; MISC EXPENSE &amp; OH</t>
  </si>
  <si>
    <t>Inception through 12/31/2009</t>
  </si>
  <si>
    <t>2010 Through Completion 6/1/2013</t>
  </si>
  <si>
    <t>Project Management and Project Engineering</t>
  </si>
  <si>
    <t>Construction Management</t>
  </si>
  <si>
    <t>PTS Support - Design</t>
  </si>
  <si>
    <t>PTS Support - Construction</t>
  </si>
  <si>
    <t>Plant Support</t>
  </si>
  <si>
    <t>Permitting Staff</t>
  </si>
  <si>
    <t>IT</t>
  </si>
  <si>
    <t>Corporate Security</t>
  </si>
  <si>
    <t>Cultural / Archeology</t>
  </si>
  <si>
    <t>To be awarded</t>
  </si>
  <si>
    <t>TEMP. FACILITIES</t>
  </si>
  <si>
    <t>ALLOCATIONS</t>
  </si>
  <si>
    <t>OTHER</t>
  </si>
  <si>
    <t>C.</t>
  </si>
  <si>
    <t>CONSULTANT SERVICES</t>
  </si>
  <si>
    <t>PRE-DESIGN</t>
  </si>
  <si>
    <t>Services Through 2009</t>
  </si>
  <si>
    <t>DESIGN PHASE</t>
  </si>
  <si>
    <t>01/2010 to 02/2011</t>
  </si>
  <si>
    <t>Engineering - MWH</t>
  </si>
  <si>
    <t>Active</t>
  </si>
  <si>
    <t>Accruals</t>
  </si>
  <si>
    <t>Geotechnical - Shannon and Wilson</t>
  </si>
  <si>
    <t>Project Controls</t>
  </si>
  <si>
    <t>Blanket agreement</t>
  </si>
  <si>
    <t>Project Engineering (Wescorp)</t>
  </si>
  <si>
    <t>Structural</t>
  </si>
  <si>
    <t>Cultural / Archeology (Northwest Archaeological)</t>
  </si>
  <si>
    <t>Environmental</t>
  </si>
  <si>
    <t>Fish and Wildlife (Fisheries Design Review) - Kozmo</t>
  </si>
  <si>
    <t>Permitting Assistance (Geoengineers)</t>
  </si>
  <si>
    <t>Cost Estimate</t>
  </si>
  <si>
    <t>Value Engineering</t>
  </si>
  <si>
    <t>GC Design Assist</t>
  </si>
  <si>
    <t>Acoustic (195K study completed in pre-design)</t>
  </si>
  <si>
    <t>Drafting Support - Autoscan</t>
  </si>
  <si>
    <t>Agreement expired</t>
  </si>
  <si>
    <t>Prelimary Design Scoping and Development - R2</t>
  </si>
  <si>
    <t>Meeting Facilitator - PDSA</t>
  </si>
  <si>
    <t xml:space="preserve">Sogetti </t>
  </si>
  <si>
    <t>Document Control - URS</t>
  </si>
  <si>
    <t>Volt</t>
  </si>
  <si>
    <t>Aerotek</t>
  </si>
  <si>
    <t>Leonard Boudinot &amp; Skodje Inc</t>
  </si>
  <si>
    <t>Applied Professional Services Inc.</t>
  </si>
  <si>
    <t>URS Corporation</t>
  </si>
  <si>
    <t>Hill International</t>
  </si>
  <si>
    <t>CONSTRUCTION PHASE</t>
  </si>
  <si>
    <t>03/2011 to 06/2013</t>
  </si>
  <si>
    <t>AECOM/ENSR - Screen Balancing (Alden Research Laboratory Inc)</t>
  </si>
  <si>
    <t>AECOM/ENSR - Baffle Tests</t>
  </si>
  <si>
    <t>AECOM - start-up support</t>
  </si>
  <si>
    <t>Alden Research Laboratory Inc (see 303.010)</t>
  </si>
  <si>
    <t>Applied Professional Services Inc</t>
  </si>
  <si>
    <t>Bradson Technology Professionals</t>
  </si>
  <si>
    <t>Claims Consultant</t>
  </si>
  <si>
    <t>Construction Administration (Hayre McElroy)</t>
  </si>
  <si>
    <t>Custom Coatings Consultants</t>
  </si>
  <si>
    <t>Direct Connect Group West</t>
  </si>
  <si>
    <t>Evans E-Z Dock Inc</t>
  </si>
  <si>
    <t xml:space="preserve">Hill International </t>
  </si>
  <si>
    <t>Historical Research Associates Inc</t>
  </si>
  <si>
    <t>Kozmo Ken Bates</t>
  </si>
  <si>
    <t>MWH (Engineering)</t>
  </si>
  <si>
    <t>NRC Environmental Services</t>
  </si>
  <si>
    <t>North Shore Maintenance</t>
  </si>
  <si>
    <t>North Sky Engineering</t>
  </si>
  <si>
    <t>Northwest Cascade (Honey Buckett)</t>
  </si>
  <si>
    <t>NW Utility Services LLC</t>
  </si>
  <si>
    <t>Open Text Inc</t>
  </si>
  <si>
    <t>Pacific Geomatic Services Inc.</t>
  </si>
  <si>
    <t>Pacific Rim Environmental Inc</t>
  </si>
  <si>
    <t>QA/QC Inspection (Mayes Testing)</t>
  </si>
  <si>
    <t>Quanta</t>
  </si>
  <si>
    <t>Shannon &amp; Wilson ( Pier Construction Observation/Support)</t>
  </si>
  <si>
    <t>Turbo Trucking</t>
  </si>
  <si>
    <t>LPO403408</t>
  </si>
  <si>
    <t>Complete</t>
  </si>
  <si>
    <t>Van De Vanter Group</t>
  </si>
  <si>
    <t>WQPP - Geoengineers</t>
  </si>
  <si>
    <t>ASSESSMENTS</t>
  </si>
  <si>
    <t>69990120 - Transfer - P/P/C</t>
  </si>
  <si>
    <t>84200012 - Legal Assessment</t>
  </si>
  <si>
    <t>84200013 - Other Assessment</t>
  </si>
  <si>
    <t>84200078 - Field Assessment</t>
  </si>
  <si>
    <t>DESIGN CONTINGENCY (10% +/-) (see 1000.100)</t>
  </si>
  <si>
    <t>D.</t>
  </si>
  <si>
    <t>CONSTRUCTION</t>
  </si>
  <si>
    <t>04/2011 to 06/2013</t>
  </si>
  <si>
    <t>PRE-CONSTRUCTION</t>
  </si>
  <si>
    <t>Reservoir Logging - Triton</t>
  </si>
  <si>
    <t>Completed</t>
  </si>
  <si>
    <t>MAIN CONSTRUCTION EFFORT (SKANSKA CIVIL NW)</t>
  </si>
  <si>
    <t>General</t>
  </si>
  <si>
    <t>Accruals- work complete</t>
  </si>
  <si>
    <t>Accruals - retention earned</t>
  </si>
  <si>
    <t>Mooring Anchorages</t>
  </si>
  <si>
    <t>Guide Net Systems</t>
  </si>
  <si>
    <t>Net Transition Structure</t>
  </si>
  <si>
    <t>Floating Surface Collector</t>
  </si>
  <si>
    <t>Shore side facilities</t>
  </si>
  <si>
    <r>
      <t>CO 3</t>
    </r>
    <r>
      <rPr>
        <sz val="9"/>
        <rFont val="Arial"/>
        <family val="2"/>
      </rPr>
      <t xml:space="preserve"> - Escalation on Steel</t>
    </r>
  </si>
  <si>
    <r>
      <t>CO 5</t>
    </r>
    <r>
      <rPr>
        <sz val="9"/>
        <rFont val="Arial"/>
        <family val="2"/>
      </rPr>
      <t xml:space="preserve"> - Temporary power credit</t>
    </r>
  </si>
  <si>
    <r>
      <t>CO 6</t>
    </r>
    <r>
      <rPr>
        <sz val="9"/>
        <rFont val="Arial"/>
        <family val="2"/>
      </rPr>
      <t xml:space="preserve"> - Pier design and construction, misc. items</t>
    </r>
  </si>
  <si>
    <r>
      <t>CO 7</t>
    </r>
    <r>
      <rPr>
        <sz val="9"/>
        <rFont val="Arial"/>
        <family val="2"/>
      </rPr>
      <t xml:space="preserve"> - Pit Tag Detector Shield, etc</t>
    </r>
  </si>
  <si>
    <r>
      <t>CO 8</t>
    </r>
    <r>
      <rPr>
        <sz val="9"/>
        <rFont val="Arial"/>
        <family val="2"/>
      </rPr>
      <t xml:space="preserve"> - 16" Bulkhead Knife Gate, etc</t>
    </r>
  </si>
  <si>
    <t xml:space="preserve">CCD 7 - Revised Guide Nets </t>
  </si>
  <si>
    <t>CP 6 - Mooring Line Length Addition</t>
  </si>
  <si>
    <r>
      <t>CO 9</t>
    </r>
    <r>
      <rPr>
        <sz val="9"/>
        <rFont val="Arial"/>
        <family val="2"/>
      </rPr>
      <t xml:space="preserve"> - Baffle Modifications 8/16 Drawings</t>
    </r>
  </si>
  <si>
    <r>
      <t>CO 10</t>
    </r>
    <r>
      <rPr>
        <sz val="9"/>
        <rFont val="Arial"/>
        <family val="2"/>
      </rPr>
      <t xml:space="preserve"> - T&amp;M for access road bank slope removal, etc</t>
    </r>
  </si>
  <si>
    <r>
      <t>CO 11</t>
    </r>
    <r>
      <rPr>
        <sz val="9"/>
        <rFont val="Arial"/>
        <family val="2"/>
      </rPr>
      <t xml:space="preserve"> - DBM Pile splicing and subsurface variations, Blast quantity differences (CP45 - CP49)</t>
    </r>
  </si>
  <si>
    <r>
      <t>CO 12</t>
    </r>
    <r>
      <rPr>
        <sz val="9"/>
        <rFont val="Arial"/>
        <family val="2"/>
      </rPr>
      <t xml:space="preserve"> - DBM subsurface variations, DBM higher strength bedrock impact</t>
    </r>
  </si>
  <si>
    <r>
      <t>CO 13</t>
    </r>
    <r>
      <rPr>
        <sz val="9"/>
        <rFont val="Arial"/>
        <family val="2"/>
      </rPr>
      <t xml:space="preserve"> - Various changes</t>
    </r>
  </si>
  <si>
    <t>CO 14</t>
  </si>
  <si>
    <t xml:space="preserve">CP 0053 - Adding float switches in pontoons. </t>
  </si>
  <si>
    <t>CP 0057 - Pier Security</t>
  </si>
  <si>
    <t>CP 0067 - Design-Build CMU building</t>
  </si>
  <si>
    <r>
      <t>CO 15</t>
    </r>
    <r>
      <rPr>
        <sz val="9"/>
        <rFont val="Arial"/>
        <family val="2"/>
      </rPr>
      <t xml:space="preserve"> - Monorail hoist support structure changes (CP-0063)</t>
    </r>
  </si>
  <si>
    <t xml:space="preserve">CP 066 - FSC Security </t>
  </si>
  <si>
    <t>CP 0013R3 - Added load cell monitoring line 8</t>
  </si>
  <si>
    <t>CP 0068 - Jib crane manufacturer &amp; model changes</t>
  </si>
  <si>
    <t>CP 0069 - PIT Tagg Electrical</t>
  </si>
  <si>
    <t>CP 0065A - Sliding gate operator</t>
  </si>
  <si>
    <t>CP 0070 - Monorail hoist changes</t>
  </si>
  <si>
    <r>
      <t>CO 16</t>
    </r>
    <r>
      <rPr>
        <sz val="9"/>
        <rFont val="Arial"/>
        <family val="2"/>
      </rPr>
      <t xml:space="preserve"> - Various Changes</t>
    </r>
  </si>
  <si>
    <t>CP 0079 - Modifications to Operating Deck Railing.</t>
  </si>
  <si>
    <t>CP 0081 - Pump Base modifications.</t>
  </si>
  <si>
    <t>CP 0073 - RFI 308 308.1 Holding tank and vertical crowder conflict.</t>
  </si>
  <si>
    <t>CP 0080 - Semi-circle decking plates added to floating dock</t>
  </si>
  <si>
    <t>CP 0071 - Haul material from quarry to FSC location and grade</t>
  </si>
  <si>
    <t>CP 0075 - Added pump room pedestals</t>
  </si>
  <si>
    <t>CP 0076 - Added holding pond weir gate cover</t>
  </si>
  <si>
    <t>CP 0078 - RFI-0383 Added 3 lights in evaluation station</t>
  </si>
  <si>
    <t>Forecast allowance for Skanska changes (tbd)</t>
  </si>
  <si>
    <r>
      <t>CO 17</t>
    </r>
    <r>
      <rPr>
        <sz val="9"/>
        <rFont val="Arial"/>
        <family val="2"/>
      </rPr>
      <t xml:space="preserve"> - Various Changes</t>
    </r>
  </si>
  <si>
    <t>CP-0090 Operating Deck Hatch Replacement</t>
  </si>
  <si>
    <t>CP-0072 Revisions from SKA-SUB-0083</t>
  </si>
  <si>
    <t>CP-0051 Reduced Quantity Sinker Weights</t>
  </si>
  <si>
    <t>CP-0092 RFI-266 Fishway Tolerances</t>
  </si>
  <si>
    <t>CP-0074 Docking Station Bridge Plate Material Change</t>
  </si>
  <si>
    <t>CP-0087 Added BFV Drain for Holding Pond</t>
  </si>
  <si>
    <t>CP-0077 Revised Monorail Catwalk Extension</t>
  </si>
  <si>
    <t>CP-0095 Vent Header Cut-Out on Pre-Engineered Metal Building</t>
  </si>
  <si>
    <t>CP-0098 Revised NTS Lighting per NTS-401</t>
  </si>
  <si>
    <t>CP-0094 NTS Winches Connection Upgrade</t>
  </si>
  <si>
    <t>CP-0105 Fish Crowder Conflicts</t>
  </si>
  <si>
    <t>CP-0082 Added Standpipe for Level Transmitters</t>
  </si>
  <si>
    <t>CP-0083 RFI-384 Added Power &amp; Controls for NTS Water Separator</t>
  </si>
  <si>
    <t>CP-0084 Add Switch and Receptacle for Recirc Pump</t>
  </si>
  <si>
    <t>CP-0099 Medium Voltage Conduit Revisions</t>
  </si>
  <si>
    <t>CP-0085 Disconnect at the Monorail Hoist</t>
  </si>
  <si>
    <t>CP-0101 Secondary and Holding Pond Pump Flap Gates Rework</t>
  </si>
  <si>
    <t>CP-0102 Relocate Vent 6C due to Conflict with Pump</t>
  </si>
  <si>
    <t>CP-0100 Revised Drawing M-418-1 Transport Tank</t>
  </si>
  <si>
    <r>
      <t>CO 18</t>
    </r>
    <r>
      <rPr>
        <sz val="9"/>
        <rFont val="Arial"/>
        <family val="2"/>
      </rPr>
      <t xml:space="preserve"> - Various Changes</t>
    </r>
  </si>
  <si>
    <r>
      <t>CO 19</t>
    </r>
    <r>
      <rPr>
        <sz val="9"/>
        <rFont val="Arial"/>
        <family val="2"/>
      </rPr>
      <t xml:space="preserve"> - Various Changes</t>
    </r>
  </si>
  <si>
    <t>Credit - CP 0067 (Design-Build CMU Building). Item charged to order 103005057.</t>
  </si>
  <si>
    <t>MAIN CONSTRUCTION - OTHERS</t>
  </si>
  <si>
    <t>Transport Vessels - Kvichak</t>
  </si>
  <si>
    <t>Development</t>
  </si>
  <si>
    <t>Construction</t>
  </si>
  <si>
    <t>Option 4 - modifications to beam and overall length</t>
  </si>
  <si>
    <t>Change orders 003 - 010</t>
  </si>
  <si>
    <t>Pier and Docks</t>
  </si>
  <si>
    <t>Temporary Boat Launch</t>
  </si>
  <si>
    <t>Asplundh Tree Experts</t>
  </si>
  <si>
    <t>Jesse Engineering</t>
  </si>
  <si>
    <t>Mike Hawkins Trucking LLC</t>
  </si>
  <si>
    <t>Technical Systems Inc</t>
  </si>
  <si>
    <t>Western Refinery Services</t>
  </si>
  <si>
    <t>CONTROL BUILDING</t>
  </si>
  <si>
    <t xml:space="preserve">Allowance in MWH 30% Estimate </t>
  </si>
  <si>
    <t>COMMUNICATIONS BUILDING</t>
  </si>
  <si>
    <t>Wiring</t>
  </si>
  <si>
    <t>Network</t>
  </si>
  <si>
    <t>Voice</t>
  </si>
  <si>
    <t>Audio Visual</t>
  </si>
  <si>
    <t>Desktop</t>
  </si>
  <si>
    <t>TDM Network</t>
  </si>
  <si>
    <t>Microwave</t>
  </si>
  <si>
    <t>Power</t>
  </si>
  <si>
    <t>Fiber</t>
  </si>
  <si>
    <t>Contingency</t>
  </si>
  <si>
    <t>Dimension Data</t>
  </si>
  <si>
    <t>tbd</t>
  </si>
  <si>
    <t>Tessco</t>
  </si>
  <si>
    <t>SECURITY</t>
  </si>
  <si>
    <t>As per email 3/13/2012 from Corporate Security</t>
  </si>
  <si>
    <t>Revised estimate from IT as per Jim Hogan 6/19/2012</t>
  </si>
  <si>
    <t>Limited Energy Services Inc</t>
  </si>
  <si>
    <t xml:space="preserve">Trinity Gate and Door </t>
  </si>
  <si>
    <t>CONTINGENCY (25%) (See 1000.200)</t>
  </si>
  <si>
    <t>WSST (8.2%)</t>
  </si>
  <si>
    <t>WSST Adjustments</t>
  </si>
  <si>
    <t>ESCALATION (See 402.070)</t>
  </si>
  <si>
    <t>E.</t>
  </si>
  <si>
    <t>PSE PURCHASED EQUIPMENT &amp; MATERIAL</t>
  </si>
  <si>
    <t>BELLY TANKS / STEEL (contained in const. cost above)</t>
  </si>
  <si>
    <t>WSST</t>
  </si>
  <si>
    <t>SPARE PARTS</t>
  </si>
  <si>
    <t>Primary pump</t>
  </si>
  <si>
    <t>Transformer</t>
  </si>
  <si>
    <t xml:space="preserve">Other </t>
  </si>
  <si>
    <t>F.</t>
  </si>
  <si>
    <t>OTHER PROJECT COSTS</t>
  </si>
  <si>
    <t>MISC PROJECT COSTS</t>
  </si>
  <si>
    <t>Permit Fees</t>
  </si>
  <si>
    <t>GIS Data and Storage</t>
  </si>
  <si>
    <t>Sharepoint - (Building Information Systems LLC)</t>
  </si>
  <si>
    <t>Builders Risk Insurance</t>
  </si>
  <si>
    <t>LEGAL</t>
  </si>
  <si>
    <t>Contract Review-Consulting - Riddell Williams</t>
  </si>
  <si>
    <t>Contract Review - Construction</t>
  </si>
  <si>
    <t>Dewey &amp; Leboeuf LLP</t>
  </si>
  <si>
    <t>Perkins Coie LLP</t>
  </si>
  <si>
    <t>FISHERIES</t>
  </si>
  <si>
    <t>First Year Performance Study</t>
  </si>
  <si>
    <t>Biomark System Start Up Testing</t>
  </si>
  <si>
    <t>Onset Weather Station</t>
  </si>
  <si>
    <t>PIT Tag Equipment (Biomark)</t>
  </si>
  <si>
    <t>Small transport tank for study holding/release (AquaEngineering)</t>
  </si>
  <si>
    <t>5 Net pens</t>
  </si>
  <si>
    <t>Pen brackets and hardware</t>
  </si>
  <si>
    <t>Nets for pens</t>
  </si>
  <si>
    <t>Fish evaluation station setup</t>
  </si>
  <si>
    <t>Fish office setup</t>
  </si>
  <si>
    <t>FERC Plans - R2</t>
  </si>
  <si>
    <t>G.</t>
  </si>
  <si>
    <t>PSE PROJECT COSTS</t>
  </si>
  <si>
    <t>AFUDC - FERC - 8.1% Compounded anually</t>
  </si>
  <si>
    <t>INDIRECTS - OH Construction</t>
  </si>
  <si>
    <t>Corporate Indirects through 2009</t>
  </si>
  <si>
    <t>Corporate Indirects 2010 through completion</t>
  </si>
  <si>
    <t>Labor overhead</t>
  </si>
  <si>
    <t>Construction overhead</t>
  </si>
  <si>
    <t>H.</t>
  </si>
  <si>
    <t>CONTINGENCY (PSE)</t>
  </si>
  <si>
    <t>Design Contingency</t>
  </si>
  <si>
    <t>Construction Contingency</t>
  </si>
  <si>
    <t>I.</t>
  </si>
  <si>
    <t>RELATED PROJECTS</t>
  </si>
  <si>
    <t>TOTAL PROJECT (A-I) excluding AFUDC</t>
  </si>
  <si>
    <t xml:space="preserve">Total </t>
  </si>
  <si>
    <t>PROJECT INCLUDING AFUDC</t>
  </si>
  <si>
    <t>2012 Budget</t>
  </si>
  <si>
    <t>Forecast variance</t>
  </si>
  <si>
    <t>CLX/C.A.R.S. System</t>
  </si>
  <si>
    <t>Labor</t>
  </si>
  <si>
    <t>Employee Expense</t>
  </si>
  <si>
    <t>Material</t>
  </si>
  <si>
    <t>Miscellaneous Expense</t>
  </si>
  <si>
    <t>Insurance, Injuries</t>
  </si>
  <si>
    <t>Advertising</t>
  </si>
  <si>
    <t>Membership</t>
  </si>
  <si>
    <t>Employee Training</t>
  </si>
  <si>
    <t>Office and Supplies</t>
  </si>
  <si>
    <t>Phone Expense</t>
  </si>
  <si>
    <t>Regulatory Fees and Permits</t>
  </si>
  <si>
    <t>Software and Hardware</t>
  </si>
  <si>
    <t>Rent/Lease</t>
  </si>
  <si>
    <t>OH Construction</t>
  </si>
  <si>
    <t>OH Labor</t>
  </si>
  <si>
    <t>OH Material</t>
  </si>
  <si>
    <t>OH Transportation</t>
  </si>
  <si>
    <t>OH Small Tools</t>
  </si>
  <si>
    <t>Unassigned Cost Elements</t>
  </si>
  <si>
    <t>TOTAL PSE INTERNAL COSTS</t>
  </si>
  <si>
    <t>Employee:</t>
  </si>
  <si>
    <t>IT/Communications</t>
  </si>
  <si>
    <t>Security</t>
  </si>
  <si>
    <t>tbd - non assigned forecast</t>
  </si>
  <si>
    <t>Total Employee Charges to Project</t>
  </si>
  <si>
    <t>Direct Labor (Mgt. Allocation)</t>
  </si>
  <si>
    <t>Other Labor</t>
  </si>
  <si>
    <t>Total Labor</t>
  </si>
  <si>
    <t>LOWER BAKER U4 POWERHOUSE S.10774.01.01.06 ($000's)</t>
  </si>
  <si>
    <t>Budget changed Nov 2012</t>
  </si>
  <si>
    <t>Budget Change May 2013</t>
  </si>
  <si>
    <t>Agreement</t>
  </si>
  <si>
    <t>SAP Actuals</t>
  </si>
  <si>
    <t>Forecast to Complete</t>
  </si>
  <si>
    <t>Previous Month Forecast at Completion</t>
  </si>
  <si>
    <t>Forecast Variance - Current to Previous</t>
  </si>
  <si>
    <t>To go on Agreement</t>
  </si>
  <si>
    <t>Forecast at Completion</t>
  </si>
  <si>
    <t>#</t>
  </si>
  <si>
    <t>$</t>
  </si>
  <si>
    <t>Comments</t>
  </si>
  <si>
    <t>2005 - 2008</t>
  </si>
  <si>
    <t>2009</t>
  </si>
  <si>
    <t>2010</t>
  </si>
  <si>
    <t>2011</t>
  </si>
  <si>
    <t>2012</t>
  </si>
  <si>
    <t>2013</t>
  </si>
  <si>
    <t>rev RB AAB</t>
  </si>
  <si>
    <t>delta</t>
  </si>
  <si>
    <t>(excl TAX)</t>
  </si>
  <si>
    <t>J</t>
  </si>
  <si>
    <t>F</t>
  </si>
  <si>
    <t>M</t>
  </si>
  <si>
    <t>A</t>
  </si>
  <si>
    <t>S</t>
  </si>
  <si>
    <t>O</t>
  </si>
  <si>
    <t>N</t>
  </si>
  <si>
    <t>D</t>
  </si>
  <si>
    <r>
      <t>Over/</t>
    </r>
    <r>
      <rPr>
        <sz val="8"/>
        <color indexed="10"/>
        <rFont val="Arial"/>
        <family val="2"/>
      </rPr>
      <t>(Under)</t>
    </r>
  </si>
  <si>
    <t>pre Gate 4</t>
  </si>
  <si>
    <t>Development Costs</t>
  </si>
  <si>
    <t>PSE Directs</t>
  </si>
  <si>
    <t>Overheads</t>
  </si>
  <si>
    <t>Precapatilized (Non-Transfer)</t>
  </si>
  <si>
    <t>Consultants</t>
  </si>
  <si>
    <t>Applied Professional Services</t>
  </si>
  <si>
    <t>Barnard Construction Company Inc</t>
  </si>
  <si>
    <t>LPO391069</t>
  </si>
  <si>
    <t>Bruce Blake Consulting</t>
  </si>
  <si>
    <t>David Evans &amp; Associates Inc</t>
  </si>
  <si>
    <t>Donald D Fillis PE</t>
  </si>
  <si>
    <t>LPO388936</t>
  </si>
  <si>
    <t>EES Consulting Inc</t>
  </si>
  <si>
    <t>Eric B Kollgaard</t>
  </si>
  <si>
    <t>Faithful+Gould</t>
  </si>
  <si>
    <t>GE International Inc</t>
  </si>
  <si>
    <t>Hydroinsight LLC</t>
  </si>
  <si>
    <t>Jerry D Higgins PH.D PG Inc</t>
  </si>
  <si>
    <t>Kim de Rubertis</t>
  </si>
  <si>
    <t>KJM &amp; Associates LTD</t>
  </si>
  <si>
    <t>Northwest Cascade Inc</t>
  </si>
  <si>
    <t>Powel Technology Inc</t>
  </si>
  <si>
    <t>Robert L. Coffell</t>
  </si>
  <si>
    <t>LPO398734</t>
  </si>
  <si>
    <t>Tung Van Do</t>
  </si>
  <si>
    <t>No info</t>
  </si>
  <si>
    <t>Wescorp</t>
  </si>
  <si>
    <t>Whitewater Engineering Corporation</t>
  </si>
  <si>
    <t>Assessments, Transfers, etc</t>
  </si>
  <si>
    <t>69990120 Outside Services Other Transfer - P/P/C</t>
  </si>
  <si>
    <t>84200013 Outside Services Other - Assessment</t>
  </si>
  <si>
    <t>Engineering</t>
  </si>
  <si>
    <t>URS Energy and Construction</t>
  </si>
  <si>
    <t>MWH Americas Inc</t>
  </si>
  <si>
    <t>Shannon &amp; Wilson Inc</t>
  </si>
  <si>
    <t xml:space="preserve">Total Development </t>
  </si>
  <si>
    <t>Jacobs Associates</t>
  </si>
  <si>
    <t>u</t>
  </si>
  <si>
    <t>Tunnel Design Services</t>
  </si>
  <si>
    <t>DB Specs/Construction Support</t>
  </si>
  <si>
    <t>forecast to complete as per invoice 06/02/2011</t>
  </si>
  <si>
    <t>Powerhouse Design</t>
  </si>
  <si>
    <t>Project, Record and Construction Project Management</t>
  </si>
  <si>
    <t>(contract)</t>
  </si>
  <si>
    <t>to be reviewed</t>
  </si>
  <si>
    <t>A-1 Mobile Lock &amp; Key Inc</t>
  </si>
  <si>
    <t>LPO 401033</t>
  </si>
  <si>
    <t>AEROTEK</t>
  </si>
  <si>
    <t>ALS USA Corp</t>
  </si>
  <si>
    <t>LPO 391069</t>
  </si>
  <si>
    <t>Building Information Systems</t>
  </si>
  <si>
    <t>Canopy Conservation LLC</t>
  </si>
  <si>
    <t>Cascade Drilling LP</t>
  </si>
  <si>
    <t>Currents Consulting Inc</t>
  </si>
  <si>
    <t>Cynthia Conrad</t>
  </si>
  <si>
    <t xml:space="preserve">LPO 394521 </t>
  </si>
  <si>
    <t>Dewey &amp; LeBoeuf LLP</t>
  </si>
  <si>
    <t>Economy Fence Center</t>
  </si>
  <si>
    <t>Extreme Access Incorporated</t>
  </si>
  <si>
    <t>Fichtner GmBH</t>
  </si>
  <si>
    <t>GeoEngineers Inc</t>
  </si>
  <si>
    <t>Henkels &amp; McCoy Inc</t>
  </si>
  <si>
    <t>Hill International Inc</t>
  </si>
  <si>
    <t>Klohn Crippen Berger Ltd</t>
  </si>
  <si>
    <t>McMillen Engineering LLC</t>
  </si>
  <si>
    <t xml:space="preserve">Open Text Inc. </t>
  </si>
  <si>
    <t>Pacific Geomatic Services Inc</t>
  </si>
  <si>
    <t>Pacific Rim Environmental</t>
  </si>
  <si>
    <t>R2 Resource Consultants Inc</t>
  </si>
  <si>
    <t>Tall Taurus Media LLC</t>
  </si>
  <si>
    <t>LPO 401044</t>
  </si>
  <si>
    <t>Tetra Tech Inc</t>
  </si>
  <si>
    <t>Trinity Gate and Door Company</t>
  </si>
  <si>
    <t>Total Engineering</t>
  </si>
  <si>
    <t>PCL</t>
  </si>
  <si>
    <t>PCL Construction Services</t>
  </si>
  <si>
    <t>Accruals - work completed</t>
  </si>
  <si>
    <t>Accruals - retention</t>
  </si>
  <si>
    <t>CO 1/CCD-002: Allowance for tunnel grouting</t>
  </si>
  <si>
    <t>CO 2/CCD-011: Spoils storage/rehandling/development</t>
  </si>
  <si>
    <t xml:space="preserve">CCD-009: Office trailer credit/del. computer hardware </t>
  </si>
  <si>
    <t xml:space="preserve">CO 5 </t>
  </si>
  <si>
    <t xml:space="preserve">CCD-017: Additional tunnel seismograph </t>
  </si>
  <si>
    <t>CCD-018: Hwy 20 Stockpile Hydrospam</t>
  </si>
  <si>
    <t>CPR-008: Remove pier nose</t>
  </si>
  <si>
    <t>CPR-011: Landscaping in laydown area</t>
  </si>
  <si>
    <t>CP-002: OSENCO breathing aparatus</t>
  </si>
  <si>
    <t>CO 6 / CCD-019: Install escape tunnel</t>
  </si>
  <si>
    <t>CCD-021: Communication room add-ons</t>
  </si>
  <si>
    <t>CP-28: Changes to requirements for transformer area</t>
  </si>
  <si>
    <t>CO 7/CP 034 - Rock pocket repair scope (MDEC)</t>
  </si>
  <si>
    <t>CO 7/CPR-15: Scroll case and Draft Tube Elbow paint</t>
  </si>
  <si>
    <t>CO 010 -  Accompanying various CP's</t>
  </si>
  <si>
    <t>CP 045: Additional seismograph for tunnel excavation</t>
  </si>
  <si>
    <t>CP59: Surge tank overflow mitigation - design</t>
  </si>
  <si>
    <t>CPR-19/CP59: Surge tank modifications</t>
  </si>
  <si>
    <t>Potential Mechanical Claims</t>
  </si>
  <si>
    <t>CCD 033 - Sprayhood installation and embedment</t>
  </si>
  <si>
    <t>CO 8 - South Portal repair cost</t>
  </si>
  <si>
    <t xml:space="preserve">CO 12 </t>
  </si>
  <si>
    <t>CO 13 - Unit 3 Wiring and Controls upgrade, Unit 3 instrument upgrade, HPU piping modifications, 13.8kV power system protective relays</t>
  </si>
  <si>
    <t>Geotechnical Contingency</t>
  </si>
  <si>
    <t>Back charge to PCL for Omega Morgan Rigging charges</t>
  </si>
  <si>
    <t>Early Completion Bonus</t>
  </si>
  <si>
    <t>Clubhouse Renovation</t>
  </si>
  <si>
    <t>Bola Architecture &amp; Planning</t>
  </si>
  <si>
    <t>LPO 395033</t>
  </si>
  <si>
    <t>Finishing Touch Masonry</t>
  </si>
  <si>
    <t>CEMEX</t>
  </si>
  <si>
    <t>Clearcreek Contractors inc</t>
  </si>
  <si>
    <t>Evergreen Sanitation Inc</t>
  </si>
  <si>
    <t xml:space="preserve">Everett Engineering </t>
  </si>
  <si>
    <t>LPO 395884</t>
  </si>
  <si>
    <t>Natt McDougall Company</t>
  </si>
  <si>
    <t>Bid stipend</t>
  </si>
  <si>
    <t>Nelson Trucking Co Inc</t>
  </si>
  <si>
    <t>Ness &amp; Campbell Crane Inc</t>
  </si>
  <si>
    <t>North Sky Engineering Inc</t>
  </si>
  <si>
    <t>Northwest Utility Services</t>
  </si>
  <si>
    <t>PSE Security</t>
  </si>
  <si>
    <t>PSE IT (indirects)</t>
  </si>
  <si>
    <t>Sogeti USA LLC</t>
  </si>
  <si>
    <t>.</t>
  </si>
  <si>
    <t>Osisoft</t>
  </si>
  <si>
    <t>Dimension Data North American Inc</t>
  </si>
  <si>
    <t>Skyler Electric Co Inc</t>
  </si>
  <si>
    <t>Easi LLC</t>
  </si>
  <si>
    <t>Veca Electric &amp; Technologies</t>
  </si>
  <si>
    <t>P&amp;G Landscaping</t>
  </si>
  <si>
    <t>On Site Environmental Inc</t>
  </si>
  <si>
    <t>Potelco Inc</t>
  </si>
  <si>
    <t>Pottle &amp; Sons Construction Inc</t>
  </si>
  <si>
    <t>Protec Inc</t>
  </si>
  <si>
    <t>Quanta Services Inc</t>
  </si>
  <si>
    <t>`</t>
  </si>
  <si>
    <t>Quality Coatings Inspection</t>
  </si>
  <si>
    <t>Testing Services</t>
  </si>
  <si>
    <t>Geotest Services Inc</t>
  </si>
  <si>
    <t>LPO401028</t>
  </si>
  <si>
    <t>LPO401039</t>
  </si>
  <si>
    <t>Materials Testing &amp; Consulting Inc</t>
  </si>
  <si>
    <t>Mayes Testing Engineers Inc</t>
  </si>
  <si>
    <t>- Work completed</t>
  </si>
  <si>
    <t>- Standby time</t>
  </si>
  <si>
    <t>LGIA Scope (S.10774.01.01.06)</t>
  </si>
  <si>
    <t>Order # 111020147, 111020148</t>
  </si>
  <si>
    <t>Trucking of spoils - LB &amp; R Logging</t>
  </si>
  <si>
    <t>Walker Heavy Construction</t>
  </si>
  <si>
    <t>Western Refinery Services Inc</t>
  </si>
  <si>
    <t>Williams Scotsman</t>
  </si>
  <si>
    <t>Total Construction</t>
  </si>
  <si>
    <t>Owner Supplied Equipment</t>
  </si>
  <si>
    <t>Litostroj Hydro Inc</t>
  </si>
  <si>
    <t xml:space="preserve">Base contract </t>
  </si>
  <si>
    <t>CO 1</t>
  </si>
  <si>
    <t>CO 2</t>
  </si>
  <si>
    <t>CO 3</t>
  </si>
  <si>
    <t>CO 4</t>
  </si>
  <si>
    <t>CO 5</t>
  </si>
  <si>
    <t>Corporate accrual</t>
  </si>
  <si>
    <t>Technical Field Services</t>
  </si>
  <si>
    <t xml:space="preserve">HTG Controls </t>
  </si>
  <si>
    <t>CO 6 - Electrical Equipment and Control Engineering (CCD 007/020)</t>
  </si>
  <si>
    <t xml:space="preserve">CCD-007: Control/Integration LS Eng LNTP </t>
  </si>
  <si>
    <t>CO 7 -  Accompanying various CP's</t>
  </si>
  <si>
    <t>CP 046 - Add Unit #4 Exciter system</t>
  </si>
  <si>
    <t>CP 051 - Additional Hydraulic Analysis (ST Overflow Lk levels)</t>
  </si>
  <si>
    <t>CP 038 - HTG Bearing Cooler Heat Exchanger Type Exchange</t>
  </si>
  <si>
    <t>CP 039 - HTG Smoothing Air Valve Change</t>
  </si>
  <si>
    <t>CP 054 - Switchboard to switchgear change and DCN 14</t>
  </si>
  <si>
    <t>CP 042 - Governor and HPU procurement</t>
  </si>
  <si>
    <t>CO 7 (CCD-007/CP-25): Supply only of Unit 3 &amp; Unit 4 Control and Protection Panels</t>
  </si>
  <si>
    <t>CP 033.1 - Substation battery credit</t>
  </si>
  <si>
    <t>CP 063 - Motor control center charges</t>
  </si>
  <si>
    <t>CP 064 - Unit 3 Governor and HPU installation</t>
  </si>
  <si>
    <t>CP 066 - Governor &amp; HPU warranty &amp; final equipment cost</t>
  </si>
  <si>
    <t>CP 072 - Change 13.8kV breaker 52/MT4 to Generator rated</t>
  </si>
  <si>
    <t>CP tbd - Corrections to CO 009</t>
  </si>
  <si>
    <t>CO 011 -  Accompanying various CP's</t>
  </si>
  <si>
    <t>CP 92 - Addition of excitation system watch dig relays</t>
  </si>
  <si>
    <t>CP 78 - OSE lifting eyes - turbine runner/runner shaft</t>
  </si>
  <si>
    <t>CP 109 - Everett street/Hwy 20 stockpile re-sloping</t>
  </si>
  <si>
    <t>CP 98 - Control panel supply changes - system interface</t>
  </si>
  <si>
    <t>CP 95 - Bilco access hatch for Surge Shaft Ltd</t>
  </si>
  <si>
    <t>CP 88 - Head cover fabrication &amp; runner shaft seal</t>
  </si>
  <si>
    <t>CP 73 - Additional hydraulic for the smoothing air vent valve</t>
  </si>
  <si>
    <t>CP 107 - Change mount pad to copper windings</t>
  </si>
  <si>
    <t>CP 36.1 - Scroll case water circulation and monitoring (partial)</t>
  </si>
  <si>
    <t>CP 90 - Draft tube gate hoist installation</t>
  </si>
  <si>
    <t>CP 100 - Painting draft tube elbow</t>
  </si>
  <si>
    <t>CP 48 - Standby generator system - design only</t>
  </si>
  <si>
    <t>CP 103 - Installation of SBV hood</t>
  </si>
  <si>
    <t>CP 74.1 - Increased complexity of I/O</t>
  </si>
  <si>
    <t>CP 47.2 - U3/U4 electrical 7 controls management</t>
  </si>
  <si>
    <t>TBD</t>
  </si>
  <si>
    <t>GSU Transformer - SPX Transformer Solutions</t>
  </si>
  <si>
    <t>Omega Morgan Rigging and Industrial</t>
  </si>
  <si>
    <t>O&amp;M Tools</t>
  </si>
  <si>
    <t>Total Owner Supplied Equipment</t>
  </si>
  <si>
    <t>Slope Stability</t>
  </si>
  <si>
    <t>Stabilize Rock Slope - LB Powerhouse Road</t>
  </si>
  <si>
    <t>CO 2/CCD-003: Access road eco block installation</t>
  </si>
  <si>
    <t>CO 4/CCD-014: Slope scaling area 2 &amp; 4</t>
  </si>
  <si>
    <t>CO 4/CCD-016: Slope scaling area 5 &amp; 7</t>
  </si>
  <si>
    <t xml:space="preserve">CO 7/CP 040: Clean up area 6 &amp; 7 slide on 2/22/2012 </t>
  </si>
  <si>
    <t>CO 009 (CP 023): Slope stability mitigation along access road area 5 &amp; 6</t>
  </si>
  <si>
    <t>Rock monitoring and scaling - Hitec Rockwork</t>
  </si>
  <si>
    <t>Contingency - Additional monitoring, scaling, wire mesh</t>
  </si>
  <si>
    <t>Potential Landslide Mitigation - E Slope</t>
  </si>
  <si>
    <t>CCD-001: Secant Piles/Slurry Wall/FERC/Vault Flip</t>
  </si>
  <si>
    <t>CO 2/CCD-012: Slope Drainage System Program</t>
  </si>
  <si>
    <t>CO 3/CCD-013: Slope Stabilization System (Buttress wall)</t>
  </si>
  <si>
    <t>CO 10/CCD-015/CP 035.1: Impact time extension - recovery schedule</t>
  </si>
  <si>
    <t>Shannon &amp; Wilson</t>
  </si>
  <si>
    <t>Northwest Trails - access to monitoring points (tbd)</t>
  </si>
  <si>
    <t>Northwest Archaeological</t>
  </si>
  <si>
    <t>SWCA Inc</t>
  </si>
  <si>
    <t>Contingency Additional monitoring, dewatering, etc</t>
  </si>
  <si>
    <t>Total Slope Stability</t>
  </si>
  <si>
    <t>PSE Costs</t>
  </si>
  <si>
    <t>to be awarded</t>
  </si>
  <si>
    <t>Baker &amp; Botts LLP</t>
  </si>
  <si>
    <t>Dewey &amp; LeBoeuf</t>
  </si>
  <si>
    <t>Blanket Service Agr</t>
  </si>
  <si>
    <t>Outside Services - Capital Accrual</t>
  </si>
  <si>
    <t>Outside Services Other Transfer - P/P/C</t>
  </si>
  <si>
    <t>Outside Services Other Transfer - Material</t>
  </si>
  <si>
    <t>Outside Services Legal - Assessment</t>
  </si>
  <si>
    <t>Outside Services Other - Assessment</t>
  </si>
  <si>
    <t>Outside Svc-Providers Field - Assessment</t>
  </si>
  <si>
    <t>Total PSE Costs</t>
  </si>
  <si>
    <t>Commissioning</t>
  </si>
  <si>
    <t>McMillen (Jack Snyder)</t>
  </si>
  <si>
    <t>HydroInsight</t>
  </si>
  <si>
    <t>old budget</t>
  </si>
  <si>
    <t>Budget</t>
  </si>
  <si>
    <t>Forecast delta</t>
  </si>
  <si>
    <t>Subtotal Project</t>
  </si>
  <si>
    <t>AFUDC - Order # 111020147, 111020148 (LGIA)</t>
  </si>
  <si>
    <t xml:space="preserve">Total Project </t>
  </si>
  <si>
    <t>Reduced 2011 numbers</t>
  </si>
  <si>
    <t>revised 2011</t>
  </si>
  <si>
    <t>Estimated % of cost deemed eligible</t>
  </si>
  <si>
    <t xml:space="preserve"> LB Powerhous AFUDC</t>
  </si>
  <si>
    <t>Final in-service date</t>
  </si>
  <si>
    <t>#1 - Removed Cost Occurring after April 25, 2013</t>
  </si>
  <si>
    <t>&lt;==25 of 30 days</t>
  </si>
  <si>
    <t>&lt;==Orig</t>
  </si>
  <si>
    <r>
      <t>CO 009</t>
    </r>
    <r>
      <rPr>
        <sz val="10"/>
        <rFont val="Arial"/>
        <family val="2"/>
      </rPr>
      <t xml:space="preserve"> (CP 055.2, CP 056.2, CP 067): Machine conditioning monitoring, LBKU4 protection, Gen Line Cubicle and parts discharge system, additional switching, pushbuttons and RM Modules</t>
    </r>
  </si>
  <si>
    <t>7.24.13</t>
  </si>
  <si>
    <t>RATE YEAR ENDED NOVEMBER 30, 2014</t>
  </si>
  <si>
    <t xml:space="preserve"> </t>
  </si>
  <si>
    <t>RATE YEAR</t>
  </si>
  <si>
    <t>Total - 12ME Nov 2014</t>
  </si>
  <si>
    <t>AMA - 12ME Nov 2014</t>
  </si>
  <si>
    <t>Total - 12ME Nov '14</t>
  </si>
  <si>
    <t>AMA - 12ME Nov '14</t>
  </si>
  <si>
    <t>Baker Upgrade  Book Balance: Sep 2013  to Nov 2014</t>
  </si>
  <si>
    <t>Baker Upgrade Book &amp; Tax Depreciation:  December 1, 2013 through November 30, 2014</t>
  </si>
  <si>
    <t xml:space="preserve">Baker River Hydroelectric Project Relicensing Upgrades </t>
  </si>
  <si>
    <t>Employee 1</t>
  </si>
  <si>
    <t>Employee 2</t>
  </si>
  <si>
    <t>Employee 3</t>
  </si>
  <si>
    <t>Employee 4</t>
  </si>
  <si>
    <t>Employee 5</t>
  </si>
  <si>
    <t>Employee 6</t>
  </si>
  <si>
    <t>Employee 7</t>
  </si>
  <si>
    <t>Employee 8</t>
  </si>
  <si>
    <t>Employee 9</t>
  </si>
  <si>
    <t>Employee 10</t>
  </si>
  <si>
    <t>Employee 11</t>
  </si>
  <si>
    <t>Employee 12</t>
  </si>
  <si>
    <t>Employee 13</t>
  </si>
  <si>
    <t>Employee 14</t>
  </si>
  <si>
    <t>Employee 15</t>
  </si>
  <si>
    <t>Employee 16</t>
  </si>
  <si>
    <t>Employee 17</t>
  </si>
  <si>
    <t>Employee 18</t>
  </si>
  <si>
    <t>Employee 19</t>
  </si>
  <si>
    <t>Employee 20</t>
  </si>
  <si>
    <t>Employee 21</t>
  </si>
  <si>
    <t>Employee 22</t>
  </si>
  <si>
    <t>Employee 23</t>
  </si>
  <si>
    <t>Employee 24</t>
  </si>
  <si>
    <t>Employee 25</t>
  </si>
  <si>
    <t>Employee 26</t>
  </si>
  <si>
    <t>Employee 27</t>
  </si>
  <si>
    <t>Employee 28</t>
  </si>
  <si>
    <t>Employee 29</t>
  </si>
  <si>
    <t>Employee 30</t>
  </si>
  <si>
    <t>Employee 31</t>
  </si>
  <si>
    <t>Employee 32</t>
  </si>
  <si>
    <t>Employee 33</t>
  </si>
  <si>
    <t>Employee 34</t>
  </si>
  <si>
    <t>Employee 35</t>
  </si>
  <si>
    <t>Employee 36</t>
  </si>
  <si>
    <t>Employee 37</t>
  </si>
  <si>
    <t>Employee 38</t>
  </si>
  <si>
    <t>Employee 39</t>
  </si>
  <si>
    <t>Employee 40</t>
  </si>
  <si>
    <t>Employee 41</t>
  </si>
  <si>
    <t>Employee 42</t>
  </si>
  <si>
    <t>Employee 43</t>
  </si>
  <si>
    <t>Employee 44</t>
  </si>
  <si>
    <t>Employee 45</t>
  </si>
  <si>
    <t>Employee 46</t>
  </si>
  <si>
    <t>Employee 47</t>
  </si>
  <si>
    <t>Employee 48</t>
  </si>
  <si>
    <t>Employee 49</t>
  </si>
  <si>
    <t>Employee 50</t>
  </si>
  <si>
    <t>Employee 51</t>
  </si>
  <si>
    <t>Employee 52</t>
  </si>
  <si>
    <t>Employee 53</t>
  </si>
  <si>
    <t>Employee 54</t>
  </si>
  <si>
    <t>Employee 55</t>
  </si>
  <si>
    <t>Employee 56</t>
  </si>
  <si>
    <t>Employee 57</t>
  </si>
  <si>
    <t>Employee 58</t>
  </si>
  <si>
    <t>Employee 59</t>
  </si>
  <si>
    <t>Employee 60</t>
  </si>
  <si>
    <t>Employee 61</t>
  </si>
  <si>
    <t>Employee 62</t>
  </si>
  <si>
    <t>Employee 63</t>
  </si>
  <si>
    <t>Employee 64</t>
  </si>
  <si>
    <t>Employee 65</t>
  </si>
  <si>
    <t>Employee 66</t>
  </si>
  <si>
    <t>Employee 67</t>
  </si>
  <si>
    <t>Employee 68</t>
  </si>
  <si>
    <t>Employee 69</t>
  </si>
  <si>
    <t>Employee 70</t>
  </si>
  <si>
    <t>Employee 71</t>
  </si>
  <si>
    <t>Employee 72</t>
  </si>
  <si>
    <t>Employee 73</t>
  </si>
  <si>
    <t>Employee 74</t>
  </si>
  <si>
    <t>Employee 75</t>
  </si>
  <si>
    <t>Employee 76</t>
  </si>
  <si>
    <t>Employee 77</t>
  </si>
  <si>
    <t>Employee 78</t>
  </si>
  <si>
    <t>Employee 79</t>
  </si>
  <si>
    <t>Employee 80</t>
  </si>
  <si>
    <t>Employee 81</t>
  </si>
  <si>
    <t>Employee 82</t>
  </si>
  <si>
    <t>Employee 83</t>
  </si>
  <si>
    <t>Employee 84</t>
  </si>
  <si>
    <t>Employee 85</t>
  </si>
  <si>
    <t>Employee 86</t>
  </si>
  <si>
    <t>Employee 87</t>
  </si>
  <si>
    <t>Employee 88</t>
  </si>
  <si>
    <t>Employee 89</t>
  </si>
  <si>
    <t>Employee 90</t>
  </si>
  <si>
    <t>Employee 91</t>
  </si>
  <si>
    <t>Employee 92</t>
  </si>
  <si>
    <t>Employee 93</t>
  </si>
  <si>
    <t>Employee 94</t>
  </si>
  <si>
    <t>Employee 95</t>
  </si>
  <si>
    <t>Employee 96</t>
  </si>
  <si>
    <t>Employee 97</t>
  </si>
  <si>
    <t>Employee 98</t>
  </si>
  <si>
    <t>Employee 99</t>
  </si>
  <si>
    <t>Employee 100</t>
  </si>
  <si>
    <t>Employee 101</t>
  </si>
  <si>
    <t>Employee 102</t>
  </si>
  <si>
    <t>Employee 103</t>
  </si>
  <si>
    <t>Employee 104</t>
  </si>
  <si>
    <t>Employee 105</t>
  </si>
  <si>
    <t>Employee 106</t>
  </si>
  <si>
    <t>Employee 107</t>
  </si>
  <si>
    <t>Employee 108</t>
  </si>
  <si>
    <t>Employee 109</t>
  </si>
  <si>
    <t>Employee 110</t>
  </si>
  <si>
    <t>Employee 111</t>
  </si>
  <si>
    <t>Employee 112</t>
  </si>
  <si>
    <t>Employee 113</t>
  </si>
  <si>
    <t>Employee 114</t>
  </si>
  <si>
    <t>Employee 115</t>
  </si>
  <si>
    <t>Employee 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</si>
</sst>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_);_(&quot;$&quot;* \(#,##0.000\);_(&quot;$&quot;* &quot;-&quot;??_);_(@_)"/>
    <numFmt numFmtId="167" formatCode="[$-409]d\-mmm\-yy;@"/>
    <numFmt numFmtId="168" formatCode="0.0%"/>
    <numFmt numFmtId="169" formatCode="0.000000"/>
    <numFmt numFmtId="170" formatCode="0.000%"/>
    <numFmt numFmtId="171" formatCode="_(* #,##0.00000_);_(* \(#,##0.00000\);_(* &quot;-&quot;??_);_(@_)"/>
    <numFmt numFmtId="172" formatCode="0000000"/>
    <numFmt numFmtId="173" formatCode="0.0000000"/>
    <numFmt numFmtId="174" formatCode="_(* ###0_);_(* \(###0\);_(* &quot;-&quot;_);_(@_)"/>
    <numFmt numFmtId="175" formatCode="[$-409]mmm\-yy;@"/>
    <numFmt numFmtId="176" formatCode="0.0000%"/>
    <numFmt numFmtId="177" formatCode="[$-409]mmmm\ d\,\ yyyy;@"/>
    <numFmt numFmtId="178" formatCode="&quot;$&quot;#,##0.00"/>
    <numFmt numFmtId="179" formatCode="d\.mmm\.yy"/>
    <numFmt numFmtId="180" formatCode="_(* #,##0.0_);_(* \(#,##0.0\);_(* &quot;-&quot;_);_(@_)"/>
    <numFmt numFmtId="181" formatCode="#."/>
    <numFmt numFmtId="182" formatCode="_(&quot;$&quot;* #,##0.0000_);_(&quot;$&quot;* \(#,##0.0000\);_(&quot;$&quot;* &quot;-&quot;????_);_(@_)"/>
    <numFmt numFmtId="183" formatCode="_([$€-2]* #,##0.00_);_([$€-2]* \(#,##0.00\);_([$€-2]* &quot;-&quot;??_)"/>
    <numFmt numFmtId="184" formatCode="mmmm\ d\,\ yyyy"/>
    <numFmt numFmtId="185" formatCode="&quot;$&quot;#,##0;\-&quot;$&quot;#,##0"/>
    <numFmt numFmtId="186" formatCode="0.00_)"/>
    <numFmt numFmtId="187" formatCode="mmm\-yyyy"/>
    <numFmt numFmtId="188" formatCode="_(* #,##0.000_);_(* \(#,##0.000\);_(* &quot;-&quot;??_);_(@_)"/>
    <numFmt numFmtId="189" formatCode="0.00000%"/>
    <numFmt numFmtId="190" formatCode="mmm\-dd\-yyyy"/>
    <numFmt numFmtId="191" formatCode="_-* #,##0.00\ &quot;DM&quot;_-;\-* #,##0.00\ &quot;DM&quot;_-;_-* &quot;-&quot;??\ &quot;DM&quot;_-;_-@_-"/>
    <numFmt numFmtId="192" formatCode="0000"/>
    <numFmt numFmtId="193" formatCode="000000"/>
    <numFmt numFmtId="194" formatCode="_(&quot;$&quot;* #,##0.0_);_(&quot;$&quot;* \(#,##0.0\);_(&quot;$&quot;* &quot;-&quot;??_);_(@_)"/>
    <numFmt numFmtId="195" formatCode="0\ &quot; HR&quot;"/>
    <numFmt numFmtId="196" formatCode="#,##0.00\ ;\(#,##0.00\)"/>
    <numFmt numFmtId="197" formatCode="_(&quot;$&quot;* #,##0.000000_);_(&quot;$&quot;* \(#,##0.000000\);_(&quot;$&quot;* &quot;-&quot;??????_);_(@_)"/>
    <numFmt numFmtId="198" formatCode="_-* ###0_-;\(###0\);_-* &quot;–&quot;_-;_-@_-"/>
    <numFmt numFmtId="199" formatCode="_-* #,###_-;\(#,###\);_-* &quot;–&quot;_-;_-@_-"/>
    <numFmt numFmtId="200" formatCode="_-\ #,##0.0_-;\(#,##0.0\);_-* &quot;–&quot;_-;_-@_-"/>
    <numFmt numFmtId="201" formatCode="0.0"/>
    <numFmt numFmtId="202" formatCode="0.000_)"/>
    <numFmt numFmtId="203" formatCode="#,##0.0"/>
    <numFmt numFmtId="204" formatCode="#,##0.0_);[Red]\(#,##0.0\)"/>
    <numFmt numFmtId="205" formatCode="m/d/yy\ h:mm\ AM/PM"/>
    <numFmt numFmtId="206" formatCode="m/d/yy\ h:mm"/>
    <numFmt numFmtId="207" formatCode="&quot;$&quot;#,"/>
    <numFmt numFmtId="208" formatCode="0.00_);\(0.00\)"/>
    <numFmt numFmtId="209" formatCode="#,##0_);\-#,##0_);\-_)"/>
    <numFmt numFmtId="210" formatCode="#,##0.00_);\-#,##0.00_);\-_)"/>
    <numFmt numFmtId="211" formatCode="#,##0.000_);[Red]\(#,##0.000\)"/>
    <numFmt numFmtId="212" formatCode="&quot;$&quot;#,##0.000_);[Red]\(&quot;$&quot;#,##0.000\)"/>
    <numFmt numFmtId="213" formatCode="_(* #,##0.0_);_(* \(#,##0.0\);_(* &quot;-&quot;??_);_(@_)"/>
    <numFmt numFmtId="214" formatCode="0.00\ ;\-0.00\ ;&quot;- &quot;"/>
    <numFmt numFmtId="215" formatCode="#,##0.0_);\-#,##0.0_);\-_)"/>
    <numFmt numFmtId="216" formatCode="mmm\ dd\,\ yyyy"/>
    <numFmt numFmtId="217" formatCode="yyyy"/>
    <numFmt numFmtId="218" formatCode="0.0000"/>
    <numFmt numFmtId="219" formatCode="0.00\ "/>
    <numFmt numFmtId="220" formatCode="0.000"/>
    <numFmt numFmtId="221" formatCode="0.000_);[Red]\(0.000\)"/>
    <numFmt numFmtId="222" formatCode="&quot;$&quot;#,##0"/>
    <numFmt numFmtId="223" formatCode="#,###,"/>
    <numFmt numFmtId="224" formatCode="_(* #,##0.00_);_(* \(#,##0.00\);_(* &quot;-&quot;_);_(@_)"/>
  </numFmts>
  <fonts count="2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Geneva"/>
    </font>
    <font>
      <b/>
      <sz val="10"/>
      <name val="Arial"/>
      <family val="2"/>
    </font>
    <font>
      <sz val="10"/>
      <name val="Arial"/>
      <family val="2"/>
    </font>
    <font>
      <sz val="12"/>
      <color indexed="24"/>
      <name val="Arial"/>
      <family val="2"/>
    </font>
    <font>
      <sz val="8"/>
      <name val="Helv"/>
    </font>
    <font>
      <i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0"/>
      <color indexed="8"/>
      <name val="MS Sans Serif"/>
      <family val="2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b/>
      <sz val="8.8000000000000007"/>
      <name val="Symbol"/>
      <family val="1"/>
      <charset val="2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u/>
      <sz val="10"/>
      <name val="Times New Roman"/>
      <family val="1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univers (E1)"/>
    </font>
    <font>
      <sz val="10"/>
      <color indexed="24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Cambri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0"/>
      <name val="Calibri"/>
      <family val="2"/>
    </font>
    <font>
      <sz val="11"/>
      <name val="Arial"/>
      <family val="2"/>
    </font>
    <font>
      <sz val="12"/>
      <name val="Times"/>
      <family val="1"/>
    </font>
    <font>
      <sz val="10"/>
      <name val="Arial"/>
      <family val="2"/>
    </font>
    <font>
      <sz val="12"/>
      <color indexed="10"/>
      <name val="Times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1"/>
      <color rgb="FF0000FF"/>
      <name val="Calibri"/>
      <family val="2"/>
    </font>
    <font>
      <sz val="10"/>
      <name val="Arial"/>
      <family val="2"/>
    </font>
    <font>
      <b/>
      <i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1"/>
      <name val="Arial"/>
      <family val="2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9"/>
      <name val="Times New Roman"/>
      <family val="1"/>
    </font>
    <font>
      <b/>
      <sz val="11"/>
      <color indexed="8"/>
      <name val="Times New Roman"/>
      <family val="1"/>
    </font>
    <font>
      <b/>
      <u/>
      <sz val="11"/>
      <color indexed="8"/>
      <name val="Times New Roman"/>
      <family val="1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sz val="11"/>
      <color indexed="8"/>
      <name val="Arial"/>
      <family val="2"/>
    </font>
    <font>
      <b/>
      <sz val="10"/>
      <color theme="1"/>
      <name val="Arial"/>
      <family val="2"/>
    </font>
    <font>
      <b/>
      <u/>
      <sz val="10"/>
      <color indexed="8"/>
      <name val="Arial"/>
      <family val="2"/>
    </font>
    <font>
      <sz val="8"/>
      <color theme="1"/>
      <name val="Arial"/>
      <family val="2"/>
    </font>
    <font>
      <b/>
      <sz val="1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9"/>
      <color indexed="23"/>
      <name val="Arial"/>
      <family val="2"/>
    </font>
    <font>
      <i/>
      <sz val="9"/>
      <color indexed="23"/>
      <name val="Arial"/>
      <family val="2"/>
    </font>
    <font>
      <sz val="9"/>
      <name val="Arial"/>
      <family val="2"/>
    </font>
    <font>
      <b/>
      <i/>
      <sz val="11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color indexed="63"/>
      <name val="Arial"/>
      <family val="2"/>
    </font>
    <font>
      <sz val="9"/>
      <color indexed="12"/>
      <name val="Arial"/>
      <family val="2"/>
    </font>
    <font>
      <b/>
      <i/>
      <sz val="9"/>
      <color indexed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sz val="9"/>
      <color indexed="63"/>
      <name val="Arial"/>
      <family val="2"/>
    </font>
    <font>
      <sz val="9"/>
      <color indexed="23"/>
      <name val="Arial"/>
      <family val="2"/>
    </font>
    <font>
      <b/>
      <u/>
      <sz val="11"/>
      <color indexed="8"/>
      <name val="Calibri"/>
      <family val="2"/>
    </font>
    <font>
      <b/>
      <sz val="10"/>
      <color indexed="10"/>
      <name val="Arial"/>
      <family val="2"/>
    </font>
    <font>
      <sz val="12"/>
      <name val="Arial"/>
      <family val="2"/>
    </font>
    <font>
      <sz val="12"/>
      <name val="Helv"/>
    </font>
    <font>
      <sz val="11"/>
      <color theme="1"/>
      <name val="Calibri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63"/>
      <name val="Calibri"/>
      <family val="2"/>
    </font>
    <font>
      <sz val="11"/>
      <color indexed="8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sz val="8"/>
      <name val="Times New Roman"/>
      <family val="1"/>
    </font>
    <font>
      <sz val="10"/>
      <color theme="1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8"/>
      <color indexed="8"/>
      <name val="Arial"/>
      <family val="2"/>
    </font>
    <font>
      <b/>
      <i/>
      <sz val="16"/>
      <name val="Helv"/>
    </font>
    <font>
      <sz val="8"/>
      <name val="MS Sans Serif"/>
      <family val="2"/>
    </font>
    <font>
      <u/>
      <sz val="8"/>
      <color indexed="12"/>
      <name val="Arial"/>
      <family val="2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rgb="FFFA7D00"/>
      <name val="Calibri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sz val="11"/>
      <color rgb="FF3F3F76"/>
      <name val="Calibri"/>
      <family val="2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Times New Roman"/>
      <family val="1"/>
    </font>
    <font>
      <b/>
      <u/>
      <sz val="12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sz val="9"/>
      <color indexed="17"/>
      <name val="Arial"/>
      <family val="2"/>
    </font>
    <font>
      <sz val="9"/>
      <color indexed="57"/>
      <name val="Arial"/>
      <family val="2"/>
    </font>
    <font>
      <sz val="9"/>
      <color indexed="48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9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7"/>
      <name val="Arial"/>
      <family val="2"/>
    </font>
    <font>
      <sz val="10"/>
      <color indexed="57"/>
      <name val="Arial"/>
      <family val="2"/>
    </font>
    <font>
      <sz val="8"/>
      <color indexed="10"/>
      <name val="Arial"/>
      <family val="2"/>
    </font>
    <font>
      <u val="singleAccounting"/>
      <sz val="10"/>
      <name val="Arial"/>
      <family val="2"/>
    </font>
    <font>
      <sz val="9"/>
      <color rgb="FFFF0000"/>
      <name val="Arial"/>
      <family val="2"/>
    </font>
    <font>
      <b/>
      <sz val="10"/>
      <color rgb="FF0000FF"/>
      <name val="Times New Roman"/>
      <family val="1"/>
    </font>
  </fonts>
  <fills count="1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C00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27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</fills>
  <borders count="2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22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22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22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22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22"/>
      </bottom>
      <diagonal/>
    </border>
    <border>
      <left style="hair">
        <color indexed="64"/>
      </left>
      <right/>
      <top style="thin">
        <color indexed="64"/>
      </top>
      <bottom style="dotted">
        <color indexed="22"/>
      </bottom>
      <diagonal/>
    </border>
    <border>
      <left/>
      <right style="hair">
        <color indexed="64"/>
      </right>
      <top style="thin">
        <color indexed="64"/>
      </top>
      <bottom style="dotted">
        <color indexed="22"/>
      </bottom>
      <diagonal/>
    </border>
    <border>
      <left/>
      <right style="thin">
        <color indexed="64"/>
      </right>
      <top style="thin">
        <color indexed="64"/>
      </top>
      <bottom style="dotted">
        <color indexed="22"/>
      </bottom>
      <diagonal/>
    </border>
    <border>
      <left/>
      <right/>
      <top/>
      <bottom style="dotted">
        <color indexed="22"/>
      </bottom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dotted">
        <color indexed="64"/>
      </right>
      <top style="dotted">
        <color indexed="22"/>
      </top>
      <bottom style="dotted">
        <color indexed="22"/>
      </bottom>
      <diagonal/>
    </border>
    <border>
      <left style="dotted">
        <color indexed="64"/>
      </left>
      <right style="dotted">
        <color indexed="64"/>
      </right>
      <top style="dotted">
        <color indexed="22"/>
      </top>
      <bottom style="dotted">
        <color indexed="22"/>
      </bottom>
      <diagonal/>
    </border>
    <border>
      <left style="dotted">
        <color indexed="64"/>
      </left>
      <right style="thin">
        <color indexed="64"/>
      </right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hair">
        <color indexed="64"/>
      </right>
      <top style="dotted">
        <color indexed="22"/>
      </top>
      <bottom style="dotted">
        <color indexed="22"/>
      </bottom>
      <diagonal/>
    </border>
    <border>
      <left style="hair">
        <color indexed="64"/>
      </left>
      <right style="hair">
        <color indexed="64"/>
      </right>
      <top style="dotted">
        <color indexed="22"/>
      </top>
      <bottom style="dotted">
        <color indexed="22"/>
      </bottom>
      <diagonal/>
    </border>
    <border>
      <left style="hair">
        <color indexed="64"/>
      </left>
      <right style="thin">
        <color indexed="64"/>
      </right>
      <top style="dotted">
        <color indexed="22"/>
      </top>
      <bottom style="dotted">
        <color indexed="22"/>
      </bottom>
      <diagonal/>
    </border>
    <border>
      <left/>
      <right style="hair">
        <color indexed="64"/>
      </right>
      <top style="dotted">
        <color indexed="22"/>
      </top>
      <bottom style="dotted">
        <color indexed="22"/>
      </bottom>
      <diagonal/>
    </border>
    <border>
      <left style="hair">
        <color indexed="64"/>
      </left>
      <right/>
      <top style="dotted">
        <color indexed="22"/>
      </top>
      <bottom style="dotted">
        <color indexed="22"/>
      </bottom>
      <diagonal/>
    </border>
    <border>
      <left/>
      <right style="thin">
        <color indexed="64"/>
      </right>
      <top style="dotted">
        <color indexed="22"/>
      </top>
      <bottom style="dotted">
        <color indexed="22"/>
      </bottom>
      <diagonal/>
    </border>
    <border>
      <left style="thin">
        <color indexed="64"/>
      </left>
      <right/>
      <top style="dotted">
        <color indexed="22"/>
      </top>
      <bottom/>
      <diagonal/>
    </border>
    <border>
      <left/>
      <right/>
      <top style="dotted">
        <color indexed="22"/>
      </top>
      <bottom/>
      <diagonal/>
    </border>
    <border>
      <left style="thin">
        <color indexed="64"/>
      </left>
      <right style="dotted">
        <color indexed="64"/>
      </right>
      <top style="dotted">
        <color indexed="22"/>
      </top>
      <bottom/>
      <diagonal/>
    </border>
    <border>
      <left style="dotted">
        <color indexed="64"/>
      </left>
      <right style="dotted">
        <color indexed="64"/>
      </right>
      <top style="dotted">
        <color indexed="22"/>
      </top>
      <bottom/>
      <diagonal/>
    </border>
    <border>
      <left style="dotted">
        <color indexed="64"/>
      </left>
      <right style="thin">
        <color indexed="64"/>
      </right>
      <top style="dotted">
        <color indexed="22"/>
      </top>
      <bottom/>
      <diagonal/>
    </border>
    <border>
      <left style="thin">
        <color indexed="64"/>
      </left>
      <right style="thin">
        <color indexed="64"/>
      </right>
      <top style="dotted">
        <color indexed="22"/>
      </top>
      <bottom/>
      <diagonal/>
    </border>
    <border>
      <left style="thin">
        <color indexed="64"/>
      </left>
      <right style="hair">
        <color indexed="64"/>
      </right>
      <top style="dotted">
        <color indexed="22"/>
      </top>
      <bottom/>
      <diagonal/>
    </border>
    <border>
      <left style="hair">
        <color indexed="64"/>
      </left>
      <right style="hair">
        <color indexed="64"/>
      </right>
      <top style="dotted">
        <color indexed="22"/>
      </top>
      <bottom/>
      <diagonal/>
    </border>
    <border>
      <left style="hair">
        <color indexed="64"/>
      </left>
      <right style="thin">
        <color indexed="64"/>
      </right>
      <top style="dotted">
        <color indexed="22"/>
      </top>
      <bottom/>
      <diagonal/>
    </border>
    <border>
      <left style="hair">
        <color indexed="64"/>
      </left>
      <right/>
      <top style="dotted">
        <color indexed="22"/>
      </top>
      <bottom/>
      <diagonal/>
    </border>
    <border>
      <left/>
      <right style="hair">
        <color indexed="64"/>
      </right>
      <top style="dotted">
        <color indexed="22"/>
      </top>
      <bottom/>
      <diagonal/>
    </border>
    <border>
      <left style="thin">
        <color indexed="64"/>
      </left>
      <right style="thin">
        <color indexed="64"/>
      </right>
      <top style="dotted">
        <color indexed="22"/>
      </top>
      <bottom style="thin">
        <color indexed="64"/>
      </bottom>
      <diagonal/>
    </border>
    <border>
      <left/>
      <right style="thin">
        <color indexed="64"/>
      </right>
      <top style="dotted">
        <color indexed="22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23"/>
      </bottom>
      <diagonal/>
    </border>
    <border>
      <left style="thin">
        <color indexed="64"/>
      </left>
      <right style="dotted">
        <color indexed="55"/>
      </right>
      <top style="thin">
        <color indexed="64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thin">
        <color indexed="64"/>
      </top>
      <bottom style="dotted">
        <color indexed="55"/>
      </bottom>
      <diagonal/>
    </border>
    <border>
      <left style="dotted">
        <color indexed="55"/>
      </left>
      <right style="thin">
        <color indexed="64"/>
      </right>
      <top style="thin">
        <color indexed="8"/>
      </top>
      <bottom style="dotted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23"/>
      </bottom>
      <diagonal/>
    </border>
    <border>
      <left style="thin">
        <color indexed="64"/>
      </left>
      <right style="dotted">
        <color indexed="55"/>
      </right>
      <top style="thin">
        <color indexed="64"/>
      </top>
      <bottom style="dotted">
        <color indexed="23"/>
      </bottom>
      <diagonal/>
    </border>
    <border>
      <left style="dotted">
        <color indexed="55"/>
      </left>
      <right style="dotted">
        <color indexed="55"/>
      </right>
      <top style="thin">
        <color indexed="64"/>
      </top>
      <bottom style="dotted">
        <color indexed="23"/>
      </bottom>
      <diagonal/>
    </border>
    <border>
      <left style="dotted">
        <color indexed="55"/>
      </left>
      <right/>
      <top style="thin">
        <color indexed="64"/>
      </top>
      <bottom style="dotted">
        <color indexed="23"/>
      </bottom>
      <diagonal/>
    </border>
    <border>
      <left/>
      <right/>
      <top style="thin">
        <color indexed="64"/>
      </top>
      <bottom style="dotted">
        <color indexed="23"/>
      </bottom>
      <diagonal/>
    </border>
    <border>
      <left style="thin">
        <color indexed="64"/>
      </left>
      <right/>
      <top style="dotted">
        <color indexed="55"/>
      </top>
      <bottom style="dotted">
        <color indexed="55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dotted">
        <color indexed="64"/>
      </right>
      <top style="dotted">
        <color indexed="55"/>
      </top>
      <bottom style="dotted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55"/>
      </top>
      <bottom style="dotted">
        <color indexed="55"/>
      </bottom>
      <diagonal/>
    </border>
    <border>
      <left style="dotted">
        <color indexed="64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hair">
        <color indexed="64"/>
      </right>
      <top style="dotted">
        <color indexed="55"/>
      </top>
      <bottom style="dotted">
        <color indexed="55"/>
      </bottom>
      <diagonal/>
    </border>
    <border>
      <left style="hair">
        <color indexed="64"/>
      </left>
      <right style="hair">
        <color indexed="64"/>
      </right>
      <top style="dotted">
        <color indexed="55"/>
      </top>
      <bottom style="dotted">
        <color indexed="55"/>
      </bottom>
      <diagonal/>
    </border>
    <border>
      <left style="hair">
        <color indexed="64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thin">
        <color indexed="64"/>
      </left>
      <right style="thin">
        <color indexed="64"/>
      </right>
      <top style="dotted">
        <color indexed="23"/>
      </top>
      <bottom style="dotted">
        <color indexed="23"/>
      </bottom>
      <diagonal/>
    </border>
    <border>
      <left style="thin">
        <color indexed="64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23"/>
      </top>
      <bottom style="dotted">
        <color indexed="23"/>
      </bottom>
      <diagonal/>
    </border>
    <border>
      <left style="dotted">
        <color indexed="55"/>
      </left>
      <right/>
      <top style="dotted">
        <color indexed="23"/>
      </top>
      <bottom style="dotted">
        <color indexed="23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64"/>
      </left>
      <right style="thin">
        <color indexed="64"/>
      </right>
      <top style="dotted">
        <color indexed="23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23"/>
      </top>
      <bottom style="dotted">
        <color indexed="55"/>
      </bottom>
      <diagonal/>
    </border>
    <border>
      <left style="dotted">
        <color indexed="55"/>
      </left>
      <right/>
      <top style="dotted">
        <color indexed="23"/>
      </top>
      <bottom style="dotted">
        <color indexed="55"/>
      </bottom>
      <diagonal/>
    </border>
    <border>
      <left/>
      <right/>
      <top style="dotted">
        <color indexed="23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thin">
        <color indexed="64"/>
      </left>
      <right/>
      <top style="dotted">
        <color indexed="55"/>
      </top>
      <bottom style="thin">
        <color indexed="64"/>
      </bottom>
      <diagonal/>
    </border>
    <border>
      <left/>
      <right/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55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55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55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55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dotted">
        <color indexed="55"/>
      </right>
      <top style="dotted">
        <color indexed="55"/>
      </top>
      <bottom style="thin">
        <color indexed="64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thin">
        <color indexed="64"/>
      </bottom>
      <diagonal/>
    </border>
    <border>
      <left style="dotted">
        <color indexed="55"/>
      </left>
      <right style="thin">
        <color indexed="64"/>
      </right>
      <top style="dotted">
        <color indexed="55"/>
      </top>
      <bottom style="thin">
        <color indexed="64"/>
      </bottom>
      <diagonal/>
    </border>
    <border>
      <left style="dotted">
        <color indexed="55"/>
      </left>
      <right/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dotted">
        <color indexed="55"/>
      </right>
      <top style="thin">
        <color indexed="64"/>
      </top>
      <bottom style="thin">
        <color indexed="64"/>
      </bottom>
      <diagonal/>
    </border>
    <border>
      <left style="dotted">
        <color indexed="55"/>
      </left>
      <right style="dotted">
        <color indexed="55"/>
      </right>
      <top style="thin">
        <color indexed="64"/>
      </top>
      <bottom style="thin">
        <color indexed="64"/>
      </bottom>
      <diagonal/>
    </border>
    <border>
      <left style="dotted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55"/>
      </bottom>
      <diagonal/>
    </border>
    <border>
      <left/>
      <right/>
      <top/>
      <bottom style="dotted">
        <color indexed="55"/>
      </bottom>
      <diagonal/>
    </border>
    <border>
      <left style="thin">
        <color indexed="64"/>
      </left>
      <right style="dotted">
        <color indexed="64"/>
      </right>
      <top/>
      <bottom style="dotted">
        <color indexed="55"/>
      </bottom>
      <diagonal/>
    </border>
    <border>
      <left style="dotted">
        <color indexed="64"/>
      </left>
      <right style="dotted">
        <color indexed="64"/>
      </right>
      <top/>
      <bottom style="dotted">
        <color indexed="55"/>
      </bottom>
      <diagonal/>
    </border>
    <border>
      <left style="dotted">
        <color indexed="64"/>
      </left>
      <right style="thin">
        <color indexed="64"/>
      </right>
      <top/>
      <bottom style="dotted">
        <color indexed="55"/>
      </bottom>
      <diagonal/>
    </border>
    <border>
      <left style="thin">
        <color indexed="64"/>
      </left>
      <right style="thin">
        <color indexed="64"/>
      </right>
      <top/>
      <bottom style="dotted">
        <color indexed="55"/>
      </bottom>
      <diagonal/>
    </border>
    <border>
      <left style="thin">
        <color indexed="64"/>
      </left>
      <right style="hair">
        <color indexed="64"/>
      </right>
      <top/>
      <bottom style="dotted">
        <color indexed="55"/>
      </bottom>
      <diagonal/>
    </border>
    <border>
      <left style="hair">
        <color indexed="64"/>
      </left>
      <right style="hair">
        <color indexed="64"/>
      </right>
      <top/>
      <bottom style="dotted">
        <color indexed="55"/>
      </bottom>
      <diagonal/>
    </border>
    <border>
      <left style="hair">
        <color indexed="64"/>
      </left>
      <right style="thin">
        <color indexed="64"/>
      </right>
      <top/>
      <bottom style="dotted">
        <color indexed="55"/>
      </bottom>
      <diagonal/>
    </border>
    <border>
      <left style="thin">
        <color indexed="64"/>
      </left>
      <right style="thin">
        <color indexed="64"/>
      </right>
      <top/>
      <bottom style="dotted">
        <color indexed="23"/>
      </bottom>
      <diagonal/>
    </border>
    <border>
      <left style="thin">
        <color indexed="64"/>
      </left>
      <right style="dotted">
        <color indexed="55"/>
      </right>
      <top/>
      <bottom style="dotted">
        <color indexed="55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  <border>
      <left style="dotted">
        <color indexed="55"/>
      </left>
      <right style="thin">
        <color indexed="64"/>
      </right>
      <top/>
      <bottom style="dotted">
        <color indexed="55"/>
      </bottom>
      <diagonal/>
    </border>
    <border>
      <left style="thin">
        <color indexed="64"/>
      </left>
      <right style="dotted">
        <color indexed="55"/>
      </right>
      <top/>
      <bottom style="dotted">
        <color indexed="23"/>
      </bottom>
      <diagonal/>
    </border>
    <border>
      <left style="dotted">
        <color indexed="55"/>
      </left>
      <right style="dotted">
        <color indexed="55"/>
      </right>
      <top/>
      <bottom style="dotted">
        <color indexed="23"/>
      </bottom>
      <diagonal/>
    </border>
    <border>
      <left style="dotted">
        <color indexed="55"/>
      </left>
      <right/>
      <top/>
      <bottom style="dotted">
        <color indexed="23"/>
      </bottom>
      <diagonal/>
    </border>
    <border>
      <left/>
      <right/>
      <top/>
      <bottom style="dotted">
        <color indexed="23"/>
      </bottom>
      <diagonal/>
    </border>
    <border>
      <left/>
      <right style="thin">
        <color indexed="64"/>
      </right>
      <top/>
      <bottom style="dotted">
        <color indexed="55"/>
      </bottom>
      <diagonal/>
    </border>
    <border>
      <left style="hair">
        <color indexed="64"/>
      </left>
      <right style="thin">
        <color indexed="64"/>
      </right>
      <top style="dotted">
        <color indexed="55"/>
      </top>
      <bottom/>
      <diagonal/>
    </border>
    <border>
      <left style="thin">
        <color indexed="64"/>
      </left>
      <right style="thin">
        <color indexed="64"/>
      </right>
      <top style="dotted">
        <color indexed="23"/>
      </top>
      <bottom/>
      <diagonal/>
    </border>
    <border>
      <left style="thin">
        <color indexed="64"/>
      </left>
      <right style="dotted">
        <color indexed="55"/>
      </right>
      <top style="dotted">
        <color indexed="55"/>
      </top>
      <bottom/>
      <diagonal/>
    </border>
    <border>
      <left style="dotted">
        <color indexed="55"/>
      </left>
      <right style="dotted">
        <color indexed="55"/>
      </right>
      <top style="dotted">
        <color indexed="55"/>
      </top>
      <bottom/>
      <diagonal/>
    </border>
    <border>
      <left style="dotted">
        <color indexed="55"/>
      </left>
      <right style="thin">
        <color indexed="64"/>
      </right>
      <top style="dotted">
        <color indexed="55"/>
      </top>
      <bottom/>
      <diagonal/>
    </border>
    <border>
      <left style="thin">
        <color indexed="64"/>
      </left>
      <right style="dotted">
        <color indexed="55"/>
      </right>
      <top style="dotted">
        <color indexed="23"/>
      </top>
      <bottom/>
      <diagonal/>
    </border>
    <border>
      <left style="dotted">
        <color indexed="55"/>
      </left>
      <right style="dotted">
        <color indexed="55"/>
      </right>
      <top style="dotted">
        <color indexed="23"/>
      </top>
      <bottom/>
      <diagonal/>
    </border>
    <border>
      <left style="dotted">
        <color indexed="55"/>
      </left>
      <right/>
      <top style="dotted">
        <color indexed="23"/>
      </top>
      <bottom/>
      <diagonal/>
    </border>
    <border>
      <left/>
      <right/>
      <top style="dotted">
        <color indexed="23"/>
      </top>
      <bottom/>
      <diagonal/>
    </border>
    <border>
      <left/>
      <right/>
      <top style="dotted">
        <color indexed="55"/>
      </top>
      <bottom/>
      <diagonal/>
    </border>
    <border>
      <left/>
      <right style="thin">
        <color indexed="64"/>
      </right>
      <top style="dotted">
        <color indexed="55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55"/>
      </right>
      <top style="hair">
        <color indexed="64"/>
      </top>
      <bottom style="thin">
        <color indexed="64"/>
      </bottom>
      <diagonal/>
    </border>
    <border>
      <left style="dotted">
        <color indexed="55"/>
      </left>
      <right style="dotted">
        <color indexed="55"/>
      </right>
      <top style="hair">
        <color indexed="64"/>
      </top>
      <bottom style="thin">
        <color indexed="64"/>
      </bottom>
      <diagonal/>
    </border>
    <border>
      <left style="dotted">
        <color indexed="55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55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22"/>
      </right>
      <top/>
      <bottom/>
      <diagonal/>
    </border>
  </borders>
  <cellStyleXfs count="42369">
    <xf numFmtId="169" fontId="0" fillId="0" borderId="0">
      <alignment horizontal="left" wrapText="1"/>
    </xf>
    <xf numFmtId="0" fontId="18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3" fontId="18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61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18" fillId="0" borderId="0">
      <alignment horizontal="left" wrapText="1"/>
    </xf>
    <xf numFmtId="173" fontId="25" fillId="0" borderId="0">
      <alignment horizontal="left" wrapText="1"/>
    </xf>
    <xf numFmtId="173" fontId="61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1" fontId="28" fillId="0" borderId="0">
      <alignment horizontal="left" wrapText="1"/>
    </xf>
    <xf numFmtId="0" fontId="25" fillId="0" borderId="0"/>
    <xf numFmtId="171" fontId="25" fillId="0" borderId="0">
      <alignment horizontal="left" wrapText="1"/>
    </xf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171" fontId="25" fillId="0" borderId="0">
      <alignment horizontal="left" wrapText="1"/>
    </xf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34" fillId="0" borderId="0"/>
    <xf numFmtId="0" fontId="34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1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61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18" fillId="0" borderId="0">
      <alignment horizontal="left" wrapText="1"/>
    </xf>
    <xf numFmtId="171" fontId="25" fillId="0" borderId="0">
      <alignment horizontal="left" wrapText="1"/>
    </xf>
    <xf numFmtId="171" fontId="61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61" fillId="0" borderId="0">
      <alignment horizontal="left" wrapText="1"/>
    </xf>
    <xf numFmtId="171" fontId="25" fillId="0" borderId="0">
      <alignment horizontal="left" wrapText="1"/>
    </xf>
    <xf numFmtId="171" fontId="1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1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61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18" fillId="0" borderId="0">
      <alignment horizontal="left" wrapText="1"/>
    </xf>
    <xf numFmtId="171" fontId="25" fillId="0" borderId="0">
      <alignment horizontal="left" wrapText="1"/>
    </xf>
    <xf numFmtId="171" fontId="61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0" fontId="34" fillId="0" borderId="0"/>
    <xf numFmtId="0" fontId="34" fillId="0" borderId="0"/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0" fontId="25" fillId="0" borderId="0"/>
    <xf numFmtId="171" fontId="25" fillId="0" borderId="0">
      <alignment horizontal="left" wrapText="1"/>
    </xf>
    <xf numFmtId="171" fontId="25" fillId="0" borderId="0">
      <alignment horizontal="left" wrapText="1"/>
    </xf>
    <xf numFmtId="169" fontId="2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73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0" fontId="34" fillId="0" borderId="0"/>
    <xf numFmtId="169" fontId="18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18" fillId="0" borderId="0">
      <alignment horizontal="left" wrapText="1"/>
    </xf>
    <xf numFmtId="169" fontId="25" fillId="0" borderId="0">
      <alignment horizontal="left" wrapText="1"/>
    </xf>
    <xf numFmtId="169" fontId="61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25" fillId="0" borderId="0"/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8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0" fontId="34" fillId="0" borderId="0"/>
    <xf numFmtId="0" fontId="58" fillId="2" borderId="0" applyNumberFormat="0" applyBorder="0" applyAlignment="0" applyProtection="0"/>
    <xf numFmtId="0" fontId="101" fillId="66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101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4" borderId="0" applyNumberFormat="0" applyBorder="0" applyAlignment="0" applyProtection="0"/>
    <xf numFmtId="0" fontId="101" fillId="67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101" fillId="5" borderId="0" applyNumberFormat="0" applyBorder="0" applyAlignment="0" applyProtection="0"/>
    <xf numFmtId="0" fontId="58" fillId="4" borderId="0" applyNumberFormat="0" applyBorder="0" applyAlignment="0" applyProtection="0"/>
    <xf numFmtId="0" fontId="58" fillId="6" borderId="0" applyNumberFormat="0" applyBorder="0" applyAlignment="0" applyProtection="0"/>
    <xf numFmtId="0" fontId="101" fillId="68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101" fillId="7" borderId="0" applyNumberFormat="0" applyBorder="0" applyAlignment="0" applyProtection="0"/>
    <xf numFmtId="0" fontId="58" fillId="6" borderId="0" applyNumberFormat="0" applyBorder="0" applyAlignment="0" applyProtection="0"/>
    <xf numFmtId="0" fontId="58" fillId="8" borderId="0" applyNumberFormat="0" applyBorder="0" applyAlignment="0" applyProtection="0"/>
    <xf numFmtId="0" fontId="101" fillId="69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1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10" borderId="0" applyNumberFormat="0" applyBorder="0" applyAlignment="0" applyProtection="0"/>
    <xf numFmtId="0" fontId="101" fillId="7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1" fillId="70" borderId="0" applyNumberFormat="0" applyBorder="0" applyAlignment="0" applyProtection="0"/>
    <xf numFmtId="0" fontId="58" fillId="10" borderId="0" applyNumberFormat="0" applyBorder="0" applyAlignment="0" applyProtection="0"/>
    <xf numFmtId="0" fontId="58" fillId="9" borderId="0" applyNumberFormat="0" applyBorder="0" applyAlignment="0" applyProtection="0"/>
    <xf numFmtId="0" fontId="101" fillId="71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101" fillId="7" borderId="0" applyNumberFormat="0" applyBorder="0" applyAlignment="0" applyProtection="0"/>
    <xf numFmtId="0" fontId="58" fillId="9" borderId="0" applyNumberFormat="0" applyBorder="0" applyAlignment="0" applyProtection="0"/>
    <xf numFmtId="0" fontId="58" fillId="3" borderId="0" applyNumberFormat="0" applyBorder="0" applyAlignment="0" applyProtection="0"/>
    <xf numFmtId="0" fontId="101" fillId="72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101" fillId="10" borderId="0" applyNumberFormat="0" applyBorder="0" applyAlignment="0" applyProtection="0"/>
    <xf numFmtId="0" fontId="58" fillId="3" borderId="0" applyNumberFormat="0" applyBorder="0" applyAlignment="0" applyProtection="0"/>
    <xf numFmtId="0" fontId="58" fillId="5" borderId="0" applyNumberFormat="0" applyBorder="0" applyAlignment="0" applyProtection="0"/>
    <xf numFmtId="0" fontId="101" fillId="73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101" fillId="73" borderId="0" applyNumberFormat="0" applyBorder="0" applyAlignment="0" applyProtection="0"/>
    <xf numFmtId="0" fontId="58" fillId="5" borderId="0" applyNumberFormat="0" applyBorder="0" applyAlignment="0" applyProtection="0"/>
    <xf numFmtId="0" fontId="58" fillId="11" borderId="0" applyNumberFormat="0" applyBorder="0" applyAlignment="0" applyProtection="0"/>
    <xf numFmtId="0" fontId="101" fillId="74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1" fillId="12" borderId="0" applyNumberFormat="0" applyBorder="0" applyAlignment="0" applyProtection="0"/>
    <xf numFmtId="0" fontId="58" fillId="11" borderId="0" applyNumberFormat="0" applyBorder="0" applyAlignment="0" applyProtection="0"/>
    <xf numFmtId="0" fontId="58" fillId="8" borderId="0" applyNumberFormat="0" applyBorder="0" applyAlignment="0" applyProtection="0"/>
    <xf numFmtId="0" fontId="101" fillId="75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1" fillId="4" borderId="0" applyNumberFormat="0" applyBorder="0" applyAlignment="0" applyProtection="0"/>
    <xf numFmtId="0" fontId="58" fillId="8" borderId="0" applyNumberFormat="0" applyBorder="0" applyAlignment="0" applyProtection="0"/>
    <xf numFmtId="0" fontId="58" fillId="3" borderId="0" applyNumberFormat="0" applyBorder="0" applyAlignment="0" applyProtection="0"/>
    <xf numFmtId="0" fontId="101" fillId="76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101" fillId="10" borderId="0" applyNumberFormat="0" applyBorder="0" applyAlignment="0" applyProtection="0"/>
    <xf numFmtId="0" fontId="58" fillId="3" borderId="0" applyNumberFormat="0" applyBorder="0" applyAlignment="0" applyProtection="0"/>
    <xf numFmtId="0" fontId="58" fillId="13" borderId="0" applyNumberFormat="0" applyBorder="0" applyAlignment="0" applyProtection="0"/>
    <xf numFmtId="0" fontId="101" fillId="77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1" fillId="7" borderId="0" applyNumberFormat="0" applyBorder="0" applyAlignment="0" applyProtection="0"/>
    <xf numFmtId="0" fontId="58" fillId="13" borderId="0" applyNumberFormat="0" applyBorder="0" applyAlignment="0" applyProtection="0"/>
    <xf numFmtId="0" fontId="66" fillId="10" borderId="0" applyNumberFormat="0" applyBorder="0" applyAlignment="0" applyProtection="0"/>
    <xf numFmtId="0" fontId="102" fillId="78" borderId="0" applyNumberFormat="0" applyBorder="0" applyAlignment="0" applyProtection="0"/>
    <xf numFmtId="0" fontId="66" fillId="14" borderId="0" applyNumberFormat="0" applyBorder="0" applyAlignment="0" applyProtection="0"/>
    <xf numFmtId="0" fontId="102" fillId="1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102" fillId="79" borderId="0" applyNumberFormat="0" applyBorder="0" applyAlignment="0" applyProtection="0"/>
    <xf numFmtId="0" fontId="66" fillId="5" borderId="0" applyNumberFormat="0" applyBorder="0" applyAlignment="0" applyProtection="0"/>
    <xf numFmtId="0" fontId="102" fillId="15" borderId="0" applyNumberFormat="0" applyBorder="0" applyAlignment="0" applyProtection="0"/>
    <xf numFmtId="0" fontId="66" fillId="5" borderId="0" applyNumberFormat="0" applyBorder="0" applyAlignment="0" applyProtection="0"/>
    <xf numFmtId="0" fontId="66" fillId="13" borderId="0" applyNumberFormat="0" applyBorder="0" applyAlignment="0" applyProtection="0"/>
    <xf numFmtId="0" fontId="102" fillId="80" borderId="0" applyNumberFormat="0" applyBorder="0" applyAlignment="0" applyProtection="0"/>
    <xf numFmtId="0" fontId="66" fillId="11" borderId="0" applyNumberFormat="0" applyBorder="0" applyAlignment="0" applyProtection="0"/>
    <xf numFmtId="0" fontId="102" fillId="13" borderId="0" applyNumberFormat="0" applyBorder="0" applyAlignment="0" applyProtection="0"/>
    <xf numFmtId="0" fontId="66" fillId="11" borderId="0" applyNumberFormat="0" applyBorder="0" applyAlignment="0" applyProtection="0"/>
    <xf numFmtId="0" fontId="66" fillId="4" borderId="0" applyNumberFormat="0" applyBorder="0" applyAlignment="0" applyProtection="0"/>
    <xf numFmtId="0" fontId="102" fillId="81" borderId="0" applyNumberFormat="0" applyBorder="0" applyAlignment="0" applyProtection="0"/>
    <xf numFmtId="0" fontId="66" fillId="16" borderId="0" applyNumberFormat="0" applyBorder="0" applyAlignment="0" applyProtection="0"/>
    <xf numFmtId="0" fontId="102" fillId="4" borderId="0" applyNumberFormat="0" applyBorder="0" applyAlignment="0" applyProtection="0"/>
    <xf numFmtId="0" fontId="66" fillId="16" borderId="0" applyNumberFormat="0" applyBorder="0" applyAlignment="0" applyProtection="0"/>
    <xf numFmtId="0" fontId="66" fillId="10" borderId="0" applyNumberFormat="0" applyBorder="0" applyAlignment="0" applyProtection="0"/>
    <xf numFmtId="0" fontId="102" fillId="82" borderId="0" applyNumberFormat="0" applyBorder="0" applyAlignment="0" applyProtection="0"/>
    <xf numFmtId="0" fontId="66" fillId="17" borderId="0" applyNumberFormat="0" applyBorder="0" applyAlignment="0" applyProtection="0"/>
    <xf numFmtId="0" fontId="102" fillId="10" borderId="0" applyNumberFormat="0" applyBorder="0" applyAlignment="0" applyProtection="0"/>
    <xf numFmtId="0" fontId="66" fillId="17" borderId="0" applyNumberFormat="0" applyBorder="0" applyAlignment="0" applyProtection="0"/>
    <xf numFmtId="0" fontId="66" fillId="5" borderId="0" applyNumberFormat="0" applyBorder="0" applyAlignment="0" applyProtection="0"/>
    <xf numFmtId="0" fontId="102" fillId="83" borderId="0" applyNumberFormat="0" applyBorder="0" applyAlignment="0" applyProtection="0"/>
    <xf numFmtId="0" fontId="66" fillId="18" borderId="0" applyNumberFormat="0" applyBorder="0" applyAlignment="0" applyProtection="0"/>
    <xf numFmtId="0" fontId="102" fillId="5" borderId="0" applyNumberFormat="0" applyBorder="0" applyAlignment="0" applyProtection="0"/>
    <xf numFmtId="0" fontId="66" fillId="18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102" fillId="84" borderId="0" applyNumberFormat="0" applyBorder="0" applyAlignment="0" applyProtection="0"/>
    <xf numFmtId="0" fontId="66" fillId="19" borderId="0" applyNumberFormat="0" applyBorder="0" applyAlignment="0" applyProtection="0"/>
    <xf numFmtId="0" fontId="102" fillId="23" borderId="0" applyNumberFormat="0" applyBorder="0" applyAlignment="0" applyProtection="0"/>
    <xf numFmtId="0" fontId="66" fillId="19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15" borderId="0" applyNumberFormat="0" applyBorder="0" applyAlignment="0" applyProtection="0"/>
    <xf numFmtId="0" fontId="102" fillId="85" borderId="0" applyNumberFormat="0" applyBorder="0" applyAlignment="0" applyProtection="0"/>
    <xf numFmtId="0" fontId="66" fillId="24" borderId="0" applyNumberFormat="0" applyBorder="0" applyAlignment="0" applyProtection="0"/>
    <xf numFmtId="0" fontId="102" fillId="15" borderId="0" applyNumberFormat="0" applyBorder="0" applyAlignment="0" applyProtection="0"/>
    <xf numFmtId="0" fontId="66" fillId="24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66" fillId="31" borderId="0" applyNumberFormat="0" applyBorder="0" applyAlignment="0" applyProtection="0"/>
    <xf numFmtId="0" fontId="66" fillId="13" borderId="0" applyNumberFormat="0" applyBorder="0" applyAlignment="0" applyProtection="0"/>
    <xf numFmtId="0" fontId="102" fillId="86" borderId="0" applyNumberFormat="0" applyBorder="0" applyAlignment="0" applyProtection="0"/>
    <xf numFmtId="0" fontId="66" fillId="28" borderId="0" applyNumberFormat="0" applyBorder="0" applyAlignment="0" applyProtection="0"/>
    <xf numFmtId="0" fontId="102" fillId="13" borderId="0" applyNumberFormat="0" applyBorder="0" applyAlignment="0" applyProtection="0"/>
    <xf numFmtId="0" fontId="66" fillId="28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66" fillId="31" borderId="0" applyNumberFormat="0" applyBorder="0" applyAlignment="0" applyProtection="0"/>
    <xf numFmtId="0" fontId="66" fillId="32" borderId="0" applyNumberFormat="0" applyBorder="0" applyAlignment="0" applyProtection="0"/>
    <xf numFmtId="0" fontId="102" fillId="87" borderId="0" applyNumberFormat="0" applyBorder="0" applyAlignment="0" applyProtection="0"/>
    <xf numFmtId="0" fontId="66" fillId="16" borderId="0" applyNumberFormat="0" applyBorder="0" applyAlignment="0" applyProtection="0"/>
    <xf numFmtId="0" fontId="102" fillId="32" borderId="0" applyNumberFormat="0" applyBorder="0" applyAlignment="0" applyProtection="0"/>
    <xf numFmtId="0" fontId="66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02" fillId="88" borderId="0" applyNumberFormat="0" applyBorder="0" applyAlignment="0" applyProtection="0"/>
    <xf numFmtId="0" fontId="66" fillId="17" borderId="0" applyNumberFormat="0" applyBorder="0" applyAlignment="0" applyProtection="0"/>
    <xf numFmtId="0" fontId="102" fillId="88" borderId="0" applyNumberFormat="0" applyBorder="0" applyAlignment="0" applyProtection="0"/>
    <xf numFmtId="0" fontId="66" fillId="17" borderId="0" applyNumberFormat="0" applyBorder="0" applyAlignment="0" applyProtection="0"/>
    <xf numFmtId="0" fontId="58" fillId="33" borderId="0" applyNumberFormat="0" applyBorder="0" applyAlignment="0" applyProtection="0"/>
    <xf numFmtId="0" fontId="58" fillId="26" borderId="0" applyNumberFormat="0" applyBorder="0" applyAlignment="0" applyProtection="0"/>
    <xf numFmtId="0" fontId="66" fillId="34" borderId="0" applyNumberFormat="0" applyBorder="0" applyAlignment="0" applyProtection="0"/>
    <xf numFmtId="0" fontId="66" fillId="24" borderId="0" applyNumberFormat="0" applyBorder="0" applyAlignment="0" applyProtection="0"/>
    <xf numFmtId="0" fontId="102" fillId="89" borderId="0" applyNumberFormat="0" applyBorder="0" applyAlignment="0" applyProtection="0"/>
    <xf numFmtId="0" fontId="66" fillId="15" borderId="0" applyNumberFormat="0" applyBorder="0" applyAlignment="0" applyProtection="0"/>
    <xf numFmtId="0" fontId="102" fillId="24" borderId="0" applyNumberFormat="0" applyBorder="0" applyAlignment="0" applyProtection="0"/>
    <xf numFmtId="0" fontId="66" fillId="15" borderId="0" applyNumberFormat="0" applyBorder="0" applyAlignment="0" applyProtection="0"/>
    <xf numFmtId="0" fontId="76" fillId="8" borderId="0" applyNumberFormat="0" applyBorder="0" applyAlignment="0" applyProtection="0"/>
    <xf numFmtId="0" fontId="103" fillId="90" borderId="0" applyNumberFormat="0" applyBorder="0" applyAlignment="0" applyProtection="0"/>
    <xf numFmtId="0" fontId="76" fillId="4" borderId="0" applyNumberFormat="0" applyBorder="0" applyAlignment="0" applyProtection="0"/>
    <xf numFmtId="0" fontId="103" fillId="8" borderId="0" applyNumberFormat="0" applyBorder="0" applyAlignment="0" applyProtection="0"/>
    <xf numFmtId="0" fontId="76" fillId="4" borderId="0" applyNumberFormat="0" applyBorder="0" applyAlignment="0" applyProtection="0"/>
    <xf numFmtId="179" fontId="35" fillId="0" borderId="0" applyFill="0" applyBorder="0" applyAlignment="0"/>
    <xf numFmtId="179" fontId="35" fillId="0" borderId="0" applyFill="0" applyBorder="0" applyAlignment="0"/>
    <xf numFmtId="179" fontId="35" fillId="0" borderId="0" applyFill="0" applyBorder="0" applyAlignment="0"/>
    <xf numFmtId="0" fontId="104" fillId="91" borderId="63" applyNumberFormat="0" applyAlignment="0" applyProtection="0"/>
    <xf numFmtId="0" fontId="104" fillId="91" borderId="63" applyNumberFormat="0" applyAlignment="0" applyProtection="0"/>
    <xf numFmtId="0" fontId="77" fillId="35" borderId="1" applyNumberFormat="0" applyAlignment="0" applyProtection="0"/>
    <xf numFmtId="41" fontId="25" fillId="36" borderId="0"/>
    <xf numFmtId="0" fontId="104" fillId="91" borderId="63" applyNumberFormat="0" applyAlignment="0" applyProtection="0"/>
    <xf numFmtId="0" fontId="105" fillId="37" borderId="63" applyNumberFormat="0" applyAlignment="0" applyProtection="0"/>
    <xf numFmtId="41" fontId="25" fillId="36" borderId="0"/>
    <xf numFmtId="41" fontId="25" fillId="36" borderId="0"/>
    <xf numFmtId="41" fontId="25" fillId="36" borderId="0"/>
    <xf numFmtId="0" fontId="78" fillId="38" borderId="2" applyNumberFormat="0" applyAlignment="0" applyProtection="0"/>
    <xf numFmtId="0" fontId="106" fillId="92" borderId="64" applyNumberFormat="0" applyAlignment="0" applyProtection="0"/>
    <xf numFmtId="0" fontId="78" fillId="38" borderId="2" applyNumberFormat="0" applyAlignment="0" applyProtection="0"/>
    <xf numFmtId="0" fontId="106" fillId="92" borderId="64" applyNumberFormat="0" applyAlignment="0" applyProtection="0"/>
    <xf numFmtId="0" fontId="78" fillId="38" borderId="2" applyNumberFormat="0" applyAlignment="0" applyProtection="0"/>
    <xf numFmtId="41" fontId="25" fillId="39" borderId="0"/>
    <xf numFmtId="41" fontId="25" fillId="39" borderId="0"/>
    <xf numFmtId="41" fontId="25" fillId="39" borderId="0"/>
    <xf numFmtId="41" fontId="25" fillId="39" borderId="0"/>
    <xf numFmtId="43" fontId="18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6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" fontId="6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6" fillId="0" borderId="0"/>
    <xf numFmtId="0" fontId="36" fillId="0" borderId="0"/>
    <xf numFmtId="0" fontId="50" fillId="0" borderId="0"/>
    <xf numFmtId="0" fontId="98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181" fontId="51" fillId="0" borderId="0">
      <protection locked="0"/>
    </xf>
    <xf numFmtId="0" fontId="50" fillId="0" borderId="0"/>
    <xf numFmtId="0" fontId="98" fillId="0" borderId="0"/>
    <xf numFmtId="0" fontId="37" fillId="0" borderId="0" applyNumberFormat="0" applyAlignment="0">
      <alignment horizontal="left"/>
    </xf>
    <xf numFmtId="0" fontId="37" fillId="0" borderId="0" applyNumberFormat="0" applyAlignment="0">
      <alignment horizontal="left"/>
    </xf>
    <xf numFmtId="0" fontId="37" fillId="0" borderId="0" applyNumberFormat="0" applyAlignment="0">
      <alignment horizontal="left"/>
    </xf>
    <xf numFmtId="0" fontId="38" fillId="0" borderId="0" applyNumberFormat="0" applyAlignment="0"/>
    <xf numFmtId="0" fontId="38" fillId="0" borderId="0" applyNumberFormat="0" applyAlignment="0"/>
    <xf numFmtId="0" fontId="38" fillId="0" borderId="0" applyNumberFormat="0" applyAlignment="0"/>
    <xf numFmtId="0" fontId="36" fillId="0" borderId="0"/>
    <xf numFmtId="0" fontId="50" fillId="0" borderId="0"/>
    <xf numFmtId="0" fontId="98" fillId="0" borderId="0"/>
    <xf numFmtId="0" fontId="36" fillId="0" borderId="0"/>
    <xf numFmtId="0" fontId="50" fillId="0" borderId="0"/>
    <xf numFmtId="0" fontId="98" fillId="0" borderId="0"/>
    <xf numFmtId="8" fontId="6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8" fontId="6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25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7" fillId="40" borderId="0" applyNumberFormat="0" applyBorder="0" applyAlignment="0" applyProtection="0"/>
    <xf numFmtId="0" fontId="67" fillId="41" borderId="0" applyNumberFormat="0" applyBorder="0" applyAlignment="0" applyProtection="0"/>
    <xf numFmtId="0" fontId="67" fillId="42" borderId="0" applyNumberFormat="0" applyBorder="0" applyAlignment="0" applyProtection="0"/>
    <xf numFmtId="169" fontId="18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69" fontId="25" fillId="0" borderId="0"/>
    <xf numFmtId="183" fontId="25" fillId="0" borderId="0" applyFont="0" applyFill="0" applyBorder="0" applyAlignment="0" applyProtection="0">
      <alignment horizontal="left" wrapText="1"/>
    </xf>
    <xf numFmtId="183" fontId="25" fillId="0" borderId="0" applyFont="0" applyFill="0" applyBorder="0" applyAlignment="0" applyProtection="0">
      <alignment horizontal="left" wrapText="1"/>
    </xf>
    <xf numFmtId="183" fontId="25" fillId="0" borderId="0" applyFont="0" applyFill="0" applyBorder="0" applyAlignment="0" applyProtection="0">
      <alignment horizontal="left" wrapText="1"/>
    </xf>
    <xf numFmtId="183" fontId="25" fillId="0" borderId="0" applyFont="0" applyFill="0" applyBorder="0" applyAlignment="0" applyProtection="0">
      <alignment horizontal="left" wrapText="1"/>
    </xf>
    <xf numFmtId="0" fontId="7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36" fillId="0" borderId="0"/>
    <xf numFmtId="0" fontId="80" fillId="10" borderId="0" applyNumberFormat="0" applyBorder="0" applyAlignment="0" applyProtection="0"/>
    <xf numFmtId="0" fontId="108" fillId="93" borderId="0" applyNumberFormat="0" applyBorder="0" applyAlignment="0" applyProtection="0"/>
    <xf numFmtId="0" fontId="80" fillId="6" borderId="0" applyNumberFormat="0" applyBorder="0" applyAlignment="0" applyProtection="0"/>
    <xf numFmtId="0" fontId="108" fillId="10" borderId="0" applyNumberFormat="0" applyBorder="0" applyAlignment="0" applyProtection="0"/>
    <xf numFmtId="0" fontId="80" fillId="6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25" fillId="39" borderId="0" applyNumberFormat="0" applyBorder="0" applyAlignment="0" applyProtection="0"/>
    <xf numFmtId="38" fontId="19" fillId="39" borderId="0" applyNumberFormat="0" applyBorder="0" applyAlignment="0" applyProtection="0"/>
    <xf numFmtId="38" fontId="25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25" fillId="39" borderId="0" applyNumberFormat="0" applyBorder="0" applyAlignment="0" applyProtection="0"/>
    <xf numFmtId="38" fontId="62" fillId="39" borderId="0" applyNumberFormat="0" applyBorder="0" applyAlignment="0" applyProtection="0"/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9" fillId="0" borderId="0" applyNumberFormat="0" applyFill="0" applyBorder="0" applyAlignment="0" applyProtection="0"/>
    <xf numFmtId="0" fontId="109" fillId="0" borderId="65" applyNumberFormat="0" applyFill="0" applyAlignment="0" applyProtection="0"/>
    <xf numFmtId="0" fontId="109" fillId="0" borderId="65" applyNumberFormat="0" applyFill="0" applyAlignment="0" applyProtection="0"/>
    <xf numFmtId="0" fontId="81" fillId="0" borderId="5" applyNumberFormat="0" applyFill="0" applyAlignment="0" applyProtection="0"/>
    <xf numFmtId="0" fontId="91" fillId="0" borderId="6" applyNumberFormat="0" applyFill="0" applyAlignment="0" applyProtection="0"/>
    <xf numFmtId="0" fontId="109" fillId="0" borderId="6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0" fillId="0" borderId="66" applyNumberFormat="0" applyFill="0" applyAlignment="0" applyProtection="0"/>
    <xf numFmtId="0" fontId="110" fillId="0" borderId="66" applyNumberFormat="0" applyFill="0" applyAlignment="0" applyProtection="0"/>
    <xf numFmtId="0" fontId="82" fillId="0" borderId="7" applyNumberFormat="0" applyFill="0" applyAlignment="0" applyProtection="0"/>
    <xf numFmtId="0" fontId="92" fillId="0" borderId="8" applyNumberFormat="0" applyFill="0" applyAlignment="0" applyProtection="0"/>
    <xf numFmtId="0" fontId="110" fillId="0" borderId="6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93" fillId="0" borderId="10" applyNumberFormat="0" applyFill="0" applyAlignment="0" applyProtection="0"/>
    <xf numFmtId="0" fontId="111" fillId="0" borderId="67" applyNumberFormat="0" applyFill="0" applyAlignment="0" applyProtection="0"/>
    <xf numFmtId="0" fontId="83" fillId="0" borderId="9" applyNumberFormat="0" applyFill="0" applyAlignment="0" applyProtection="0"/>
    <xf numFmtId="0" fontId="93" fillId="0" borderId="10" applyNumberFormat="0" applyFill="0" applyAlignment="0" applyProtection="0"/>
    <xf numFmtId="0" fontId="8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38" fontId="20" fillId="0" borderId="0"/>
    <xf numFmtId="38" fontId="20" fillId="0" borderId="0"/>
    <xf numFmtId="38" fontId="20" fillId="0" borderId="0"/>
    <xf numFmtId="38" fontId="20" fillId="0" borderId="0"/>
    <xf numFmtId="40" fontId="20" fillId="0" borderId="0"/>
    <xf numFmtId="40" fontId="20" fillId="0" borderId="0"/>
    <xf numFmtId="40" fontId="20" fillId="0" borderId="0"/>
    <xf numFmtId="40" fontId="20" fillId="0" borderId="0"/>
    <xf numFmtId="0" fontId="94" fillId="0" borderId="0" applyNumberFormat="0" applyFill="0" applyBorder="0" applyAlignment="0" applyProtection="0">
      <alignment vertical="top"/>
      <protection locked="0"/>
    </xf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25" fillId="36" borderId="11" applyNumberFormat="0" applyBorder="0" applyAlignment="0" applyProtection="0"/>
    <xf numFmtId="10" fontId="19" fillId="36" borderId="11" applyNumberFormat="0" applyBorder="0" applyAlignment="0" applyProtection="0"/>
    <xf numFmtId="10" fontId="25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25" fillId="36" borderId="11" applyNumberFormat="0" applyBorder="0" applyAlignment="0" applyProtection="0"/>
    <xf numFmtId="10" fontId="62" fillId="36" borderId="11" applyNumberFormat="0" applyBorder="0" applyAlignment="0" applyProtection="0"/>
    <xf numFmtId="0" fontId="84" fillId="9" borderId="1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84" fillId="12" borderId="1" applyNumberFormat="0" applyAlignment="0" applyProtection="0"/>
    <xf numFmtId="0" fontId="112" fillId="94" borderId="63" applyNumberFormat="0" applyAlignment="0" applyProtection="0"/>
    <xf numFmtId="0" fontId="84" fillId="9" borderId="1" applyNumberFormat="0" applyAlignment="0" applyProtection="0"/>
    <xf numFmtId="0" fontId="112" fillId="12" borderId="63" applyNumberFormat="0" applyAlignment="0" applyProtection="0"/>
    <xf numFmtId="0" fontId="84" fillId="12" borderId="1" applyNumberFormat="0" applyAlignment="0" applyProtection="0"/>
    <xf numFmtId="0" fontId="112" fillId="12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41" fontId="39" fillId="43" borderId="12">
      <alignment horizontal="left"/>
      <protection locked="0"/>
    </xf>
    <xf numFmtId="41" fontId="39" fillId="43" borderId="12">
      <alignment horizontal="left"/>
      <protection locked="0"/>
    </xf>
    <xf numFmtId="10" fontId="39" fillId="43" borderId="12">
      <alignment horizontal="right"/>
      <protection locked="0"/>
    </xf>
    <xf numFmtId="10" fontId="39" fillId="43" borderId="12">
      <alignment horizontal="right"/>
      <protection locked="0"/>
    </xf>
    <xf numFmtId="10" fontId="39" fillId="43" borderId="12">
      <alignment horizontal="right"/>
      <protection locked="0"/>
    </xf>
    <xf numFmtId="41" fontId="39" fillId="43" borderId="12">
      <alignment horizontal="left"/>
      <protection locked="0"/>
    </xf>
    <xf numFmtId="0" fontId="23" fillId="39" borderId="0"/>
    <xf numFmtId="0" fontId="19" fillId="39" borderId="0"/>
    <xf numFmtId="3" fontId="52" fillId="0" borderId="0" applyFill="0" applyBorder="0" applyAlignment="0" applyProtection="0"/>
    <xf numFmtId="3" fontId="52" fillId="0" borderId="0" applyFill="0" applyBorder="0" applyAlignment="0" applyProtection="0"/>
    <xf numFmtId="3" fontId="52" fillId="0" borderId="0" applyFill="0" applyBorder="0" applyAlignment="0" applyProtection="0"/>
    <xf numFmtId="0" fontId="89" fillId="0" borderId="14" applyNumberFormat="0" applyFill="0" applyAlignment="0" applyProtection="0"/>
    <xf numFmtId="0" fontId="113" fillId="0" borderId="68" applyNumberFormat="0" applyFill="0" applyAlignment="0" applyProtection="0"/>
    <xf numFmtId="0" fontId="85" fillId="0" borderId="13" applyNumberFormat="0" applyFill="0" applyAlignment="0" applyProtection="0"/>
    <xf numFmtId="0" fontId="89" fillId="0" borderId="14" applyNumberFormat="0" applyFill="0" applyAlignment="0" applyProtection="0"/>
    <xf numFmtId="0" fontId="85" fillId="0" borderId="13" applyNumberFormat="0" applyFill="0" applyAlignment="0" applyProtection="0"/>
    <xf numFmtId="44" fontId="27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7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0" fontId="95" fillId="12" borderId="0" applyNumberFormat="0" applyBorder="0" applyAlignment="0" applyProtection="0"/>
    <xf numFmtId="0" fontId="114" fillId="95" borderId="0" applyNumberFormat="0" applyBorder="0" applyAlignment="0" applyProtection="0"/>
    <xf numFmtId="0" fontId="86" fillId="12" borderId="0" applyNumberFormat="0" applyBorder="0" applyAlignment="0" applyProtection="0"/>
    <xf numFmtId="0" fontId="115" fillId="95" borderId="0" applyNumberFormat="0" applyBorder="0" applyAlignment="0" applyProtection="0"/>
    <xf numFmtId="0" fontId="86" fillId="12" borderId="0" applyNumberFormat="0" applyBorder="0" applyAlignment="0" applyProtection="0"/>
    <xf numFmtId="37" fontId="40" fillId="0" borderId="0"/>
    <xf numFmtId="37" fontId="40" fillId="0" borderId="0"/>
    <xf numFmtId="37" fontId="40" fillId="0" borderId="0"/>
    <xf numFmtId="172" fontId="26" fillId="0" borderId="0"/>
    <xf numFmtId="185" fontId="25" fillId="0" borderId="0"/>
    <xf numFmtId="185" fontId="25" fillId="0" borderId="0"/>
    <xf numFmtId="186" fontId="25" fillId="0" borderId="0"/>
    <xf numFmtId="185" fontId="25" fillId="0" borderId="0"/>
    <xf numFmtId="185" fontId="25" fillId="0" borderId="0"/>
    <xf numFmtId="186" fontId="25" fillId="0" borderId="0"/>
    <xf numFmtId="185" fontId="25" fillId="0" borderId="0"/>
    <xf numFmtId="185" fontId="25" fillId="0" borderId="0"/>
    <xf numFmtId="0" fontId="25" fillId="0" borderId="0"/>
    <xf numFmtId="0" fontId="25" fillId="0" borderId="0"/>
    <xf numFmtId="186" fontId="25" fillId="0" borderId="0"/>
    <xf numFmtId="172" fontId="26" fillId="0" borderId="0"/>
    <xf numFmtId="171" fontId="25" fillId="0" borderId="0">
      <alignment horizontal="left" wrapText="1"/>
    </xf>
    <xf numFmtId="0" fontId="5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25" fillId="0" borderId="0" applyFill="0" applyBorder="0" applyAlignment="0" applyProtection="0"/>
    <xf numFmtId="0" fontId="25" fillId="0" borderId="0">
      <alignment wrapText="1"/>
    </xf>
    <xf numFmtId="0" fontId="60" fillId="0" borderId="0"/>
    <xf numFmtId="164" fontId="25" fillId="0" borderId="0">
      <alignment horizontal="left" wrapText="1"/>
    </xf>
    <xf numFmtId="169" fontId="25" fillId="0" borderId="0">
      <alignment horizontal="left" wrapText="1"/>
    </xf>
    <xf numFmtId="0" fontId="25" fillId="0" borderId="0"/>
    <xf numFmtId="169" fontId="25" fillId="0" borderId="0">
      <alignment horizontal="left" wrapText="1"/>
    </xf>
    <xf numFmtId="0" fontId="25" fillId="0" borderId="0"/>
    <xf numFmtId="0" fontId="25" fillId="0" borderId="0"/>
    <xf numFmtId="0" fontId="25" fillId="0" borderId="0">
      <alignment wrapText="1"/>
    </xf>
    <xf numFmtId="185" fontId="30" fillId="0" borderId="0">
      <alignment horizontal="left" wrapText="1"/>
    </xf>
    <xf numFmtId="0" fontId="25" fillId="0" borderId="0">
      <alignment wrapText="1"/>
    </xf>
    <xf numFmtId="185" fontId="30" fillId="0" borderId="0">
      <alignment horizontal="left" wrapText="1"/>
    </xf>
    <xf numFmtId="0" fontId="25" fillId="0" borderId="0"/>
    <xf numFmtId="185" fontId="30" fillId="0" borderId="0">
      <alignment horizontal="left" wrapText="1"/>
    </xf>
    <xf numFmtId="0" fontId="25" fillId="0" borderId="0"/>
    <xf numFmtId="185" fontId="30" fillId="0" borderId="0">
      <alignment horizontal="left" wrapText="1"/>
    </xf>
    <xf numFmtId="0" fontId="25" fillId="0" borderId="0">
      <alignment wrapText="1"/>
    </xf>
    <xf numFmtId="185" fontId="30" fillId="0" borderId="0">
      <alignment horizontal="left" wrapText="1"/>
    </xf>
    <xf numFmtId="0" fontId="25" fillId="0" borderId="0">
      <alignment wrapText="1"/>
    </xf>
    <xf numFmtId="185" fontId="30" fillId="0" borderId="0">
      <alignment horizontal="left" wrapText="1"/>
    </xf>
    <xf numFmtId="0" fontId="25" fillId="0" borderId="0">
      <alignment wrapText="1"/>
    </xf>
    <xf numFmtId="185" fontId="30" fillId="0" borderId="0">
      <alignment horizontal="left" wrapText="1"/>
    </xf>
    <xf numFmtId="169" fontId="25" fillId="0" borderId="0">
      <alignment horizontal="left" wrapText="1"/>
    </xf>
    <xf numFmtId="0" fontId="49" fillId="0" borderId="0"/>
    <xf numFmtId="0" fontId="25" fillId="0" borderId="0"/>
    <xf numFmtId="0" fontId="25" fillId="0" borderId="0"/>
    <xf numFmtId="0" fontId="2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5" fillId="0" borderId="0"/>
    <xf numFmtId="0" fontId="41" fillId="0" borderId="0"/>
    <xf numFmtId="0" fontId="58" fillId="0" borderId="0"/>
    <xf numFmtId="0" fontId="25" fillId="0" borderId="0"/>
    <xf numFmtId="0" fontId="41" fillId="0" borderId="0"/>
    <xf numFmtId="0" fontId="58" fillId="0" borderId="0"/>
    <xf numFmtId="0" fontId="41" fillId="0" borderId="0"/>
    <xf numFmtId="0" fontId="58" fillId="0" borderId="0"/>
    <xf numFmtId="0" fontId="25" fillId="0" borderId="0"/>
    <xf numFmtId="0" fontId="25" fillId="0" borderId="0"/>
    <xf numFmtId="0" fontId="25" fillId="0" borderId="0"/>
    <xf numFmtId="169" fontId="25" fillId="0" borderId="0">
      <alignment horizontal="left" wrapText="1"/>
    </xf>
    <xf numFmtId="0" fontId="25" fillId="0" borderId="0"/>
    <xf numFmtId="0" fontId="25" fillId="0" borderId="0"/>
    <xf numFmtId="164" fontId="25" fillId="0" borderId="0">
      <alignment horizontal="left" wrapText="1"/>
    </xf>
    <xf numFmtId="176" fontId="25" fillId="0" borderId="0">
      <alignment horizontal="left" wrapText="1"/>
    </xf>
    <xf numFmtId="0" fontId="101" fillId="0" borderId="0"/>
    <xf numFmtId="169" fontId="30" fillId="0" borderId="0">
      <alignment horizontal="left" wrapText="1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5" fillId="0" borderId="0"/>
    <xf numFmtId="0" fontId="9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5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6" fontId="25" fillId="0" borderId="0">
      <alignment horizontal="left" wrapText="1"/>
    </xf>
    <xf numFmtId="164" fontId="25" fillId="0" borderId="0">
      <alignment horizontal="left" wrapText="1"/>
    </xf>
    <xf numFmtId="0" fontId="25" fillId="0" borderId="0">
      <alignment wrapText="1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5" fillId="0" borderId="0"/>
    <xf numFmtId="0" fontId="101" fillId="0" borderId="0"/>
    <xf numFmtId="0" fontId="25" fillId="0" borderId="0"/>
    <xf numFmtId="0" fontId="25" fillId="0" borderId="0"/>
    <xf numFmtId="0" fontId="25" fillId="0" borderId="0">
      <alignment wrapText="1"/>
    </xf>
    <xf numFmtId="0" fontId="101" fillId="0" borderId="0"/>
    <xf numFmtId="0" fontId="101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>
      <alignment wrapText="1"/>
    </xf>
    <xf numFmtId="184" fontId="25" fillId="0" borderId="0">
      <alignment horizontal="left" wrapText="1"/>
    </xf>
    <xf numFmtId="169" fontId="25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170" fontId="61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96" borderId="69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0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87" fillId="37" borderId="18" applyNumberFormat="0" applyAlignment="0" applyProtection="0"/>
    <xf numFmtId="0" fontId="116" fillId="91" borderId="70" applyNumberFormat="0" applyAlignment="0" applyProtection="0"/>
    <xf numFmtId="0" fontId="87" fillId="35" borderId="18" applyNumberFormat="0" applyAlignment="0" applyProtection="0"/>
    <xf numFmtId="0" fontId="116" fillId="37" borderId="70" applyNumberFormat="0" applyAlignment="0" applyProtection="0"/>
    <xf numFmtId="0" fontId="87" fillId="35" borderId="18" applyNumberFormat="0" applyAlignment="0" applyProtection="0"/>
    <xf numFmtId="0" fontId="36" fillId="0" borderId="0"/>
    <xf numFmtId="0" fontId="36" fillId="0" borderId="0"/>
    <xf numFmtId="0" fontId="50" fillId="0" borderId="0"/>
    <xf numFmtId="0" fontId="98" fillId="0" borderId="0"/>
    <xf numFmtId="9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5" fillId="0" borderId="0" applyFont="0" applyFill="0" applyBorder="0" applyAlignment="0" applyProtection="0"/>
    <xf numFmtId="41" fontId="25" fillId="44" borderId="12"/>
    <xf numFmtId="41" fontId="25" fillId="44" borderId="12"/>
    <xf numFmtId="41" fontId="25" fillId="44" borderId="12"/>
    <xf numFmtId="41" fontId="25" fillId="44" borderId="12"/>
    <xf numFmtId="41" fontId="25" fillId="44" borderId="12"/>
    <xf numFmtId="0" fontId="41" fillId="0" borderId="0" applyNumberFormat="0" applyFont="0" applyFill="0" applyBorder="0" applyAlignment="0" applyProtection="0">
      <alignment horizontal="left"/>
    </xf>
    <xf numFmtId="0" fontId="41" fillId="0" borderId="0" applyNumberFormat="0" applyFont="0" applyFill="0" applyBorder="0" applyAlignment="0" applyProtection="0">
      <alignment horizontal="left"/>
    </xf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15" fontId="41" fillId="0" borderId="0" applyFont="0" applyFill="0" applyBorder="0" applyAlignment="0" applyProtection="0"/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19">
      <alignment horizontal="center"/>
    </xf>
    <xf numFmtId="0" fontId="42" fillId="0" borderId="19">
      <alignment horizontal="center"/>
    </xf>
    <xf numFmtId="0" fontId="42" fillId="0" borderId="19">
      <alignment horizontal="center"/>
    </xf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1" fillId="45" borderId="0" applyNumberFormat="0" applyFont="0" applyBorder="0" applyAlignment="0" applyProtection="0"/>
    <xf numFmtId="0" fontId="41" fillId="45" borderId="0" applyNumberFormat="0" applyFont="0" applyBorder="0" applyAlignment="0" applyProtection="0"/>
    <xf numFmtId="0" fontId="41" fillId="45" borderId="0" applyNumberFormat="0" applyFont="0" applyBorder="0" applyAlignment="0" applyProtection="0"/>
    <xf numFmtId="0" fontId="50" fillId="0" borderId="0"/>
    <xf numFmtId="0" fontId="98" fillId="0" borderId="0"/>
    <xf numFmtId="3" fontId="53" fillId="0" borderId="0" applyFill="0" applyBorder="0" applyAlignment="0" applyProtection="0"/>
    <xf numFmtId="0" fontId="54" fillId="0" borderId="0"/>
    <xf numFmtId="0" fontId="100" fillId="0" borderId="0"/>
    <xf numFmtId="3" fontId="53" fillId="0" borderId="0" applyFill="0" applyBorder="0" applyAlignment="0" applyProtection="0"/>
    <xf numFmtId="3" fontId="53" fillId="0" borderId="0" applyFill="0" applyBorder="0" applyAlignment="0" applyProtection="0"/>
    <xf numFmtId="3" fontId="53" fillId="0" borderId="0" applyFill="0" applyBorder="0" applyAlignment="0" applyProtection="0"/>
    <xf numFmtId="42" fontId="25" fillId="36" borderId="0"/>
    <xf numFmtId="42" fontId="25" fillId="36" borderId="0"/>
    <xf numFmtId="42" fontId="25" fillId="36" borderId="0"/>
    <xf numFmtId="42" fontId="25" fillId="36" borderId="0"/>
    <xf numFmtId="42" fontId="25" fillId="36" borderId="20">
      <alignment vertical="center"/>
    </xf>
    <xf numFmtId="42" fontId="25" fillId="36" borderId="20">
      <alignment vertical="center"/>
    </xf>
    <xf numFmtId="42" fontId="25" fillId="36" borderId="20">
      <alignment vertical="center"/>
    </xf>
    <xf numFmtId="42" fontId="25" fillId="36" borderId="20">
      <alignment vertical="center"/>
    </xf>
    <xf numFmtId="42" fontId="25" fillId="36" borderId="20">
      <alignment vertical="center"/>
    </xf>
    <xf numFmtId="0" fontId="22" fillId="36" borderId="21" applyNumberFormat="0">
      <alignment horizontal="center" vertical="center" wrapText="1"/>
    </xf>
    <xf numFmtId="0" fontId="22" fillId="36" borderId="21" applyNumberFormat="0">
      <alignment horizontal="center" vertical="center" wrapText="1"/>
    </xf>
    <xf numFmtId="10" fontId="49" fillId="36" borderId="0"/>
    <xf numFmtId="10" fontId="25" fillId="36" borderId="0"/>
    <xf numFmtId="10" fontId="25" fillId="36" borderId="0"/>
    <xf numFmtId="10" fontId="25" fillId="36" borderId="0"/>
    <xf numFmtId="10" fontId="25" fillId="36" borderId="0"/>
    <xf numFmtId="10" fontId="25" fillId="36" borderId="0"/>
    <xf numFmtId="10" fontId="25" fillId="36" borderId="0"/>
    <xf numFmtId="182" fontId="49" fillId="36" borderId="0"/>
    <xf numFmtId="182" fontId="25" fillId="36" borderId="0"/>
    <xf numFmtId="182" fontId="25" fillId="36" borderId="0"/>
    <xf numFmtId="182" fontId="25" fillId="36" borderId="0"/>
    <xf numFmtId="182" fontId="25" fillId="36" borderId="0"/>
    <xf numFmtId="182" fontId="25" fillId="36" borderId="0"/>
    <xf numFmtId="182" fontId="25" fillId="36" borderId="0"/>
    <xf numFmtId="42" fontId="25" fillId="36" borderId="0"/>
    <xf numFmtId="165" fontId="21" fillId="0" borderId="0" applyBorder="0" applyAlignment="0"/>
    <xf numFmtId="42" fontId="25" fillId="36" borderId="22">
      <alignment horizontal="left"/>
    </xf>
    <xf numFmtId="42" fontId="25" fillId="36" borderId="22">
      <alignment horizontal="left"/>
    </xf>
    <xf numFmtId="42" fontId="25" fillId="36" borderId="22">
      <alignment horizontal="left"/>
    </xf>
    <xf numFmtId="42" fontId="25" fillId="36" borderId="22">
      <alignment horizontal="left"/>
    </xf>
    <xf numFmtId="42" fontId="25" fillId="36" borderId="22">
      <alignment horizontal="left"/>
    </xf>
    <xf numFmtId="182" fontId="31" fillId="36" borderId="22">
      <alignment horizontal="left"/>
    </xf>
    <xf numFmtId="165" fontId="20" fillId="0" borderId="0" applyBorder="0" applyAlignment="0"/>
    <xf numFmtId="14" fontId="30" fillId="0" borderId="0" applyNumberFormat="0" applyFill="0" applyBorder="0" applyAlignment="0" applyProtection="0">
      <alignment horizontal="left"/>
    </xf>
    <xf numFmtId="180" fontId="28" fillId="0" borderId="0" applyFont="0" applyFill="0" applyAlignment="0">
      <alignment horizontal="right"/>
    </xf>
    <xf numFmtId="180" fontId="25" fillId="0" borderId="0" applyFont="0" applyFill="0" applyAlignment="0">
      <alignment horizontal="right"/>
    </xf>
    <xf numFmtId="180" fontId="25" fillId="0" borderId="0" applyFont="0" applyFill="0" applyAlignment="0">
      <alignment horizontal="right"/>
    </xf>
    <xf numFmtId="180" fontId="25" fillId="0" borderId="0" applyFont="0" applyFill="0" applyAlignment="0">
      <alignment horizontal="right"/>
    </xf>
    <xf numFmtId="180" fontId="25" fillId="0" borderId="0" applyFont="0" applyFill="0" applyAlignment="0">
      <alignment horizontal="right"/>
    </xf>
    <xf numFmtId="180" fontId="25" fillId="0" borderId="0" applyFont="0" applyFill="0" applyAlignment="0">
      <alignment horizontal="right"/>
    </xf>
    <xf numFmtId="4" fontId="65" fillId="43" borderId="18" applyNumberFormat="0" applyProtection="0">
      <alignment vertical="center"/>
    </xf>
    <xf numFmtId="4" fontId="69" fillId="43" borderId="18" applyNumberFormat="0" applyProtection="0">
      <alignment vertical="center"/>
    </xf>
    <xf numFmtId="4" fontId="65" fillId="43" borderId="18" applyNumberFormat="0" applyProtection="0">
      <alignment horizontal="left" vertical="center" indent="1"/>
    </xf>
    <xf numFmtId="4" fontId="65" fillId="43" borderId="18" applyNumberFormat="0" applyProtection="0">
      <alignment horizontal="left" vertical="center" indent="1"/>
    </xf>
    <xf numFmtId="0" fontId="25" fillId="46" borderId="18" applyNumberFormat="0" applyProtection="0">
      <alignment horizontal="left" vertical="center" indent="1"/>
    </xf>
    <xf numFmtId="4" fontId="65" fillId="47" borderId="18" applyNumberFormat="0" applyProtection="0">
      <alignment horizontal="right" vertical="center"/>
    </xf>
    <xf numFmtId="4" fontId="65" fillId="48" borderId="18" applyNumberFormat="0" applyProtection="0">
      <alignment horizontal="right" vertical="center"/>
    </xf>
    <xf numFmtId="4" fontId="65" fillId="49" borderId="18" applyNumberFormat="0" applyProtection="0">
      <alignment horizontal="right" vertical="center"/>
    </xf>
    <xf numFmtId="4" fontId="65" fillId="50" borderId="18" applyNumberFormat="0" applyProtection="0">
      <alignment horizontal="right" vertical="center"/>
    </xf>
    <xf numFmtId="4" fontId="65" fillId="51" borderId="18" applyNumberFormat="0" applyProtection="0">
      <alignment horizontal="right" vertical="center"/>
    </xf>
    <xf numFmtId="4" fontId="65" fillId="52" borderId="18" applyNumberFormat="0" applyProtection="0">
      <alignment horizontal="right" vertical="center"/>
    </xf>
    <xf numFmtId="4" fontId="65" fillId="53" borderId="18" applyNumberFormat="0" applyProtection="0">
      <alignment horizontal="right" vertical="center"/>
    </xf>
    <xf numFmtId="4" fontId="65" fillId="54" borderId="18" applyNumberFormat="0" applyProtection="0">
      <alignment horizontal="right" vertical="center"/>
    </xf>
    <xf numFmtId="4" fontId="65" fillId="55" borderId="18" applyNumberFormat="0" applyProtection="0">
      <alignment horizontal="right" vertical="center"/>
    </xf>
    <xf numFmtId="4" fontId="70" fillId="56" borderId="18" applyNumberFormat="0" applyProtection="0">
      <alignment horizontal="left" vertical="center" indent="1"/>
    </xf>
    <xf numFmtId="4" fontId="65" fillId="57" borderId="23" applyNumberFormat="0" applyProtection="0">
      <alignment horizontal="left" vertical="center" indent="1"/>
    </xf>
    <xf numFmtId="4" fontId="71" fillId="58" borderId="0" applyNumberFormat="0" applyProtection="0">
      <alignment horizontal="left" vertical="center" indent="1"/>
    </xf>
    <xf numFmtId="0" fontId="25" fillId="46" borderId="18" applyNumberFormat="0" applyProtection="0">
      <alignment horizontal="left" vertical="center" indent="1"/>
    </xf>
    <xf numFmtId="4" fontId="65" fillId="57" borderId="18" applyNumberFormat="0" applyProtection="0">
      <alignment horizontal="left" vertical="center" indent="1"/>
    </xf>
    <xf numFmtId="4" fontId="65" fillId="59" borderId="18" applyNumberFormat="0" applyProtection="0">
      <alignment horizontal="left" vertical="center" indent="1"/>
    </xf>
    <xf numFmtId="0" fontId="25" fillId="59" borderId="18" applyNumberFormat="0" applyProtection="0">
      <alignment horizontal="left" vertical="center" indent="1"/>
    </xf>
    <xf numFmtId="0" fontId="25" fillId="59" borderId="18" applyNumberFormat="0" applyProtection="0">
      <alignment horizontal="left" vertical="center" indent="1"/>
    </xf>
    <xf numFmtId="0" fontId="25" fillId="60" borderId="18" applyNumberFormat="0" applyProtection="0">
      <alignment horizontal="left" vertical="center" indent="1"/>
    </xf>
    <xf numFmtId="0" fontId="25" fillId="60" borderId="18" applyNumberFormat="0" applyProtection="0">
      <alignment horizontal="left" vertical="center" indent="1"/>
    </xf>
    <xf numFmtId="0" fontId="25" fillId="39" borderId="18" applyNumberFormat="0" applyProtection="0">
      <alignment horizontal="left" vertical="center" indent="1"/>
    </xf>
    <xf numFmtId="0" fontId="25" fillId="39" borderId="18" applyNumberFormat="0" applyProtection="0">
      <alignment horizontal="left" vertical="center" indent="1"/>
    </xf>
    <xf numFmtId="0" fontId="25" fillId="46" borderId="18" applyNumberFormat="0" applyProtection="0">
      <alignment horizontal="left" vertical="center" indent="1"/>
    </xf>
    <xf numFmtId="0" fontId="25" fillId="46" borderId="18" applyNumberFormat="0" applyProtection="0">
      <alignment horizontal="left" vertical="center" indent="1"/>
    </xf>
    <xf numFmtId="0" fontId="25" fillId="37" borderId="11" applyNumberFormat="0">
      <protection locked="0"/>
    </xf>
    <xf numFmtId="0" fontId="20" fillId="32" borderId="24" applyBorder="0"/>
    <xf numFmtId="4" fontId="65" fillId="61" borderId="18" applyNumberFormat="0" applyProtection="0">
      <alignment vertical="center"/>
    </xf>
    <xf numFmtId="4" fontId="69" fillId="61" borderId="18" applyNumberFormat="0" applyProtection="0">
      <alignment vertical="center"/>
    </xf>
    <xf numFmtId="4" fontId="65" fillId="61" borderId="18" applyNumberFormat="0" applyProtection="0">
      <alignment horizontal="left" vertical="center" indent="1"/>
    </xf>
    <xf numFmtId="4" fontId="65" fillId="61" borderId="18" applyNumberFormat="0" applyProtection="0">
      <alignment horizontal="left" vertical="center" indent="1"/>
    </xf>
    <xf numFmtId="4" fontId="65" fillId="57" borderId="18" applyNumberFormat="0" applyProtection="0">
      <alignment horizontal="right" vertical="center"/>
    </xf>
    <xf numFmtId="4" fontId="65" fillId="57" borderId="18" applyNumberFormat="0" applyProtection="0">
      <alignment horizontal="right" vertical="center"/>
    </xf>
    <xf numFmtId="4" fontId="69" fillId="57" borderId="18" applyNumberFormat="0" applyProtection="0">
      <alignment horizontal="right" vertical="center"/>
    </xf>
    <xf numFmtId="0" fontId="25" fillId="46" borderId="18" applyNumberFormat="0" applyProtection="0">
      <alignment horizontal="left" vertical="center" indent="1"/>
    </xf>
    <xf numFmtId="0" fontId="25" fillId="46" borderId="18" applyNumberFormat="0" applyProtection="0">
      <alignment horizontal="left" vertical="center" indent="1"/>
    </xf>
    <xf numFmtId="0" fontId="72" fillId="0" borderId="0"/>
    <xf numFmtId="0" fontId="19" fillId="62" borderId="11"/>
    <xf numFmtId="4" fontId="68" fillId="57" borderId="18" applyNumberFormat="0" applyProtection="0">
      <alignment horizontal="right" vertical="center"/>
    </xf>
    <xf numFmtId="39" fontId="18" fillId="63" borderId="0"/>
    <xf numFmtId="39" fontId="25" fillId="63" borderId="0"/>
    <xf numFmtId="39" fontId="25" fillId="63" borderId="0"/>
    <xf numFmtId="39" fontId="25" fillId="63" borderId="0"/>
    <xf numFmtId="39" fontId="25" fillId="63" borderId="0"/>
    <xf numFmtId="39" fontId="25" fillId="63" borderId="0"/>
    <xf numFmtId="39" fontId="25" fillId="63" borderId="0"/>
    <xf numFmtId="0" fontId="73" fillId="0" borderId="0" applyNumberFormat="0" applyFill="0" applyBorder="0" applyAlignment="0" applyProtection="0"/>
    <xf numFmtId="38" fontId="19" fillId="0" borderId="25"/>
    <xf numFmtId="38" fontId="19" fillId="0" borderId="25"/>
    <xf numFmtId="38" fontId="19" fillId="0" borderId="25"/>
    <xf numFmtId="38" fontId="19" fillId="0" borderId="25"/>
    <xf numFmtId="38" fontId="19" fillId="0" borderId="25"/>
    <xf numFmtId="38" fontId="19" fillId="0" borderId="25"/>
    <xf numFmtId="38" fontId="62" fillId="0" borderId="25"/>
    <xf numFmtId="38" fontId="20" fillId="0" borderId="22"/>
    <xf numFmtId="38" fontId="20" fillId="0" borderId="22"/>
    <xf numFmtId="38" fontId="20" fillId="0" borderId="22"/>
    <xf numFmtId="38" fontId="20" fillId="0" borderId="22"/>
    <xf numFmtId="39" fontId="30" fillId="64" borderId="0"/>
    <xf numFmtId="167" fontId="28" fillId="0" borderId="0">
      <alignment horizontal="left" wrapText="1"/>
    </xf>
    <xf numFmtId="165" fontId="25" fillId="0" borderId="0">
      <alignment horizontal="left" wrapText="1"/>
    </xf>
    <xf numFmtId="171" fontId="25" fillId="0" borderId="0">
      <alignment horizontal="left" wrapText="1"/>
    </xf>
    <xf numFmtId="169" fontId="25" fillId="0" borderId="0">
      <alignment horizontal="left" wrapText="1"/>
    </xf>
    <xf numFmtId="166" fontId="25" fillId="0" borderId="0">
      <alignment horizontal="left" wrapText="1"/>
    </xf>
    <xf numFmtId="182" fontId="25" fillId="0" borderId="0">
      <alignment horizontal="left" wrapText="1"/>
    </xf>
    <xf numFmtId="182" fontId="25" fillId="0" borderId="0">
      <alignment horizontal="left" wrapText="1"/>
    </xf>
    <xf numFmtId="169" fontId="25" fillId="0" borderId="0">
      <alignment horizontal="left" wrapText="1"/>
    </xf>
    <xf numFmtId="182" fontId="25" fillId="0" borderId="0">
      <alignment horizontal="left" wrapText="1"/>
    </xf>
    <xf numFmtId="182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9" fontId="25" fillId="0" borderId="0">
      <alignment horizontal="left" wrapText="1"/>
    </xf>
    <xf numFmtId="166" fontId="25" fillId="0" borderId="0">
      <alignment horizontal="left" wrapText="1"/>
    </xf>
    <xf numFmtId="166" fontId="25" fillId="0" borderId="0">
      <alignment horizontal="left" wrapText="1"/>
    </xf>
    <xf numFmtId="189" fontId="25" fillId="0" borderId="0">
      <alignment horizontal="left" wrapText="1"/>
    </xf>
    <xf numFmtId="189" fontId="25" fillId="0" borderId="0">
      <alignment horizontal="left" wrapText="1"/>
    </xf>
    <xf numFmtId="189" fontId="25" fillId="0" borderId="0">
      <alignment horizontal="left" wrapText="1"/>
    </xf>
    <xf numFmtId="189" fontId="25" fillId="0" borderId="0">
      <alignment horizontal="left" wrapText="1"/>
    </xf>
    <xf numFmtId="168" fontId="25" fillId="0" borderId="0">
      <alignment horizontal="left" wrapText="1"/>
    </xf>
    <xf numFmtId="0" fontId="25" fillId="0" borderId="0">
      <alignment horizontal="left" wrapText="1"/>
    </xf>
    <xf numFmtId="40" fontId="43" fillId="0" borderId="0" applyBorder="0">
      <alignment horizontal="right"/>
    </xf>
    <xf numFmtId="41" fontId="55" fillId="36" borderId="0">
      <alignment horizontal="left"/>
    </xf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56" fillId="36" borderId="0">
      <alignment horizontal="left" vertical="center"/>
    </xf>
    <xf numFmtId="0" fontId="22" fillId="36" borderId="0">
      <alignment horizontal="left" wrapText="1"/>
    </xf>
    <xf numFmtId="0" fontId="22" fillId="36" borderId="0">
      <alignment horizontal="left" wrapText="1"/>
    </xf>
    <xf numFmtId="0" fontId="44" fillId="0" borderId="0">
      <alignment horizontal="left" vertical="center"/>
    </xf>
    <xf numFmtId="0" fontId="29" fillId="0" borderId="26" applyNumberFormat="0" applyFont="0" applyFill="0" applyAlignment="0" applyProtection="0"/>
    <xf numFmtId="0" fontId="118" fillId="0" borderId="71" applyNumberFormat="0" applyFill="0" applyAlignment="0" applyProtection="0"/>
    <xf numFmtId="0" fontId="118" fillId="0" borderId="71" applyNumberFormat="0" applyFill="0" applyAlignment="0" applyProtection="0"/>
    <xf numFmtId="0" fontId="67" fillId="0" borderId="27" applyNumberFormat="0" applyFill="0" applyAlignment="0" applyProtection="0"/>
    <xf numFmtId="0" fontId="118" fillId="0" borderId="28" applyNumberFormat="0" applyFill="0" applyAlignment="0" applyProtection="0"/>
    <xf numFmtId="0" fontId="118" fillId="0" borderId="71" applyNumberFormat="0" applyFill="0" applyAlignment="0" applyProtection="0"/>
    <xf numFmtId="0" fontId="29" fillId="0" borderId="26" applyNumberFormat="0" applyFont="0" applyFill="0" applyAlignment="0" applyProtection="0"/>
    <xf numFmtId="0" fontId="29" fillId="0" borderId="26" applyNumberFormat="0" applyFont="0" applyFill="0" applyAlignment="0" applyProtection="0"/>
    <xf numFmtId="0" fontId="29" fillId="0" borderId="26" applyNumberFormat="0" applyFont="0" applyFill="0" applyAlignment="0" applyProtection="0"/>
    <xf numFmtId="0" fontId="50" fillId="0" borderId="29"/>
    <xf numFmtId="0" fontId="98" fillId="0" borderId="29"/>
    <xf numFmtId="0" fontId="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43" fontId="15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169" fontId="18" fillId="0" borderId="0">
      <alignment horizontal="left" wrapText="1"/>
    </xf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33" borderId="0" applyNumberFormat="0" applyBorder="0" applyAlignment="0" applyProtection="0"/>
    <xf numFmtId="0" fontId="58" fillId="26" borderId="0" applyNumberFormat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8" fillId="32" borderId="72" applyNumberFormat="0" applyProtection="0">
      <alignment horizontal="left" vertical="center" indent="1"/>
    </xf>
    <xf numFmtId="0" fontId="18" fillId="32" borderId="72" applyNumberFormat="0" applyProtection="0">
      <alignment horizontal="left" vertical="top" indent="1"/>
    </xf>
    <xf numFmtId="0" fontId="18" fillId="97" borderId="72" applyNumberFormat="0" applyProtection="0">
      <alignment horizontal="left" vertical="center" indent="1"/>
    </xf>
    <xf numFmtId="0" fontId="18" fillId="97" borderId="72" applyNumberFormat="0" applyProtection="0">
      <alignment horizontal="left" vertical="top" indent="1"/>
    </xf>
    <xf numFmtId="0" fontId="18" fillId="3" borderId="72" applyNumberFormat="0" applyProtection="0">
      <alignment horizontal="left" vertical="center" indent="1"/>
    </xf>
    <xf numFmtId="0" fontId="18" fillId="3" borderId="72" applyNumberFormat="0" applyProtection="0">
      <alignment horizontal="left" vertical="top" indent="1"/>
    </xf>
    <xf numFmtId="0" fontId="18" fillId="98" borderId="72" applyNumberFormat="0" applyProtection="0">
      <alignment horizontal="left" vertical="center" indent="1"/>
    </xf>
    <xf numFmtId="0" fontId="18" fillId="98" borderId="72" applyNumberFormat="0" applyProtection="0">
      <alignment horizontal="left" vertical="top" indent="1"/>
    </xf>
    <xf numFmtId="0" fontId="18" fillId="37" borderId="11" applyNumberFormat="0">
      <protection locked="0"/>
    </xf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9" fillId="0" borderId="0"/>
    <xf numFmtId="43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9" fillId="0" borderId="0"/>
    <xf numFmtId="0" fontId="18" fillId="0" borderId="0"/>
    <xf numFmtId="0" fontId="8" fillId="0" borderId="0"/>
    <xf numFmtId="0" fontId="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67" borderId="0" applyNumberFormat="0" applyBorder="0" applyAlignment="0" applyProtection="0"/>
    <xf numFmtId="0" fontId="7" fillId="5" borderId="0" applyNumberFormat="0" applyBorder="0" applyAlignment="0" applyProtection="0"/>
    <xf numFmtId="0" fontId="7" fillId="68" borderId="0" applyNumberFormat="0" applyBorder="0" applyAlignment="0" applyProtection="0"/>
    <xf numFmtId="0" fontId="7" fillId="7" borderId="0" applyNumberFormat="0" applyBorder="0" applyAlignment="0" applyProtection="0"/>
    <xf numFmtId="0" fontId="7" fillId="69" borderId="0" applyNumberFormat="0" applyBorder="0" applyAlignment="0" applyProtection="0"/>
    <xf numFmtId="0" fontId="7" fillId="9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" borderId="0" applyNumberFormat="0" applyBorder="0" applyAlignment="0" applyProtection="0"/>
    <xf numFmtId="0" fontId="7" fillId="72" borderId="0" applyNumberFormat="0" applyBorder="0" applyAlignment="0" applyProtection="0"/>
    <xf numFmtId="0" fontId="7" fillId="10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169" fontId="18" fillId="0" borderId="0">
      <alignment horizontal="left" wrapText="1"/>
    </xf>
    <xf numFmtId="0" fontId="7" fillId="74" borderId="0" applyNumberFormat="0" applyBorder="0" applyAlignment="0" applyProtection="0"/>
    <xf numFmtId="0" fontId="7" fillId="12" borderId="0" applyNumberFormat="0" applyBorder="0" applyAlignment="0" applyProtection="0"/>
    <xf numFmtId="169" fontId="18" fillId="0" borderId="0">
      <alignment horizontal="left" wrapText="1"/>
    </xf>
    <xf numFmtId="0" fontId="7" fillId="75" borderId="0" applyNumberFormat="0" applyBorder="0" applyAlignment="0" applyProtection="0"/>
    <xf numFmtId="0" fontId="7" fillId="4" borderId="0" applyNumberFormat="0" applyBorder="0" applyAlignment="0" applyProtection="0"/>
    <xf numFmtId="0" fontId="7" fillId="76" borderId="0" applyNumberFormat="0" applyBorder="0" applyAlignment="0" applyProtection="0"/>
    <xf numFmtId="0" fontId="7" fillId="10" borderId="0" applyNumberFormat="0" applyBorder="0" applyAlignment="0" applyProtection="0"/>
    <xf numFmtId="0" fontId="7" fillId="77" borderId="0" applyNumberFormat="0" applyBorder="0" applyAlignment="0" applyProtection="0"/>
    <xf numFmtId="0" fontId="7" fillId="7" borderId="0" applyNumberFormat="0" applyBorder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41" fontId="18" fillId="36" borderId="0"/>
    <xf numFmtId="41" fontId="18" fillId="36" borderId="0"/>
    <xf numFmtId="41" fontId="18" fillId="36" borderId="0"/>
    <xf numFmtId="41" fontId="18" fillId="36" borderId="0"/>
    <xf numFmtId="41" fontId="18" fillId="39" borderId="0"/>
    <xf numFmtId="41" fontId="18" fillId="39" borderId="0"/>
    <xf numFmtId="41" fontId="18" fillId="39" borderId="0"/>
    <xf numFmtId="41" fontId="18" fillId="39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>
      <alignment horizontal="left" wrapText="1"/>
    </xf>
    <xf numFmtId="173" fontId="18" fillId="0" borderId="0">
      <alignment horizontal="left" wrapText="1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/>
    <xf numFmtId="169" fontId="18" fillId="0" borderId="0"/>
    <xf numFmtId="169" fontId="18" fillId="0" borderId="0"/>
    <xf numFmtId="169" fontId="18" fillId="0" borderId="0"/>
    <xf numFmtId="169" fontId="18" fillId="0" borderId="0"/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38" fontId="18" fillId="39" borderId="0" applyNumberFormat="0" applyBorder="0" applyAlignment="0" applyProtection="0"/>
    <xf numFmtId="38" fontId="18" fillId="39" borderId="0" applyNumberFormat="0" applyBorder="0" applyAlignment="0" applyProtection="0"/>
    <xf numFmtId="38" fontId="18" fillId="39" borderId="0" applyNumberFormat="0" applyBorder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0" fontId="18" fillId="36" borderId="11" applyNumberFormat="0" applyBorder="0" applyAlignment="0" applyProtection="0"/>
    <xf numFmtId="10" fontId="18" fillId="36" borderId="11" applyNumberFormat="0" applyBorder="0" applyAlignment="0" applyProtection="0"/>
    <xf numFmtId="10" fontId="18" fillId="36" borderId="11" applyNumberFormat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85" fontId="18" fillId="0" borderId="0"/>
    <xf numFmtId="185" fontId="18" fillId="0" borderId="0"/>
    <xf numFmtId="186" fontId="18" fillId="0" borderId="0"/>
    <xf numFmtId="185" fontId="18" fillId="0" borderId="0"/>
    <xf numFmtId="185" fontId="18" fillId="0" borderId="0"/>
    <xf numFmtId="186" fontId="18" fillId="0" borderId="0"/>
    <xf numFmtId="185" fontId="18" fillId="0" borderId="0"/>
    <xf numFmtId="185" fontId="18" fillId="0" borderId="0"/>
    <xf numFmtId="0" fontId="18" fillId="0" borderId="0"/>
    <xf numFmtId="0" fontId="18" fillId="0" borderId="0"/>
    <xf numFmtId="186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>
      <alignment wrapText="1"/>
    </xf>
    <xf numFmtId="0" fontId="18" fillId="0" borderId="0"/>
    <xf numFmtId="164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76" fontId="18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>
      <alignment wrapText="1"/>
    </xf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184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41" fontId="18" fillId="44" borderId="12"/>
    <xf numFmtId="41" fontId="18" fillId="44" borderId="12"/>
    <xf numFmtId="41" fontId="18" fillId="44" borderId="12"/>
    <xf numFmtId="41" fontId="18" fillId="44" borderId="12"/>
    <xf numFmtId="42" fontId="18" fillId="36" borderId="0"/>
    <xf numFmtId="42" fontId="18" fillId="36" borderId="0"/>
    <xf numFmtId="42" fontId="18" fillId="36" borderId="0"/>
    <xf numFmtId="42" fontId="18" fillId="36" borderId="0"/>
    <xf numFmtId="42" fontId="18" fillId="36" borderId="20">
      <alignment vertical="center"/>
    </xf>
    <xf numFmtId="42" fontId="18" fillId="36" borderId="20">
      <alignment vertical="center"/>
    </xf>
    <xf numFmtId="42" fontId="18" fillId="36" borderId="20">
      <alignment vertical="center"/>
    </xf>
    <xf numFmtId="42" fontId="18" fillId="36" borderId="20">
      <alignment vertical="center"/>
    </xf>
    <xf numFmtId="10" fontId="18" fillId="36" borderId="0"/>
    <xf numFmtId="10" fontId="18" fillId="36" borderId="0"/>
    <xf numFmtId="10" fontId="18" fillId="36" borderId="0"/>
    <xf numFmtId="10" fontId="18" fillId="36" borderId="0"/>
    <xf numFmtId="10" fontId="18" fillId="36" borderId="0"/>
    <xf numFmtId="10" fontId="18" fillId="36" borderId="0"/>
    <xf numFmtId="182" fontId="18" fillId="36" borderId="0"/>
    <xf numFmtId="182" fontId="18" fillId="36" borderId="0"/>
    <xf numFmtId="182" fontId="18" fillId="36" borderId="0"/>
    <xf numFmtId="182" fontId="18" fillId="36" borderId="0"/>
    <xf numFmtId="182" fontId="18" fillId="36" borderId="0"/>
    <xf numFmtId="182" fontId="18" fillId="36" borderId="0"/>
    <xf numFmtId="165" fontId="20" fillId="0" borderId="0" applyBorder="0" applyAlignment="0"/>
    <xf numFmtId="42" fontId="18" fillId="36" borderId="22">
      <alignment horizontal="left"/>
    </xf>
    <xf numFmtId="42" fontId="18" fillId="36" borderId="22">
      <alignment horizontal="left"/>
    </xf>
    <xf numFmtId="42" fontId="18" fillId="36" borderId="22">
      <alignment horizontal="left"/>
    </xf>
    <xf numFmtId="42" fontId="18" fillId="36" borderId="22">
      <alignment horizontal="left"/>
    </xf>
    <xf numFmtId="169" fontId="18" fillId="0" borderId="0">
      <alignment horizontal="left" wrapText="1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0" fontId="18" fillId="46" borderId="18" applyNumberFormat="0" applyProtection="0">
      <alignment horizontal="left" vertical="center" indent="1"/>
    </xf>
    <xf numFmtId="169" fontId="18" fillId="0" borderId="0">
      <alignment horizontal="left" wrapText="1"/>
    </xf>
    <xf numFmtId="0" fontId="18" fillId="46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39" fontId="18" fillId="63" borderId="0"/>
    <xf numFmtId="39" fontId="18" fillId="63" borderId="0"/>
    <xf numFmtId="39" fontId="18" fillId="63" borderId="0"/>
    <xf numFmtId="39" fontId="18" fillId="63" borderId="0"/>
    <xf numFmtId="39" fontId="18" fillId="63" borderId="0"/>
    <xf numFmtId="167" fontId="18" fillId="0" borderId="0">
      <alignment horizontal="left" wrapText="1"/>
    </xf>
    <xf numFmtId="165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6" fontId="18" fillId="0" borderId="0">
      <alignment horizontal="left" wrapText="1"/>
    </xf>
    <xf numFmtId="182" fontId="18" fillId="0" borderId="0">
      <alignment horizontal="left" wrapText="1"/>
    </xf>
    <xf numFmtId="182" fontId="18" fillId="0" borderId="0">
      <alignment horizontal="left" wrapText="1"/>
    </xf>
    <xf numFmtId="169" fontId="18" fillId="0" borderId="0">
      <alignment horizontal="left" wrapText="1"/>
    </xf>
    <xf numFmtId="182" fontId="18" fillId="0" borderId="0">
      <alignment horizontal="left" wrapText="1"/>
    </xf>
    <xf numFmtId="182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89" fontId="18" fillId="0" borderId="0">
      <alignment horizontal="left" wrapText="1"/>
    </xf>
    <xf numFmtId="189" fontId="18" fillId="0" borderId="0">
      <alignment horizontal="left" wrapText="1"/>
    </xf>
    <xf numFmtId="189" fontId="18" fillId="0" borderId="0">
      <alignment horizontal="left" wrapText="1"/>
    </xf>
    <xf numFmtId="189" fontId="18" fillId="0" borderId="0">
      <alignment horizontal="left" wrapText="1"/>
    </xf>
    <xf numFmtId="168" fontId="18" fillId="0" borderId="0">
      <alignment horizontal="left" wrapText="1"/>
    </xf>
    <xf numFmtId="0" fontId="18" fillId="0" borderId="0">
      <alignment horizontal="left" wrapText="1"/>
    </xf>
    <xf numFmtId="171" fontId="18" fillId="0" borderId="0">
      <alignment horizontal="left" wrapText="1"/>
    </xf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7" fillId="0" borderId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18" fillId="0" borderId="0" applyFont="0" applyFill="0" applyBorder="0" applyAlignment="0" applyProtection="0"/>
    <xf numFmtId="0" fontId="7" fillId="0" borderId="0"/>
    <xf numFmtId="0" fontId="7" fillId="0" borderId="0"/>
    <xf numFmtId="0" fontId="18" fillId="0" borderId="0"/>
    <xf numFmtId="9" fontId="18" fillId="0" borderId="0" applyFont="0" applyFill="0" applyBorder="0" applyAlignment="0" applyProtection="0"/>
    <xf numFmtId="0" fontId="7" fillId="0" borderId="0"/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44" fontId="149" fillId="0" borderId="0" applyFont="0" applyFill="0" applyBorder="0" applyAlignment="0" applyProtection="0"/>
    <xf numFmtId="0" fontId="149" fillId="0" borderId="0"/>
    <xf numFmtId="9" fontId="149" fillId="0" borderId="0" applyFont="0" applyFill="0" applyBorder="0" applyAlignment="0" applyProtection="0"/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67" borderId="0" applyNumberFormat="0" applyBorder="0" applyAlignment="0" applyProtection="0"/>
    <xf numFmtId="0" fontId="6" fillId="5" borderId="0" applyNumberFormat="0" applyBorder="0" applyAlignment="0" applyProtection="0"/>
    <xf numFmtId="0" fontId="6" fillId="68" borderId="0" applyNumberFormat="0" applyBorder="0" applyAlignment="0" applyProtection="0"/>
    <xf numFmtId="0" fontId="6" fillId="7" borderId="0" applyNumberFormat="0" applyBorder="0" applyAlignment="0" applyProtection="0"/>
    <xf numFmtId="0" fontId="6" fillId="69" borderId="0" applyNumberFormat="0" applyBorder="0" applyAlignment="0" applyProtection="0"/>
    <xf numFmtId="0" fontId="6" fillId="9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" borderId="0" applyNumberFormat="0" applyBorder="0" applyAlignment="0" applyProtection="0"/>
    <xf numFmtId="0" fontId="6" fillId="72" borderId="0" applyNumberFormat="0" applyBorder="0" applyAlignment="0" applyProtection="0"/>
    <xf numFmtId="0" fontId="6" fillId="10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12" borderId="0" applyNumberFormat="0" applyBorder="0" applyAlignment="0" applyProtection="0"/>
    <xf numFmtId="0" fontId="6" fillId="75" borderId="0" applyNumberFormat="0" applyBorder="0" applyAlignment="0" applyProtection="0"/>
    <xf numFmtId="0" fontId="6" fillId="4" borderId="0" applyNumberFormat="0" applyBorder="0" applyAlignment="0" applyProtection="0"/>
    <xf numFmtId="0" fontId="6" fillId="76" borderId="0" applyNumberFormat="0" applyBorder="0" applyAlignment="0" applyProtection="0"/>
    <xf numFmtId="0" fontId="6" fillId="10" borderId="0" applyNumberFormat="0" applyBorder="0" applyAlignment="0" applyProtection="0"/>
    <xf numFmtId="0" fontId="6" fillId="77" borderId="0" applyNumberFormat="0" applyBorder="0" applyAlignment="0" applyProtection="0"/>
    <xf numFmtId="0" fontId="6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67" borderId="0" applyNumberFormat="0" applyBorder="0" applyAlignment="0" applyProtection="0"/>
    <xf numFmtId="0" fontId="6" fillId="5" borderId="0" applyNumberFormat="0" applyBorder="0" applyAlignment="0" applyProtection="0"/>
    <xf numFmtId="0" fontId="6" fillId="68" borderId="0" applyNumberFormat="0" applyBorder="0" applyAlignment="0" applyProtection="0"/>
    <xf numFmtId="0" fontId="6" fillId="7" borderId="0" applyNumberFormat="0" applyBorder="0" applyAlignment="0" applyProtection="0"/>
    <xf numFmtId="0" fontId="6" fillId="69" borderId="0" applyNumberFormat="0" applyBorder="0" applyAlignment="0" applyProtection="0"/>
    <xf numFmtId="0" fontId="6" fillId="9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" borderId="0" applyNumberFormat="0" applyBorder="0" applyAlignment="0" applyProtection="0"/>
    <xf numFmtId="0" fontId="6" fillId="72" borderId="0" applyNumberFormat="0" applyBorder="0" applyAlignment="0" applyProtection="0"/>
    <xf numFmtId="0" fontId="6" fillId="10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12" borderId="0" applyNumberFormat="0" applyBorder="0" applyAlignment="0" applyProtection="0"/>
    <xf numFmtId="0" fontId="6" fillId="75" borderId="0" applyNumberFormat="0" applyBorder="0" applyAlignment="0" applyProtection="0"/>
    <xf numFmtId="0" fontId="6" fillId="4" borderId="0" applyNumberFormat="0" applyBorder="0" applyAlignment="0" applyProtection="0"/>
    <xf numFmtId="0" fontId="6" fillId="76" borderId="0" applyNumberFormat="0" applyBorder="0" applyAlignment="0" applyProtection="0"/>
    <xf numFmtId="0" fontId="6" fillId="10" borderId="0" applyNumberFormat="0" applyBorder="0" applyAlignment="0" applyProtection="0"/>
    <xf numFmtId="0" fontId="6" fillId="77" borderId="0" applyNumberFormat="0" applyBorder="0" applyAlignment="0" applyProtection="0"/>
    <xf numFmtId="0" fontId="6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160" fillId="0" borderId="0"/>
    <xf numFmtId="9" fontId="160" fillId="0" borderId="0" applyFont="0" applyFill="0" applyBorder="0" applyAlignment="0" applyProtection="0"/>
    <xf numFmtId="44" fontId="160" fillId="0" borderId="0" applyFont="0" applyFill="0" applyBorder="0" applyAlignment="0" applyProtection="0"/>
    <xf numFmtId="0" fontId="3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9" fillId="0" borderId="0"/>
    <xf numFmtId="0" fontId="169" fillId="0" borderId="0"/>
    <xf numFmtId="0" fontId="58" fillId="0" borderId="0"/>
    <xf numFmtId="0" fontId="58" fillId="0" borderId="0"/>
    <xf numFmtId="0" fontId="169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0" fontId="34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34" fillId="0" borderId="0"/>
    <xf numFmtId="0" fontId="34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70" fillId="0" borderId="99"/>
    <xf numFmtId="0" fontId="171" fillId="0" borderId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172" fillId="37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86" fillId="106" borderId="0" applyNumberFormat="0" applyBorder="0" applyAlignment="0" applyProtection="0"/>
    <xf numFmtId="0" fontId="58" fillId="2" borderId="0" applyNumberFormat="0" applyBorder="0" applyAlignment="0" applyProtection="0"/>
    <xf numFmtId="0" fontId="3" fillId="66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172" fillId="9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86" fillId="62" borderId="0" applyNumberFormat="0" applyBorder="0" applyAlignment="0" applyProtection="0"/>
    <xf numFmtId="0" fontId="58" fillId="4" borderId="0" applyNumberFormat="0" applyBorder="0" applyAlignment="0" applyProtection="0"/>
    <xf numFmtId="0" fontId="3" fillId="67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172" fillId="7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86" fillId="62" borderId="0" applyNumberFormat="0" applyBorder="0" applyAlignment="0" applyProtection="0"/>
    <xf numFmtId="0" fontId="58" fillId="6" borderId="0" applyNumberFormat="0" applyBorder="0" applyAlignment="0" applyProtection="0"/>
    <xf numFmtId="0" fontId="3" fillId="6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2" fillId="37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86" fillId="106" borderId="0" applyNumberFormat="0" applyBorder="0" applyAlignment="0" applyProtection="0"/>
    <xf numFmtId="0" fontId="58" fillId="8" borderId="0" applyNumberFormat="0" applyBorder="0" applyAlignment="0" applyProtection="0"/>
    <xf numFmtId="0" fontId="3" fillId="69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86" fillId="62" borderId="0" applyNumberFormat="0" applyBorder="0" applyAlignment="0" applyProtection="0"/>
    <xf numFmtId="0" fontId="58" fillId="9" borderId="0" applyNumberFormat="0" applyBorder="0" applyAlignment="0" applyProtection="0"/>
    <xf numFmtId="0" fontId="3" fillId="71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172" fillId="35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86" fillId="107" borderId="0" applyNumberFormat="0" applyBorder="0" applyAlignment="0" applyProtection="0"/>
    <xf numFmtId="0" fontId="58" fillId="3" borderId="0" applyNumberFormat="0" applyBorder="0" applyAlignment="0" applyProtection="0"/>
    <xf numFmtId="0" fontId="3" fillId="72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5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72" fillId="12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86" fillId="62" borderId="0" applyNumberFormat="0" applyBorder="0" applyAlignment="0" applyProtection="0"/>
    <xf numFmtId="0" fontId="58" fillId="11" borderId="0" applyNumberFormat="0" applyBorder="0" applyAlignment="0" applyProtection="0"/>
    <xf numFmtId="0" fontId="3" fillId="74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2" fillId="35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86" fillId="106" borderId="0" applyNumberFormat="0" applyBorder="0" applyAlignment="0" applyProtection="0"/>
    <xf numFmtId="0" fontId="58" fillId="8" borderId="0" applyNumberFormat="0" applyBorder="0" applyAlignment="0" applyProtection="0"/>
    <xf numFmtId="0" fontId="3" fillId="75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58" fillId="3" borderId="0" applyNumberFormat="0" applyBorder="0" applyAlignment="0" applyProtection="0"/>
    <xf numFmtId="0" fontId="86" fillId="107" borderId="0" applyNumberFormat="0" applyBorder="0" applyAlignment="0" applyProtection="0"/>
    <xf numFmtId="0" fontId="58" fillId="3" borderId="0" applyNumberFormat="0" applyBorder="0" applyAlignment="0" applyProtection="0"/>
    <xf numFmtId="0" fontId="3" fillId="76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72" fillId="9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86" fillId="62" borderId="0" applyNumberFormat="0" applyBorder="0" applyAlignment="0" applyProtection="0"/>
    <xf numFmtId="0" fontId="58" fillId="13" borderId="0" applyNumberFormat="0" applyBorder="0" applyAlignment="0" applyProtection="0"/>
    <xf numFmtId="0" fontId="3" fillId="77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102" fillId="78" borderId="0" applyNumberFormat="0" applyBorder="0" applyAlignment="0" applyProtection="0"/>
    <xf numFmtId="0" fontId="66" fillId="1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102" fillId="79" borderId="0" applyNumberFormat="0" applyBorder="0" applyAlignment="0" applyProtection="0"/>
    <xf numFmtId="0" fontId="66" fillId="5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102" fillId="80" borderId="0" applyNumberFormat="0" applyBorder="0" applyAlignment="0" applyProtection="0"/>
    <xf numFmtId="0" fontId="66" fillId="11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102" fillId="81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102" fillId="82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102" fillId="83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0" fontId="66" fillId="15" borderId="0" applyNumberFormat="0" applyBorder="0" applyAlignment="0" applyProtection="0"/>
    <xf numFmtId="0" fontId="76" fillId="4" borderId="0" applyNumberFormat="0" applyBorder="0" applyAlignment="0" applyProtection="0"/>
    <xf numFmtId="0" fontId="76" fillId="4" borderId="0" applyNumberFormat="0" applyBorder="0" applyAlignment="0" applyProtection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3" fillId="0" borderId="0"/>
    <xf numFmtId="0" fontId="3" fillId="0" borderId="0"/>
    <xf numFmtId="0" fontId="169" fillId="0" borderId="0"/>
    <xf numFmtId="0" fontId="16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92" fontId="174" fillId="0" borderId="0">
      <alignment horizontal="left"/>
    </xf>
    <xf numFmtId="193" fontId="175" fillId="0" borderId="0">
      <alignment horizontal="left"/>
    </xf>
    <xf numFmtId="0" fontId="175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194" fontId="133" fillId="0" borderId="0" applyNumberFormat="0" applyFill="0" applyBorder="0" applyProtection="0">
      <alignment horizontal="right"/>
    </xf>
    <xf numFmtId="14" fontId="22" fillId="108" borderId="19">
      <alignment horizontal="center" vertical="center" wrapText="1"/>
    </xf>
    <xf numFmtId="0" fontId="3" fillId="0" borderId="0"/>
    <xf numFmtId="168" fontId="18" fillId="0" borderId="0" applyFont="0" applyFill="0" applyBorder="0" applyAlignment="0" applyProtection="0"/>
    <xf numFmtId="0" fontId="176" fillId="0" borderId="0"/>
    <xf numFmtId="0" fontId="166" fillId="0" borderId="0" applyFill="0" applyBorder="0" applyProtection="0">
      <alignment horizontal="left" vertical="top"/>
    </xf>
    <xf numFmtId="9" fontId="18" fillId="0" borderId="0" applyFont="0" applyFill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58" fillId="96" borderId="69" applyNumberFormat="0" applyFont="0" applyAlignment="0" applyProtection="0"/>
    <xf numFmtId="0" fontId="118" fillId="0" borderId="28" applyNumberFormat="0" applyFill="0" applyAlignment="0" applyProtection="0"/>
    <xf numFmtId="0" fontId="3" fillId="0" borderId="0"/>
    <xf numFmtId="169" fontId="18" fillId="0" borderId="0">
      <alignment horizontal="left" wrapText="1"/>
    </xf>
    <xf numFmtId="43" fontId="3" fillId="0" borderId="0" applyFont="0" applyFill="0" applyBorder="0" applyAlignment="0" applyProtection="0"/>
    <xf numFmtId="0" fontId="3" fillId="0" borderId="0"/>
    <xf numFmtId="169" fontId="18" fillId="0" borderId="0">
      <alignment horizontal="left" wrapText="1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77" fillId="0" borderId="0"/>
    <xf numFmtId="43" fontId="17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3" fillId="3" borderId="0" applyNumberFormat="0" applyBorder="0" applyAlignment="0" applyProtection="0"/>
    <xf numFmtId="0" fontId="58" fillId="2" borderId="0" applyNumberFormat="0" applyBorder="0" applyAlignment="0" applyProtection="0"/>
    <xf numFmtId="0" fontId="3" fillId="66" borderId="0" applyNumberFormat="0" applyBorder="0" applyAlignment="0" applyProtection="0"/>
    <xf numFmtId="0" fontId="3" fillId="5" borderId="0" applyNumberFormat="0" applyBorder="0" applyAlignment="0" applyProtection="0"/>
    <xf numFmtId="0" fontId="58" fillId="4" borderId="0" applyNumberFormat="0" applyBorder="0" applyAlignment="0" applyProtection="0"/>
    <xf numFmtId="0" fontId="3" fillId="67" borderId="0" applyNumberFormat="0" applyBorder="0" applyAlignment="0" applyProtection="0"/>
    <xf numFmtId="0" fontId="3" fillId="7" borderId="0" applyNumberFormat="0" applyBorder="0" applyAlignment="0" applyProtection="0"/>
    <xf numFmtId="0" fontId="58" fillId="6" borderId="0" applyNumberFormat="0" applyBorder="0" applyAlignment="0" applyProtection="0"/>
    <xf numFmtId="0" fontId="3" fillId="68" borderId="0" applyNumberFormat="0" applyBorder="0" applyAlignment="0" applyProtection="0"/>
    <xf numFmtId="0" fontId="3" fillId="9" borderId="0" applyNumberFormat="0" applyBorder="0" applyAlignment="0" applyProtection="0"/>
    <xf numFmtId="0" fontId="58" fillId="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58" fillId="10" borderId="0" applyNumberFormat="0" applyBorder="0" applyAlignment="0" applyProtection="0"/>
    <xf numFmtId="0" fontId="3" fillId="7" borderId="0" applyNumberFormat="0" applyBorder="0" applyAlignment="0" applyProtection="0"/>
    <xf numFmtId="0" fontId="58" fillId="9" borderId="0" applyNumberFormat="0" applyBorder="0" applyAlignment="0" applyProtection="0"/>
    <xf numFmtId="0" fontId="3" fillId="71" borderId="0" applyNumberFormat="0" applyBorder="0" applyAlignment="0" applyProtection="0"/>
    <xf numFmtId="0" fontId="3" fillId="10" borderId="0" applyNumberFormat="0" applyBorder="0" applyAlignment="0" applyProtection="0"/>
    <xf numFmtId="0" fontId="58" fillId="3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58" fillId="5" borderId="0" applyNumberFormat="0" applyBorder="0" applyAlignment="0" applyProtection="0"/>
    <xf numFmtId="0" fontId="3" fillId="12" borderId="0" applyNumberFormat="0" applyBorder="0" applyAlignment="0" applyProtection="0"/>
    <xf numFmtId="0" fontId="58" fillId="11" borderId="0" applyNumberFormat="0" applyBorder="0" applyAlignment="0" applyProtection="0"/>
    <xf numFmtId="0" fontId="3" fillId="74" borderId="0" applyNumberFormat="0" applyBorder="0" applyAlignment="0" applyProtection="0"/>
    <xf numFmtId="0" fontId="3" fillId="4" borderId="0" applyNumberFormat="0" applyBorder="0" applyAlignment="0" applyProtection="0"/>
    <xf numFmtId="0" fontId="58" fillId="8" borderId="0" applyNumberFormat="0" applyBorder="0" applyAlignment="0" applyProtection="0"/>
    <xf numFmtId="0" fontId="3" fillId="75" borderId="0" applyNumberFormat="0" applyBorder="0" applyAlignment="0" applyProtection="0"/>
    <xf numFmtId="0" fontId="3" fillId="10" borderId="0" applyNumberFormat="0" applyBorder="0" applyAlignment="0" applyProtection="0"/>
    <xf numFmtId="0" fontId="58" fillId="3" borderId="0" applyNumberFormat="0" applyBorder="0" applyAlignment="0" applyProtection="0"/>
    <xf numFmtId="0" fontId="3" fillId="76" borderId="0" applyNumberFormat="0" applyBorder="0" applyAlignment="0" applyProtection="0"/>
    <xf numFmtId="0" fontId="3" fillId="7" borderId="0" applyNumberFormat="0" applyBorder="0" applyAlignment="0" applyProtection="0"/>
    <xf numFmtId="0" fontId="58" fillId="13" borderId="0" applyNumberFormat="0" applyBorder="0" applyAlignment="0" applyProtection="0"/>
    <xf numFmtId="0" fontId="3" fillId="77" borderId="0" applyNumberFormat="0" applyBorder="0" applyAlignment="0" applyProtection="0"/>
    <xf numFmtId="0" fontId="66" fillId="14" borderId="0" applyNumberFormat="0" applyBorder="0" applyAlignment="0" applyProtection="0"/>
    <xf numFmtId="0" fontId="102" fillId="78" borderId="0" applyNumberFormat="0" applyBorder="0" applyAlignment="0" applyProtection="0"/>
    <xf numFmtId="0" fontId="66" fillId="5" borderId="0" applyNumberFormat="0" applyBorder="0" applyAlignment="0" applyProtection="0"/>
    <xf numFmtId="0" fontId="102" fillId="79" borderId="0" applyNumberFormat="0" applyBorder="0" applyAlignment="0" applyProtection="0"/>
    <xf numFmtId="0" fontId="66" fillId="11" borderId="0" applyNumberFormat="0" applyBorder="0" applyAlignment="0" applyProtection="0"/>
    <xf numFmtId="0" fontId="102" fillId="80" borderId="0" applyNumberFormat="0" applyBorder="0" applyAlignment="0" applyProtection="0"/>
    <xf numFmtId="0" fontId="66" fillId="16" borderId="0" applyNumberFormat="0" applyBorder="0" applyAlignment="0" applyProtection="0"/>
    <xf numFmtId="0" fontId="102" fillId="81" borderId="0" applyNumberFormat="0" applyBorder="0" applyAlignment="0" applyProtection="0"/>
    <xf numFmtId="0" fontId="66" fillId="17" borderId="0" applyNumberFormat="0" applyBorder="0" applyAlignment="0" applyProtection="0"/>
    <xf numFmtId="0" fontId="102" fillId="82" borderId="0" applyNumberFormat="0" applyBorder="0" applyAlignment="0" applyProtection="0"/>
    <xf numFmtId="0" fontId="66" fillId="18" borderId="0" applyNumberFormat="0" applyBorder="0" applyAlignment="0" applyProtection="0"/>
    <xf numFmtId="0" fontId="102" fillId="83" borderId="0" applyNumberFormat="0" applyBorder="0" applyAlignment="0" applyProtection="0"/>
    <xf numFmtId="0" fontId="66" fillId="19" borderId="0" applyNumberFormat="0" applyBorder="0" applyAlignment="0" applyProtection="0"/>
    <xf numFmtId="0" fontId="102" fillId="84" borderId="0" applyNumberFormat="0" applyBorder="0" applyAlignment="0" applyProtection="0"/>
    <xf numFmtId="0" fontId="66" fillId="24" borderId="0" applyNumberFormat="0" applyBorder="0" applyAlignment="0" applyProtection="0"/>
    <xf numFmtId="0" fontId="102" fillId="85" borderId="0" applyNumberFormat="0" applyBorder="0" applyAlignment="0" applyProtection="0"/>
    <xf numFmtId="0" fontId="66" fillId="28" borderId="0" applyNumberFormat="0" applyBorder="0" applyAlignment="0" applyProtection="0"/>
    <xf numFmtId="0" fontId="102" fillId="86" borderId="0" applyNumberFormat="0" applyBorder="0" applyAlignment="0" applyProtection="0"/>
    <xf numFmtId="0" fontId="66" fillId="16" borderId="0" applyNumberFormat="0" applyBorder="0" applyAlignment="0" applyProtection="0"/>
    <xf numFmtId="0" fontId="102" fillId="87" borderId="0" applyNumberFormat="0" applyBorder="0" applyAlignment="0" applyProtection="0"/>
    <xf numFmtId="0" fontId="66" fillId="17" borderId="0" applyNumberFormat="0" applyBorder="0" applyAlignment="0" applyProtection="0"/>
    <xf numFmtId="0" fontId="66" fillId="15" borderId="0" applyNumberFormat="0" applyBorder="0" applyAlignment="0" applyProtection="0"/>
    <xf numFmtId="0" fontId="102" fillId="89" borderId="0" applyNumberFormat="0" applyBorder="0" applyAlignment="0" applyProtection="0"/>
    <xf numFmtId="0" fontId="76" fillId="4" borderId="0" applyNumberFormat="0" applyBorder="0" applyAlignment="0" applyProtection="0"/>
    <xf numFmtId="0" fontId="103" fillId="90" borderId="0" applyNumberFormat="0" applyBorder="0" applyAlignment="0" applyProtection="0"/>
    <xf numFmtId="0" fontId="35" fillId="0" borderId="0" applyFill="0" applyBorder="0" applyAlignment="0"/>
    <xf numFmtId="41" fontId="18" fillId="36" borderId="0"/>
    <xf numFmtId="41" fontId="18" fillId="36" borderId="0"/>
    <xf numFmtId="0" fontId="77" fillId="35" borderId="1" applyNumberFormat="0" applyAlignment="0" applyProtection="0"/>
    <xf numFmtId="0" fontId="104" fillId="91" borderId="63" applyNumberFormat="0" applyAlignment="0" applyProtection="0"/>
    <xf numFmtId="0" fontId="77" fillId="35" borderId="1" applyNumberFormat="0" applyAlignment="0" applyProtection="0"/>
    <xf numFmtId="0" fontId="78" fillId="38" borderId="2" applyNumberFormat="0" applyAlignment="0" applyProtection="0"/>
    <xf numFmtId="43" fontId="74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6" borderId="0" applyNumberFormat="0" applyBorder="0" applyAlignment="0" applyProtection="0"/>
    <xf numFmtId="0" fontId="108" fillId="93" borderId="0" applyNumberFormat="0" applyBorder="0" applyAlignment="0" applyProtection="0"/>
    <xf numFmtId="38" fontId="18" fillId="39" borderId="0" applyNumberFormat="0" applyBorder="0" applyAlignment="0" applyProtection="0"/>
    <xf numFmtId="38" fontId="18" fillId="39" borderId="0" applyNumberFormat="0" applyBorder="0" applyAlignment="0" applyProtection="0"/>
    <xf numFmtId="38" fontId="19" fillId="39" borderId="0" applyNumberFormat="0" applyBorder="0" applyAlignment="0" applyProtection="0"/>
    <xf numFmtId="0" fontId="178" fillId="0" borderId="6" applyNumberFormat="0" applyFill="0" applyAlignment="0" applyProtection="0"/>
    <xf numFmtId="0" fontId="179" fillId="0" borderId="8" applyNumberFormat="0" applyFill="0" applyAlignment="0" applyProtection="0"/>
    <xf numFmtId="0" fontId="83" fillId="0" borderId="9" applyNumberFormat="0" applyFill="0" applyAlignment="0" applyProtection="0"/>
    <xf numFmtId="0" fontId="93" fillId="0" borderId="10" applyNumberFormat="0" applyFill="0" applyAlignment="0" applyProtection="0"/>
    <xf numFmtId="0" fontId="180" fillId="0" borderId="10" applyNumberFormat="0" applyFill="0" applyAlignment="0" applyProtection="0"/>
    <xf numFmtId="0" fontId="111" fillId="0" borderId="67" applyNumberFormat="0" applyFill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0" fontId="18" fillId="36" borderId="11" applyNumberFormat="0" applyBorder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112" fillId="94" borderId="63" applyNumberFormat="0" applyAlignment="0" applyProtection="0"/>
    <xf numFmtId="0" fontId="84" fillId="9" borderId="1" applyNumberFormat="0" applyAlignment="0" applyProtection="0"/>
    <xf numFmtId="0" fontId="85" fillId="0" borderId="13" applyNumberFormat="0" applyFill="0" applyAlignment="0" applyProtection="0"/>
    <xf numFmtId="0" fontId="89" fillId="0" borderId="14" applyNumberFormat="0" applyFill="0" applyAlignment="0" applyProtection="0"/>
    <xf numFmtId="0" fontId="181" fillId="0" borderId="14" applyNumberFormat="0" applyFill="0" applyAlignment="0" applyProtection="0"/>
    <xf numFmtId="0" fontId="113" fillId="0" borderId="68" applyNumberFormat="0" applyFill="0" applyAlignment="0" applyProtection="0"/>
    <xf numFmtId="0" fontId="86" fillId="12" borderId="0" applyNumberFormat="0" applyBorder="0" applyAlignment="0" applyProtection="0"/>
    <xf numFmtId="0" fontId="114" fillId="95" borderId="0" applyNumberFormat="0" applyBorder="0" applyAlignment="0" applyProtection="0"/>
    <xf numFmtId="186" fontId="18" fillId="0" borderId="0"/>
    <xf numFmtId="185" fontId="18" fillId="0" borderId="0"/>
    <xf numFmtId="0" fontId="3" fillId="0" borderId="0"/>
    <xf numFmtId="185" fontId="18" fillId="0" borderId="0"/>
    <xf numFmtId="0" fontId="3" fillId="0" borderId="0"/>
    <xf numFmtId="0" fontId="3" fillId="0" borderId="0"/>
    <xf numFmtId="195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5" fontId="3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>
      <alignment wrapText="1"/>
    </xf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5" fillId="0" borderId="0"/>
    <xf numFmtId="0" fontId="75" fillId="0" borderId="0"/>
    <xf numFmtId="0" fontId="18" fillId="0" borderId="0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96" borderId="69" applyNumberFormat="0" applyFont="0" applyAlignment="0" applyProtection="0"/>
    <xf numFmtId="0" fontId="3" fillId="0" borderId="0"/>
    <xf numFmtId="0" fontId="30" fillId="7" borderId="17" applyNumberFormat="0" applyFont="0" applyAlignment="0" applyProtection="0"/>
    <xf numFmtId="0" fontId="3" fillId="0" borderId="0"/>
    <xf numFmtId="0" fontId="3" fillId="96" borderId="6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6" fillId="91" borderId="70" applyNumberFormat="0" applyAlignment="0" applyProtection="0"/>
    <xf numFmtId="10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18" fillId="36" borderId="0"/>
    <xf numFmtId="0" fontId="3" fillId="0" borderId="0"/>
    <xf numFmtId="0" fontId="3" fillId="0" borderId="0"/>
    <xf numFmtId="182" fontId="18" fillId="36" borderId="0"/>
    <xf numFmtId="0" fontId="3" fillId="0" borderId="0"/>
    <xf numFmtId="0" fontId="3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3" fillId="0" borderId="0"/>
    <xf numFmtId="0" fontId="3" fillId="0" borderId="0"/>
    <xf numFmtId="39" fontId="18" fillId="63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8" fillId="0" borderId="0">
      <alignment horizontal="left" wrapText="1"/>
    </xf>
    <xf numFmtId="182" fontId="18" fillId="0" borderId="0">
      <alignment horizontal="left" wrapText="1"/>
    </xf>
    <xf numFmtId="0" fontId="3" fillId="0" borderId="0"/>
    <xf numFmtId="189" fontId="18" fillId="0" borderId="0">
      <alignment horizontal="left" wrapText="1"/>
    </xf>
    <xf numFmtId="0" fontId="3" fillId="0" borderId="0"/>
    <xf numFmtId="182" fontId="18" fillId="0" borderId="0">
      <alignment horizontal="left" wrapText="1"/>
    </xf>
    <xf numFmtId="0" fontId="3" fillId="0" borderId="0"/>
    <xf numFmtId="0" fontId="3" fillId="0" borderId="0"/>
    <xf numFmtId="166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0" fillId="0" borderId="0">
      <alignment horizontal="left" wrapText="1"/>
    </xf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169" fontId="30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34" fillId="0" borderId="0"/>
    <xf numFmtId="0" fontId="34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34" fillId="0" borderId="0"/>
    <xf numFmtId="0" fontId="3" fillId="66" borderId="0" applyNumberFormat="0" applyBorder="0" applyAlignment="0" applyProtection="0"/>
    <xf numFmtId="0" fontId="58" fillId="2" borderId="0" applyNumberFormat="0" applyBorder="0" applyAlignment="0" applyProtection="0"/>
    <xf numFmtId="0" fontId="3" fillId="67" borderId="0" applyNumberFormat="0" applyBorder="0" applyAlignment="0" applyProtection="0"/>
    <xf numFmtId="0" fontId="58" fillId="4" borderId="0" applyNumberFormat="0" applyBorder="0" applyAlignment="0" applyProtection="0"/>
    <xf numFmtId="0" fontId="3" fillId="68" borderId="0" applyNumberFormat="0" applyBorder="0" applyAlignment="0" applyProtection="0"/>
    <xf numFmtId="173" fontId="18" fillId="0" borderId="0">
      <alignment horizontal="left" wrapText="1"/>
    </xf>
    <xf numFmtId="0" fontId="58" fillId="6" borderId="0" applyNumberFormat="0" applyBorder="0" applyAlignment="0" applyProtection="0"/>
    <xf numFmtId="0" fontId="3" fillId="69" borderId="0" applyNumberFormat="0" applyBorder="0" applyAlignment="0" applyProtection="0"/>
    <xf numFmtId="169" fontId="18" fillId="0" borderId="0">
      <alignment horizontal="left" wrapText="1"/>
    </xf>
    <xf numFmtId="0" fontId="58" fillId="8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58" fillId="9" borderId="0" applyNumberFormat="0" applyBorder="0" applyAlignment="0" applyProtection="0"/>
    <xf numFmtId="0" fontId="3" fillId="72" borderId="0" applyNumberFormat="0" applyBorder="0" applyAlignment="0" applyProtection="0"/>
    <xf numFmtId="0" fontId="58" fillId="3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58" fillId="11" borderId="0" applyNumberFormat="0" applyBorder="0" applyAlignment="0" applyProtection="0"/>
    <xf numFmtId="0" fontId="3" fillId="75" borderId="0" applyNumberFormat="0" applyBorder="0" applyAlignment="0" applyProtection="0"/>
    <xf numFmtId="171" fontId="18" fillId="0" borderId="0">
      <alignment horizontal="left" wrapText="1"/>
    </xf>
    <xf numFmtId="0" fontId="58" fillId="8" borderId="0" applyNumberFormat="0" applyBorder="0" applyAlignment="0" applyProtection="0"/>
    <xf numFmtId="0" fontId="3" fillId="76" borderId="0" applyNumberFormat="0" applyBorder="0" applyAlignment="0" applyProtection="0"/>
    <xf numFmtId="0" fontId="58" fillId="3" borderId="0" applyNumberFormat="0" applyBorder="0" applyAlignment="0" applyProtection="0"/>
    <xf numFmtId="0" fontId="3" fillId="77" borderId="0" applyNumberFormat="0" applyBorder="0" applyAlignment="0" applyProtection="0"/>
    <xf numFmtId="0" fontId="58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66" fillId="13" borderId="0" applyNumberFormat="0" applyBorder="0" applyAlignment="0" applyProtection="0"/>
    <xf numFmtId="0" fontId="66" fillId="11" borderId="0" applyNumberFormat="0" applyBorder="0" applyAlignment="0" applyProtection="0"/>
    <xf numFmtId="0" fontId="66" fillId="4" borderId="0" applyNumberFormat="0" applyBorder="0" applyAlignment="0" applyProtection="0"/>
    <xf numFmtId="0" fontId="66" fillId="16" borderId="0" applyNumberFormat="0" applyBorder="0" applyAlignment="0" applyProtection="0"/>
    <xf numFmtId="0" fontId="66" fillId="10" borderId="0" applyNumberFormat="0" applyBorder="0" applyAlignment="0" applyProtection="0"/>
    <xf numFmtId="0" fontId="66" fillId="17" borderId="0" applyNumberFormat="0" applyBorder="0" applyAlignment="0" applyProtection="0"/>
    <xf numFmtId="0" fontId="66" fillId="5" borderId="0" applyNumberFormat="0" applyBorder="0" applyAlignment="0" applyProtection="0"/>
    <xf numFmtId="0" fontId="66" fillId="18" borderId="0" applyNumberFormat="0" applyBorder="0" applyAlignment="0" applyProtection="0"/>
    <xf numFmtId="0" fontId="102" fillId="84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19" borderId="0" applyNumberFormat="0" applyBorder="0" applyAlignment="0" applyProtection="0"/>
    <xf numFmtId="0" fontId="102" fillId="85" borderId="0" applyNumberFormat="0" applyBorder="0" applyAlignment="0" applyProtection="0"/>
    <xf numFmtId="0" fontId="66" fillId="27" borderId="0" applyNumberFormat="0" applyBorder="0" applyAlignment="0" applyProtection="0"/>
    <xf numFmtId="0" fontId="66" fillId="15" borderId="0" applyNumberFormat="0" applyBorder="0" applyAlignment="0" applyProtection="0"/>
    <xf numFmtId="0" fontId="66" fillId="24" borderId="0" applyNumberFormat="0" applyBorder="0" applyAlignment="0" applyProtection="0"/>
    <xf numFmtId="0" fontId="102" fillId="86" borderId="0" applyNumberFormat="0" applyBorder="0" applyAlignment="0" applyProtection="0"/>
    <xf numFmtId="0" fontId="66" fillId="31" borderId="0" applyNumberFormat="0" applyBorder="0" applyAlignment="0" applyProtection="0"/>
    <xf numFmtId="0" fontId="66" fillId="13" borderId="0" applyNumberFormat="0" applyBorder="0" applyAlignment="0" applyProtection="0"/>
    <xf numFmtId="0" fontId="66" fillId="28" borderId="0" applyNumberFormat="0" applyBorder="0" applyAlignment="0" applyProtection="0"/>
    <xf numFmtId="0" fontId="102" fillId="87" borderId="0" applyNumberFormat="0" applyBorder="0" applyAlignment="0" applyProtection="0"/>
    <xf numFmtId="0" fontId="66" fillId="31" borderId="0" applyNumberFormat="0" applyBorder="0" applyAlignment="0" applyProtection="0"/>
    <xf numFmtId="0" fontId="66" fillId="32" borderId="0" applyNumberFormat="0" applyBorder="0" applyAlignment="0" applyProtection="0"/>
    <xf numFmtId="0" fontId="66" fillId="16" borderId="0" applyNumberFormat="0" applyBorder="0" applyAlignment="0" applyProtection="0"/>
    <xf numFmtId="0" fontId="102" fillId="88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02" fillId="89" borderId="0" applyNumberFormat="0" applyBorder="0" applyAlignment="0" applyProtection="0"/>
    <xf numFmtId="0" fontId="66" fillId="34" borderId="0" applyNumberFormat="0" applyBorder="0" applyAlignment="0" applyProtection="0"/>
    <xf numFmtId="0" fontId="66" fillId="24" borderId="0" applyNumberFormat="0" applyBorder="0" applyAlignment="0" applyProtection="0"/>
    <xf numFmtId="0" fontId="66" fillId="15" borderId="0" applyNumberFormat="0" applyBorder="0" applyAlignment="0" applyProtection="0"/>
    <xf numFmtId="0" fontId="76" fillId="8" borderId="0" applyNumberFormat="0" applyBorder="0" applyAlignment="0" applyProtection="0"/>
    <xf numFmtId="0" fontId="76" fillId="4" borderId="0" applyNumberFormat="0" applyBorder="0" applyAlignment="0" applyProtection="0"/>
    <xf numFmtId="179" fontId="35" fillId="0" borderId="0" applyFill="0" applyBorder="0" applyAlignment="0"/>
    <xf numFmtId="179" fontId="35" fillId="0" borderId="0" applyFill="0" applyBorder="0" applyAlignment="0"/>
    <xf numFmtId="0" fontId="104" fillId="91" borderId="63" applyNumberFormat="0" applyAlignment="0" applyProtection="0"/>
    <xf numFmtId="0" fontId="77" fillId="35" borderId="1" applyNumberFormat="0" applyAlignment="0" applyProtection="0"/>
    <xf numFmtId="41" fontId="18" fillId="36" borderId="0"/>
    <xf numFmtId="0" fontId="104" fillId="91" borderId="63" applyNumberFormat="0" applyAlignment="0" applyProtection="0"/>
    <xf numFmtId="41" fontId="18" fillId="36" borderId="0"/>
    <xf numFmtId="0" fontId="106" fillId="92" borderId="64" applyNumberFormat="0" applyAlignment="0" applyProtection="0"/>
    <xf numFmtId="0" fontId="78" fillId="38" borderId="2" applyNumberFormat="0" applyAlignment="0" applyProtection="0"/>
    <xf numFmtId="0" fontId="78" fillId="38" borderId="2" applyNumberFormat="0" applyAlignment="0" applyProtection="0"/>
    <xf numFmtId="4" fontId="6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6" fillId="0" borderId="0"/>
    <xf numFmtId="0" fontId="36" fillId="0" borderId="0"/>
    <xf numFmtId="0" fontId="50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50" fillId="0" borderId="0"/>
    <xf numFmtId="0" fontId="37" fillId="0" borderId="0" applyNumberFormat="0" applyAlignment="0">
      <alignment horizontal="left"/>
    </xf>
    <xf numFmtId="0" fontId="37" fillId="0" borderId="0" applyNumberFormat="0" applyAlignment="0">
      <alignment horizontal="left"/>
    </xf>
    <xf numFmtId="0" fontId="38" fillId="0" borderId="0" applyNumberFormat="0" applyAlignment="0"/>
    <xf numFmtId="0" fontId="38" fillId="0" borderId="0" applyNumberFormat="0" applyAlignment="0"/>
    <xf numFmtId="0" fontId="36" fillId="0" borderId="0"/>
    <xf numFmtId="0" fontId="50" fillId="0" borderId="0"/>
    <xf numFmtId="0" fontId="36" fillId="0" borderId="0"/>
    <xf numFmtId="0" fontId="50" fillId="0" borderId="0"/>
    <xf numFmtId="8" fontId="6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7" fillId="40" borderId="0" applyNumberFormat="0" applyBorder="0" applyAlignment="0" applyProtection="0"/>
    <xf numFmtId="0" fontId="67" fillId="41" borderId="0" applyNumberFormat="0" applyBorder="0" applyAlignment="0" applyProtection="0"/>
    <xf numFmtId="0" fontId="67" fillId="42" borderId="0" applyNumberFormat="0" applyBorder="0" applyAlignment="0" applyProtection="0"/>
    <xf numFmtId="169" fontId="18" fillId="0" borderId="0"/>
    <xf numFmtId="169" fontId="18" fillId="0" borderId="0"/>
    <xf numFmtId="169" fontId="18" fillId="0" borderId="0"/>
    <xf numFmtId="169" fontId="18" fillId="0" borderId="0"/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0" fontId="10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2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36" fillId="0" borderId="0"/>
    <xf numFmtId="169" fontId="18" fillId="0" borderId="0">
      <alignment horizontal="left" wrapText="1"/>
    </xf>
    <xf numFmtId="0" fontId="80" fillId="10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3" applyNumberFormat="0" applyAlignment="0" applyProtection="0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4" fillId="0" borderId="4">
      <alignment horizontal="left"/>
    </xf>
    <xf numFmtId="0" fontId="29" fillId="0" borderId="0" applyNumberFormat="0" applyFill="0" applyBorder="0" applyAlignment="0" applyProtection="0"/>
    <xf numFmtId="0" fontId="109" fillId="0" borderId="65" applyNumberFormat="0" applyFill="0" applyAlignment="0" applyProtection="0"/>
    <xf numFmtId="0" fontId="81" fillId="0" borderId="5" applyNumberFormat="0" applyFill="0" applyAlignment="0" applyProtection="0"/>
    <xf numFmtId="0" fontId="109" fillId="0" borderId="6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0" fillId="0" borderId="66" applyNumberFormat="0" applyFill="0" applyAlignment="0" applyProtection="0"/>
    <xf numFmtId="0" fontId="82" fillId="0" borderId="7" applyNumberFormat="0" applyFill="0" applyAlignment="0" applyProtection="0"/>
    <xf numFmtId="0" fontId="110" fillId="0" borderId="66" applyNumberFormat="0" applyFill="0" applyAlignment="0" applyProtection="0"/>
    <xf numFmtId="0" fontId="29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38" fontId="20" fillId="0" borderId="0"/>
    <xf numFmtId="38" fontId="20" fillId="0" borderId="0"/>
    <xf numFmtId="38" fontId="20" fillId="0" borderId="0"/>
    <xf numFmtId="40" fontId="20" fillId="0" borderId="0"/>
    <xf numFmtId="40" fontId="20" fillId="0" borderId="0"/>
    <xf numFmtId="40" fontId="20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112" fillId="94" borderId="63" applyNumberFormat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0" fontId="84" fillId="9" borderId="1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84" fillId="12" borderId="1" applyNumberFormat="0" applyAlignment="0" applyProtection="0"/>
    <xf numFmtId="0" fontId="84" fillId="9" borderId="1" applyNumberFormat="0" applyAlignment="0" applyProtection="0"/>
    <xf numFmtId="0" fontId="84" fillId="12" borderId="1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41" fontId="39" fillId="43" borderId="12">
      <alignment horizontal="left"/>
      <protection locked="0"/>
    </xf>
    <xf numFmtId="41" fontId="39" fillId="43" borderId="12">
      <alignment horizontal="left"/>
      <protection locked="0"/>
    </xf>
    <xf numFmtId="10" fontId="39" fillId="43" borderId="12">
      <alignment horizontal="right"/>
      <protection locked="0"/>
    </xf>
    <xf numFmtId="10" fontId="39" fillId="43" borderId="12">
      <alignment horizontal="right"/>
      <protection locked="0"/>
    </xf>
    <xf numFmtId="0" fontId="19" fillId="39" borderId="0"/>
    <xf numFmtId="0" fontId="19" fillId="39" borderId="0"/>
    <xf numFmtId="3" fontId="52" fillId="0" borderId="0" applyFill="0" applyBorder="0" applyAlignment="0" applyProtection="0"/>
    <xf numFmtId="3" fontId="52" fillId="0" borderId="0" applyFill="0" applyBorder="0" applyAlignment="0" applyProtection="0"/>
    <xf numFmtId="0" fontId="85" fillId="0" borderId="13" applyNumberFormat="0" applyFill="0" applyAlignment="0" applyProtection="0"/>
    <xf numFmtId="0" fontId="85" fillId="0" borderId="13" applyNumberFormat="0" applyFill="0" applyAlignment="0" applyProtection="0"/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5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0" fontId="95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37" fontId="40" fillId="0" borderId="0"/>
    <xf numFmtId="37" fontId="40" fillId="0" borderId="0"/>
    <xf numFmtId="197" fontId="30" fillId="0" borderId="0"/>
    <xf numFmtId="185" fontId="18" fillId="0" borderId="0"/>
    <xf numFmtId="185" fontId="18" fillId="0" borderId="0"/>
    <xf numFmtId="185" fontId="18" fillId="0" borderId="0"/>
    <xf numFmtId="185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85" fontId="30" fillId="0" borderId="0">
      <alignment horizontal="left" wrapText="1"/>
    </xf>
    <xf numFmtId="185" fontId="30" fillId="0" borderId="0">
      <alignment horizontal="left" wrapText="1"/>
    </xf>
    <xf numFmtId="185" fontId="30" fillId="0" borderId="0">
      <alignment horizontal="left" wrapText="1"/>
    </xf>
    <xf numFmtId="185" fontId="30" fillId="0" borderId="0">
      <alignment horizontal="left" wrapText="1"/>
    </xf>
    <xf numFmtId="185" fontId="30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41" fillId="0" borderId="0"/>
    <xf numFmtId="0" fontId="58" fillId="0" borderId="0"/>
    <xf numFmtId="0" fontId="41" fillId="0" borderId="0"/>
    <xf numFmtId="0" fontId="58" fillId="0" borderId="0"/>
    <xf numFmtId="0" fontId="41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87" fillId="37" borderId="18" applyNumberFormat="0" applyAlignment="0" applyProtection="0"/>
    <xf numFmtId="0" fontId="87" fillId="35" borderId="18" applyNumberFormat="0" applyAlignment="0" applyProtection="0"/>
    <xf numFmtId="0" fontId="87" fillId="35" borderId="18" applyNumberFormat="0" applyAlignment="0" applyProtection="0"/>
    <xf numFmtId="0" fontId="36" fillId="0" borderId="0"/>
    <xf numFmtId="0" fontId="36" fillId="0" borderId="0"/>
    <xf numFmtId="0" fontId="50" fillId="0" borderId="0"/>
    <xf numFmtId="9" fontId="63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41" fontId="18" fillId="44" borderId="12"/>
    <xf numFmtId="41" fontId="18" fillId="44" borderId="12"/>
    <xf numFmtId="41" fontId="18" fillId="44" borderId="12"/>
    <xf numFmtId="41" fontId="18" fillId="44" borderId="12"/>
    <xf numFmtId="0" fontId="41" fillId="0" borderId="0" applyNumberFormat="0" applyFont="0" applyFill="0" applyBorder="0" applyAlignment="0" applyProtection="0">
      <alignment horizontal="left"/>
    </xf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19">
      <alignment horizontal="center"/>
    </xf>
    <xf numFmtId="0" fontId="42" fillId="0" borderId="19">
      <alignment horizontal="center"/>
    </xf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1" fillId="45" borderId="0" applyNumberFormat="0" applyFont="0" applyBorder="0" applyAlignment="0" applyProtection="0"/>
    <xf numFmtId="0" fontId="41" fillId="45" borderId="0" applyNumberFormat="0" applyFont="0" applyBorder="0" applyAlignment="0" applyProtection="0"/>
    <xf numFmtId="0" fontId="50" fillId="0" borderId="0"/>
    <xf numFmtId="3" fontId="53" fillId="0" borderId="0" applyFill="0" applyBorder="0" applyAlignment="0" applyProtection="0"/>
    <xf numFmtId="0" fontId="54" fillId="0" borderId="0"/>
    <xf numFmtId="3" fontId="53" fillId="0" borderId="0" applyFill="0" applyBorder="0" applyAlignment="0" applyProtection="0"/>
    <xf numFmtId="42" fontId="18" fillId="36" borderId="0"/>
    <xf numFmtId="42" fontId="18" fillId="36" borderId="0"/>
    <xf numFmtId="42" fontId="18" fillId="36" borderId="0"/>
    <xf numFmtId="42" fontId="18" fillId="36" borderId="0"/>
    <xf numFmtId="42" fontId="18" fillId="36" borderId="20">
      <alignment vertical="center"/>
    </xf>
    <xf numFmtId="42" fontId="18" fillId="36" borderId="20">
      <alignment vertical="center"/>
    </xf>
    <xf numFmtId="42" fontId="18" fillId="36" borderId="20">
      <alignment vertical="center"/>
    </xf>
    <xf numFmtId="42" fontId="18" fillId="36" borderId="20">
      <alignment vertical="center"/>
    </xf>
    <xf numFmtId="0" fontId="22" fillId="36" borderId="21" applyNumberFormat="0">
      <alignment horizontal="center" vertical="center" wrapText="1"/>
    </xf>
    <xf numFmtId="0" fontId="22" fillId="36" borderId="21" applyNumberFormat="0">
      <alignment horizontal="center" vertical="center" wrapText="1"/>
    </xf>
    <xf numFmtId="10" fontId="18" fillId="36" borderId="0"/>
    <xf numFmtId="10" fontId="18" fillId="36" borderId="0"/>
    <xf numFmtId="10" fontId="18" fillId="36" borderId="0"/>
    <xf numFmtId="182" fontId="18" fillId="36" borderId="0"/>
    <xf numFmtId="182" fontId="18" fillId="36" borderId="0"/>
    <xf numFmtId="182" fontId="18" fillId="36" borderId="0"/>
    <xf numFmtId="165" fontId="20" fillId="0" borderId="0" applyBorder="0" applyAlignment="0"/>
    <xf numFmtId="42" fontId="18" fillId="36" borderId="22">
      <alignment horizontal="left"/>
    </xf>
    <xf numFmtId="42" fontId="18" fillId="36" borderId="22">
      <alignment horizontal="left"/>
    </xf>
    <xf numFmtId="42" fontId="18" fillId="36" borderId="22">
      <alignment horizontal="left"/>
    </xf>
    <xf numFmtId="42" fontId="18" fillId="36" borderId="22">
      <alignment horizontal="left"/>
    </xf>
    <xf numFmtId="182" fontId="31" fillId="36" borderId="22">
      <alignment horizontal="left"/>
    </xf>
    <xf numFmtId="14" fontId="30" fillId="0" borderId="0" applyNumberFormat="0" applyFill="0" applyBorder="0" applyAlignment="0" applyProtection="0">
      <alignment horizontal="lef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4" fontId="65" fillId="43" borderId="18" applyNumberFormat="0" applyProtection="0">
      <alignment vertical="center"/>
    </xf>
    <xf numFmtId="4" fontId="69" fillId="43" borderId="18" applyNumberFormat="0" applyProtection="0">
      <alignment vertical="center"/>
    </xf>
    <xf numFmtId="4" fontId="65" fillId="43" borderId="18" applyNumberFormat="0" applyProtection="0">
      <alignment horizontal="left" vertical="center" indent="1"/>
    </xf>
    <xf numFmtId="4" fontId="65" fillId="43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47" borderId="18" applyNumberFormat="0" applyProtection="0">
      <alignment horizontal="right" vertical="center"/>
    </xf>
    <xf numFmtId="4" fontId="65" fillId="48" borderId="18" applyNumberFormat="0" applyProtection="0">
      <alignment horizontal="right" vertical="center"/>
    </xf>
    <xf numFmtId="4" fontId="65" fillId="49" borderId="18" applyNumberFormat="0" applyProtection="0">
      <alignment horizontal="right" vertical="center"/>
    </xf>
    <xf numFmtId="4" fontId="65" fillId="50" borderId="18" applyNumberFormat="0" applyProtection="0">
      <alignment horizontal="right" vertical="center"/>
    </xf>
    <xf numFmtId="4" fontId="65" fillId="51" borderId="18" applyNumberFormat="0" applyProtection="0">
      <alignment horizontal="right" vertical="center"/>
    </xf>
    <xf numFmtId="4" fontId="65" fillId="52" borderId="18" applyNumberFormat="0" applyProtection="0">
      <alignment horizontal="right" vertical="center"/>
    </xf>
    <xf numFmtId="4" fontId="65" fillId="53" borderId="18" applyNumberFormat="0" applyProtection="0">
      <alignment horizontal="right" vertical="center"/>
    </xf>
    <xf numFmtId="4" fontId="65" fillId="54" borderId="18" applyNumberFormat="0" applyProtection="0">
      <alignment horizontal="right" vertical="center"/>
    </xf>
    <xf numFmtId="4" fontId="65" fillId="55" borderId="18" applyNumberFormat="0" applyProtection="0">
      <alignment horizontal="right" vertical="center"/>
    </xf>
    <xf numFmtId="4" fontId="70" fillId="56" borderId="18" applyNumberFormat="0" applyProtection="0">
      <alignment horizontal="left" vertical="center" indent="1"/>
    </xf>
    <xf numFmtId="4" fontId="65" fillId="57" borderId="23" applyNumberFormat="0" applyProtection="0">
      <alignment horizontal="left" vertical="center" indent="1"/>
    </xf>
    <xf numFmtId="4" fontId="71" fillId="58" borderId="0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57" borderId="18" applyNumberFormat="0" applyProtection="0">
      <alignment horizontal="left" vertical="center" indent="1"/>
    </xf>
    <xf numFmtId="4" fontId="65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37" borderId="11" applyNumberFormat="0">
      <protection locked="0"/>
    </xf>
    <xf numFmtId="4" fontId="65" fillId="61" borderId="18" applyNumberFormat="0" applyProtection="0">
      <alignment vertical="center"/>
    </xf>
    <xf numFmtId="4" fontId="69" fillId="61" borderId="18" applyNumberFormat="0" applyProtection="0">
      <alignment vertical="center"/>
    </xf>
    <xf numFmtId="4" fontId="65" fillId="61" borderId="18" applyNumberFormat="0" applyProtection="0">
      <alignment horizontal="left" vertical="center" indent="1"/>
    </xf>
    <xf numFmtId="4" fontId="65" fillId="61" borderId="18" applyNumberFormat="0" applyProtection="0">
      <alignment horizontal="left" vertical="center" indent="1"/>
    </xf>
    <xf numFmtId="4" fontId="65" fillId="57" borderId="18" applyNumberFormat="0" applyProtection="0">
      <alignment horizontal="right" vertical="center"/>
    </xf>
    <xf numFmtId="4" fontId="65" fillId="57" borderId="18" applyNumberFormat="0" applyProtection="0">
      <alignment horizontal="right" vertical="center"/>
    </xf>
    <xf numFmtId="4" fontId="69" fillId="57" borderId="18" applyNumberFormat="0" applyProtection="0">
      <alignment horizontal="right" vertical="center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72" fillId="0" borderId="0"/>
    <xf numFmtId="4" fontId="68" fillId="57" borderId="18" applyNumberFormat="0" applyProtection="0">
      <alignment horizontal="right" vertical="center"/>
    </xf>
    <xf numFmtId="39" fontId="18" fillId="63" borderId="0"/>
    <xf numFmtId="39" fontId="18" fillId="63" borderId="0"/>
    <xf numFmtId="39" fontId="18" fillId="63" borderId="0"/>
    <xf numFmtId="0" fontId="73" fillId="0" borderId="0" applyNumberFormat="0" applyFill="0" applyBorder="0" applyAlignment="0" applyProtection="0"/>
    <xf numFmtId="38" fontId="19" fillId="0" borderId="25"/>
    <xf numFmtId="38" fontId="19" fillId="0" borderId="25"/>
    <xf numFmtId="38" fontId="19" fillId="0" borderId="25"/>
    <xf numFmtId="38" fontId="19" fillId="0" borderId="25"/>
    <xf numFmtId="38" fontId="19" fillId="0" borderId="25"/>
    <xf numFmtId="38" fontId="20" fillId="0" borderId="22"/>
    <xf numFmtId="38" fontId="20" fillId="0" borderId="22"/>
    <xf numFmtId="38" fontId="20" fillId="0" borderId="22"/>
    <xf numFmtId="39" fontId="30" fillId="64" borderId="0"/>
    <xf numFmtId="170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8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6" fontId="18" fillId="0" borderId="0">
      <alignment horizontal="left" wrapText="1"/>
    </xf>
    <xf numFmtId="0" fontId="18" fillId="0" borderId="0">
      <alignment horizontal="left" wrapText="1"/>
    </xf>
    <xf numFmtId="189" fontId="18" fillId="0" borderId="0">
      <alignment horizontal="left" wrapText="1"/>
    </xf>
    <xf numFmtId="189" fontId="18" fillId="0" borderId="0">
      <alignment horizontal="left" wrapText="1"/>
    </xf>
    <xf numFmtId="189" fontId="18" fillId="0" borderId="0">
      <alignment horizontal="left" wrapText="1"/>
    </xf>
    <xf numFmtId="168" fontId="18" fillId="0" borderId="0">
      <alignment horizontal="left" wrapText="1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56" fillId="36" borderId="0">
      <alignment horizontal="left" vertical="center"/>
    </xf>
    <xf numFmtId="0" fontId="22" fillId="36" borderId="0">
      <alignment horizontal="left" wrapText="1"/>
    </xf>
    <xf numFmtId="0" fontId="22" fillId="36" borderId="0">
      <alignment horizontal="left" wrapText="1"/>
    </xf>
    <xf numFmtId="0" fontId="44" fillId="0" borderId="0">
      <alignment horizontal="left" vertical="center"/>
    </xf>
    <xf numFmtId="0" fontId="29" fillId="0" borderId="26" applyNumberFormat="0" applyFont="0" applyFill="0" applyAlignment="0" applyProtection="0"/>
    <xf numFmtId="0" fontId="118" fillId="0" borderId="71" applyNumberFormat="0" applyFill="0" applyAlignment="0" applyProtection="0"/>
    <xf numFmtId="0" fontId="67" fillId="0" borderId="27" applyNumberFormat="0" applyFill="0" applyAlignment="0" applyProtection="0"/>
    <xf numFmtId="0" fontId="118" fillId="0" borderId="71" applyNumberFormat="0" applyFill="0" applyAlignment="0" applyProtection="0"/>
    <xf numFmtId="0" fontId="29" fillId="0" borderId="26" applyNumberFormat="0" applyFont="0" applyFill="0" applyAlignment="0" applyProtection="0"/>
    <xf numFmtId="0" fontId="50" fillId="0" borderId="29"/>
    <xf numFmtId="0" fontId="11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9" fontId="35" fillId="0" borderId="0" applyFill="0" applyBorder="0" applyAlignment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0" fillId="0" borderId="0"/>
    <xf numFmtId="0" fontId="50" fillId="0" borderId="0"/>
    <xf numFmtId="0" fontId="37" fillId="0" borderId="0" applyNumberFormat="0" applyAlignment="0">
      <alignment horizontal="left"/>
    </xf>
    <xf numFmtId="0" fontId="38" fillId="0" borderId="0" applyNumberFormat="0" applyAlignment="0"/>
    <xf numFmtId="0" fontId="50" fillId="0" borderId="0"/>
    <xf numFmtId="0" fontId="50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167" fillId="0" borderId="0" applyFill="0" applyBorder="0" applyAlignment="0" applyProtection="0"/>
    <xf numFmtId="37" fontId="40" fillId="0" borderId="0"/>
    <xf numFmtId="0" fontId="18" fillId="0" borderId="0"/>
    <xf numFmtId="0" fontId="30" fillId="0" borderId="0"/>
    <xf numFmtId="0" fontId="3" fillId="0" borderId="0"/>
    <xf numFmtId="0" fontId="50" fillId="0" borderId="0"/>
    <xf numFmtId="9" fontId="18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19">
      <alignment horizontal="center"/>
    </xf>
    <xf numFmtId="3" fontId="41" fillId="0" borderId="0" applyFont="0" applyFill="0" applyBorder="0" applyAlignment="0" applyProtection="0"/>
    <xf numFmtId="0" fontId="41" fillId="45" borderId="0" applyNumberFormat="0" applyFont="0" applyBorder="0" applyAlignment="0" applyProtection="0"/>
    <xf numFmtId="0" fontId="50" fillId="0" borderId="0"/>
    <xf numFmtId="0" fontId="54" fillId="0" borderId="0"/>
    <xf numFmtId="0" fontId="168" fillId="109" borderId="0"/>
    <xf numFmtId="0" fontId="183" fillId="109" borderId="100"/>
    <xf numFmtId="0" fontId="184" fillId="110" borderId="101"/>
    <xf numFmtId="0" fontId="185" fillId="109" borderId="102"/>
    <xf numFmtId="0" fontId="18" fillId="0" borderId="0" applyNumberFormat="0" applyBorder="0" applyAlignment="0"/>
    <xf numFmtId="0" fontId="168" fillId="0" borderId="0"/>
    <xf numFmtId="0" fontId="183" fillId="109" borderId="0"/>
    <xf numFmtId="0" fontId="50" fillId="0" borderId="29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77" fillId="35" borderId="1" applyNumberFormat="0" applyAlignment="0" applyProtection="0"/>
    <xf numFmtId="0" fontId="78" fillId="38" borderId="2" applyNumberFormat="0" applyAlignment="0" applyProtection="0"/>
    <xf numFmtId="43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4">
      <alignment horizontal="left"/>
    </xf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0" fontId="84" fillId="9" borderId="1" applyNumberFormat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58" fillId="96" borderId="69" applyNumberFormat="0" applyFont="0" applyAlignment="0" applyProtection="0"/>
    <xf numFmtId="0" fontId="58" fillId="96" borderId="69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87" fillId="35" borderId="18" applyNumberFormat="0" applyAlignment="0" applyProtection="0"/>
    <xf numFmtId="9" fontId="58" fillId="0" borderId="0" applyFont="0" applyFill="0" applyBorder="0" applyAlignment="0" applyProtection="0"/>
    <xf numFmtId="42" fontId="18" fillId="36" borderId="0"/>
    <xf numFmtId="42" fontId="18" fillId="36" borderId="20">
      <alignment vertical="center"/>
    </xf>
    <xf numFmtId="165" fontId="20" fillId="0" borderId="0" applyBorder="0" applyAlignment="0"/>
    <xf numFmtId="42" fontId="18" fillId="36" borderId="22">
      <alignment horizontal="left"/>
    </xf>
    <xf numFmtId="182" fontId="31" fillId="36" borderId="22">
      <alignment horizontal="left"/>
    </xf>
    <xf numFmtId="4" fontId="65" fillId="43" borderId="18" applyNumberFormat="0" applyProtection="0">
      <alignment vertical="center"/>
    </xf>
    <xf numFmtId="4" fontId="69" fillId="43" borderId="18" applyNumberFormat="0" applyProtection="0">
      <alignment vertical="center"/>
    </xf>
    <xf numFmtId="4" fontId="65" fillId="43" borderId="18" applyNumberFormat="0" applyProtection="0">
      <alignment horizontal="left" vertical="center" indent="1"/>
    </xf>
    <xf numFmtId="4" fontId="65" fillId="43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47" borderId="18" applyNumberFormat="0" applyProtection="0">
      <alignment horizontal="right" vertical="center"/>
    </xf>
    <xf numFmtId="4" fontId="65" fillId="48" borderId="18" applyNumberFormat="0" applyProtection="0">
      <alignment horizontal="right" vertical="center"/>
    </xf>
    <xf numFmtId="4" fontId="65" fillId="49" borderId="18" applyNumberFormat="0" applyProtection="0">
      <alignment horizontal="right" vertical="center"/>
    </xf>
    <xf numFmtId="4" fontId="65" fillId="50" borderId="18" applyNumberFormat="0" applyProtection="0">
      <alignment horizontal="right" vertical="center"/>
    </xf>
    <xf numFmtId="4" fontId="65" fillId="51" borderId="18" applyNumberFormat="0" applyProtection="0">
      <alignment horizontal="right" vertical="center"/>
    </xf>
    <xf numFmtId="4" fontId="65" fillId="52" borderId="18" applyNumberFormat="0" applyProtection="0">
      <alignment horizontal="right" vertical="center"/>
    </xf>
    <xf numFmtId="4" fontId="65" fillId="53" borderId="18" applyNumberFormat="0" applyProtection="0">
      <alignment horizontal="right" vertical="center"/>
    </xf>
    <xf numFmtId="4" fontId="65" fillId="54" borderId="18" applyNumberFormat="0" applyProtection="0">
      <alignment horizontal="right" vertical="center"/>
    </xf>
    <xf numFmtId="4" fontId="65" fillId="55" borderId="18" applyNumberFormat="0" applyProtection="0">
      <alignment horizontal="right" vertical="center"/>
    </xf>
    <xf numFmtId="4" fontId="70" fillId="56" borderId="18" applyNumberFormat="0" applyProtection="0">
      <alignment horizontal="left" vertical="center" indent="1"/>
    </xf>
    <xf numFmtId="4" fontId="65" fillId="57" borderId="23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57" borderId="18" applyNumberFormat="0" applyProtection="0">
      <alignment horizontal="left" vertical="center" indent="1"/>
    </xf>
    <xf numFmtId="4" fontId="65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37" borderId="11" applyNumberFormat="0">
      <protection locked="0"/>
    </xf>
    <xf numFmtId="4" fontId="65" fillId="61" borderId="18" applyNumberFormat="0" applyProtection="0">
      <alignment vertical="center"/>
    </xf>
    <xf numFmtId="4" fontId="69" fillId="61" borderId="18" applyNumberFormat="0" applyProtection="0">
      <alignment vertical="center"/>
    </xf>
    <xf numFmtId="4" fontId="65" fillId="61" borderId="18" applyNumberFormat="0" applyProtection="0">
      <alignment horizontal="left" vertical="center" indent="1"/>
    </xf>
    <xf numFmtId="4" fontId="65" fillId="61" borderId="18" applyNumberFormat="0" applyProtection="0">
      <alignment horizontal="left" vertical="center" indent="1"/>
    </xf>
    <xf numFmtId="4" fontId="65" fillId="57" borderId="18" applyNumberFormat="0" applyProtection="0">
      <alignment horizontal="right" vertical="center"/>
    </xf>
    <xf numFmtId="4" fontId="69" fillId="57" borderId="18" applyNumberFormat="0" applyProtection="0">
      <alignment horizontal="right" vertical="center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8" fillId="57" borderId="18" applyNumberFormat="0" applyProtection="0">
      <alignment horizontal="right" vertical="center"/>
    </xf>
    <xf numFmtId="38" fontId="20" fillId="0" borderId="22"/>
    <xf numFmtId="170" fontId="18" fillId="0" borderId="0">
      <alignment horizontal="left" wrapText="1"/>
    </xf>
    <xf numFmtId="0" fontId="29" fillId="0" borderId="26" applyNumberFormat="0" applyFont="0" applyFill="0" applyAlignment="0" applyProtection="0"/>
    <xf numFmtId="0" fontId="67" fillId="0" borderId="27" applyNumberFormat="0" applyFill="0" applyAlignment="0" applyProtection="0"/>
    <xf numFmtId="43" fontId="3" fillId="0" borderId="0" applyFont="0" applyFill="0" applyBorder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70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73" borderId="0" applyNumberFormat="0" applyBorder="0" applyAlignment="0" applyProtection="0"/>
    <xf numFmtId="0" fontId="3" fillId="12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102" fillId="10" borderId="0" applyNumberFormat="0" applyBorder="0" applyAlignment="0" applyProtection="0"/>
    <xf numFmtId="0" fontId="102" fillId="15" borderId="0" applyNumberFormat="0" applyBorder="0" applyAlignment="0" applyProtection="0"/>
    <xf numFmtId="0" fontId="102" fillId="13" borderId="0" applyNumberFormat="0" applyBorder="0" applyAlignment="0" applyProtection="0"/>
    <xf numFmtId="0" fontId="102" fillId="4" borderId="0" applyNumberFormat="0" applyBorder="0" applyAlignment="0" applyProtection="0"/>
    <xf numFmtId="0" fontId="102" fillId="10" borderId="0" applyNumberFormat="0" applyBorder="0" applyAlignment="0" applyProtection="0"/>
    <xf numFmtId="0" fontId="102" fillId="5" borderId="0" applyNumberFormat="0" applyBorder="0" applyAlignment="0" applyProtection="0"/>
    <xf numFmtId="0" fontId="102" fillId="23" borderId="0" applyNumberFormat="0" applyBorder="0" applyAlignment="0" applyProtection="0"/>
    <xf numFmtId="0" fontId="102" fillId="15" borderId="0" applyNumberFormat="0" applyBorder="0" applyAlignment="0" applyProtection="0"/>
    <xf numFmtId="0" fontId="102" fillId="13" borderId="0" applyNumberFormat="0" applyBorder="0" applyAlignment="0" applyProtection="0"/>
    <xf numFmtId="0" fontId="102" fillId="32" borderId="0" applyNumberFormat="0" applyBorder="0" applyAlignment="0" applyProtection="0"/>
    <xf numFmtId="0" fontId="102" fillId="88" borderId="0" applyNumberFormat="0" applyBorder="0" applyAlignment="0" applyProtection="0"/>
    <xf numFmtId="0" fontId="102" fillId="24" borderId="0" applyNumberFormat="0" applyBorder="0" applyAlignment="0" applyProtection="0"/>
    <xf numFmtId="0" fontId="103" fillId="8" borderId="0" applyNumberFormat="0" applyBorder="0" applyAlignment="0" applyProtection="0"/>
    <xf numFmtId="179" fontId="35" fillId="0" borderId="0" applyFill="0" applyBorder="0" applyAlignment="0"/>
    <xf numFmtId="0" fontId="105" fillId="37" borderId="63" applyNumberFormat="0" applyAlignment="0" applyProtection="0"/>
    <xf numFmtId="0" fontId="106" fillId="92" borderId="64" applyNumberFormat="0" applyAlignment="0" applyProtection="0"/>
    <xf numFmtId="3" fontId="29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0" fontId="29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2" fontId="29" fillId="0" borderId="0" applyFont="0" applyFill="0" applyBorder="0" applyAlignment="0" applyProtection="0"/>
    <xf numFmtId="0" fontId="108" fillId="10" borderId="0" applyNumberFormat="0" applyBorder="0" applyAlignment="0" applyProtection="0"/>
    <xf numFmtId="38" fontId="18" fillId="39" borderId="0" applyNumberFormat="0" applyBorder="0" applyAlignment="0" applyProtection="0"/>
    <xf numFmtId="38" fontId="18" fillId="39" borderId="0" applyNumberFormat="0" applyBorder="0" applyAlignment="0" applyProtection="0"/>
    <xf numFmtId="38" fontId="19" fillId="39" borderId="0" applyNumberFormat="0" applyBorder="0" applyAlignment="0" applyProtection="0"/>
    <xf numFmtId="38" fontId="18" fillId="39" borderId="0" applyNumberFormat="0" applyBorder="0" applyAlignment="0" applyProtection="0"/>
    <xf numFmtId="0" fontId="24" fillId="0" borderId="3" applyNumberFormat="0" applyAlignment="0" applyProtection="0">
      <alignment horizontal="left"/>
    </xf>
    <xf numFmtId="0" fontId="24" fillId="0" borderId="4">
      <alignment horizontal="left"/>
    </xf>
    <xf numFmtId="0" fontId="91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92" fillId="0" borderId="8" applyNumberFormat="0" applyFill="0" applyAlignment="0" applyProtection="0"/>
    <xf numFmtId="0" fontId="29" fillId="0" borderId="0" applyNumberFormat="0" applyFill="0" applyBorder="0" applyAlignment="0" applyProtection="0"/>
    <xf numFmtId="38" fontId="20" fillId="0" borderId="0"/>
    <xf numFmtId="40" fontId="20" fillId="0" borderId="0"/>
    <xf numFmtId="10" fontId="19" fillId="36" borderId="11" applyNumberFormat="0" applyBorder="0" applyAlignment="0" applyProtection="0"/>
    <xf numFmtId="0" fontId="112" fillId="12" borderId="63" applyNumberFormat="0" applyAlignment="0" applyProtection="0"/>
    <xf numFmtId="0" fontId="112" fillId="12" borderId="63" applyNumberFormat="0" applyAlignment="0" applyProtection="0"/>
    <xf numFmtId="3" fontId="52" fillId="0" borderId="0" applyFill="0" applyBorder="0" applyAlignment="0" applyProtection="0"/>
    <xf numFmtId="44" fontId="22" fillId="0" borderId="15" applyNumberFormat="0" applyFont="0" applyAlignment="0">
      <alignment horizontal="center"/>
    </xf>
    <xf numFmtId="44" fontId="22" fillId="0" borderId="16" applyNumberFormat="0" applyFont="0" applyAlignment="0">
      <alignment horizontal="center"/>
    </xf>
    <xf numFmtId="0" fontId="115" fillId="95" borderId="0" applyNumberFormat="0" applyBorder="0" applyAlignment="0" applyProtection="0"/>
    <xf numFmtId="37" fontId="40" fillId="0" borderId="0"/>
    <xf numFmtId="186" fontId="18" fillId="0" borderId="0"/>
    <xf numFmtId="186" fontId="18" fillId="0" borderId="0"/>
    <xf numFmtId="186" fontId="18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169" fontId="18" fillId="0" borderId="0">
      <alignment horizontal="left" wrapText="1"/>
    </xf>
    <xf numFmtId="0" fontId="18" fillId="0" borderId="0"/>
    <xf numFmtId="0" fontId="3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16" fillId="37" borderId="70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1" fillId="0" borderId="0" applyNumberFormat="0" applyFont="0" applyFill="0" applyBorder="0" applyAlignment="0" applyProtection="0">
      <alignment horizontal="left"/>
    </xf>
    <xf numFmtId="15" fontId="41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42" fillId="0" borderId="19">
      <alignment horizontal="center"/>
    </xf>
    <xf numFmtId="3" fontId="41" fillId="0" borderId="0" applyFont="0" applyFill="0" applyBorder="0" applyAlignment="0" applyProtection="0"/>
    <xf numFmtId="0" fontId="41" fillId="45" borderId="0" applyNumberFormat="0" applyFont="0" applyBorder="0" applyAlignment="0" applyProtection="0"/>
    <xf numFmtId="3" fontId="53" fillId="0" borderId="0" applyFill="0" applyBorder="0" applyAlignment="0" applyProtection="0"/>
    <xf numFmtId="10" fontId="18" fillId="36" borderId="0"/>
    <xf numFmtId="182" fontId="18" fillId="36" borderId="0"/>
    <xf numFmtId="180" fontId="18" fillId="0" borderId="0" applyFont="0" applyFill="0" applyAlignment="0">
      <alignment horizontal="right"/>
    </xf>
    <xf numFmtId="39" fontId="18" fillId="63" borderId="0"/>
    <xf numFmtId="38" fontId="19" fillId="0" borderId="25"/>
    <xf numFmtId="38" fontId="20" fillId="0" borderId="22"/>
    <xf numFmtId="169" fontId="18" fillId="0" borderId="0">
      <alignment horizontal="left" wrapText="1"/>
    </xf>
    <xf numFmtId="169" fontId="30" fillId="0" borderId="0">
      <alignment horizontal="left" wrapText="1"/>
    </xf>
    <xf numFmtId="0" fontId="118" fillId="0" borderId="28" applyNumberFormat="0" applyFill="0" applyAlignment="0" applyProtection="0"/>
    <xf numFmtId="0" fontId="29" fillId="0" borderId="26" applyNumberFormat="0" applyFont="0" applyFill="0" applyAlignment="0" applyProtection="0"/>
    <xf numFmtId="0" fontId="119" fillId="0" borderId="0" applyNumberFormat="0" applyFill="0" applyBorder="0" applyAlignment="0" applyProtection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2" fillId="10" borderId="0" applyNumberFormat="0" applyBorder="0" applyAlignment="0" applyProtection="0"/>
    <xf numFmtId="0" fontId="102" fillId="15" borderId="0" applyNumberFormat="0" applyBorder="0" applyAlignment="0" applyProtection="0"/>
    <xf numFmtId="0" fontId="102" fillId="13" borderId="0" applyNumberFormat="0" applyBorder="0" applyAlignment="0" applyProtection="0"/>
    <xf numFmtId="0" fontId="102" fillId="4" borderId="0" applyNumberFormat="0" applyBorder="0" applyAlignment="0" applyProtection="0"/>
    <xf numFmtId="0" fontId="102" fillId="10" borderId="0" applyNumberFormat="0" applyBorder="0" applyAlignment="0" applyProtection="0"/>
    <xf numFmtId="0" fontId="102" fillId="5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102" fillId="88" borderId="0" applyNumberFormat="0" applyBorder="0" applyAlignment="0" applyProtection="0"/>
    <xf numFmtId="0" fontId="66" fillId="17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2" fillId="24" borderId="0" applyNumberFormat="0" applyBorder="0" applyAlignment="0" applyProtection="0"/>
    <xf numFmtId="0" fontId="102" fillId="24" borderId="0" applyNumberFormat="0" applyBorder="0" applyAlignment="0" applyProtection="0"/>
    <xf numFmtId="0" fontId="102" fillId="24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103" fillId="8" borderId="0" applyNumberFormat="0" applyBorder="0" applyAlignment="0" applyProtection="0"/>
    <xf numFmtId="0" fontId="105" fillId="37" borderId="63" applyNumberFormat="0" applyAlignment="0" applyProtection="0"/>
    <xf numFmtId="41" fontId="18" fillId="36" borderId="0"/>
    <xf numFmtId="41" fontId="18" fillId="36" borderId="0"/>
    <xf numFmtId="41" fontId="18" fillId="36" borderId="0"/>
    <xf numFmtId="41" fontId="18" fillId="36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6" fillId="0" borderId="0" applyFont="0" applyFill="0" applyBorder="0" applyAlignment="0" applyProtection="0"/>
    <xf numFmtId="44" fontId="186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169" fontId="18" fillId="0" borderId="0"/>
    <xf numFmtId="169" fontId="18" fillId="0" borderId="0"/>
    <xf numFmtId="169" fontId="18" fillId="0" borderId="0"/>
    <xf numFmtId="169" fontId="18" fillId="0" borderId="0"/>
    <xf numFmtId="0" fontId="108" fillId="10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38" fontId="19" fillId="39" borderId="0" applyNumberFormat="0" applyBorder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92" fillId="0" borderId="8" applyNumberFormat="0" applyFill="0" applyAlignment="0" applyProtection="0"/>
    <xf numFmtId="0" fontId="93" fillId="0" borderId="10" applyNumberFormat="0" applyFill="0" applyAlignment="0" applyProtection="0"/>
    <xf numFmtId="0" fontId="93" fillId="0" borderId="0" applyNumberFormat="0" applyFill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0" fontId="112" fillId="12" borderId="63" applyNumberFormat="0" applyAlignment="0" applyProtection="0"/>
    <xf numFmtId="0" fontId="19" fillId="39" borderId="0"/>
    <xf numFmtId="0" fontId="89" fillId="0" borderId="14" applyNumberFormat="0" applyFill="0" applyAlignment="0" applyProtection="0"/>
    <xf numFmtId="0" fontId="115" fillId="95" borderId="0" applyNumberFormat="0" applyBorder="0" applyAlignment="0" applyProtection="0"/>
    <xf numFmtId="186" fontId="187" fillId="0" borderId="0"/>
    <xf numFmtId="196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145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169" fontId="18" fillId="0" borderId="0">
      <alignment horizontal="left" wrapText="1"/>
    </xf>
    <xf numFmtId="39" fontId="188" fillId="0" borderId="0" applyNumberFormat="0" applyFill="0" applyBorder="0" applyAlignment="0" applyProtection="0"/>
    <xf numFmtId="169" fontId="18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169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0" fillId="0" borderId="0">
      <alignment horizontal="left" wrapText="1"/>
    </xf>
    <xf numFmtId="169" fontId="18" fillId="0" borderId="0">
      <alignment horizontal="left" wrapText="1"/>
    </xf>
    <xf numFmtId="0" fontId="41" fillId="0" borderId="0"/>
    <xf numFmtId="169" fontId="18" fillId="0" borderId="0">
      <alignment horizontal="left" wrapText="1"/>
    </xf>
    <xf numFmtId="0" fontId="41" fillId="0" borderId="0"/>
    <xf numFmtId="169" fontId="18" fillId="0" borderId="0">
      <alignment horizontal="left" wrapText="1"/>
    </xf>
    <xf numFmtId="0" fontId="41" fillId="0" borderId="0"/>
    <xf numFmtId="169" fontId="18" fillId="0" borderId="0">
      <alignment horizontal="left" wrapText="1"/>
    </xf>
    <xf numFmtId="0" fontId="41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7" borderId="17" applyNumberFormat="0" applyFont="0" applyAlignment="0" applyProtection="0"/>
    <xf numFmtId="0" fontId="116" fillId="37" borderId="70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9" fontId="186" fillId="0" borderId="0" applyFont="0" applyFill="0" applyBorder="0" applyAlignment="0" applyProtection="0"/>
    <xf numFmtId="10" fontId="18" fillId="0" borderId="12"/>
    <xf numFmtId="9" fontId="186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18" fillId="0" borderId="12"/>
    <xf numFmtId="9" fontId="4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18" fillId="0" borderId="12"/>
    <xf numFmtId="9" fontId="5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63" fillId="0" borderId="0" applyFont="0" applyFill="0" applyBorder="0" applyAlignment="0" applyProtection="0"/>
    <xf numFmtId="10" fontId="18" fillId="0" borderId="12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18" fillId="0" borderId="12"/>
    <xf numFmtId="9" fontId="41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18" fillId="36" borderId="0"/>
    <xf numFmtId="10" fontId="18" fillId="36" borderId="0"/>
    <xf numFmtId="10" fontId="18" fillId="36" borderId="0"/>
    <xf numFmtId="182" fontId="18" fillId="36" borderId="0"/>
    <xf numFmtId="182" fontId="18" fillId="36" borderId="0"/>
    <xf numFmtId="182" fontId="18" fillId="36" borderId="0"/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39" fontId="18" fillId="63" borderId="0"/>
    <xf numFmtId="39" fontId="18" fillId="63" borderId="0"/>
    <xf numFmtId="39" fontId="18" fillId="63" borderId="0"/>
    <xf numFmtId="38" fontId="19" fillId="0" borderId="25"/>
    <xf numFmtId="38" fontId="19" fillId="0" borderId="25"/>
    <xf numFmtId="38" fontId="19" fillId="0" borderId="25"/>
    <xf numFmtId="38" fontId="19" fillId="0" borderId="25"/>
    <xf numFmtId="38" fontId="19" fillId="0" borderId="25"/>
    <xf numFmtId="38" fontId="19" fillId="0" borderId="25"/>
    <xf numFmtId="0" fontId="73" fillId="0" borderId="0" applyNumberFormat="0" applyFill="0" applyBorder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5" borderId="0" applyNumberFormat="0" applyBorder="0" applyAlignment="0" applyProtection="0"/>
    <xf numFmtId="0" fontId="102" fillId="5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5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24" borderId="0" applyNumberFormat="0" applyBorder="0" applyAlignment="0" applyProtection="0"/>
    <xf numFmtId="0" fontId="102" fillId="24" borderId="0" applyNumberFormat="0" applyBorder="0" applyAlignment="0" applyProtection="0"/>
    <xf numFmtId="0" fontId="102" fillId="24" borderId="0" applyNumberFormat="0" applyBorder="0" applyAlignment="0" applyProtection="0"/>
    <xf numFmtId="0" fontId="103" fillId="8" borderId="0" applyNumberFormat="0" applyBorder="0" applyAlignment="0" applyProtection="0"/>
    <xf numFmtId="0" fontId="103" fillId="8" borderId="0" applyNumberFormat="0" applyBorder="0" applyAlignment="0" applyProtection="0"/>
    <xf numFmtId="0" fontId="105" fillId="37" borderId="63" applyNumberFormat="0" applyAlignment="0" applyProtection="0"/>
    <xf numFmtId="0" fontId="105" fillId="37" borderId="63" applyNumberFormat="0" applyAlignment="0" applyProtection="0"/>
    <xf numFmtId="41" fontId="18" fillId="36" borderId="0"/>
    <xf numFmtId="41" fontId="18" fillId="36" borderId="0"/>
    <xf numFmtId="0" fontId="105" fillId="37" borderId="63" applyNumberFormat="0" applyAlignment="0" applyProtection="0"/>
    <xf numFmtId="0" fontId="105" fillId="37" borderId="63" applyNumberFormat="0" applyAlignment="0" applyProtection="0"/>
    <xf numFmtId="41" fontId="18" fillId="36" borderId="0"/>
    <xf numFmtId="41" fontId="18" fillId="36" borderId="0"/>
    <xf numFmtId="41" fontId="18" fillId="36" borderId="0"/>
    <xf numFmtId="41" fontId="18" fillId="36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6" fillId="0" borderId="0" applyFont="0" applyFill="0" applyBorder="0" applyAlignment="0" applyProtection="0"/>
    <xf numFmtId="44" fontId="18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/>
    <xf numFmtId="169" fontId="18" fillId="0" borderId="0"/>
    <xf numFmtId="169" fontId="18" fillId="0" borderId="0"/>
    <xf numFmtId="169" fontId="18" fillId="0" borderId="0"/>
    <xf numFmtId="169" fontId="18" fillId="0" borderId="0"/>
    <xf numFmtId="169" fontId="18" fillId="0" borderId="0"/>
    <xf numFmtId="169" fontId="18" fillId="0" borderId="0"/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0" fontId="108" fillId="10" borderId="0" applyNumberFormat="0" applyBorder="0" applyAlignment="0" applyProtection="0"/>
    <xf numFmtId="0" fontId="108" fillId="10" borderId="0" applyNumberFormat="0" applyBorder="0" applyAlignment="0" applyProtection="0"/>
    <xf numFmtId="0" fontId="91" fillId="0" borderId="6" applyNumberFormat="0" applyFill="0" applyAlignment="0" applyProtection="0"/>
    <xf numFmtId="0" fontId="178" fillId="0" borderId="6" applyNumberFormat="0" applyFill="0" applyAlignment="0" applyProtection="0"/>
    <xf numFmtId="0" fontId="91" fillId="0" borderId="6" applyNumberFormat="0" applyFill="0" applyAlignment="0" applyProtection="0"/>
    <xf numFmtId="0" fontId="178" fillId="0" borderId="6" applyNumberFormat="0" applyFill="0" applyAlignment="0" applyProtection="0"/>
    <xf numFmtId="0" fontId="92" fillId="0" borderId="8" applyNumberFormat="0" applyFill="0" applyAlignment="0" applyProtection="0"/>
    <xf numFmtId="0" fontId="179" fillId="0" borderId="8" applyNumberFormat="0" applyFill="0" applyAlignment="0" applyProtection="0"/>
    <xf numFmtId="0" fontId="92" fillId="0" borderId="8" applyNumberFormat="0" applyFill="0" applyAlignment="0" applyProtection="0"/>
    <xf numFmtId="0" fontId="179" fillId="0" borderId="8" applyNumberFormat="0" applyFill="0" applyAlignment="0" applyProtection="0"/>
    <xf numFmtId="0" fontId="93" fillId="0" borderId="10" applyNumberFormat="0" applyFill="0" applyAlignment="0" applyProtection="0"/>
    <xf numFmtId="0" fontId="180" fillId="0" borderId="10" applyNumberFormat="0" applyFill="0" applyAlignment="0" applyProtection="0"/>
    <xf numFmtId="0" fontId="9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9" fillId="0" borderId="0" applyNumberFormat="0" applyFill="0" applyBorder="0" applyAlignment="0" applyProtection="0">
      <alignment vertical="top"/>
      <protection locked="0"/>
    </xf>
    <xf numFmtId="0" fontId="112" fillId="12" borderId="63" applyNumberFormat="0" applyAlignment="0" applyProtection="0"/>
    <xf numFmtId="0" fontId="112" fillId="12" borderId="63" applyNumberFormat="0" applyAlignment="0" applyProtection="0"/>
    <xf numFmtId="0" fontId="112" fillId="12" borderId="63" applyNumberFormat="0" applyAlignment="0" applyProtection="0"/>
    <xf numFmtId="0" fontId="89" fillId="0" borderId="14" applyNumberFormat="0" applyFill="0" applyAlignment="0" applyProtection="0"/>
    <xf numFmtId="0" fontId="181" fillId="0" borderId="14" applyNumberFormat="0" applyFill="0" applyAlignment="0" applyProtection="0"/>
    <xf numFmtId="0" fontId="115" fillId="95" borderId="0" applyNumberFormat="0" applyBorder="0" applyAlignment="0" applyProtection="0"/>
    <xf numFmtId="0" fontId="115" fillId="95" borderId="0" applyNumberFormat="0" applyBorder="0" applyAlignment="0" applyProtection="0"/>
    <xf numFmtId="185" fontId="18" fillId="0" borderId="0"/>
    <xf numFmtId="185" fontId="18" fillId="0" borderId="0"/>
    <xf numFmtId="185" fontId="18" fillId="0" borderId="0"/>
    <xf numFmtId="185" fontId="18" fillId="0" borderId="0"/>
    <xf numFmtId="196" fontId="18" fillId="0" borderId="0"/>
    <xf numFmtId="186" fontId="187" fillId="0" borderId="0"/>
    <xf numFmtId="19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>
      <alignment horizontal="left" wrapText="1"/>
    </xf>
    <xf numFmtId="176" fontId="18" fillId="0" borderId="0">
      <alignment horizontal="left" wrapText="1"/>
    </xf>
    <xf numFmtId="169" fontId="18" fillId="0" borderId="0">
      <alignment horizontal="left" wrapText="1"/>
    </xf>
    <xf numFmtId="17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39" fontId="188" fillId="0" borderId="0" applyNumberFormat="0" applyFill="0" applyBorder="0" applyAlignment="0" applyProtection="0"/>
    <xf numFmtId="169" fontId="18" fillId="0" borderId="0">
      <alignment horizontal="left" wrapText="1"/>
    </xf>
    <xf numFmtId="39" fontId="188" fillId="0" borderId="0" applyNumberFormat="0" applyFill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" borderId="17" applyNumberFormat="0" applyFont="0" applyAlignment="0" applyProtection="0"/>
    <xf numFmtId="0" fontId="18" fillId="7" borderId="17" applyNumberFormat="0" applyFont="0" applyAlignment="0" applyProtection="0"/>
    <xf numFmtId="0" fontId="116" fillId="37" borderId="70" applyNumberFormat="0" applyAlignment="0" applyProtection="0"/>
    <xf numFmtId="0" fontId="116" fillId="37" borderId="70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9" fontId="186" fillId="0" borderId="0" applyFont="0" applyFill="0" applyBorder="0" applyAlignment="0" applyProtection="0"/>
    <xf numFmtId="10" fontId="18" fillId="0" borderId="12"/>
    <xf numFmtId="9" fontId="186" fillId="0" borderId="0" applyFont="0" applyFill="0" applyBorder="0" applyAlignment="0" applyProtection="0"/>
    <xf numFmtId="10" fontId="18" fillId="0" borderId="12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18" fillId="0" borderId="12"/>
    <xf numFmtId="9" fontId="5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10" fontId="18" fillId="0" borderId="12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18" fillId="0" borderId="12"/>
    <xf numFmtId="9" fontId="18" fillId="0" borderId="0" applyFont="0" applyFill="0" applyBorder="0" applyAlignment="0" applyProtection="0"/>
    <xf numFmtId="10" fontId="18" fillId="36" borderId="0"/>
    <xf numFmtId="10" fontId="18" fillId="36" borderId="0"/>
    <xf numFmtId="10" fontId="18" fillId="36" borderId="0"/>
    <xf numFmtId="10" fontId="18" fillId="36" borderId="0"/>
    <xf numFmtId="10" fontId="18" fillId="36" borderId="0"/>
    <xf numFmtId="182" fontId="18" fillId="36" borderId="0"/>
    <xf numFmtId="182" fontId="18" fillId="36" borderId="0"/>
    <xf numFmtId="182" fontId="18" fillId="36" borderId="0"/>
    <xf numFmtId="182" fontId="18" fillId="36" borderId="0"/>
    <xf numFmtId="182" fontId="18" fillId="36" borderId="0"/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180" fontId="18" fillId="0" borderId="0" applyFont="0" applyFill="0" applyAlignment="0">
      <alignment horizontal="right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37" borderId="11" applyNumberFormat="0">
      <protection locked="0"/>
    </xf>
    <xf numFmtId="0" fontId="18" fillId="37" borderId="11" applyNumberFormat="0">
      <protection locked="0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39" fontId="18" fillId="63" borderId="0"/>
    <xf numFmtId="39" fontId="18" fillId="63" borderId="0"/>
    <xf numFmtId="39" fontId="18" fillId="63" borderId="0"/>
    <xf numFmtId="39" fontId="18" fillId="63" borderId="0"/>
    <xf numFmtId="39" fontId="18" fillId="63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6" fontId="18" fillId="0" borderId="0">
      <alignment horizontal="left" wrapText="1"/>
    </xf>
    <xf numFmtId="170" fontId="18" fillId="0" borderId="0">
      <alignment horizontal="left" wrapText="1"/>
    </xf>
    <xf numFmtId="0" fontId="73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02" fillId="84" borderId="0" applyNumberFormat="0" applyBorder="0" applyAlignment="0" applyProtection="0"/>
    <xf numFmtId="0" fontId="102" fillId="85" borderId="0" applyNumberFormat="0" applyBorder="0" applyAlignment="0" applyProtection="0"/>
    <xf numFmtId="0" fontId="102" fillId="86" borderId="0" applyNumberFormat="0" applyBorder="0" applyAlignment="0" applyProtection="0"/>
    <xf numFmtId="0" fontId="102" fillId="87" borderId="0" applyNumberFormat="0" applyBorder="0" applyAlignment="0" applyProtection="0"/>
    <xf numFmtId="0" fontId="102" fillId="88" borderId="0" applyNumberFormat="0" applyBorder="0" applyAlignment="0" applyProtection="0"/>
    <xf numFmtId="0" fontId="102" fillId="89" borderId="0" applyNumberFormat="0" applyBorder="0" applyAlignment="0" applyProtection="0"/>
    <xf numFmtId="0" fontId="78" fillId="38" borderId="2" applyNumberFormat="0" applyAlignment="0" applyProtection="0"/>
    <xf numFmtId="4" fontId="63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24" fillId="0" borderId="4">
      <alignment horizontal="left"/>
    </xf>
    <xf numFmtId="0" fontId="112" fillId="94" borderId="63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84" fillId="9" borderId="1" applyNumberFormat="0" applyAlignment="0" applyProtection="0"/>
    <xf numFmtId="0" fontId="84" fillId="12" borderId="1" applyNumberFormat="0" applyAlignment="0" applyProtection="0"/>
    <xf numFmtId="0" fontId="84" fillId="12" borderId="1" applyNumberForma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87" fillId="37" borderId="18" applyNumberFormat="0" applyAlignment="0" applyProtection="0"/>
    <xf numFmtId="0" fontId="87" fillId="35" borderId="18" applyNumberFormat="0" applyAlignment="0" applyProtection="0"/>
    <xf numFmtId="9" fontId="63" fillId="0" borderId="0" applyFont="0" applyFill="0" applyBorder="0" applyAlignment="0" applyProtection="0"/>
    <xf numFmtId="3" fontId="53" fillId="0" borderId="0" applyFill="0" applyBorder="0" applyAlignment="0" applyProtection="0"/>
    <xf numFmtId="42" fontId="18" fillId="36" borderId="0"/>
    <xf numFmtId="42" fontId="18" fillId="36" borderId="20">
      <alignment vertical="center"/>
    </xf>
    <xf numFmtId="42" fontId="18" fillId="36" borderId="20">
      <alignment vertical="center"/>
    </xf>
    <xf numFmtId="42" fontId="18" fillId="36" borderId="20">
      <alignment vertical="center"/>
    </xf>
    <xf numFmtId="42" fontId="18" fillId="36" borderId="22">
      <alignment horizontal="left"/>
    </xf>
    <xf numFmtId="42" fontId="18" fillId="36" borderId="22">
      <alignment horizontal="left"/>
    </xf>
    <xf numFmtId="42" fontId="18" fillId="36" borderId="22">
      <alignment horizontal="left"/>
    </xf>
    <xf numFmtId="4" fontId="65" fillId="57" borderId="18" applyNumberFormat="0" applyProtection="0">
      <alignment horizontal="right" vertical="center"/>
    </xf>
    <xf numFmtId="38" fontId="20" fillId="0" borderId="22"/>
    <xf numFmtId="40" fontId="43" fillId="0" borderId="0" applyBorder="0">
      <alignment horizontal="right"/>
    </xf>
    <xf numFmtId="41" fontId="55" fillId="36" borderId="0">
      <alignment horizontal="left"/>
    </xf>
    <xf numFmtId="0" fontId="184" fillId="110" borderId="101"/>
    <xf numFmtId="0" fontId="185" fillId="109" borderId="102"/>
    <xf numFmtId="0" fontId="50" fillId="0" borderId="29"/>
    <xf numFmtId="0" fontId="77" fillId="35" borderId="1" applyNumberFormat="0" applyAlignment="0" applyProtection="0"/>
    <xf numFmtId="0" fontId="78" fillId="38" borderId="2" applyNumberFormat="0" applyAlignment="0" applyProtection="0"/>
    <xf numFmtId="0" fontId="24" fillId="0" borderId="4">
      <alignment horizontal="left"/>
    </xf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0" fontId="84" fillId="9" borderId="1" applyNumberForma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87" fillId="35" borderId="18" applyNumberFormat="0" applyAlignment="0" applyProtection="0"/>
    <xf numFmtId="42" fontId="18" fillId="36" borderId="20">
      <alignment vertical="center"/>
    </xf>
    <xf numFmtId="42" fontId="18" fillId="36" borderId="22">
      <alignment horizontal="left"/>
    </xf>
    <xf numFmtId="182" fontId="31" fillId="36" borderId="22">
      <alignment horizontal="left"/>
    </xf>
    <xf numFmtId="4" fontId="65" fillId="43" borderId="18" applyNumberFormat="0" applyProtection="0">
      <alignment vertical="center"/>
    </xf>
    <xf numFmtId="4" fontId="69" fillId="43" borderId="18" applyNumberFormat="0" applyProtection="0">
      <alignment vertical="center"/>
    </xf>
    <xf numFmtId="4" fontId="65" fillId="43" borderId="18" applyNumberFormat="0" applyProtection="0">
      <alignment horizontal="left" vertical="center" indent="1"/>
    </xf>
    <xf numFmtId="4" fontId="65" fillId="43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47" borderId="18" applyNumberFormat="0" applyProtection="0">
      <alignment horizontal="right" vertical="center"/>
    </xf>
    <xf numFmtId="4" fontId="65" fillId="48" borderId="18" applyNumberFormat="0" applyProtection="0">
      <alignment horizontal="right" vertical="center"/>
    </xf>
    <xf numFmtId="4" fontId="65" fillId="49" borderId="18" applyNumberFormat="0" applyProtection="0">
      <alignment horizontal="right" vertical="center"/>
    </xf>
    <xf numFmtId="4" fontId="65" fillId="50" borderId="18" applyNumberFormat="0" applyProtection="0">
      <alignment horizontal="right" vertical="center"/>
    </xf>
    <xf numFmtId="4" fontId="65" fillId="51" borderId="18" applyNumberFormat="0" applyProtection="0">
      <alignment horizontal="right" vertical="center"/>
    </xf>
    <xf numFmtId="4" fontId="65" fillId="52" borderId="18" applyNumberFormat="0" applyProtection="0">
      <alignment horizontal="right" vertical="center"/>
    </xf>
    <xf numFmtId="4" fontId="65" fillId="53" borderId="18" applyNumberFormat="0" applyProtection="0">
      <alignment horizontal="right" vertical="center"/>
    </xf>
    <xf numFmtId="4" fontId="65" fillId="54" borderId="18" applyNumberFormat="0" applyProtection="0">
      <alignment horizontal="right" vertical="center"/>
    </xf>
    <xf numFmtId="4" fontId="65" fillId="55" borderId="18" applyNumberFormat="0" applyProtection="0">
      <alignment horizontal="right" vertical="center"/>
    </xf>
    <xf numFmtId="4" fontId="70" fillId="56" borderId="18" applyNumberFormat="0" applyProtection="0">
      <alignment horizontal="left" vertical="center" indent="1"/>
    </xf>
    <xf numFmtId="4" fontId="65" fillId="57" borderId="23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5" fillId="57" borderId="18" applyNumberFormat="0" applyProtection="0">
      <alignment horizontal="left" vertical="center" indent="1"/>
    </xf>
    <xf numFmtId="4" fontId="65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37" borderId="11" applyNumberFormat="0">
      <protection locked="0"/>
    </xf>
    <xf numFmtId="4" fontId="65" fillId="61" borderId="18" applyNumberFormat="0" applyProtection="0">
      <alignment vertical="center"/>
    </xf>
    <xf numFmtId="4" fontId="69" fillId="61" borderId="18" applyNumberFormat="0" applyProtection="0">
      <alignment vertical="center"/>
    </xf>
    <xf numFmtId="4" fontId="65" fillId="61" borderId="18" applyNumberFormat="0" applyProtection="0">
      <alignment horizontal="left" vertical="center" indent="1"/>
    </xf>
    <xf numFmtId="4" fontId="65" fillId="61" borderId="18" applyNumberFormat="0" applyProtection="0">
      <alignment horizontal="left" vertical="center" indent="1"/>
    </xf>
    <xf numFmtId="4" fontId="65" fillId="57" borderId="18" applyNumberFormat="0" applyProtection="0">
      <alignment horizontal="right" vertical="center"/>
    </xf>
    <xf numFmtId="4" fontId="69" fillId="57" borderId="18" applyNumberFormat="0" applyProtection="0">
      <alignment horizontal="right" vertical="center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4" fontId="68" fillId="57" borderId="18" applyNumberFormat="0" applyProtection="0">
      <alignment horizontal="right" vertical="center"/>
    </xf>
    <xf numFmtId="38" fontId="20" fillId="0" borderId="22"/>
    <xf numFmtId="0" fontId="29" fillId="0" borderId="26" applyNumberFormat="0" applyFont="0" applyFill="0" applyAlignment="0" applyProtection="0"/>
    <xf numFmtId="0" fontId="67" fillId="0" borderId="27" applyNumberFormat="0" applyFill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4" fillId="0" borderId="4">
      <alignment horizontal="left"/>
    </xf>
    <xf numFmtId="10" fontId="19" fillId="36" borderId="11" applyNumberFormat="0" applyBorder="0" applyAlignment="0" applyProtection="0"/>
    <xf numFmtId="38" fontId="20" fillId="0" borderId="22"/>
    <xf numFmtId="0" fontId="118" fillId="0" borderId="28" applyNumberFormat="0" applyFill="0" applyAlignment="0" applyProtection="0"/>
    <xf numFmtId="0" fontId="29" fillId="0" borderId="26" applyNumberFormat="0" applyFont="0" applyFill="0" applyAlignment="0" applyProtection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10" fontId="19" fillId="36" borderId="11" applyNumberFormat="0" applyBorder="0" applyAlignment="0" applyProtection="0"/>
    <xf numFmtId="0" fontId="18" fillId="7" borderId="17" applyNumberFormat="0" applyFont="0" applyAlignment="0" applyProtection="0"/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7" borderId="17" applyNumberFormat="0" applyFont="0" applyAlignment="0" applyProtection="0"/>
    <xf numFmtId="0" fontId="18" fillId="7" borderId="17" applyNumberFormat="0" applyFont="0" applyAlignment="0" applyProtection="0"/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59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60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39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37" borderId="11" applyNumberFormat="0">
      <protection locked="0"/>
    </xf>
    <xf numFmtId="0" fontId="18" fillId="37" borderId="11" applyNumberFormat="0">
      <protection locked="0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8" fillId="46" borderId="18" applyNumberFormat="0" applyProtection="0">
      <alignment horizontal="left" vertical="center" indent="1"/>
    </xf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0" borderId="0"/>
    <xf numFmtId="0" fontId="169" fillId="0" borderId="0"/>
    <xf numFmtId="9" fontId="18" fillId="0" borderId="0" applyFont="0" applyFill="0" applyBorder="0" applyAlignment="0" applyProtection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34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>
      <alignment horizontal="left" wrapText="1"/>
    </xf>
    <xf numFmtId="0" fontId="58" fillId="0" borderId="0"/>
    <xf numFmtId="0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73" fontId="18" fillId="0" borderId="0">
      <alignment horizontal="left" wrapText="1"/>
    </xf>
    <xf numFmtId="0" fontId="58" fillId="0" borderId="0"/>
    <xf numFmtId="0" fontId="18" fillId="0" borderId="0"/>
    <xf numFmtId="0" fontId="18" fillId="0" borderId="0"/>
    <xf numFmtId="0" fontId="5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0" fontId="5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18" fillId="0" borderId="0"/>
    <xf numFmtId="169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0" borderId="0"/>
    <xf numFmtId="0" fontId="18" fillId="0" borderId="0"/>
    <xf numFmtId="169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1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1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1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58" fillId="0" borderId="0"/>
    <xf numFmtId="171" fontId="18" fillId="0" borderId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58" fillId="0" borderId="0"/>
    <xf numFmtId="0" fontId="18" fillId="0" borderId="0"/>
    <xf numFmtId="171" fontId="18" fillId="0" borderId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169" fontId="18" fillId="0" borderId="0">
      <alignment horizontal="left" wrapText="1"/>
    </xf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69" fillId="66" borderId="0" applyNumberFormat="0" applyBorder="0" applyAlignment="0" applyProtection="0"/>
    <xf numFmtId="0" fontId="18" fillId="0" borderId="0"/>
    <xf numFmtId="0" fontId="169" fillId="66" borderId="0" applyNumberFormat="0" applyBorder="0" applyAlignment="0" applyProtection="0"/>
    <xf numFmtId="0" fontId="169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66" borderId="0" applyNumberFormat="0" applyBorder="0" applyAlignment="0" applyProtection="0"/>
    <xf numFmtId="0" fontId="58" fillId="2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3" borderId="0" applyNumberFormat="0" applyBorder="0" applyAlignment="0" applyProtection="0"/>
    <xf numFmtId="0" fontId="58" fillId="0" borderId="0"/>
    <xf numFmtId="0" fontId="3" fillId="66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66" borderId="0" applyNumberFormat="0" applyBorder="0" applyAlignment="0" applyProtection="0"/>
    <xf numFmtId="0" fontId="86" fillId="106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66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66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66" borderId="0" applyNumberFormat="0" applyBorder="0" applyAlignment="0" applyProtection="0"/>
    <xf numFmtId="0" fontId="18" fillId="0" borderId="0"/>
    <xf numFmtId="0" fontId="58" fillId="0" borderId="0"/>
    <xf numFmtId="0" fontId="169" fillId="66" borderId="0" applyNumberFormat="0" applyBorder="0" applyAlignment="0" applyProtection="0"/>
    <xf numFmtId="0" fontId="169" fillId="66" borderId="0" applyNumberFormat="0" applyBorder="0" applyAlignment="0" applyProtection="0"/>
    <xf numFmtId="0" fontId="3" fillId="66" borderId="0" applyNumberFormat="0" applyBorder="0" applyAlignment="0" applyProtection="0"/>
    <xf numFmtId="0" fontId="58" fillId="0" borderId="0"/>
    <xf numFmtId="0" fontId="169" fillId="66" borderId="0" applyNumberFormat="0" applyBorder="0" applyAlignment="0" applyProtection="0"/>
    <xf numFmtId="0" fontId="58" fillId="0" borderId="0"/>
    <xf numFmtId="0" fontId="18" fillId="0" borderId="0"/>
    <xf numFmtId="0" fontId="169" fillId="66" borderId="0" applyNumberFormat="0" applyBorder="0" applyAlignment="0" applyProtection="0"/>
    <xf numFmtId="0" fontId="58" fillId="0" borderId="0"/>
    <xf numFmtId="0" fontId="169" fillId="67" borderId="0" applyNumberFormat="0" applyBorder="0" applyAlignment="0" applyProtection="0"/>
    <xf numFmtId="0" fontId="18" fillId="0" borderId="0"/>
    <xf numFmtId="0" fontId="169" fillId="67" borderId="0" applyNumberFormat="0" applyBorder="0" applyAlignment="0" applyProtection="0"/>
    <xf numFmtId="0" fontId="169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67" borderId="0" applyNumberFormat="0" applyBorder="0" applyAlignment="0" applyProtection="0"/>
    <xf numFmtId="0" fontId="58" fillId="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5" borderId="0" applyNumberFormat="0" applyBorder="0" applyAlignment="0" applyProtection="0"/>
    <xf numFmtId="0" fontId="58" fillId="4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5" borderId="0" applyNumberFormat="0" applyBorder="0" applyAlignment="0" applyProtection="0"/>
    <xf numFmtId="0" fontId="58" fillId="0" borderId="0"/>
    <xf numFmtId="0" fontId="3" fillId="6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67" borderId="0" applyNumberFormat="0" applyBorder="0" applyAlignment="0" applyProtection="0"/>
    <xf numFmtId="0" fontId="86" fillId="62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67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67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67" borderId="0" applyNumberFormat="0" applyBorder="0" applyAlignment="0" applyProtection="0"/>
    <xf numFmtId="0" fontId="18" fillId="0" borderId="0"/>
    <xf numFmtId="0" fontId="58" fillId="0" borderId="0"/>
    <xf numFmtId="0" fontId="169" fillId="67" borderId="0" applyNumberFormat="0" applyBorder="0" applyAlignment="0" applyProtection="0"/>
    <xf numFmtId="0" fontId="169" fillId="67" borderId="0" applyNumberFormat="0" applyBorder="0" applyAlignment="0" applyProtection="0"/>
    <xf numFmtId="0" fontId="3" fillId="67" borderId="0" applyNumberFormat="0" applyBorder="0" applyAlignment="0" applyProtection="0"/>
    <xf numFmtId="0" fontId="58" fillId="0" borderId="0"/>
    <xf numFmtId="0" fontId="169" fillId="67" borderId="0" applyNumberFormat="0" applyBorder="0" applyAlignment="0" applyProtection="0"/>
    <xf numFmtId="0" fontId="58" fillId="0" borderId="0"/>
    <xf numFmtId="0" fontId="18" fillId="0" borderId="0"/>
    <xf numFmtId="0" fontId="169" fillId="67" borderId="0" applyNumberFormat="0" applyBorder="0" applyAlignment="0" applyProtection="0"/>
    <xf numFmtId="0" fontId="58" fillId="0" borderId="0"/>
    <xf numFmtId="0" fontId="169" fillId="68" borderId="0" applyNumberFormat="0" applyBorder="0" applyAlignment="0" applyProtection="0"/>
    <xf numFmtId="0" fontId="18" fillId="0" borderId="0"/>
    <xf numFmtId="0" fontId="169" fillId="68" borderId="0" applyNumberFormat="0" applyBorder="0" applyAlignment="0" applyProtection="0"/>
    <xf numFmtId="0" fontId="169" fillId="68" borderId="0" applyNumberFormat="0" applyBorder="0" applyAlignment="0" applyProtection="0"/>
    <xf numFmtId="0" fontId="3" fillId="68" borderId="0" applyNumberFormat="0" applyBorder="0" applyAlignment="0" applyProtection="0"/>
    <xf numFmtId="0" fontId="3" fillId="68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68" borderId="0" applyNumberFormat="0" applyBorder="0" applyAlignment="0" applyProtection="0"/>
    <xf numFmtId="0" fontId="58" fillId="6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7" borderId="0" applyNumberFormat="0" applyBorder="0" applyAlignment="0" applyProtection="0"/>
    <xf numFmtId="0" fontId="58" fillId="6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7" borderId="0" applyNumberFormat="0" applyBorder="0" applyAlignment="0" applyProtection="0"/>
    <xf numFmtId="0" fontId="58" fillId="0" borderId="0"/>
    <xf numFmtId="0" fontId="3" fillId="68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68" borderId="0" applyNumberFormat="0" applyBorder="0" applyAlignment="0" applyProtection="0"/>
    <xf numFmtId="0" fontId="86" fillId="62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68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68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68" borderId="0" applyNumberFormat="0" applyBorder="0" applyAlignment="0" applyProtection="0"/>
    <xf numFmtId="0" fontId="18" fillId="0" borderId="0"/>
    <xf numFmtId="0" fontId="58" fillId="0" borderId="0"/>
    <xf numFmtId="0" fontId="169" fillId="68" borderId="0" applyNumberFormat="0" applyBorder="0" applyAlignment="0" applyProtection="0"/>
    <xf numFmtId="0" fontId="169" fillId="68" borderId="0" applyNumberFormat="0" applyBorder="0" applyAlignment="0" applyProtection="0"/>
    <xf numFmtId="0" fontId="3" fillId="68" borderId="0" applyNumberFormat="0" applyBorder="0" applyAlignment="0" applyProtection="0"/>
    <xf numFmtId="0" fontId="58" fillId="0" borderId="0"/>
    <xf numFmtId="0" fontId="169" fillId="68" borderId="0" applyNumberFormat="0" applyBorder="0" applyAlignment="0" applyProtection="0"/>
    <xf numFmtId="0" fontId="58" fillId="0" borderId="0"/>
    <xf numFmtId="0" fontId="18" fillId="0" borderId="0"/>
    <xf numFmtId="0" fontId="169" fillId="68" borderId="0" applyNumberFormat="0" applyBorder="0" applyAlignment="0" applyProtection="0"/>
    <xf numFmtId="0" fontId="58" fillId="0" borderId="0"/>
    <xf numFmtId="0" fontId="169" fillId="69" borderId="0" applyNumberFormat="0" applyBorder="0" applyAlignment="0" applyProtection="0"/>
    <xf numFmtId="0" fontId="18" fillId="0" borderId="0"/>
    <xf numFmtId="0" fontId="169" fillId="69" borderId="0" applyNumberFormat="0" applyBorder="0" applyAlignment="0" applyProtection="0"/>
    <xf numFmtId="0" fontId="169" fillId="69" borderId="0" applyNumberFormat="0" applyBorder="0" applyAlignment="0" applyProtection="0"/>
    <xf numFmtId="0" fontId="3" fillId="69" borderId="0" applyNumberFormat="0" applyBorder="0" applyAlignment="0" applyProtection="0"/>
    <xf numFmtId="0" fontId="3" fillId="69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69" borderId="0" applyNumberFormat="0" applyBorder="0" applyAlignment="0" applyProtection="0"/>
    <xf numFmtId="0" fontId="58" fillId="8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9" borderId="0" applyNumberFormat="0" applyBorder="0" applyAlignment="0" applyProtection="0"/>
    <xf numFmtId="0" fontId="58" fillId="0" borderId="0"/>
    <xf numFmtId="0" fontId="3" fillId="6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69" borderId="0" applyNumberFormat="0" applyBorder="0" applyAlignment="0" applyProtection="0"/>
    <xf numFmtId="0" fontId="86" fillId="106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69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69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69" borderId="0" applyNumberFormat="0" applyBorder="0" applyAlignment="0" applyProtection="0"/>
    <xf numFmtId="0" fontId="18" fillId="0" borderId="0"/>
    <xf numFmtId="0" fontId="58" fillId="0" borderId="0"/>
    <xf numFmtId="0" fontId="169" fillId="69" borderId="0" applyNumberFormat="0" applyBorder="0" applyAlignment="0" applyProtection="0"/>
    <xf numFmtId="0" fontId="169" fillId="69" borderId="0" applyNumberFormat="0" applyBorder="0" applyAlignment="0" applyProtection="0"/>
    <xf numFmtId="0" fontId="3" fillId="69" borderId="0" applyNumberFormat="0" applyBorder="0" applyAlignment="0" applyProtection="0"/>
    <xf numFmtId="0" fontId="58" fillId="0" borderId="0"/>
    <xf numFmtId="0" fontId="169" fillId="69" borderId="0" applyNumberFormat="0" applyBorder="0" applyAlignment="0" applyProtection="0"/>
    <xf numFmtId="0" fontId="58" fillId="0" borderId="0"/>
    <xf numFmtId="0" fontId="18" fillId="0" borderId="0"/>
    <xf numFmtId="0" fontId="169" fillId="69" borderId="0" applyNumberFormat="0" applyBorder="0" applyAlignment="0" applyProtection="0"/>
    <xf numFmtId="0" fontId="58" fillId="0" borderId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90" fillId="70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0" borderId="0" applyNumberFormat="0" applyBorder="0" applyAlignment="0" applyProtection="0"/>
    <xf numFmtId="0" fontId="58" fillId="10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70" borderId="0" applyNumberFormat="0" applyBorder="0" applyAlignment="0" applyProtection="0"/>
    <xf numFmtId="0" fontId="58" fillId="10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70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3" fillId="70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0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69" fillId="70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0" borderId="0" applyNumberFormat="0" applyBorder="0" applyAlignment="0" applyProtection="0"/>
    <xf numFmtId="0" fontId="58" fillId="0" borderId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18" fillId="0" borderId="0"/>
    <xf numFmtId="0" fontId="58" fillId="0" borderId="0"/>
    <xf numFmtId="0" fontId="169" fillId="70" borderId="0" applyNumberFormat="0" applyBorder="0" applyAlignment="0" applyProtection="0"/>
    <xf numFmtId="0" fontId="58" fillId="0" borderId="0"/>
    <xf numFmtId="0" fontId="18" fillId="0" borderId="0"/>
    <xf numFmtId="0" fontId="169" fillId="70" borderId="0" applyNumberFormat="0" applyBorder="0" applyAlignment="0" applyProtection="0"/>
    <xf numFmtId="0" fontId="58" fillId="0" borderId="0"/>
    <xf numFmtId="0" fontId="169" fillId="71" borderId="0" applyNumberFormat="0" applyBorder="0" applyAlignment="0" applyProtection="0"/>
    <xf numFmtId="0" fontId="18" fillId="0" borderId="0"/>
    <xf numFmtId="0" fontId="169" fillId="71" borderId="0" applyNumberFormat="0" applyBorder="0" applyAlignment="0" applyProtection="0"/>
    <xf numFmtId="0" fontId="169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90" fillId="71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1" borderId="0" applyNumberFormat="0" applyBorder="0" applyAlignment="0" applyProtection="0"/>
    <xf numFmtId="0" fontId="58" fillId="9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7" borderId="0" applyNumberFormat="0" applyBorder="0" applyAlignment="0" applyProtection="0"/>
    <xf numFmtId="0" fontId="58" fillId="9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7" borderId="0" applyNumberFormat="0" applyBorder="0" applyAlignment="0" applyProtection="0"/>
    <xf numFmtId="0" fontId="58" fillId="0" borderId="0"/>
    <xf numFmtId="0" fontId="3" fillId="71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1" borderId="0" applyNumberFormat="0" applyBorder="0" applyAlignment="0" applyProtection="0"/>
    <xf numFmtId="0" fontId="86" fillId="62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1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1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1" borderId="0" applyNumberFormat="0" applyBorder="0" applyAlignment="0" applyProtection="0"/>
    <xf numFmtId="0" fontId="18" fillId="0" borderId="0"/>
    <xf numFmtId="0" fontId="58" fillId="0" borderId="0"/>
    <xf numFmtId="0" fontId="169" fillId="71" borderId="0" applyNumberFormat="0" applyBorder="0" applyAlignment="0" applyProtection="0"/>
    <xf numFmtId="0" fontId="169" fillId="71" borderId="0" applyNumberFormat="0" applyBorder="0" applyAlignment="0" applyProtection="0"/>
    <xf numFmtId="0" fontId="3" fillId="71" borderId="0" applyNumberFormat="0" applyBorder="0" applyAlignment="0" applyProtection="0"/>
    <xf numFmtId="0" fontId="58" fillId="0" borderId="0"/>
    <xf numFmtId="0" fontId="169" fillId="71" borderId="0" applyNumberFormat="0" applyBorder="0" applyAlignment="0" applyProtection="0"/>
    <xf numFmtId="0" fontId="58" fillId="0" borderId="0"/>
    <xf numFmtId="0" fontId="18" fillId="0" borderId="0"/>
    <xf numFmtId="0" fontId="169" fillId="71" borderId="0" applyNumberFormat="0" applyBorder="0" applyAlignment="0" applyProtection="0"/>
    <xf numFmtId="0" fontId="58" fillId="0" borderId="0"/>
    <xf numFmtId="0" fontId="169" fillId="72" borderId="0" applyNumberFormat="0" applyBorder="0" applyAlignment="0" applyProtection="0"/>
    <xf numFmtId="0" fontId="18" fillId="0" borderId="0"/>
    <xf numFmtId="0" fontId="169" fillId="72" borderId="0" applyNumberFormat="0" applyBorder="0" applyAlignment="0" applyProtection="0"/>
    <xf numFmtId="0" fontId="169" fillId="72" borderId="0" applyNumberFormat="0" applyBorder="0" applyAlignment="0" applyProtection="0"/>
    <xf numFmtId="0" fontId="3" fillId="72" borderId="0" applyNumberFormat="0" applyBorder="0" applyAlignment="0" applyProtection="0"/>
    <xf numFmtId="0" fontId="3" fillId="72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2" borderId="0" applyNumberFormat="0" applyBorder="0" applyAlignment="0" applyProtection="0"/>
    <xf numFmtId="0" fontId="58" fillId="3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10" borderId="0" applyNumberFormat="0" applyBorder="0" applyAlignment="0" applyProtection="0"/>
    <xf numFmtId="0" fontId="58" fillId="3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10" borderId="0" applyNumberFormat="0" applyBorder="0" applyAlignment="0" applyProtection="0"/>
    <xf numFmtId="0" fontId="58" fillId="0" borderId="0"/>
    <xf numFmtId="0" fontId="3" fillId="72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2" borderId="0" applyNumberFormat="0" applyBorder="0" applyAlignment="0" applyProtection="0"/>
    <xf numFmtId="0" fontId="86" fillId="107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2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2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2" borderId="0" applyNumberFormat="0" applyBorder="0" applyAlignment="0" applyProtection="0"/>
    <xf numFmtId="0" fontId="18" fillId="0" borderId="0"/>
    <xf numFmtId="0" fontId="58" fillId="0" borderId="0"/>
    <xf numFmtId="0" fontId="169" fillId="72" borderId="0" applyNumberFormat="0" applyBorder="0" applyAlignment="0" applyProtection="0"/>
    <xf numFmtId="0" fontId="169" fillId="72" borderId="0" applyNumberFormat="0" applyBorder="0" applyAlignment="0" applyProtection="0"/>
    <xf numFmtId="0" fontId="3" fillId="72" borderId="0" applyNumberFormat="0" applyBorder="0" applyAlignment="0" applyProtection="0"/>
    <xf numFmtId="0" fontId="58" fillId="0" borderId="0"/>
    <xf numFmtId="0" fontId="169" fillId="72" borderId="0" applyNumberFormat="0" applyBorder="0" applyAlignment="0" applyProtection="0"/>
    <xf numFmtId="0" fontId="58" fillId="0" borderId="0"/>
    <xf numFmtId="0" fontId="18" fillId="0" borderId="0"/>
    <xf numFmtId="0" fontId="169" fillId="72" borderId="0" applyNumberFormat="0" applyBorder="0" applyAlignment="0" applyProtection="0"/>
    <xf numFmtId="0" fontId="58" fillId="0" borderId="0"/>
    <xf numFmtId="0" fontId="169" fillId="73" borderId="0" applyNumberFormat="0" applyBorder="0" applyAlignment="0" applyProtection="0"/>
    <xf numFmtId="0" fontId="169" fillId="73" borderId="0" applyNumberFormat="0" applyBorder="0" applyAlignment="0" applyProtection="0"/>
    <xf numFmtId="0" fontId="169" fillId="73" borderId="0" applyNumberFormat="0" applyBorder="0" applyAlignment="0" applyProtection="0"/>
    <xf numFmtId="0" fontId="169" fillId="73" borderId="0" applyNumberFormat="0" applyBorder="0" applyAlignment="0" applyProtection="0"/>
    <xf numFmtId="0" fontId="3" fillId="73" borderId="0" applyNumberFormat="0" applyBorder="0" applyAlignment="0" applyProtection="0"/>
    <xf numFmtId="0" fontId="3" fillId="73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90" fillId="73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3" borderId="0" applyNumberFormat="0" applyBorder="0" applyAlignment="0" applyProtection="0"/>
    <xf numFmtId="0" fontId="58" fillId="5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73" borderId="0" applyNumberFormat="0" applyBorder="0" applyAlignment="0" applyProtection="0"/>
    <xf numFmtId="0" fontId="58" fillId="5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73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3" fillId="73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3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69" fillId="73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3" borderId="0" applyNumberFormat="0" applyBorder="0" applyAlignment="0" applyProtection="0"/>
    <xf numFmtId="0" fontId="58" fillId="0" borderId="0"/>
    <xf numFmtId="0" fontId="169" fillId="73" borderId="0" applyNumberFormat="0" applyBorder="0" applyAlignment="0" applyProtection="0"/>
    <xf numFmtId="0" fontId="169" fillId="73" borderId="0" applyNumberFormat="0" applyBorder="0" applyAlignment="0" applyProtection="0"/>
    <xf numFmtId="0" fontId="18" fillId="0" borderId="0"/>
    <xf numFmtId="0" fontId="58" fillId="0" borderId="0"/>
    <xf numFmtId="0" fontId="169" fillId="73" borderId="0" applyNumberFormat="0" applyBorder="0" applyAlignment="0" applyProtection="0"/>
    <xf numFmtId="0" fontId="58" fillId="0" borderId="0"/>
    <xf numFmtId="0" fontId="18" fillId="0" borderId="0"/>
    <xf numFmtId="0" fontId="169" fillId="73" borderId="0" applyNumberFormat="0" applyBorder="0" applyAlignment="0" applyProtection="0"/>
    <xf numFmtId="0" fontId="58" fillId="0" borderId="0"/>
    <xf numFmtId="0" fontId="169" fillId="74" borderId="0" applyNumberFormat="0" applyBorder="0" applyAlignment="0" applyProtection="0"/>
    <xf numFmtId="0" fontId="18" fillId="0" borderId="0"/>
    <xf numFmtId="0" fontId="169" fillId="74" borderId="0" applyNumberFormat="0" applyBorder="0" applyAlignment="0" applyProtection="0"/>
    <xf numFmtId="0" fontId="169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4" borderId="0" applyNumberFormat="0" applyBorder="0" applyAlignment="0" applyProtection="0"/>
    <xf numFmtId="0" fontId="58" fillId="11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12" borderId="0" applyNumberFormat="0" applyBorder="0" applyAlignment="0" applyProtection="0"/>
    <xf numFmtId="0" fontId="58" fillId="11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12" borderId="0" applyNumberFormat="0" applyBorder="0" applyAlignment="0" applyProtection="0"/>
    <xf numFmtId="0" fontId="58" fillId="0" borderId="0"/>
    <xf numFmtId="0" fontId="3" fillId="74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4" borderId="0" applyNumberFormat="0" applyBorder="0" applyAlignment="0" applyProtection="0"/>
    <xf numFmtId="0" fontId="86" fillId="62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4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4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4" borderId="0" applyNumberFormat="0" applyBorder="0" applyAlignment="0" applyProtection="0"/>
    <xf numFmtId="0" fontId="18" fillId="0" borderId="0"/>
    <xf numFmtId="0" fontId="58" fillId="0" borderId="0"/>
    <xf numFmtId="0" fontId="169" fillId="74" borderId="0" applyNumberFormat="0" applyBorder="0" applyAlignment="0" applyProtection="0"/>
    <xf numFmtId="0" fontId="169" fillId="74" borderId="0" applyNumberFormat="0" applyBorder="0" applyAlignment="0" applyProtection="0"/>
    <xf numFmtId="0" fontId="3" fillId="74" borderId="0" applyNumberFormat="0" applyBorder="0" applyAlignment="0" applyProtection="0"/>
    <xf numFmtId="0" fontId="58" fillId="0" borderId="0"/>
    <xf numFmtId="0" fontId="169" fillId="74" borderId="0" applyNumberFormat="0" applyBorder="0" applyAlignment="0" applyProtection="0"/>
    <xf numFmtId="0" fontId="58" fillId="0" borderId="0"/>
    <xf numFmtId="0" fontId="18" fillId="0" borderId="0"/>
    <xf numFmtId="0" fontId="169" fillId="74" borderId="0" applyNumberFormat="0" applyBorder="0" applyAlignment="0" applyProtection="0"/>
    <xf numFmtId="0" fontId="58" fillId="0" borderId="0"/>
    <xf numFmtId="0" fontId="169" fillId="75" borderId="0" applyNumberFormat="0" applyBorder="0" applyAlignment="0" applyProtection="0"/>
    <xf numFmtId="0" fontId="18" fillId="0" borderId="0"/>
    <xf numFmtId="0" fontId="169" fillId="75" borderId="0" applyNumberFormat="0" applyBorder="0" applyAlignment="0" applyProtection="0"/>
    <xf numFmtId="0" fontId="169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5" borderId="0" applyNumberFormat="0" applyBorder="0" applyAlignment="0" applyProtection="0"/>
    <xf numFmtId="0" fontId="58" fillId="8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4" borderId="0" applyNumberFormat="0" applyBorder="0" applyAlignment="0" applyProtection="0"/>
    <xf numFmtId="0" fontId="58" fillId="8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4" borderId="0" applyNumberFormat="0" applyBorder="0" applyAlignment="0" applyProtection="0"/>
    <xf numFmtId="0" fontId="58" fillId="0" borderId="0"/>
    <xf numFmtId="0" fontId="3" fillId="75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5" borderId="0" applyNumberFormat="0" applyBorder="0" applyAlignment="0" applyProtection="0"/>
    <xf numFmtId="0" fontId="86" fillId="106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5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5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5" borderId="0" applyNumberFormat="0" applyBorder="0" applyAlignment="0" applyProtection="0"/>
    <xf numFmtId="0" fontId="18" fillId="0" borderId="0"/>
    <xf numFmtId="0" fontId="58" fillId="0" borderId="0"/>
    <xf numFmtId="0" fontId="169" fillId="75" borderId="0" applyNumberFormat="0" applyBorder="0" applyAlignment="0" applyProtection="0"/>
    <xf numFmtId="0" fontId="169" fillId="75" borderId="0" applyNumberFormat="0" applyBorder="0" applyAlignment="0" applyProtection="0"/>
    <xf numFmtId="0" fontId="3" fillId="75" borderId="0" applyNumberFormat="0" applyBorder="0" applyAlignment="0" applyProtection="0"/>
    <xf numFmtId="0" fontId="58" fillId="0" borderId="0"/>
    <xf numFmtId="0" fontId="169" fillId="75" borderId="0" applyNumberFormat="0" applyBorder="0" applyAlignment="0" applyProtection="0"/>
    <xf numFmtId="0" fontId="58" fillId="0" borderId="0"/>
    <xf numFmtId="0" fontId="18" fillId="0" borderId="0"/>
    <xf numFmtId="0" fontId="169" fillId="75" borderId="0" applyNumberFormat="0" applyBorder="0" applyAlignment="0" applyProtection="0"/>
    <xf numFmtId="0" fontId="58" fillId="0" borderId="0"/>
    <xf numFmtId="0" fontId="169" fillId="76" borderId="0" applyNumberFormat="0" applyBorder="0" applyAlignment="0" applyProtection="0"/>
    <xf numFmtId="0" fontId="18" fillId="0" borderId="0"/>
    <xf numFmtId="0" fontId="169" fillId="76" borderId="0" applyNumberFormat="0" applyBorder="0" applyAlignment="0" applyProtection="0"/>
    <xf numFmtId="0" fontId="169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90" fillId="76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6" borderId="0" applyNumberFormat="0" applyBorder="0" applyAlignment="0" applyProtection="0"/>
    <xf numFmtId="0" fontId="58" fillId="3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10" borderId="0" applyNumberFormat="0" applyBorder="0" applyAlignment="0" applyProtection="0"/>
    <xf numFmtId="0" fontId="58" fillId="3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10" borderId="0" applyNumberFormat="0" applyBorder="0" applyAlignment="0" applyProtection="0"/>
    <xf numFmtId="0" fontId="58" fillId="0" borderId="0"/>
    <xf numFmtId="0" fontId="3" fillId="76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6" borderId="0" applyNumberFormat="0" applyBorder="0" applyAlignment="0" applyProtection="0"/>
    <xf numFmtId="0" fontId="86" fillId="107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6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6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6" borderId="0" applyNumberFormat="0" applyBorder="0" applyAlignment="0" applyProtection="0"/>
    <xf numFmtId="0" fontId="18" fillId="0" borderId="0"/>
    <xf numFmtId="0" fontId="58" fillId="0" borderId="0"/>
    <xf numFmtId="0" fontId="169" fillId="76" borderId="0" applyNumberFormat="0" applyBorder="0" applyAlignment="0" applyProtection="0"/>
    <xf numFmtId="0" fontId="169" fillId="76" borderId="0" applyNumberFormat="0" applyBorder="0" applyAlignment="0" applyProtection="0"/>
    <xf numFmtId="0" fontId="3" fillId="76" borderId="0" applyNumberFormat="0" applyBorder="0" applyAlignment="0" applyProtection="0"/>
    <xf numFmtId="0" fontId="58" fillId="0" borderId="0"/>
    <xf numFmtId="0" fontId="169" fillId="76" borderId="0" applyNumberFormat="0" applyBorder="0" applyAlignment="0" applyProtection="0"/>
    <xf numFmtId="0" fontId="58" fillId="0" borderId="0"/>
    <xf numFmtId="0" fontId="18" fillId="0" borderId="0"/>
    <xf numFmtId="0" fontId="169" fillId="76" borderId="0" applyNumberFormat="0" applyBorder="0" applyAlignment="0" applyProtection="0"/>
    <xf numFmtId="0" fontId="58" fillId="0" borderId="0"/>
    <xf numFmtId="0" fontId="169" fillId="77" borderId="0" applyNumberFormat="0" applyBorder="0" applyAlignment="0" applyProtection="0"/>
    <xf numFmtId="0" fontId="18" fillId="0" borderId="0"/>
    <xf numFmtId="0" fontId="169" fillId="77" borderId="0" applyNumberFormat="0" applyBorder="0" applyAlignment="0" applyProtection="0"/>
    <xf numFmtId="0" fontId="169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77" borderId="0" applyNumberFormat="0" applyBorder="0" applyAlignment="0" applyProtection="0"/>
    <xf numFmtId="0" fontId="58" fillId="13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3" fillId="7" borderId="0" applyNumberFormat="0" applyBorder="0" applyAlignment="0" applyProtection="0"/>
    <xf numFmtId="0" fontId="58" fillId="13" borderId="0" applyNumberFormat="0" applyBorder="0" applyAlignment="0" applyProtection="0"/>
    <xf numFmtId="0" fontId="58" fillId="0" borderId="0"/>
    <xf numFmtId="0" fontId="3" fillId="0" borderId="0"/>
    <xf numFmtId="0" fontId="18" fillId="0" borderId="0"/>
    <xf numFmtId="0" fontId="3" fillId="7" borderId="0" applyNumberFormat="0" applyBorder="0" applyAlignment="0" applyProtection="0"/>
    <xf numFmtId="0" fontId="58" fillId="0" borderId="0"/>
    <xf numFmtId="0" fontId="3" fillId="7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3" fillId="77" borderId="0" applyNumberFormat="0" applyBorder="0" applyAlignment="0" applyProtection="0"/>
    <xf numFmtId="0" fontId="86" fillId="62" borderId="0" applyNumberFormat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3" fillId="77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69" fillId="77" borderId="0" applyNumberFormat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69" fillId="77" borderId="0" applyNumberFormat="0" applyBorder="0" applyAlignment="0" applyProtection="0"/>
    <xf numFmtId="0" fontId="18" fillId="0" borderId="0"/>
    <xf numFmtId="0" fontId="58" fillId="0" borderId="0"/>
    <xf numFmtId="0" fontId="169" fillId="77" borderId="0" applyNumberFormat="0" applyBorder="0" applyAlignment="0" applyProtection="0"/>
    <xf numFmtId="0" fontId="169" fillId="77" borderId="0" applyNumberFormat="0" applyBorder="0" applyAlignment="0" applyProtection="0"/>
    <xf numFmtId="0" fontId="3" fillId="77" borderId="0" applyNumberFormat="0" applyBorder="0" applyAlignment="0" applyProtection="0"/>
    <xf numFmtId="0" fontId="58" fillId="0" borderId="0"/>
    <xf numFmtId="0" fontId="169" fillId="77" borderId="0" applyNumberFormat="0" applyBorder="0" applyAlignment="0" applyProtection="0"/>
    <xf numFmtId="0" fontId="58" fillId="0" borderId="0"/>
    <xf numFmtId="0" fontId="18" fillId="0" borderId="0"/>
    <xf numFmtId="0" fontId="169" fillId="7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4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0" borderId="0" applyNumberFormat="0" applyBorder="0" applyAlignment="0" applyProtection="0"/>
    <xf numFmtId="0" fontId="58" fillId="0" borderId="0"/>
    <xf numFmtId="0" fontId="102" fillId="10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0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78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78" borderId="0" applyNumberFormat="0" applyBorder="0" applyAlignment="0" applyProtection="0"/>
    <xf numFmtId="0" fontId="58" fillId="0" borderId="0"/>
    <xf numFmtId="0" fontId="18" fillId="0" borderId="0"/>
    <xf numFmtId="0" fontId="191" fillId="78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5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5" borderId="0" applyNumberFormat="0" applyBorder="0" applyAlignment="0" applyProtection="0"/>
    <xf numFmtId="0" fontId="58" fillId="0" borderId="0"/>
    <xf numFmtId="0" fontId="102" fillId="15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11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79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79" borderId="0" applyNumberFormat="0" applyBorder="0" applyAlignment="0" applyProtection="0"/>
    <xf numFmtId="0" fontId="58" fillId="0" borderId="0"/>
    <xf numFmtId="0" fontId="18" fillId="0" borderId="0"/>
    <xf numFmtId="0" fontId="191" fillId="7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1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3" borderId="0" applyNumberFormat="0" applyBorder="0" applyAlignment="0" applyProtection="0"/>
    <xf numFmtId="0" fontId="58" fillId="0" borderId="0"/>
    <xf numFmtId="0" fontId="102" fillId="13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12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80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80" borderId="0" applyNumberFormat="0" applyBorder="0" applyAlignment="0" applyProtection="0"/>
    <xf numFmtId="0" fontId="58" fillId="0" borderId="0"/>
    <xf numFmtId="0" fontId="18" fillId="0" borderId="0"/>
    <xf numFmtId="0" fontId="191" fillId="80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6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4" borderId="0" applyNumberFormat="0" applyBorder="0" applyAlignment="0" applyProtection="0"/>
    <xf numFmtId="0" fontId="58" fillId="0" borderId="0"/>
    <xf numFmtId="0" fontId="102" fillId="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81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81" borderId="0" applyNumberFormat="0" applyBorder="0" applyAlignment="0" applyProtection="0"/>
    <xf numFmtId="0" fontId="58" fillId="0" borderId="0"/>
    <xf numFmtId="0" fontId="18" fillId="0" borderId="0"/>
    <xf numFmtId="0" fontId="191" fillId="81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7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0" borderId="0" applyNumberFormat="0" applyBorder="0" applyAlignment="0" applyProtection="0"/>
    <xf numFmtId="0" fontId="58" fillId="0" borderId="0"/>
    <xf numFmtId="0" fontId="102" fillId="10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0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82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82" borderId="0" applyNumberFormat="0" applyBorder="0" applyAlignment="0" applyProtection="0"/>
    <xf numFmtId="0" fontId="58" fillId="0" borderId="0"/>
    <xf numFmtId="0" fontId="18" fillId="0" borderId="0"/>
    <xf numFmtId="0" fontId="191" fillId="82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8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5" borderId="0" applyNumberFormat="0" applyBorder="0" applyAlignment="0" applyProtection="0"/>
    <xf numFmtId="0" fontId="58" fillId="0" borderId="0"/>
    <xf numFmtId="0" fontId="102" fillId="5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11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2" fillId="83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1" fillId="83" borderId="0" applyNumberFormat="0" applyBorder="0" applyAlignment="0" applyProtection="0"/>
    <xf numFmtId="0" fontId="58" fillId="0" borderId="0"/>
    <xf numFmtId="0" fontId="18" fillId="0" borderId="0"/>
    <xf numFmtId="0" fontId="191" fillId="83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91" fillId="84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9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23" borderId="0" applyNumberFormat="0" applyBorder="0" applyAlignment="0" applyProtection="0"/>
    <xf numFmtId="0" fontId="58" fillId="0" borderId="0"/>
    <xf numFmtId="0" fontId="102" fillId="23" borderId="0" applyNumberFormat="0" applyBorder="0" applyAlignment="0" applyProtection="0"/>
    <xf numFmtId="0" fontId="58" fillId="0" borderId="0"/>
    <xf numFmtId="0" fontId="191" fillId="84" borderId="0" applyNumberFormat="0" applyBorder="0" applyAlignment="0" applyProtection="0"/>
    <xf numFmtId="0" fontId="102" fillId="84" borderId="0" applyNumberFormat="0" applyBorder="0" applyAlignment="0" applyProtection="0"/>
    <xf numFmtId="0" fontId="102" fillId="84" borderId="0" applyNumberFormat="0" applyBorder="0" applyAlignment="0" applyProtection="0"/>
    <xf numFmtId="0" fontId="66" fillId="19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1" fillId="8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91" fillId="85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24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5" borderId="0" applyNumberFormat="0" applyBorder="0" applyAlignment="0" applyProtection="0"/>
    <xf numFmtId="0" fontId="58" fillId="0" borderId="0"/>
    <xf numFmtId="0" fontId="102" fillId="15" borderId="0" applyNumberFormat="0" applyBorder="0" applyAlignment="0" applyProtection="0"/>
    <xf numFmtId="0" fontId="58" fillId="0" borderId="0"/>
    <xf numFmtId="0" fontId="191" fillId="85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66" fillId="2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1" fillId="8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91" fillId="86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28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13" borderId="0" applyNumberFormat="0" applyBorder="0" applyAlignment="0" applyProtection="0"/>
    <xf numFmtId="0" fontId="58" fillId="0" borderId="0"/>
    <xf numFmtId="0" fontId="102" fillId="13" borderId="0" applyNumberFormat="0" applyBorder="0" applyAlignment="0" applyProtection="0"/>
    <xf numFmtId="0" fontId="58" fillId="0" borderId="0"/>
    <xf numFmtId="0" fontId="191" fillId="86" borderId="0" applyNumberFormat="0" applyBorder="0" applyAlignment="0" applyProtection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66" fillId="28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1" fillId="8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91" fillId="87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66" fillId="16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32" borderId="0" applyNumberFormat="0" applyBorder="0" applyAlignment="0" applyProtection="0"/>
    <xf numFmtId="0" fontId="58" fillId="0" borderId="0"/>
    <xf numFmtId="0" fontId="102" fillId="32" borderId="0" applyNumberFormat="0" applyBorder="0" applyAlignment="0" applyProtection="0"/>
    <xf numFmtId="0" fontId="58" fillId="0" borderId="0"/>
    <xf numFmtId="0" fontId="191" fillId="87" borderId="0" applyNumberFormat="0" applyBorder="0" applyAlignment="0" applyProtection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66" fillId="16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1" fillId="8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66" fillId="17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02" fillId="88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91" fillId="88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91" fillId="8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66" fillId="15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66" fillId="24" borderId="0" applyNumberFormat="0" applyBorder="0" applyAlignment="0" applyProtection="0"/>
    <xf numFmtId="0" fontId="58" fillId="0" borderId="0"/>
    <xf numFmtId="0" fontId="102" fillId="24" borderId="0" applyNumberFormat="0" applyBorder="0" applyAlignment="0" applyProtection="0"/>
    <xf numFmtId="0" fontId="58" fillId="0" borderId="0"/>
    <xf numFmtId="0" fontId="191" fillId="89" borderId="0" applyNumberFormat="0" applyBorder="0" applyAlignment="0" applyProtection="0"/>
    <xf numFmtId="0" fontId="102" fillId="89" borderId="0" applyNumberFormat="0" applyBorder="0" applyAlignment="0" applyProtection="0"/>
    <xf numFmtId="0" fontId="102" fillId="89" borderId="0" applyNumberFormat="0" applyBorder="0" applyAlignment="0" applyProtection="0"/>
    <xf numFmtId="0" fontId="66" fillId="15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1" fillId="8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76" fillId="4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76" fillId="8" borderId="0" applyNumberFormat="0" applyBorder="0" applyAlignment="0" applyProtection="0"/>
    <xf numFmtId="0" fontId="58" fillId="0" borderId="0"/>
    <xf numFmtId="0" fontId="103" fillId="8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192" fillId="32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03" fillId="90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193" fillId="90" borderId="0" applyNumberFormat="0" applyBorder="0" applyAlignment="0" applyProtection="0"/>
    <xf numFmtId="0" fontId="58" fillId="0" borderId="0"/>
    <xf numFmtId="0" fontId="18" fillId="0" borderId="0"/>
    <xf numFmtId="0" fontId="193" fillId="90" borderId="0" applyNumberFormat="0" applyBorder="0" applyAlignment="0" applyProtection="0"/>
    <xf numFmtId="1" fontId="194" fillId="113" borderId="50" applyNumberFormat="0" applyBorder="0" applyAlignment="0">
      <alignment horizontal="center" vertical="top" wrapText="1"/>
      <protection hidden="1"/>
    </xf>
    <xf numFmtId="0" fontId="175" fillId="0" borderId="0" applyFont="0" applyFill="0" applyBorder="0" applyAlignment="0" applyProtection="0">
      <alignment horizontal="right"/>
    </xf>
    <xf numFmtId="0" fontId="19" fillId="0" borderId="0">
      <alignment vertical="center"/>
    </xf>
    <xf numFmtId="0" fontId="195" fillId="0" borderId="98">
      <alignment horizontal="left" vertical="center"/>
    </xf>
    <xf numFmtId="198" fontId="196" fillId="0" borderId="0">
      <alignment horizontal="right" vertical="center"/>
    </xf>
    <xf numFmtId="199" fontId="19" fillId="0" borderId="0">
      <alignment horizontal="right" vertical="center"/>
    </xf>
    <xf numFmtId="199" fontId="195" fillId="0" borderId="0">
      <alignment horizontal="right" vertical="center"/>
    </xf>
    <xf numFmtId="200" fontId="19" fillId="0" borderId="0" applyFont="0" applyFill="0" applyBorder="0" applyAlignment="0" applyProtection="0">
      <alignment horizontal="right"/>
    </xf>
    <xf numFmtId="0" fontId="20" fillId="0" borderId="0">
      <alignment vertical="center"/>
    </xf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1" fontId="18" fillId="36" borderId="0"/>
    <xf numFmtId="0" fontId="197" fillId="91" borderId="63" applyNumberFormat="0" applyAlignment="0" applyProtection="0"/>
    <xf numFmtId="0" fontId="58" fillId="0" borderId="0"/>
    <xf numFmtId="0" fontId="77" fillId="35" borderId="1" applyNumberFormat="0" applyAlignment="0" applyProtection="0"/>
    <xf numFmtId="0" fontId="18" fillId="0" borderId="0"/>
    <xf numFmtId="0" fontId="5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04" fillId="91" borderId="63" applyNumberFormat="0" applyAlignment="0" applyProtection="0"/>
    <xf numFmtId="0" fontId="58" fillId="0" borderId="0"/>
    <xf numFmtId="0" fontId="105" fillId="37" borderId="63" applyNumberFormat="0" applyAlignment="0" applyProtection="0"/>
    <xf numFmtId="0" fontId="58" fillId="0" borderId="0"/>
    <xf numFmtId="0" fontId="58" fillId="0" borderId="0"/>
    <xf numFmtId="0" fontId="198" fillId="37" borderId="1" applyNumberFormat="0" applyAlignment="0" applyProtection="0"/>
    <xf numFmtId="0" fontId="58" fillId="0" borderId="0"/>
    <xf numFmtId="0" fontId="173" fillId="0" borderId="0"/>
    <xf numFmtId="0" fontId="58" fillId="0" borderId="0"/>
    <xf numFmtId="0" fontId="104" fillId="91" borderId="63" applyNumberFormat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78" fillId="38" borderId="2" applyNumberFormat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06" fillId="92" borderId="64" applyNumberFormat="0" applyAlignment="0" applyProtection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7" fillId="19" borderId="103" applyNumberFormat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99" fillId="92" borderId="64" applyNumberFormat="0" applyAlignment="0" applyProtection="0"/>
    <xf numFmtId="0" fontId="58" fillId="0" borderId="0"/>
    <xf numFmtId="0" fontId="199" fillId="92" borderId="64" applyNumberFormat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" fontId="200" fillId="0" borderId="104">
      <alignment vertical="top"/>
    </xf>
    <xf numFmtId="201" fontId="20" fillId="0" borderId="0" applyBorder="0">
      <alignment horizontal="right"/>
    </xf>
    <xf numFmtId="201" fontId="20" fillId="0" borderId="105" applyAlignment="0">
      <alignment horizontal="right"/>
    </xf>
    <xf numFmtId="202" fontId="201" fillId="0" borderId="0"/>
    <xf numFmtId="202" fontId="201" fillId="0" borderId="0"/>
    <xf numFmtId="202" fontId="201" fillId="0" borderId="0"/>
    <xf numFmtId="202" fontId="201" fillId="0" borderId="0"/>
    <xf numFmtId="202" fontId="201" fillId="0" borderId="0"/>
    <xf numFmtId="202" fontId="201" fillId="0" borderId="0"/>
    <xf numFmtId="202" fontId="201" fillId="0" borderId="0"/>
    <xf numFmtId="202" fontId="201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43" fontId="96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3" fontId="74" fillId="0" borderId="0" applyFont="0" applyFill="0" applyBorder="0" applyAlignment="0" applyProtection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3" fontId="7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3" fontId="3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88" fontId="18" fillId="0" borderId="0" applyFont="0" applyFill="0" applyBorder="0" applyAlignment="0" applyProtection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4" fontId="63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75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 applyFont="0" applyFill="0" applyBorder="0" applyAlignment="0" applyProtection="0"/>
    <xf numFmtId="0" fontId="58" fillId="0" borderId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8" fillId="0" borderId="0"/>
    <xf numFmtId="0" fontId="58" fillId="0" borderId="0"/>
    <xf numFmtId="43" fontId="202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202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202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58" fillId="0" borderId="0"/>
    <xf numFmtId="43" fontId="1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58" fillId="0" borderId="0"/>
    <xf numFmtId="43" fontId="169" fillId="0" borderId="0" applyFont="0" applyFill="0" applyBorder="0" applyAlignment="0" applyProtection="0"/>
    <xf numFmtId="0" fontId="58" fillId="0" borderId="0"/>
    <xf numFmtId="43" fontId="169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69" fillId="0" borderId="0" applyFont="0" applyFill="0" applyBorder="0" applyAlignment="0" applyProtection="0"/>
    <xf numFmtId="0" fontId="58" fillId="0" borderId="0"/>
    <xf numFmtId="43" fontId="169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58" fillId="0" borderId="0"/>
    <xf numFmtId="43" fontId="5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3" fontId="29" fillId="0" borderId="0" applyFont="0" applyFill="0" applyBorder="0" applyAlignment="0" applyProtection="0"/>
    <xf numFmtId="0" fontId="58" fillId="0" borderId="0"/>
    <xf numFmtId="3" fontId="29" fillId="0" borderId="0" applyFont="0" applyFill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0" fillId="0" borderId="0"/>
    <xf numFmtId="0" fontId="203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203" fontId="204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0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0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4" fontId="7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4" fontId="75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44" fontId="1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 applyFont="0" applyFill="0" applyBorder="0" applyAlignment="0" applyProtection="0"/>
    <xf numFmtId="0" fontId="58" fillId="0" borderId="0"/>
    <xf numFmtId="0" fontId="58" fillId="0" borderId="0"/>
    <xf numFmtId="44" fontId="41" fillId="0" borderId="0" applyFont="0" applyFill="0" applyBorder="0" applyAlignment="0" applyProtection="0"/>
    <xf numFmtId="0" fontId="58" fillId="0" borderId="0"/>
    <xf numFmtId="0" fontId="58" fillId="0" borderId="0"/>
    <xf numFmtId="44" fontId="41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/>
    <xf numFmtId="44" fontId="202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4" fontId="18" fillId="0" borderId="0" applyFont="0" applyFill="0" applyBorder="0" applyAlignment="0" applyProtection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16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0" borderId="0"/>
    <xf numFmtId="44" fontId="169" fillId="0" borderId="0" applyFont="0" applyFill="0" applyBorder="0" applyAlignment="0" applyProtection="0"/>
    <xf numFmtId="44" fontId="169" fillId="0" borderId="0" applyFont="0" applyFill="0" applyBorder="0" applyAlignment="0" applyProtection="0"/>
    <xf numFmtId="44" fontId="169" fillId="0" borderId="0" applyFont="0" applyFill="0" applyBorder="0" applyAlignment="0" applyProtection="0"/>
    <xf numFmtId="44" fontId="16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0" borderId="0"/>
    <xf numFmtId="44" fontId="16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0" borderId="0"/>
    <xf numFmtId="44" fontId="1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44" fontId="18" fillId="0" borderId="0" applyFont="0" applyFill="0" applyBorder="0" applyAlignment="0" applyProtection="0"/>
    <xf numFmtId="0" fontId="58" fillId="0" borderId="0"/>
    <xf numFmtId="44" fontId="169" fillId="0" borderId="0" applyFont="0" applyFill="0" applyBorder="0" applyAlignment="0" applyProtection="0"/>
    <xf numFmtId="0" fontId="58" fillId="0" borderId="0"/>
    <xf numFmtId="44" fontId="169" fillId="0" borderId="0" applyFon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74" fontId="18" fillId="0" borderId="0" applyFont="0" applyFill="0" applyBorder="0" applyAlignment="0" applyProtection="0"/>
    <xf numFmtId="0" fontId="58" fillId="0" borderId="0"/>
    <xf numFmtId="174" fontId="18" fillId="0" borderId="0" applyFont="0" applyFill="0" applyBorder="0" applyAlignment="0" applyProtection="0"/>
    <xf numFmtId="0" fontId="58" fillId="0" borderId="0"/>
    <xf numFmtId="174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0" fontId="58" fillId="0" borderId="0"/>
    <xf numFmtId="174" fontId="18" fillId="0" borderId="0" applyFont="0" applyFill="0" applyBorder="0" applyAlignment="0" applyProtection="0"/>
    <xf numFmtId="0" fontId="58" fillId="0" borderId="0"/>
    <xf numFmtId="0" fontId="18" fillId="0" borderId="0"/>
    <xf numFmtId="0" fontId="58" fillId="0" borderId="0"/>
    <xf numFmtId="204" fontId="18" fillId="0" borderId="0" applyFont="0" applyFill="0" applyBorder="0" applyAlignment="0" applyProtection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174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4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74" fontId="18" fillId="0" borderId="0" applyFont="0" applyFill="0" applyBorder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20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58" fillId="0" borderId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20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58" fillId="0" borderId="0"/>
    <xf numFmtId="20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58" fillId="0" borderId="0"/>
    <xf numFmtId="204" fontId="18" fillId="0" borderId="0" applyFon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206" fontId="18" fillId="0" borderId="0" applyFont="0" applyFill="0" applyBorder="0" applyAlignment="0" applyProtection="0">
      <alignment wrapText="1"/>
    </xf>
    <xf numFmtId="206" fontId="18" fillId="0" borderId="0" applyFont="0" applyFill="0" applyBorder="0" applyAlignment="0" applyProtection="0">
      <alignment wrapText="1"/>
    </xf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69" fontId="18" fillId="0" borderId="0"/>
    <xf numFmtId="0" fontId="58" fillId="0" borderId="0"/>
    <xf numFmtId="169" fontId="18" fillId="0" borderId="0"/>
    <xf numFmtId="169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69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69" fontId="18" fillId="0" borderId="0"/>
    <xf numFmtId="0" fontId="58" fillId="0" borderId="0"/>
    <xf numFmtId="169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8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58" fillId="0" borderId="0"/>
    <xf numFmtId="183" fontId="18" fillId="0" borderId="0" applyFont="0" applyFill="0" applyBorder="0" applyAlignment="0" applyProtection="0">
      <alignment horizontal="left" wrapText="1"/>
    </xf>
    <xf numFmtId="0" fontId="58" fillId="0" borderId="0"/>
    <xf numFmtId="0" fontId="18" fillId="0" borderId="0"/>
    <xf numFmtId="0" fontId="58" fillId="0" borderId="0"/>
    <xf numFmtId="0" fontId="58" fillId="0" borderId="0"/>
    <xf numFmtId="0" fontId="79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79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07" fillId="0" borderId="0" applyNumberFormat="0" applyFill="0" applyBorder="0" applyAlignment="0" applyProtection="0"/>
    <xf numFmtId="0" fontId="58" fillId="0" borderId="0"/>
    <xf numFmtId="0" fontId="79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5" fillId="0" borderId="0" applyNumberForma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79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206" fillId="0" borderId="0" applyNumberFormat="0" applyFill="0" applyBorder="0" applyAlignment="0" applyProtection="0"/>
    <xf numFmtId="0" fontId="58" fillId="0" borderId="0"/>
    <xf numFmtId="0" fontId="58" fillId="0" borderId="0"/>
    <xf numFmtId="0" fontId="206" fillId="0" borderId="0" applyNumberFormat="0" applyFill="0" applyBorder="0" applyAlignment="0" applyProtection="0"/>
    <xf numFmtId="1" fontId="207" fillId="57" borderId="48" applyNumberFormat="0" applyBorder="0" applyAlignment="0">
      <alignment horizontal="centerContinuous" vertical="center"/>
      <protection locked="0"/>
    </xf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203" fontId="19" fillId="0" borderId="0"/>
    <xf numFmtId="200" fontId="208" fillId="0" borderId="0">
      <alignment horizontal="right"/>
    </xf>
    <xf numFmtId="0" fontId="209" fillId="0" borderId="0">
      <alignment vertical="center"/>
    </xf>
    <xf numFmtId="0" fontId="210" fillId="0" borderId="0">
      <alignment horizontal="right"/>
    </xf>
    <xf numFmtId="199" fontId="211" fillId="0" borderId="0">
      <alignment horizontal="right" vertical="center"/>
    </xf>
    <xf numFmtId="199" fontId="208" fillId="0" borderId="0" applyFill="0" applyBorder="0">
      <alignment horizontal="right" vertical="center"/>
    </xf>
    <xf numFmtId="0" fontId="80" fillId="6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80" fillId="6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80" fillId="10" borderId="0" applyNumberFormat="0" applyBorder="0" applyAlignment="0" applyProtection="0"/>
    <xf numFmtId="0" fontId="58" fillId="0" borderId="0"/>
    <xf numFmtId="0" fontId="108" fillId="10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212" fillId="62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80" fillId="6" borderId="0" applyNumberFormat="0" applyBorder="0" applyAlignment="0" applyProtection="0"/>
    <xf numFmtId="0" fontId="58" fillId="0" borderId="0"/>
    <xf numFmtId="0" fontId="108" fillId="93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213" fillId="93" borderId="0" applyNumberFormat="0" applyBorder="0" applyAlignment="0" applyProtection="0"/>
    <xf numFmtId="0" fontId="58" fillId="0" borderId="0"/>
    <xf numFmtId="0" fontId="108" fillId="93" borderId="0" applyNumberFormat="0" applyBorder="0" applyAlignment="0" applyProtection="0"/>
    <xf numFmtId="0" fontId="58" fillId="0" borderId="0"/>
    <xf numFmtId="0" fontId="213" fillId="93" borderId="0" applyNumberFormat="0" applyBorder="0" applyAlignment="0" applyProtection="0"/>
    <xf numFmtId="0" fontId="18" fillId="0" borderId="0"/>
    <xf numFmtId="0" fontId="58" fillId="0" borderId="0"/>
    <xf numFmtId="38" fontId="18" fillId="3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38" fontId="19" fillId="39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38" fontId="18" fillId="39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38" fontId="19" fillId="39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38" fontId="19" fillId="39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38" fontId="19" fillId="39" borderId="0" applyNumberFormat="0" applyBorder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81" fillId="0" borderId="5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29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91" fillId="0" borderId="6" applyNumberFormat="0" applyFill="0" applyAlignment="0" applyProtection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09" fillId="0" borderId="65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09" fillId="0" borderId="65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09" fillId="0" borderId="65" applyNumberFormat="0" applyFill="0" applyAlignment="0" applyProtection="0"/>
    <xf numFmtId="0" fontId="214" fillId="0" borderId="65" applyNumberFormat="0" applyFill="0" applyAlignment="0" applyProtection="0"/>
    <xf numFmtId="0" fontId="82" fillId="0" borderId="7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18" fillId="0" borderId="0"/>
    <xf numFmtId="0" fontId="18" fillId="0" borderId="0"/>
    <xf numFmtId="0" fontId="29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92" fillId="0" borderId="8" applyNumberFormat="0" applyFill="0" applyAlignment="0" applyProtection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10" fillId="0" borderId="66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10" fillId="0" borderId="66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110" fillId="0" borderId="66" applyNumberFormat="0" applyFill="0" applyAlignment="0" applyProtection="0"/>
    <xf numFmtId="0" fontId="215" fillId="0" borderId="66" applyNumberFormat="0" applyFill="0" applyAlignment="0" applyProtection="0"/>
    <xf numFmtId="0" fontId="83" fillId="0" borderId="9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93" fillId="0" borderId="106" applyNumberFormat="0" applyFill="0" applyAlignment="0" applyProtection="0"/>
    <xf numFmtId="0" fontId="58" fillId="0" borderId="0"/>
    <xf numFmtId="0" fontId="18" fillId="0" borderId="0"/>
    <xf numFmtId="0" fontId="83" fillId="0" borderId="9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93" fillId="0" borderId="10" applyNumberFormat="0" applyFill="0" applyAlignment="0" applyProtection="0"/>
    <xf numFmtId="0" fontId="58" fillId="0" borderId="0"/>
    <xf numFmtId="0" fontId="18" fillId="0" borderId="0"/>
    <xf numFmtId="0" fontId="180" fillId="0" borderId="10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216" fillId="0" borderId="107" applyNumberFormat="0" applyFill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83" fillId="0" borderId="9" applyNumberFormat="0" applyFill="0" applyAlignment="0" applyProtection="0"/>
    <xf numFmtId="0" fontId="58" fillId="0" borderId="0"/>
    <xf numFmtId="0" fontId="111" fillId="0" borderId="67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217" fillId="0" borderId="67" applyNumberFormat="0" applyFill="0" applyAlignment="0" applyProtection="0"/>
    <xf numFmtId="0" fontId="58" fillId="0" borderId="0"/>
    <xf numFmtId="0" fontId="111" fillId="0" borderId="67" applyNumberFormat="0" applyFill="0" applyAlignment="0" applyProtection="0"/>
    <xf numFmtId="0" fontId="58" fillId="0" borderId="0"/>
    <xf numFmtId="0" fontId="217" fillId="0" borderId="67" applyNumberFormat="0" applyFill="0" applyAlignment="0" applyProtection="0"/>
    <xf numFmtId="0" fontId="83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83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93" fillId="0" borderId="0" applyNumberFormat="0" applyFill="0" applyBorder="0" applyAlignment="0" applyProtection="0"/>
    <xf numFmtId="0" fontId="58" fillId="0" borderId="0"/>
    <xf numFmtId="0" fontId="18" fillId="0" borderId="0"/>
    <xf numFmtId="0" fontId="180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216" fillId="0" borderId="0" applyNumberFormat="0" applyFill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83" fillId="0" borderId="0" applyNumberFormat="0" applyFill="0" applyBorder="0" applyAlignment="0" applyProtection="0"/>
    <xf numFmtId="0" fontId="58" fillId="0" borderId="0"/>
    <xf numFmtId="0" fontId="111" fillId="0" borderId="0" applyNumberFormat="0" applyFill="0" applyBorder="0" applyAlignment="0" applyProtection="0"/>
    <xf numFmtId="0" fontId="58" fillId="0" borderId="0"/>
    <xf numFmtId="0" fontId="58" fillId="0" borderId="0"/>
    <xf numFmtId="0" fontId="18" fillId="0" borderId="0"/>
    <xf numFmtId="0" fontId="217" fillId="0" borderId="0" applyNumberFormat="0" applyFill="0" applyBorder="0" applyAlignment="0" applyProtection="0"/>
    <xf numFmtId="0" fontId="58" fillId="0" borderId="0"/>
    <xf numFmtId="0" fontId="111" fillId="0" borderId="0" applyNumberFormat="0" applyFill="0" applyBorder="0" applyAlignment="0" applyProtection="0"/>
    <xf numFmtId="0" fontId="58" fillId="0" borderId="0"/>
    <xf numFmtId="0" fontId="217" fillId="0" borderId="0" applyNumberFormat="0" applyFill="0" applyBorder="0" applyAlignment="0" applyProtection="0"/>
    <xf numFmtId="0" fontId="218" fillId="113" borderId="0" applyNumberFormat="0" applyBorder="0" applyAlignment="0">
      <protection hidden="1"/>
    </xf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0" fontId="18" fillId="36" borderId="11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10" fontId="18" fillId="36" borderId="11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12" fillId="94" borderId="63" applyNumberFormat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219" fillId="94" borderId="63" applyNumberFormat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58" fillId="0" borderId="0"/>
    <xf numFmtId="0" fontId="18" fillId="0" borderId="0"/>
    <xf numFmtId="0" fontId="84" fillId="12" borderId="1" applyNumberFormat="0" applyAlignment="0" applyProtection="0"/>
    <xf numFmtId="0" fontId="5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219" fillId="94" borderId="63" applyNumberFormat="0" applyAlignment="0" applyProtection="0"/>
    <xf numFmtId="0" fontId="58" fillId="0" borderId="0"/>
    <xf numFmtId="0" fontId="84" fillId="9" borderId="1" applyNumberFormat="0" applyAlignment="0" applyProtection="0"/>
    <xf numFmtId="0" fontId="58" fillId="0" borderId="0"/>
    <xf numFmtId="0" fontId="219" fillId="94" borderId="63" applyNumberFormat="0" applyAlignment="0" applyProtection="0"/>
    <xf numFmtId="0" fontId="84" fillId="9" borderId="1" applyNumberFormat="0" applyAlignment="0" applyProtection="0"/>
    <xf numFmtId="0" fontId="58" fillId="0" borderId="0"/>
    <xf numFmtId="0" fontId="58" fillId="0" borderId="0"/>
    <xf numFmtId="0" fontId="219" fillId="94" borderId="63" applyNumberFormat="0" applyAlignment="0" applyProtection="0"/>
    <xf numFmtId="0" fontId="84" fillId="9" borderId="1" applyNumberFormat="0" applyAlignment="0" applyProtection="0"/>
    <xf numFmtId="0" fontId="58" fillId="0" borderId="0"/>
    <xf numFmtId="0" fontId="58" fillId="0" borderId="0"/>
    <xf numFmtId="0" fontId="112" fillId="94" borderId="63" applyNumberFormat="0" applyAlignment="0" applyProtection="0"/>
    <xf numFmtId="0" fontId="84" fillId="9" borderId="1" applyNumberFormat="0" applyAlignment="0" applyProtection="0"/>
    <xf numFmtId="0" fontId="58" fillId="0" borderId="0"/>
    <xf numFmtId="0" fontId="112" fillId="94" borderId="63" applyNumberFormat="0" applyAlignment="0" applyProtection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84" fillId="12" borderId="1" applyNumberFormat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84" fillId="9" borderId="1" applyNumberFormat="0" applyAlignment="0" applyProtection="0"/>
    <xf numFmtId="0" fontId="18" fillId="0" borderId="0"/>
    <xf numFmtId="0" fontId="58" fillId="0" borderId="0"/>
    <xf numFmtId="0" fontId="18" fillId="0" borderId="0"/>
    <xf numFmtId="0" fontId="84" fillId="9" borderId="1" applyNumberFormat="0" applyAlignment="0" applyProtection="0"/>
    <xf numFmtId="0" fontId="18" fillId="0" borderId="0"/>
    <xf numFmtId="0" fontId="58" fillId="0" borderId="0"/>
    <xf numFmtId="0" fontId="18" fillId="0" borderId="0"/>
    <xf numFmtId="0" fontId="84" fillId="9" borderId="1" applyNumberFormat="0" applyAlignment="0" applyProtection="0"/>
    <xf numFmtId="0" fontId="18" fillId="0" borderId="0"/>
    <xf numFmtId="0" fontId="58" fillId="0" borderId="0"/>
    <xf numFmtId="0" fontId="18" fillId="0" borderId="0"/>
    <xf numFmtId="0" fontId="84" fillId="9" borderId="1" applyNumberFormat="0" applyAlignment="0" applyProtection="0"/>
    <xf numFmtId="0" fontId="18" fillId="0" borderId="0"/>
    <xf numFmtId="0" fontId="58" fillId="0" borderId="0"/>
    <xf numFmtId="0" fontId="18" fillId="0" borderId="0"/>
    <xf numFmtId="0" fontId="84" fillId="9" borderId="1" applyNumberFormat="0" applyAlignment="0" applyProtection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73" fillId="0" borderId="0"/>
    <xf numFmtId="0" fontId="18" fillId="0" borderId="0"/>
    <xf numFmtId="0" fontId="112" fillId="94" borderId="63" applyNumberFormat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173" fillId="0" borderId="0"/>
    <xf numFmtId="0" fontId="18" fillId="0" borderId="0"/>
    <xf numFmtId="0" fontId="112" fillId="94" borderId="63" applyNumberFormat="0" applyAlignment="0" applyProtection="0"/>
    <xf numFmtId="0" fontId="58" fillId="0" borderId="0"/>
    <xf numFmtId="0" fontId="112" fillId="94" borderId="63" applyNumberFormat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173" fillId="0" borderId="0"/>
    <xf numFmtId="0" fontId="18" fillId="0" borderId="0"/>
    <xf numFmtId="0" fontId="112" fillId="94" borderId="63" applyNumberFormat="0" applyAlignment="0" applyProtection="0"/>
    <xf numFmtId="0" fontId="58" fillId="0" borderId="0"/>
    <xf numFmtId="0" fontId="112" fillId="94" borderId="63" applyNumberFormat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173" fillId="0" borderId="0"/>
    <xf numFmtId="0" fontId="18" fillId="0" borderId="0"/>
    <xf numFmtId="0" fontId="58" fillId="0" borderId="0"/>
    <xf numFmtId="0" fontId="112" fillId="94" borderId="63" applyNumberFormat="0" applyAlignment="0" applyProtection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173" fillId="0" borderId="0"/>
    <xf numFmtId="0" fontId="18" fillId="0" borderId="0"/>
    <xf numFmtId="0" fontId="58" fillId="0" borderId="0"/>
    <xf numFmtId="0" fontId="112" fillId="94" borderId="63" applyNumberFormat="0" applyAlignment="0" applyProtection="0"/>
    <xf numFmtId="0" fontId="58" fillId="0" borderId="0"/>
    <xf numFmtId="0" fontId="58" fillId="0" borderId="0"/>
    <xf numFmtId="0" fontId="84" fillId="9" borderId="1" applyNumberFormat="0" applyAlignment="0" applyProtection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219" fillId="94" borderId="63" applyNumberFormat="0" applyAlignment="0" applyProtection="0"/>
    <xf numFmtId="0" fontId="219" fillId="94" borderId="63" applyNumberFormat="0" applyAlignment="0" applyProtection="0"/>
    <xf numFmtId="0" fontId="112" fillId="94" borderId="63" applyNumberFormat="0" applyAlignment="0" applyProtection="0"/>
    <xf numFmtId="0" fontId="112" fillId="94" borderId="63" applyNumberFormat="0" applyAlignment="0" applyProtection="0"/>
    <xf numFmtId="0" fontId="84" fillId="9" borderId="1" applyNumberFormat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85" fillId="0" borderId="13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13" fillId="0" borderId="68" applyNumberFormat="0" applyFill="0" applyAlignment="0" applyProtection="0"/>
    <xf numFmtId="0" fontId="58" fillId="0" borderId="0"/>
    <xf numFmtId="0" fontId="18" fillId="0" borderId="0"/>
    <xf numFmtId="0" fontId="58" fillId="0" borderId="0"/>
    <xf numFmtId="0" fontId="85" fillId="0" borderId="13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89" fillId="0" borderId="14" applyNumberFormat="0" applyFill="0" applyAlignment="0" applyProtection="0"/>
    <xf numFmtId="0" fontId="58" fillId="0" borderId="0"/>
    <xf numFmtId="0" fontId="18" fillId="0" borderId="0"/>
    <xf numFmtId="0" fontId="181" fillId="0" borderId="14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220" fillId="0" borderId="108" applyNumberFormat="0" applyFill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85" fillId="0" borderId="13" applyNumberFormat="0" applyFill="0" applyAlignment="0" applyProtection="0"/>
    <xf numFmtId="0" fontId="58" fillId="0" borderId="0"/>
    <xf numFmtId="0" fontId="113" fillId="0" borderId="68" applyNumberFormat="0" applyFill="0" applyAlignment="0" applyProtection="0"/>
    <xf numFmtId="0" fontId="58" fillId="0" borderId="0"/>
    <xf numFmtId="0" fontId="58" fillId="0" borderId="0"/>
    <xf numFmtId="0" fontId="18" fillId="0" borderId="0"/>
    <xf numFmtId="0" fontId="221" fillId="0" borderId="68" applyNumberFormat="0" applyFill="0" applyAlignment="0" applyProtection="0"/>
    <xf numFmtId="0" fontId="58" fillId="0" borderId="0"/>
    <xf numFmtId="0" fontId="113" fillId="0" borderId="68" applyNumberFormat="0" applyFill="0" applyAlignment="0" applyProtection="0"/>
    <xf numFmtId="0" fontId="58" fillId="0" borderId="0"/>
    <xf numFmtId="0" fontId="221" fillId="0" borderId="68" applyNumberFormat="0" applyFill="0" applyAlignment="0" applyProtection="0"/>
    <xf numFmtId="0" fontId="18" fillId="0" borderId="0"/>
    <xf numFmtId="0" fontId="58" fillId="0" borderId="0"/>
    <xf numFmtId="0" fontId="58" fillId="0" borderId="0"/>
    <xf numFmtId="44" fontId="22" fillId="0" borderId="15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22" fillId="0" borderId="15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22" fillId="0" borderId="15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22" fillId="0" borderId="16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22" fillId="0" borderId="16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44" fontId="22" fillId="0" borderId="16" applyNumberFormat="0" applyFont="0" applyAlignment="0">
      <alignment horizontal="center"/>
    </xf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187" fontId="19" fillId="61" borderId="0">
      <alignment horizontal="center"/>
    </xf>
    <xf numFmtId="0" fontId="86" fillId="12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73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58" fillId="0" borderId="0"/>
    <xf numFmtId="0" fontId="86" fillId="12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95" fillId="12" borderId="0" applyNumberFormat="0" applyBorder="0" applyAlignment="0" applyProtection="0"/>
    <xf numFmtId="0" fontId="58" fillId="0" borderId="0"/>
    <xf numFmtId="0" fontId="115" fillId="95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89" fillId="11" borderId="0" applyNumberFormat="0" applyBorder="0" applyAlignment="0" applyProtection="0"/>
    <xf numFmtId="0" fontId="1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58" fillId="0" borderId="0"/>
    <xf numFmtId="0" fontId="18" fillId="0" borderId="0"/>
    <xf numFmtId="0" fontId="58" fillId="0" borderId="0"/>
    <xf numFmtId="0" fontId="58" fillId="0" borderId="0"/>
    <xf numFmtId="0" fontId="86" fillId="12" borderId="0" applyNumberFormat="0" applyBorder="0" applyAlignment="0" applyProtection="0"/>
    <xf numFmtId="0" fontId="58" fillId="0" borderId="0"/>
    <xf numFmtId="0" fontId="114" fillId="95" borderId="0" applyNumberFormat="0" applyBorder="0" applyAlignment="0" applyProtection="0"/>
    <xf numFmtId="0" fontId="58" fillId="0" borderId="0"/>
    <xf numFmtId="0" fontId="58" fillId="0" borderId="0"/>
    <xf numFmtId="0" fontId="18" fillId="0" borderId="0"/>
    <xf numFmtId="0" fontId="222" fillId="95" borderId="0" applyNumberFormat="0" applyBorder="0" applyAlignment="0" applyProtection="0"/>
    <xf numFmtId="0" fontId="58" fillId="0" borderId="0"/>
    <xf numFmtId="0" fontId="114" fillId="95" borderId="0" applyNumberFormat="0" applyBorder="0" applyAlignment="0" applyProtection="0"/>
    <xf numFmtId="0" fontId="58" fillId="0" borderId="0"/>
    <xf numFmtId="0" fontId="222" fillId="95" borderId="0" applyNumberFormat="0" applyBorder="0" applyAlignment="0" applyProtection="0"/>
    <xf numFmtId="0" fontId="18" fillId="0" borderId="0"/>
    <xf numFmtId="0" fontId="18" fillId="0" borderId="0"/>
    <xf numFmtId="0" fontId="58" fillId="0" borderId="0"/>
    <xf numFmtId="0" fontId="3" fillId="0" borderId="0"/>
    <xf numFmtId="207" fontId="18" fillId="0" borderId="0"/>
    <xf numFmtId="197" fontId="30" fillId="0" borderId="0"/>
    <xf numFmtId="208" fontId="18" fillId="0" borderId="0"/>
    <xf numFmtId="208" fontId="18" fillId="0" borderId="0"/>
    <xf numFmtId="208" fontId="18" fillId="0" borderId="0"/>
    <xf numFmtId="208" fontId="18" fillId="0" borderId="0"/>
    <xf numFmtId="208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08" fontId="18" fillId="0" borderId="0"/>
    <xf numFmtId="186" fontId="187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172" fontId="26" fillId="0" borderId="0"/>
    <xf numFmtId="209" fontId="19" fillId="0" borderId="0"/>
    <xf numFmtId="210" fontId="19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171" fontId="18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0" fontId="3" fillId="0" borderId="0"/>
    <xf numFmtId="171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171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37" fontId="18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0" fontId="18" fillId="0" borderId="0">
      <alignment wrapText="1"/>
    </xf>
    <xf numFmtId="169" fontId="18" fillId="0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3" fillId="0" borderId="0"/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3" fillId="0" borderId="0"/>
    <xf numFmtId="0" fontId="3" fillId="0" borderId="0"/>
    <xf numFmtId="169" fontId="30" fillId="0" borderId="0">
      <alignment horizontal="left" wrapText="1"/>
    </xf>
    <xf numFmtId="0" fontId="3" fillId="0" borderId="0"/>
    <xf numFmtId="169" fontId="3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wrapText="1"/>
    </xf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185" fontId="30" fillId="0" borderId="0">
      <alignment horizontal="left" wrapText="1"/>
    </xf>
    <xf numFmtId="0" fontId="18" fillId="0" borderId="0"/>
    <xf numFmtId="0" fontId="18" fillId="0" borderId="0">
      <alignment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>
      <alignment wrapText="1"/>
    </xf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7" fontId="30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211" fontId="18" fillId="0" borderId="0">
      <alignment horizontal="left" wrapText="1"/>
    </xf>
    <xf numFmtId="0" fontId="18" fillId="0" borderId="0"/>
    <xf numFmtId="0" fontId="3" fillId="0" borderId="0"/>
    <xf numFmtId="211" fontId="18" fillId="0" borderId="0">
      <alignment horizontal="left" wrapText="1"/>
    </xf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18" fillId="0" borderId="0"/>
    <xf numFmtId="0" fontId="58" fillId="0" borderId="0"/>
    <xf numFmtId="0" fontId="3" fillId="0" borderId="0"/>
    <xf numFmtId="0" fontId="5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211" fontId="18" fillId="0" borderId="0">
      <alignment horizontal="left" wrapText="1"/>
    </xf>
    <xf numFmtId="0" fontId="18" fillId="0" borderId="0"/>
    <xf numFmtId="0" fontId="3" fillId="0" borderId="0"/>
    <xf numFmtId="211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211" fontId="18" fillId="0" borderId="0">
      <alignment horizontal="left" wrapText="1"/>
    </xf>
    <xf numFmtId="0" fontId="18" fillId="0" borderId="0"/>
    <xf numFmtId="0" fontId="3" fillId="0" borderId="0"/>
    <xf numFmtId="211" fontId="18" fillId="0" borderId="0">
      <alignment horizontal="left" wrapText="1"/>
    </xf>
    <xf numFmtId="0" fontId="3" fillId="0" borderId="0"/>
    <xf numFmtId="211" fontId="18" fillId="0" borderId="0">
      <alignment horizontal="left" wrapText="1"/>
    </xf>
    <xf numFmtId="0" fontId="5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0" borderId="0"/>
    <xf numFmtId="0" fontId="41" fillId="0" borderId="0"/>
    <xf numFmtId="0" fontId="3" fillId="0" borderId="0"/>
    <xf numFmtId="0" fontId="1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0" borderId="0"/>
    <xf numFmtId="0" fontId="3" fillId="0" borderId="0"/>
    <xf numFmtId="0" fontId="41" fillId="0" borderId="0"/>
    <xf numFmtId="0" fontId="3" fillId="0" borderId="0"/>
    <xf numFmtId="0" fontId="1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0" borderId="0"/>
    <xf numFmtId="0" fontId="3" fillId="0" borderId="0"/>
    <xf numFmtId="0" fontId="41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7" fontId="30" fillId="0" borderId="0">
      <alignment horizontal="left" wrapText="1"/>
    </xf>
    <xf numFmtId="0" fontId="18" fillId="0" borderId="0"/>
    <xf numFmtId="0" fontId="18" fillId="0" borderId="0"/>
    <xf numFmtId="0" fontId="18" fillId="0" borderId="0">
      <alignment wrapText="1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212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3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58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72" fillId="0" borderId="0"/>
    <xf numFmtId="0" fontId="3" fillId="0" borderId="0"/>
    <xf numFmtId="0" fontId="3" fillId="0" borderId="0"/>
    <xf numFmtId="169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0" fontId="169" fillId="0" borderId="0"/>
    <xf numFmtId="0" fontId="172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4" fontId="18" fillId="0" borderId="0">
      <alignment horizontal="left" wrapText="1"/>
    </xf>
    <xf numFmtId="0" fontId="3" fillId="0" borderId="0"/>
    <xf numFmtId="0" fontId="18" fillId="0" borderId="0">
      <alignment horizontal="left" wrapText="1"/>
    </xf>
    <xf numFmtId="0" fontId="18" fillId="0" borderId="0"/>
    <xf numFmtId="0" fontId="3" fillId="0" borderId="0"/>
    <xf numFmtId="187" fontId="30" fillId="0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7" fontId="30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3" fillId="0" borderId="0"/>
    <xf numFmtId="0" fontId="18" fillId="0" borderId="0">
      <alignment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4" fontId="18" fillId="0" borderId="0">
      <alignment horizontal="left" wrapText="1"/>
    </xf>
    <xf numFmtId="0" fontId="3" fillId="0" borderId="0"/>
    <xf numFmtId="0" fontId="18" fillId="0" borderId="0">
      <alignment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4" fontId="18" fillId="0" borderId="0">
      <alignment horizontal="left" wrapText="1"/>
    </xf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4" fontId="18" fillId="0" borderId="0">
      <alignment horizontal="left" wrapText="1"/>
    </xf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4" fontId="18" fillId="0" borderId="0">
      <alignment horizontal="left" wrapText="1"/>
    </xf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7" fontId="3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0" fontId="18" fillId="0" borderId="0">
      <alignment wrapText="1"/>
    </xf>
    <xf numFmtId="0" fontId="3" fillId="0" borderId="0"/>
    <xf numFmtId="0" fontId="18" fillId="0" borderId="0">
      <alignment wrapText="1"/>
    </xf>
    <xf numFmtId="169" fontId="18" fillId="0" borderId="0">
      <alignment horizontal="left" wrapText="1"/>
    </xf>
    <xf numFmtId="0" fontId="3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0" fontId="3" fillId="0" borderId="0"/>
    <xf numFmtId="0" fontId="18" fillId="0" borderId="0">
      <alignment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3" fillId="0" borderId="0"/>
    <xf numFmtId="169" fontId="18" fillId="0" borderId="0">
      <alignment horizontal="left" wrapText="1"/>
    </xf>
    <xf numFmtId="0" fontId="18" fillId="0" borderId="0"/>
    <xf numFmtId="169" fontId="18" fillId="0" borderId="0">
      <alignment horizontal="left" wrapText="1"/>
    </xf>
    <xf numFmtId="0" fontId="3" fillId="0" borderId="0"/>
    <xf numFmtId="16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213" fontId="3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13" fontId="30" fillId="0" borderId="0">
      <alignment horizontal="left" wrapText="1"/>
    </xf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>
      <alignment wrapText="1"/>
    </xf>
    <xf numFmtId="169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223" fillId="0" borderId="0"/>
    <xf numFmtId="0" fontId="18" fillId="0" borderId="0"/>
    <xf numFmtId="0" fontId="223" fillId="0" borderId="0"/>
    <xf numFmtId="0" fontId="18" fillId="0" borderId="0"/>
    <xf numFmtId="0" fontId="18" fillId="0" borderId="0"/>
    <xf numFmtId="0" fontId="2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3" fillId="0" borderId="0"/>
    <xf numFmtId="0" fontId="58" fillId="0" borderId="0"/>
    <xf numFmtId="0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16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0" fontId="3" fillId="0" borderId="0"/>
    <xf numFmtId="0" fontId="18" fillId="0" borderId="0">
      <alignment wrapText="1"/>
    </xf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169" fontId="30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169" fillId="0" borderId="0"/>
    <xf numFmtId="0" fontId="16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3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0" fontId="58" fillId="7" borderId="17" applyNumberFormat="0" applyFont="0" applyAlignment="0" applyProtection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30" fillId="7" borderId="17" applyNumberFormat="0" applyFont="0" applyAlignment="0" applyProtection="0"/>
    <xf numFmtId="0" fontId="3" fillId="0" borderId="0"/>
    <xf numFmtId="0" fontId="3" fillId="0" borderId="0"/>
    <xf numFmtId="0" fontId="58" fillId="96" borderId="69" applyNumberFormat="0" applyFont="0" applyAlignment="0" applyProtection="0"/>
    <xf numFmtId="0" fontId="18" fillId="7" borderId="17" applyNumberFormat="0" applyFon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0" fillId="7" borderId="17" applyNumberFormat="0" applyFont="0" applyAlignment="0" applyProtection="0"/>
    <xf numFmtId="0" fontId="3" fillId="0" borderId="0"/>
    <xf numFmtId="0" fontId="18" fillId="0" borderId="0"/>
    <xf numFmtId="0" fontId="58" fillId="96" borderId="69" applyNumberFormat="0" applyFont="0" applyAlignment="0" applyProtection="0"/>
    <xf numFmtId="0" fontId="18" fillId="7" borderId="17" applyNumberFormat="0" applyFont="0" applyAlignment="0" applyProtection="0"/>
    <xf numFmtId="0" fontId="18" fillId="62" borderId="109" applyNumberFormat="0" applyFont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18" fillId="7" borderId="17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18" fillId="7" borderId="17" applyNumberFormat="0" applyFont="0" applyAlignment="0" applyProtection="0"/>
    <xf numFmtId="0" fontId="58" fillId="7" borderId="17" applyNumberFormat="0" applyFont="0" applyAlignment="0" applyProtection="0"/>
    <xf numFmtId="0" fontId="18" fillId="7" borderId="17" applyNumberFormat="0" applyFont="0" applyAlignment="0" applyProtection="0"/>
    <xf numFmtId="0" fontId="3" fillId="96" borderId="69" applyNumberFormat="0" applyFont="0" applyAlignment="0" applyProtection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3" fillId="96" borderId="69" applyNumberFormat="0" applyFont="0" applyAlignment="0" applyProtection="0"/>
    <xf numFmtId="0" fontId="18" fillId="0" borderId="0"/>
    <xf numFmtId="0" fontId="18" fillId="0" borderId="0"/>
    <xf numFmtId="0" fontId="3" fillId="0" borderId="0"/>
    <xf numFmtId="0" fontId="18" fillId="7" borderId="17" applyNumberFormat="0" applyFont="0" applyAlignment="0" applyProtection="0"/>
    <xf numFmtId="0" fontId="3" fillId="0" borderId="0"/>
    <xf numFmtId="0" fontId="18" fillId="0" borderId="0"/>
    <xf numFmtId="0" fontId="18" fillId="7" borderId="17" applyNumberFormat="0" applyFont="0" applyAlignment="0" applyProtection="0"/>
    <xf numFmtId="0" fontId="3" fillId="0" borderId="0"/>
    <xf numFmtId="0" fontId="18" fillId="7" borderId="17" applyNumberFormat="0" applyFont="0" applyAlignment="0" applyProtection="0"/>
    <xf numFmtId="0" fontId="18" fillId="7" borderId="17" applyNumberFormat="0" applyFont="0" applyAlignment="0" applyProtection="0"/>
    <xf numFmtId="0" fontId="169" fillId="96" borderId="69" applyNumberFormat="0" applyFont="0" applyAlignment="0" applyProtection="0"/>
    <xf numFmtId="0" fontId="169" fillId="96" borderId="69" applyNumberFormat="0" applyFont="0" applyAlignment="0" applyProtection="0"/>
    <xf numFmtId="0" fontId="1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8" fillId="96" borderId="69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58" fillId="7" borderId="17" applyNumberFormat="0" applyFont="0" applyAlignment="0" applyProtection="0"/>
    <xf numFmtId="0" fontId="58" fillId="7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58" fillId="7" borderId="17" applyNumberFormat="0" applyFon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58" fillId="7" borderId="17" applyNumberFormat="0" applyFon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58" fillId="7" borderId="17" applyNumberFormat="0" applyFon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18" fillId="0" borderId="0"/>
    <xf numFmtId="0" fontId="3" fillId="0" borderId="0"/>
    <xf numFmtId="0" fontId="58" fillId="7" borderId="17" applyNumberFormat="0" applyFon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8" fillId="96" borderId="69" applyNumberFormat="0" applyFont="0" applyAlignment="0" applyProtection="0"/>
    <xf numFmtId="0" fontId="3" fillId="0" borderId="0"/>
    <xf numFmtId="0" fontId="87" fillId="35" borderId="18" applyNumberFormat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87" fillId="35" borderId="18" applyNumberFormat="0" applyAlignment="0" applyProtection="0"/>
    <xf numFmtId="0" fontId="3" fillId="0" borderId="0"/>
    <xf numFmtId="0" fontId="87" fillId="37" borderId="18" applyNumberFormat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87" fillId="35" borderId="18" applyNumberFormat="0" applyAlignment="0" applyProtection="0"/>
    <xf numFmtId="0" fontId="87" fillId="35" borderId="18" applyNumberFormat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224" fillId="109" borderId="110" applyNumberFormat="0" applyAlignment="0" applyProtection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87" fillId="35" borderId="18" applyNumberFormat="0" applyAlignment="0" applyProtection="0"/>
    <xf numFmtId="0" fontId="87" fillId="35" borderId="18" applyNumberFormat="0" applyAlignment="0" applyProtection="0"/>
    <xf numFmtId="0" fontId="3" fillId="0" borderId="0"/>
    <xf numFmtId="0" fontId="225" fillId="91" borderId="70" applyNumberFormat="0" applyAlignment="0" applyProtection="0"/>
    <xf numFmtId="0" fontId="3" fillId="0" borderId="0"/>
    <xf numFmtId="0" fontId="116" fillId="91" borderId="70" applyNumberFormat="0" applyAlignment="0" applyProtection="0"/>
    <xf numFmtId="0" fontId="225" fillId="91" borderId="70" applyNumberFormat="0" applyAlignment="0" applyProtection="0"/>
    <xf numFmtId="0" fontId="36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0" fillId="0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0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0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9" fontId="63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9" fontId="6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9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9" fontId="169" fillId="0" borderId="0" applyFont="0" applyFill="0" applyBorder="0" applyAlignment="0" applyProtection="0"/>
    <xf numFmtId="9" fontId="202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9" fontId="5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9" fontId="63" fillId="0" borderId="0" applyFont="0" applyFill="0" applyBorder="0" applyAlignment="0" applyProtection="0"/>
    <xf numFmtId="0" fontId="3" fillId="0" borderId="0"/>
    <xf numFmtId="0" fontId="18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9" fontId="18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9" fontId="74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9" fontId="74" fillId="0" borderId="0" applyFont="0" applyFill="0" applyBorder="0" applyAlignment="0" applyProtection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0" fontId="3" fillId="0" borderId="0"/>
    <xf numFmtId="9" fontId="169" fillId="0" borderId="0" applyFont="0" applyFill="0" applyBorder="0" applyAlignment="0" applyProtection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41" fontId="18" fillId="44" borderId="12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41" fontId="18" fillId="44" borderId="12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14" fontId="226" fillId="39" borderId="0" applyBorder="0" applyAlignment="0">
      <protection hidden="1"/>
    </xf>
    <xf numFmtId="1" fontId="226" fillId="39" borderId="0">
      <alignment horizontal="center"/>
    </xf>
    <xf numFmtId="0" fontId="41" fillId="0" borderId="0" applyNumberFormat="0" applyFont="0" applyFill="0" applyBorder="0" applyAlignment="0" applyProtection="0">
      <alignment horizontal="left"/>
    </xf>
    <xf numFmtId="0" fontId="18" fillId="0" borderId="0"/>
    <xf numFmtId="0" fontId="3" fillId="0" borderId="0"/>
    <xf numFmtId="15" fontId="41" fillId="0" borderId="0" applyFont="0" applyFill="0" applyBorder="0" applyAlignment="0" applyProtection="0"/>
    <xf numFmtId="0" fontId="18" fillId="0" borderId="0"/>
    <xf numFmtId="0" fontId="3" fillId="0" borderId="0"/>
    <xf numFmtId="4" fontId="41" fillId="0" borderId="0" applyFont="0" applyFill="0" applyBorder="0" applyAlignment="0" applyProtection="0"/>
    <xf numFmtId="0" fontId="18" fillId="0" borderId="0"/>
    <xf numFmtId="0" fontId="3" fillId="0" borderId="0"/>
    <xf numFmtId="0" fontId="42" fillId="0" borderId="105">
      <alignment horizontal="center"/>
    </xf>
    <xf numFmtId="0" fontId="42" fillId="0" borderId="105">
      <alignment horizontal="center"/>
    </xf>
    <xf numFmtId="0" fontId="18" fillId="0" borderId="0"/>
    <xf numFmtId="0" fontId="3" fillId="0" borderId="0"/>
    <xf numFmtId="3" fontId="41" fillId="0" borderId="0" applyFont="0" applyFill="0" applyBorder="0" applyAlignment="0" applyProtection="0"/>
    <xf numFmtId="0" fontId="18" fillId="0" borderId="0"/>
    <xf numFmtId="0" fontId="3" fillId="0" borderId="0"/>
    <xf numFmtId="0" fontId="41" fillId="45" borderId="0" applyNumberFormat="0" applyFont="0" applyBorder="0" applyAlignment="0" applyProtection="0"/>
    <xf numFmtId="0" fontId="18" fillId="0" borderId="0"/>
    <xf numFmtId="0" fontId="3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0" fillId="0" borderId="0"/>
    <xf numFmtId="0" fontId="100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4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3" fontId="53" fillId="0" borderId="0" applyFill="0" applyBorder="0" applyAlignment="0" applyProtection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0" fontId="3" fillId="0" borderId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3" fontId="5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42" fontId="18" fillId="36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42" fontId="18" fillId="36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42" fontId="18" fillId="36" borderId="20">
      <alignment vertical="center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36" borderId="21" applyNumberFormat="0">
      <alignment horizontal="center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0" fontId="18" fillId="36" borderId="0"/>
    <xf numFmtId="0" fontId="3" fillId="0" borderId="0"/>
    <xf numFmtId="10" fontId="18" fillId="36" borderId="0"/>
    <xf numFmtId="0" fontId="3" fillId="0" borderId="0"/>
    <xf numFmtId="0" fontId="18" fillId="0" borderId="0"/>
    <xf numFmtId="0" fontId="3" fillId="0" borderId="0"/>
    <xf numFmtId="10" fontId="18" fillId="36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0" fontId="18" fillId="36" borderId="0"/>
    <xf numFmtId="0" fontId="3" fillId="0" borderId="0"/>
    <xf numFmtId="10" fontId="18" fillId="36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0" fontId="18" fillId="36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0" fontId="18" fillId="36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0" fontId="18" fillId="36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3" fillId="0" borderId="0"/>
    <xf numFmtId="182" fontId="18" fillId="36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3" fillId="0" borderId="0"/>
    <xf numFmtId="182" fontId="18" fillId="36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82" fontId="18" fillId="36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182" fontId="18" fillId="36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2" fontId="18" fillId="36" borderId="0"/>
    <xf numFmtId="0" fontId="3" fillId="0" borderId="0"/>
    <xf numFmtId="0" fontId="3" fillId="0" borderId="0"/>
    <xf numFmtId="0" fontId="3" fillId="0" borderId="0"/>
    <xf numFmtId="0" fontId="18" fillId="0" borderId="0"/>
    <xf numFmtId="165" fontId="20" fillId="0" borderId="0" applyBorder="0" applyAlignment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42" fontId="18" fillId="36" borderId="22">
      <alignment horizontal="left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182" fontId="31" fillId="36" borderId="22">
      <alignment horizontal="left"/>
    </xf>
    <xf numFmtId="0" fontId="3" fillId="0" borderId="0"/>
    <xf numFmtId="0" fontId="3" fillId="0" borderId="0"/>
    <xf numFmtId="0" fontId="18" fillId="0" borderId="0"/>
    <xf numFmtId="0" fontId="3" fillId="0" borderId="0"/>
    <xf numFmtId="14" fontId="30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18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80" fontId="18" fillId="0" borderId="0" applyFont="0" applyFill="0" applyAlignment="0">
      <alignment horizontal="right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0" fontId="18" fillId="0" borderId="0" applyFont="0" applyFill="0" applyAlignment="0">
      <alignment horizontal="right"/>
    </xf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215" fontId="227" fillId="0" borderId="0"/>
    <xf numFmtId="4" fontId="65" fillId="43" borderId="18" applyNumberFormat="0" applyProtection="0">
      <alignment vertical="center"/>
    </xf>
    <xf numFmtId="0" fontId="3" fillId="0" borderId="0"/>
    <xf numFmtId="0" fontId="18" fillId="0" borderId="0"/>
    <xf numFmtId="0" fontId="3" fillId="0" borderId="0"/>
    <xf numFmtId="4" fontId="69" fillId="43" borderId="18" applyNumberFormat="0" applyProtection="0">
      <alignment vertical="center"/>
    </xf>
    <xf numFmtId="0" fontId="3" fillId="0" borderId="0"/>
    <xf numFmtId="0" fontId="18" fillId="0" borderId="0"/>
    <xf numFmtId="0" fontId="3" fillId="0" borderId="0"/>
    <xf numFmtId="4" fontId="65" fillId="43" borderId="18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65" fillId="43" borderId="18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65" fillId="47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48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49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0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1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2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3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4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5" fillId="55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70" fillId="114" borderId="0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65" fillId="57" borderId="0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71" fillId="58" borderId="0" applyNumberFormat="0" applyProtection="0">
      <alignment horizontal="left" vertical="center" indent="1"/>
    </xf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4" fontId="228" fillId="0" borderId="0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228" fillId="0" borderId="0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4" fontId="65" fillId="61" borderId="18" applyNumberFormat="0" applyProtection="0">
      <alignment vertical="center"/>
    </xf>
    <xf numFmtId="0" fontId="3" fillId="0" borderId="0"/>
    <xf numFmtId="0" fontId="18" fillId="0" borderId="0"/>
    <xf numFmtId="0" fontId="3" fillId="0" borderId="0"/>
    <xf numFmtId="4" fontId="69" fillId="61" borderId="18" applyNumberFormat="0" applyProtection="0">
      <alignment vertical="center"/>
    </xf>
    <xf numFmtId="0" fontId="3" fillId="0" borderId="0"/>
    <xf numFmtId="0" fontId="18" fillId="0" borderId="0"/>
    <xf numFmtId="0" fontId="3" fillId="0" borderId="0"/>
    <xf numFmtId="4" fontId="65" fillId="61" borderId="18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4" fontId="65" fillId="61" borderId="18" applyNumberFormat="0" applyProtection="0">
      <alignment horizontal="left" vertical="center" inden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4" fontId="65" fillId="57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4" fontId="69" fillId="57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0" fontId="229" fillId="0" borderId="0" applyNumberFormat="0" applyProtection="0">
      <alignment horizontal="left" indent="5"/>
    </xf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4" fontId="68" fillId="57" borderId="18" applyNumberFormat="0" applyProtection="0">
      <alignment horizontal="right" vertical="center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39" fontId="18" fillId="63" borderId="0"/>
    <xf numFmtId="0" fontId="3" fillId="0" borderId="0"/>
    <xf numFmtId="39" fontId="18" fillId="63" borderId="0"/>
    <xf numFmtId="0" fontId="3" fillId="0" borderId="0"/>
    <xf numFmtId="39" fontId="18" fillId="63" borderId="0"/>
    <xf numFmtId="0" fontId="3" fillId="0" borderId="0"/>
    <xf numFmtId="0" fontId="18" fillId="0" borderId="0"/>
    <xf numFmtId="0" fontId="3" fillId="0" borderId="0"/>
    <xf numFmtId="39" fontId="18" fillId="63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39" fontId="18" fillId="63" borderId="0"/>
    <xf numFmtId="0" fontId="3" fillId="0" borderId="0"/>
    <xf numFmtId="39" fontId="18" fillId="63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39" fontId="18" fillId="63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39" fontId="18" fillId="63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39" fontId="18" fillId="63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38" fontId="19" fillId="0" borderId="25"/>
    <xf numFmtId="0" fontId="18" fillId="0" borderId="0"/>
    <xf numFmtId="0" fontId="3" fillId="0" borderId="0"/>
    <xf numFmtId="38" fontId="19" fillId="0" borderId="25"/>
    <xf numFmtId="0" fontId="18" fillId="0" borderId="0"/>
    <xf numFmtId="0" fontId="3" fillId="0" borderId="0"/>
    <xf numFmtId="38" fontId="19" fillId="0" borderId="25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39" fontId="30" fillId="64" borderId="0"/>
    <xf numFmtId="0" fontId="3" fillId="0" borderId="0"/>
    <xf numFmtId="39" fontId="18" fillId="64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170" fontId="18" fillId="0" borderId="0">
      <alignment horizontal="left" wrapText="1"/>
    </xf>
    <xf numFmtId="0" fontId="3" fillId="0" borderId="0"/>
    <xf numFmtId="173" fontId="18" fillId="0" borderId="0">
      <alignment horizontal="left" wrapText="1"/>
    </xf>
    <xf numFmtId="171" fontId="18" fillId="0" borderId="0">
      <alignment horizontal="left" wrapText="1"/>
    </xf>
    <xf numFmtId="0" fontId="3" fillId="0" borderId="0"/>
    <xf numFmtId="0" fontId="18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16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0" fontId="18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18" fillId="0" borderId="0"/>
    <xf numFmtId="171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173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16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169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0" fontId="3" fillId="0" borderId="0"/>
    <xf numFmtId="173" fontId="18" fillId="0" borderId="0">
      <alignment horizontal="left" wrapText="1"/>
    </xf>
    <xf numFmtId="0" fontId="3" fillId="0" borderId="0"/>
    <xf numFmtId="0" fontId="18" fillId="0" borderId="0"/>
    <xf numFmtId="171" fontId="18" fillId="0" borderId="0">
      <alignment horizontal="left" wrapText="1"/>
    </xf>
    <xf numFmtId="0" fontId="3" fillId="0" borderId="0"/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73" fontId="18" fillId="0" borderId="0">
      <alignment horizontal="left" wrapText="1"/>
    </xf>
    <xf numFmtId="189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8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3" fillId="0" borderId="0"/>
    <xf numFmtId="0" fontId="18" fillId="0" borderId="0"/>
    <xf numFmtId="182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166" fontId="18" fillId="0" borderId="0">
      <alignment horizontal="left" wrapText="1"/>
    </xf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18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18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18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>
      <alignment horizontal="left" wrapText="1"/>
    </xf>
    <xf numFmtId="168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89" fontId="18" fillId="0" borderId="0">
      <alignment horizontal="left" wrapText="1"/>
    </xf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3" fontId="18" fillId="0" borderId="0">
      <alignment horizontal="left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1" fontId="18" fillId="0" borderId="0">
      <alignment horizontal="left" wrapText="1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69" fontId="18" fillId="0" borderId="0">
      <alignment horizontal="left" wrapText="1"/>
    </xf>
    <xf numFmtId="0" fontId="230" fillId="115" borderId="0" applyNumberFormat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116" borderId="111" applyNumberFormat="0" applyProtection="0">
      <alignment horizontal="center" wrapText="1"/>
    </xf>
    <xf numFmtId="0" fontId="159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116" borderId="112" applyNumberFormat="0" applyAlignment="0" applyProtection="0">
      <alignment wrapText="1"/>
    </xf>
    <xf numFmtId="0" fontId="231" fillId="115" borderId="0" applyNumberFormat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117" borderId="0" applyNumberFormat="0" applyBorder="0">
      <alignment horizontal="center"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18" fillId="117" borderId="0" applyNumberFormat="0" applyBorder="0">
      <alignment horizontal="center" wrapText="1"/>
    </xf>
    <xf numFmtId="0" fontId="24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118" borderId="113" applyNumberFormat="0">
      <alignment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18" fillId="118" borderId="113" applyNumberFormat="0">
      <alignment wrapText="1"/>
    </xf>
    <xf numFmtId="0" fontId="22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118" borderId="0" applyNumberFormat="0" applyBorder="0">
      <alignment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18" fillId="118" borderId="0" applyNumberFormat="0" applyBorder="0">
      <alignment wrapText="1"/>
    </xf>
    <xf numFmtId="0" fontId="232" fillId="65" borderId="0" applyNumberFormat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 applyNumberFormat="0" applyFill="0" applyBorder="0" applyProtection="0">
      <alignment horizontal="right" wrapText="1"/>
    </xf>
    <xf numFmtId="0" fontId="232" fillId="65" borderId="0" applyNumberFormat="0" applyBorder="0" applyProtection="0">
      <alignment horizontal="center"/>
    </xf>
    <xf numFmtId="0" fontId="18" fillId="0" borderId="0"/>
    <xf numFmtId="0" fontId="3" fillId="0" borderId="0"/>
    <xf numFmtId="0" fontId="3" fillId="0" borderId="0"/>
    <xf numFmtId="0" fontId="18" fillId="0" borderId="0"/>
    <xf numFmtId="216" fontId="18" fillId="0" borderId="0" applyFill="0" applyBorder="0" applyAlignment="0" applyProtection="0">
      <alignment wrapText="1"/>
    </xf>
    <xf numFmtId="0" fontId="18" fillId="0" borderId="0"/>
    <xf numFmtId="0" fontId="3" fillId="0" borderId="0"/>
    <xf numFmtId="0" fontId="18" fillId="0" borderId="0"/>
    <xf numFmtId="0" fontId="3" fillId="0" borderId="0"/>
    <xf numFmtId="216" fontId="18" fillId="0" borderId="0" applyFill="0" applyBorder="0" applyAlignment="0" applyProtection="0">
      <alignment wrapText="1"/>
    </xf>
    <xf numFmtId="0" fontId="233" fillId="65" borderId="0" applyNumberFormat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217" fontId="18" fillId="0" borderId="0" applyFill="0" applyBorder="0" applyAlignment="0" applyProtection="0">
      <alignment wrapText="1"/>
    </xf>
    <xf numFmtId="0" fontId="18" fillId="0" borderId="0"/>
    <xf numFmtId="0" fontId="3" fillId="0" borderId="0"/>
    <xf numFmtId="0" fontId="18" fillId="0" borderId="0"/>
    <xf numFmtId="0" fontId="3" fillId="0" borderId="0"/>
    <xf numFmtId="217" fontId="18" fillId="0" borderId="0" applyFill="0" applyBorder="0" applyAlignment="0" applyProtection="0">
      <alignment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17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17" fontId="18" fillId="0" borderId="0" applyFill="0" applyBorder="0" applyAlignment="0" applyProtection="0">
      <alignment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 applyNumberFormat="0" applyFill="0" applyBorder="0" applyProtection="0">
      <alignment horizontal="right" wrapText="1"/>
    </xf>
    <xf numFmtId="0" fontId="19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 applyNumberFormat="0" applyFill="0" applyBorder="0">
      <alignment horizontal="right" wrapText="1"/>
    </xf>
    <xf numFmtId="0" fontId="20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3" fillId="0" borderId="0"/>
    <xf numFmtId="0" fontId="18" fillId="0" borderId="0"/>
    <xf numFmtId="0" fontId="3" fillId="0" borderId="0"/>
    <xf numFmtId="17" fontId="18" fillId="0" borderId="0" applyFill="0" applyBorder="0">
      <alignment horizontal="right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8" fontId="18" fillId="0" borderId="0" applyFill="0" applyBorder="0" applyAlignment="0" applyProtection="0">
      <alignment wrapText="1"/>
    </xf>
    <xf numFmtId="0" fontId="18" fillId="119" borderId="0" applyNumberFormat="0" applyFont="0" applyBorder="0" applyAlignment="0" applyProtection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8" fontId="18" fillId="0" borderId="0" applyFill="0" applyBorder="0" applyAlignment="0" applyProtection="0">
      <alignment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18" fontId="18" fillId="0" borderId="0" applyFont="0" applyFill="0" applyBorder="0" applyAlignment="0" applyProtection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0" borderId="0" applyNumberFormat="0" applyFill="0" applyBorder="0">
      <alignment horizontal="center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" fontId="18" fillId="0" borderId="0" applyFont="0" applyFill="0" applyBorder="0" applyAlignment="0" applyProtection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0" borderId="0" applyNumberFormat="0" applyFill="0" applyBorder="0">
      <alignment horizontal="center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01" fontId="18" fillId="0" borderId="0" applyFont="0" applyFill="0" applyBorder="0" applyAlignment="0" applyProtection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22" fillId="0" borderId="0" applyNumberFormat="0" applyFill="0" applyBorder="0">
      <alignment horizontal="center" wrapText="1"/>
    </xf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19" applyNumberFormat="0" applyFont="0" applyFill="0" applyAlignment="0" applyProtection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65" fillId="0" borderId="0" applyNumberFormat="0" applyBorder="0" applyAlignment="0"/>
    <xf numFmtId="0" fontId="234" fillId="0" borderId="0" applyNumberFormat="0" applyBorder="0" applyAlignment="0"/>
    <xf numFmtId="0" fontId="70" fillId="0" borderId="0" applyNumberFormat="0" applyBorder="0" applyAlignment="0"/>
    <xf numFmtId="215" fontId="235" fillId="0" borderId="0"/>
    <xf numFmtId="203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40" fontId="43" fillId="0" borderId="0" applyBorder="0">
      <alignment horizontal="right"/>
    </xf>
    <xf numFmtId="41" fontId="55" fillId="36" borderId="0">
      <alignment horizontal="left"/>
    </xf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5" fontId="236" fillId="120" borderId="0" applyFont="0" applyBorder="0" applyAlignment="0">
      <alignment vertical="top" wrapText="1"/>
    </xf>
    <xf numFmtId="215" fontId="237" fillId="120" borderId="114" applyBorder="0">
      <alignment horizontal="right" vertical="top" wrapText="1"/>
    </xf>
    <xf numFmtId="0" fontId="176" fillId="0" borderId="0"/>
    <xf numFmtId="0" fontId="176" fillId="0" borderId="0"/>
    <xf numFmtId="0" fontId="3" fillId="0" borderId="0"/>
    <xf numFmtId="0" fontId="3" fillId="0" borderId="0"/>
    <xf numFmtId="0" fontId="3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88" fillId="0" borderId="0" applyNumberFormat="0" applyFill="0" applyBorder="0" applyAlignment="0" applyProtection="0"/>
    <xf numFmtId="0" fontId="3" fillId="0" borderId="0"/>
    <xf numFmtId="0" fontId="73" fillId="0" borderId="0" applyNumberForma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88" fillId="0" borderId="0" applyNumberForma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18" fillId="0" borderId="0"/>
    <xf numFmtId="0" fontId="238" fillId="0" borderId="0" applyNumberFormat="0" applyFill="0" applyBorder="0" applyAlignment="0" applyProtection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" fillId="0" borderId="0"/>
    <xf numFmtId="0" fontId="3" fillId="0" borderId="0"/>
    <xf numFmtId="0" fontId="117" fillId="0" borderId="0" applyNumberFormat="0" applyFill="0" applyBorder="0" applyAlignment="0" applyProtection="0"/>
    <xf numFmtId="0" fontId="56" fillId="36" borderId="0">
      <alignment horizontal="left" vertical="center"/>
    </xf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178" fontId="56" fillId="36" borderId="0">
      <alignment horizontal="left" vertical="center"/>
    </xf>
    <xf numFmtId="0" fontId="3" fillId="0" borderId="0"/>
    <xf numFmtId="0" fontId="3" fillId="0" borderId="0"/>
    <xf numFmtId="0" fontId="18" fillId="0" borderId="0"/>
    <xf numFmtId="0" fontId="3" fillId="0" borderId="0"/>
    <xf numFmtId="0" fontId="22" fillId="36" borderId="0">
      <alignment horizontal="left" wrapText="1"/>
    </xf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44" fillId="0" borderId="0">
      <alignment horizontal="left" vertical="center"/>
    </xf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201" fontId="154" fillId="0" borderId="0"/>
    <xf numFmtId="0" fontId="3" fillId="0" borderId="0"/>
    <xf numFmtId="0" fontId="67" fillId="0" borderId="2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26" applyNumberFormat="0" applyFont="0" applyFill="0" applyAlignment="0" applyProtection="0"/>
    <xf numFmtId="0" fontId="18" fillId="0" borderId="0"/>
    <xf numFmtId="0" fontId="3" fillId="0" borderId="0"/>
    <xf numFmtId="0" fontId="67" fillId="0" borderId="2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18" fillId="0" borderId="71" applyNumberFormat="0" applyFill="0" applyAlignment="0" applyProtection="0"/>
    <xf numFmtId="0" fontId="29" fillId="0" borderId="26" applyNumberFormat="0" applyFont="0" applyFill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0" fontId="29" fillId="0" borderId="26" applyNumberFormat="0" applyFont="0" applyFill="0" applyAlignment="0" applyProtection="0"/>
    <xf numFmtId="0" fontId="18" fillId="0" borderId="0"/>
    <xf numFmtId="0" fontId="3" fillId="0" borderId="0"/>
    <xf numFmtId="0" fontId="3" fillId="0" borderId="0"/>
    <xf numFmtId="0" fontId="118" fillId="0" borderId="71" applyNumberFormat="0" applyFill="0" applyAlignment="0" applyProtection="0"/>
    <xf numFmtId="0" fontId="98" fillId="0" borderId="29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0" fillId="0" borderId="29"/>
    <xf numFmtId="201" fontId="20" fillId="0" borderId="82"/>
    <xf numFmtId="209" fontId="200" fillId="0" borderId="82" applyAlignment="0"/>
    <xf numFmtId="210" fontId="200" fillId="0" borderId="82" applyAlignment="0"/>
    <xf numFmtId="215" fontId="200" fillId="0" borderId="82" applyAlignment="0">
      <alignment horizontal="right"/>
    </xf>
    <xf numFmtId="219" fontId="226" fillId="39" borderId="50" applyBorder="0">
      <alignment horizontal="right" vertical="center"/>
      <protection locked="0"/>
    </xf>
    <xf numFmtId="0" fontId="3" fillId="0" borderId="0"/>
    <xf numFmtId="0" fontId="3" fillId="0" borderId="0"/>
    <xf numFmtId="0" fontId="3" fillId="0" borderId="0"/>
    <xf numFmtId="0" fontId="18" fillId="0" borderId="0"/>
    <xf numFmtId="0" fontId="89" fillId="0" borderId="0" applyNumberForma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89" fillId="0" borderId="0" applyNumberForma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89" fillId="0" borderId="0" applyNumberFormat="0" applyFill="0" applyBorder="0" applyAlignment="0" applyProtection="0"/>
    <xf numFmtId="0" fontId="3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239" fillId="0" borderId="0" applyNumberFormat="0" applyFill="0" applyBorder="0" applyAlignment="0" applyProtection="0"/>
    <xf numFmtId="0" fontId="3" fillId="0" borderId="0"/>
    <xf numFmtId="0" fontId="18" fillId="0" borderId="0"/>
    <xf numFmtId="0" fontId="18" fillId="0" borderId="0"/>
    <xf numFmtId="0" fontId="3" fillId="0" borderId="0"/>
    <xf numFmtId="0" fontId="89" fillId="0" borderId="0" applyNumberFormat="0" applyFill="0" applyBorder="0" applyAlignment="0" applyProtection="0"/>
    <xf numFmtId="0" fontId="3" fillId="0" borderId="0"/>
    <xf numFmtId="0" fontId="18" fillId="0" borderId="0"/>
    <xf numFmtId="0" fontId="89" fillId="0" borderId="0" applyNumberFormat="0" applyFill="0" applyBorder="0" applyAlignment="0" applyProtection="0"/>
    <xf numFmtId="0" fontId="3" fillId="0" borderId="0"/>
    <xf numFmtId="0" fontId="240" fillId="0" borderId="0" applyNumberFormat="0" applyFill="0" applyBorder="0" applyAlignment="0" applyProtection="0"/>
    <xf numFmtId="0" fontId="3" fillId="0" borderId="0"/>
    <xf numFmtId="0" fontId="240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  <xf numFmtId="0" fontId="3" fillId="0" borderId="0"/>
    <xf numFmtId="44" fontId="58" fillId="0" borderId="0" applyFont="0" applyFill="0" applyBorder="0" applyAlignment="0" applyProtection="0"/>
    <xf numFmtId="0" fontId="5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9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3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0" fontId="18" fillId="0" borderId="0"/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71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33" borderId="0" applyNumberFormat="0" applyBorder="0" applyAlignment="0" applyProtection="0"/>
    <xf numFmtId="0" fontId="58" fillId="26" borderId="0" applyNumberFormat="0" applyBorder="0" applyAlignment="0" applyProtection="0"/>
    <xf numFmtId="0" fontId="18" fillId="32" borderId="72" applyNumberFormat="0" applyProtection="0">
      <alignment horizontal="left" vertical="center" indent="1"/>
    </xf>
    <xf numFmtId="0" fontId="18" fillId="32" borderId="72" applyNumberFormat="0" applyProtection="0">
      <alignment horizontal="left" vertical="top" indent="1"/>
    </xf>
    <xf numFmtId="0" fontId="18" fillId="97" borderId="72" applyNumberFormat="0" applyProtection="0">
      <alignment horizontal="left" vertical="center" indent="1"/>
    </xf>
    <xf numFmtId="0" fontId="18" fillId="97" borderId="72" applyNumberFormat="0" applyProtection="0">
      <alignment horizontal="left" vertical="top" indent="1"/>
    </xf>
    <xf numFmtId="0" fontId="18" fillId="3" borderId="72" applyNumberFormat="0" applyProtection="0">
      <alignment horizontal="left" vertical="center" indent="1"/>
    </xf>
    <xf numFmtId="0" fontId="18" fillId="3" borderId="72" applyNumberFormat="0" applyProtection="0">
      <alignment horizontal="left" vertical="top" indent="1"/>
    </xf>
    <xf numFmtId="0" fontId="18" fillId="98" borderId="72" applyNumberFormat="0" applyProtection="0">
      <alignment horizontal="left" vertical="center" indent="1"/>
    </xf>
    <xf numFmtId="0" fontId="18" fillId="98" borderId="72" applyNumberFormat="0" applyProtection="0">
      <alignment horizontal="left" vertical="top" indent="1"/>
    </xf>
    <xf numFmtId="0" fontId="1" fillId="0" borderId="0"/>
  </cellStyleXfs>
  <cellXfs count="1501">
    <xf numFmtId="0" fontId="0" fillId="0" borderId="0" xfId="0" applyNumberFormat="1" applyAlignment="1"/>
    <xf numFmtId="0" fontId="22" fillId="0" borderId="0" xfId="0" applyNumberFormat="1" applyFont="1" applyBorder="1" applyAlignment="1"/>
    <xf numFmtId="0" fontId="25" fillId="0" borderId="0" xfId="0" applyNumberFormat="1" applyFont="1" applyAlignment="1"/>
    <xf numFmtId="42" fontId="25" fillId="0" borderId="0" xfId="0" applyNumberFormat="1" applyFont="1" applyAlignment="1"/>
    <xf numFmtId="41" fontId="25" fillId="0" borderId="0" xfId="0" applyNumberFormat="1" applyFont="1" applyAlignment="1"/>
    <xf numFmtId="37" fontId="28" fillId="0" borderId="0" xfId="0" applyNumberFormat="1" applyFont="1" applyFill="1" applyBorder="1" applyAlignment="1">
      <alignment horizontal="center"/>
    </xf>
    <xf numFmtId="169" fontId="22" fillId="0" borderId="0" xfId="0" applyFont="1" applyFill="1" applyAlignment="1">
      <alignment horizontal="left"/>
    </xf>
    <xf numFmtId="169" fontId="25" fillId="0" borderId="0" xfId="0" applyFont="1" applyFill="1" applyAlignment="1">
      <alignment horizontal="left"/>
    </xf>
    <xf numFmtId="169" fontId="25" fillId="0" borderId="0" xfId="0" applyFont="1" applyAlignment="1">
      <alignment horizontal="left"/>
    </xf>
    <xf numFmtId="169" fontId="25" fillId="0" borderId="0" xfId="0" applyFont="1" applyFill="1" applyAlignment="1">
      <alignment horizontal="right"/>
    </xf>
    <xf numFmtId="0" fontId="25" fillId="0" borderId="0" xfId="3061" applyFont="1"/>
    <xf numFmtId="0" fontId="25" fillId="0" borderId="0" xfId="3061" applyFont="1" applyFill="1" applyBorder="1"/>
    <xf numFmtId="0" fontId="22" fillId="0" borderId="30" xfId="0" applyNumberFormat="1" applyFont="1" applyBorder="1" applyAlignment="1">
      <alignment horizontal="center"/>
    </xf>
    <xf numFmtId="0" fontId="25" fillId="0" borderId="31" xfId="0" applyNumberFormat="1" applyFont="1" applyBorder="1" applyAlignment="1"/>
    <xf numFmtId="0" fontId="22" fillId="0" borderId="31" xfId="0" applyNumberFormat="1" applyFont="1" applyBorder="1" applyAlignment="1">
      <alignment horizontal="center"/>
    </xf>
    <xf numFmtId="0" fontId="22" fillId="0" borderId="32" xfId="0" applyNumberFormat="1" applyFont="1" applyBorder="1" applyAlignment="1">
      <alignment horizontal="center"/>
    </xf>
    <xf numFmtId="177" fontId="25" fillId="0" borderId="33" xfId="0" applyNumberFormat="1" applyFont="1" applyBorder="1" applyAlignment="1">
      <alignment horizontal="right"/>
    </xf>
    <xf numFmtId="42" fontId="25" fillId="0" borderId="33" xfId="0" applyNumberFormat="1" applyFont="1" applyBorder="1" applyAlignment="1"/>
    <xf numFmtId="41" fontId="25" fillId="0" borderId="34" xfId="0" applyNumberFormat="1" applyFont="1" applyBorder="1" applyAlignment="1"/>
    <xf numFmtId="175" fontId="22" fillId="0" borderId="32" xfId="0" applyNumberFormat="1" applyFont="1" applyBorder="1" applyAlignment="1">
      <alignment horizontal="center"/>
    </xf>
    <xf numFmtId="0" fontId="22" fillId="0" borderId="37" xfId="0" applyNumberFormat="1" applyFont="1" applyBorder="1" applyAlignment="1">
      <alignment horizontal="centerContinuous" vertical="center"/>
    </xf>
    <xf numFmtId="0" fontId="22" fillId="0" borderId="38" xfId="0" applyNumberFormat="1" applyFont="1" applyBorder="1" applyAlignment="1">
      <alignment horizontal="centerContinuous" vertical="center"/>
    </xf>
    <xf numFmtId="169" fontId="22" fillId="0" borderId="30" xfId="0" applyFont="1" applyBorder="1" applyAlignment="1">
      <alignment horizontal="center"/>
    </xf>
    <xf numFmtId="0" fontId="22" fillId="0" borderId="40" xfId="0" applyNumberFormat="1" applyFont="1" applyBorder="1" applyAlignment="1">
      <alignment horizontal="center"/>
    </xf>
    <xf numFmtId="0" fontId="22" fillId="0" borderId="41" xfId="0" applyNumberFormat="1" applyFont="1" applyBorder="1" applyAlignment="1">
      <alignment horizontal="center"/>
    </xf>
    <xf numFmtId="169" fontId="22" fillId="0" borderId="31" xfId="0" applyFont="1" applyBorder="1" applyAlignment="1">
      <alignment horizontal="center"/>
    </xf>
    <xf numFmtId="9" fontId="22" fillId="0" borderId="31" xfId="0" applyNumberFormat="1" applyFont="1" applyBorder="1" applyAlignment="1">
      <alignment horizontal="center"/>
    </xf>
    <xf numFmtId="169" fontId="22" fillId="0" borderId="31" xfId="0" applyFont="1" applyFill="1" applyBorder="1" applyAlignment="1">
      <alignment horizontal="center"/>
    </xf>
    <xf numFmtId="0" fontId="22" fillId="0" borderId="42" xfId="0" applyNumberFormat="1" applyFont="1" applyBorder="1" applyAlignment="1">
      <alignment horizontal="center"/>
    </xf>
    <xf numFmtId="0" fontId="22" fillId="0" borderId="44" xfId="0" applyNumberFormat="1" applyFont="1" applyBorder="1" applyAlignment="1">
      <alignment horizontal="center"/>
    </xf>
    <xf numFmtId="0" fontId="46" fillId="0" borderId="44" xfId="0" applyNumberFormat="1" applyFont="1" applyBorder="1" applyAlignment="1">
      <alignment horizontal="center"/>
    </xf>
    <xf numFmtId="169" fontId="22" fillId="0" borderId="32" xfId="0" applyFont="1" applyBorder="1" applyAlignment="1">
      <alignment horizontal="center"/>
    </xf>
    <xf numFmtId="9" fontId="22" fillId="0" borderId="32" xfId="0" applyNumberFormat="1" applyFont="1" applyBorder="1" applyAlignment="1">
      <alignment horizontal="center"/>
    </xf>
    <xf numFmtId="169" fontId="22" fillId="0" borderId="32" xfId="0" quotePrefix="1" applyFont="1" applyFill="1" applyBorder="1" applyAlignment="1">
      <alignment horizontal="center"/>
    </xf>
    <xf numFmtId="42" fontId="22" fillId="65" borderId="32" xfId="0" applyNumberFormat="1" applyFont="1" applyFill="1" applyBorder="1" applyAlignment="1"/>
    <xf numFmtId="169" fontId="28" fillId="0" borderId="48" xfId="0" applyFont="1" applyFill="1" applyBorder="1" applyAlignment="1">
      <alignment horizontal="left"/>
    </xf>
    <xf numFmtId="169" fontId="28" fillId="0" borderId="4" xfId="0" applyFont="1" applyFill="1" applyBorder="1" applyAlignment="1">
      <alignment horizontal="centerContinuous"/>
    </xf>
    <xf numFmtId="169" fontId="28" fillId="0" borderId="46" xfId="0" applyFont="1" applyFill="1" applyBorder="1" applyAlignment="1">
      <alignment horizontal="centerContinuous"/>
    </xf>
    <xf numFmtId="169" fontId="28" fillId="0" borderId="45" xfId="0" applyFont="1" applyFill="1" applyBorder="1" applyAlignment="1">
      <alignment horizontal="centerContinuous"/>
    </xf>
    <xf numFmtId="169" fontId="28" fillId="0" borderId="50" xfId="0" applyFont="1" applyFill="1" applyBorder="1" applyAlignment="1">
      <alignment horizontal="left"/>
    </xf>
    <xf numFmtId="169" fontId="28" fillId="0" borderId="0" xfId="0" applyFont="1" applyFill="1" applyBorder="1" applyAlignment="1">
      <alignment horizontal="left"/>
    </xf>
    <xf numFmtId="169" fontId="28" fillId="0" borderId="51" xfId="0" applyFont="1" applyFill="1" applyBorder="1" applyAlignment="1">
      <alignment horizontal="center"/>
    </xf>
    <xf numFmtId="169" fontId="28" fillId="0" borderId="50" xfId="0" applyFont="1" applyFill="1" applyBorder="1" applyAlignment="1">
      <alignment horizontal="centerContinuous"/>
    </xf>
    <xf numFmtId="169" fontId="28" fillId="0" borderId="0" xfId="0" applyFont="1" applyFill="1" applyBorder="1" applyAlignment="1">
      <alignment horizontal="centerContinuous"/>
    </xf>
    <xf numFmtId="169" fontId="28" fillId="0" borderId="50" xfId="0" applyFont="1" applyFill="1" applyBorder="1" applyAlignment="1">
      <alignment horizontal="center"/>
    </xf>
    <xf numFmtId="169" fontId="28" fillId="0" borderId="0" xfId="0" applyFont="1" applyFill="1" applyBorder="1" applyAlignment="1">
      <alignment horizontal="center"/>
    </xf>
    <xf numFmtId="169" fontId="28" fillId="0" borderId="52" xfId="0" applyFont="1" applyFill="1" applyBorder="1" applyAlignment="1">
      <alignment horizontal="center"/>
    </xf>
    <xf numFmtId="169" fontId="28" fillId="0" borderId="21" xfId="0" applyFont="1" applyFill="1" applyBorder="1" applyAlignment="1">
      <alignment horizontal="center"/>
    </xf>
    <xf numFmtId="169" fontId="28" fillId="0" borderId="53" xfId="0" applyFont="1" applyFill="1" applyBorder="1" applyAlignment="1">
      <alignment horizontal="center"/>
    </xf>
    <xf numFmtId="0" fontId="28" fillId="0" borderId="50" xfId="0" applyNumberFormat="1" applyFont="1" applyFill="1" applyBorder="1" applyAlignment="1">
      <alignment horizontal="center" vertical="top"/>
    </xf>
    <xf numFmtId="17" fontId="28" fillId="0" borderId="0" xfId="0" applyNumberFormat="1" applyFont="1" applyFill="1" applyBorder="1" applyAlignment="1">
      <alignment horizontal="center" vertical="top"/>
    </xf>
    <xf numFmtId="41" fontId="28" fillId="0" borderId="0" xfId="0" applyNumberFormat="1" applyFont="1" applyFill="1" applyBorder="1" applyAlignment="1">
      <alignment horizontal="center" vertical="top"/>
    </xf>
    <xf numFmtId="41" fontId="28" fillId="0" borderId="51" xfId="0" applyNumberFormat="1" applyFont="1" applyFill="1" applyBorder="1" applyAlignment="1">
      <alignment horizontal="center" vertical="top"/>
    </xf>
    <xf numFmtId="37" fontId="28" fillId="0" borderId="0" xfId="0" applyNumberFormat="1" applyFont="1" applyFill="1" applyBorder="1" applyAlignment="1">
      <alignment horizontal="center" vertical="top"/>
    </xf>
    <xf numFmtId="0" fontId="28" fillId="0" borderId="52" xfId="0" applyNumberFormat="1" applyFont="1" applyFill="1" applyBorder="1" applyAlignment="1">
      <alignment horizontal="center"/>
    </xf>
    <xf numFmtId="17" fontId="28" fillId="0" borderId="21" xfId="0" applyNumberFormat="1" applyFont="1" applyFill="1" applyBorder="1" applyAlignment="1">
      <alignment horizontal="center"/>
    </xf>
    <xf numFmtId="41" fontId="28" fillId="0" borderId="21" xfId="0" applyNumberFormat="1" applyFont="1" applyFill="1" applyBorder="1" applyAlignment="1">
      <alignment horizontal="center"/>
    </xf>
    <xf numFmtId="41" fontId="28" fillId="0" borderId="53" xfId="0" applyNumberFormat="1" applyFont="1" applyFill="1" applyBorder="1" applyAlignment="1">
      <alignment horizontal="center"/>
    </xf>
    <xf numFmtId="37" fontId="28" fillId="0" borderId="21" xfId="0" applyNumberFormat="1" applyFont="1" applyFill="1" applyBorder="1" applyAlignment="1">
      <alignment horizontal="center"/>
    </xf>
    <xf numFmtId="41" fontId="28" fillId="0" borderId="21" xfId="0" applyNumberFormat="1" applyFont="1" applyFill="1" applyBorder="1" applyAlignment="1">
      <alignment horizontal="left"/>
    </xf>
    <xf numFmtId="0" fontId="28" fillId="0" borderId="50" xfId="0" applyNumberFormat="1" applyFont="1" applyFill="1" applyBorder="1" applyAlignment="1">
      <alignment horizontal="center"/>
    </xf>
    <xf numFmtId="17" fontId="28" fillId="0" borderId="0" xfId="0" applyNumberFormat="1" applyFont="1" applyFill="1" applyBorder="1" applyAlignment="1">
      <alignment horizontal="center"/>
    </xf>
    <xf numFmtId="41" fontId="28" fillId="0" borderId="0" xfId="0" applyNumberFormat="1" applyFont="1" applyFill="1" applyBorder="1" applyAlignment="1">
      <alignment horizontal="left"/>
    </xf>
    <xf numFmtId="41" fontId="28" fillId="0" borderId="51" xfId="0" applyNumberFormat="1" applyFont="1" applyFill="1" applyBorder="1" applyAlignment="1">
      <alignment horizontal="left"/>
    </xf>
    <xf numFmtId="37" fontId="28" fillId="0" borderId="50" xfId="0" applyNumberFormat="1" applyFont="1" applyFill="1" applyBorder="1" applyAlignment="1">
      <alignment horizontal="center"/>
    </xf>
    <xf numFmtId="0" fontId="32" fillId="0" borderId="0" xfId="3063" applyFont="1" applyFill="1" applyAlignment="1">
      <alignment horizontal="center"/>
    </xf>
    <xf numFmtId="0" fontId="32" fillId="0" borderId="0" xfId="3063" applyFont="1" applyFill="1"/>
    <xf numFmtId="42" fontId="32" fillId="0" borderId="20" xfId="3063" applyNumberFormat="1" applyFont="1" applyFill="1" applyBorder="1"/>
    <xf numFmtId="0" fontId="32" fillId="0" borderId="0" xfId="3063" applyFont="1" applyFill="1" applyAlignment="1">
      <alignment horizontal="left" indent="2"/>
    </xf>
    <xf numFmtId="42" fontId="32" fillId="0" borderId="0" xfId="3063" applyNumberFormat="1" applyFont="1" applyFill="1" applyBorder="1"/>
    <xf numFmtId="169" fontId="32" fillId="0" borderId="0" xfId="0" quotePrefix="1" applyFont="1" applyFill="1" applyAlignment="1">
      <alignment horizontal="left"/>
    </xf>
    <xf numFmtId="41" fontId="32" fillId="0" borderId="0" xfId="3063" applyNumberFormat="1" applyFont="1" applyFill="1" applyBorder="1"/>
    <xf numFmtId="169" fontId="32" fillId="0" borderId="0" xfId="0" applyFont="1" applyFill="1" applyAlignment="1">
      <alignment horizontal="left"/>
    </xf>
    <xf numFmtId="164" fontId="32" fillId="0" borderId="0" xfId="0" applyNumberFormat="1" applyFont="1" applyFill="1" applyBorder="1" applyAlignment="1"/>
    <xf numFmtId="0" fontId="48" fillId="0" borderId="0" xfId="3064" applyFont="1" applyFill="1" applyBorder="1" applyAlignment="1">
      <alignment horizontal="left"/>
    </xf>
    <xf numFmtId="0" fontId="32" fillId="0" borderId="0" xfId="3064" applyFont="1" applyFill="1" applyBorder="1" applyAlignment="1">
      <alignment horizontal="left"/>
    </xf>
    <xf numFmtId="169" fontId="32" fillId="0" borderId="0" xfId="0" applyFont="1" applyFill="1" applyAlignment="1">
      <alignment horizontal="left" indent="1"/>
    </xf>
    <xf numFmtId="42" fontId="25" fillId="0" borderId="33" xfId="3060" applyNumberFormat="1" applyFont="1" applyBorder="1" applyAlignment="1"/>
    <xf numFmtId="41" fontId="25" fillId="0" borderId="34" xfId="3060" applyNumberFormat="1" applyFont="1" applyBorder="1" applyAlignment="1"/>
    <xf numFmtId="0" fontId="25" fillId="0" borderId="0" xfId="3061" applyFont="1" applyAlignment="1">
      <alignment horizontal="right"/>
    </xf>
    <xf numFmtId="9" fontId="25" fillId="0" borderId="0" xfId="3099" applyFont="1" applyFill="1" applyAlignment="1">
      <alignment horizontal="left"/>
    </xf>
    <xf numFmtId="165" fontId="25" fillId="0" borderId="0" xfId="2661" applyNumberFormat="1" applyFont="1" applyAlignment="1">
      <alignment horizontal="left"/>
    </xf>
    <xf numFmtId="169" fontId="25" fillId="0" borderId="0" xfId="0" applyFont="1" applyAlignment="1">
      <alignment horizontal="right"/>
    </xf>
    <xf numFmtId="177" fontId="25" fillId="0" borderId="34" xfId="0" applyNumberFormat="1" applyFont="1" applyFill="1" applyBorder="1" applyAlignment="1">
      <alignment horizontal="right"/>
    </xf>
    <xf numFmtId="41" fontId="25" fillId="0" borderId="34" xfId="0" applyNumberFormat="1" applyFont="1" applyFill="1" applyBorder="1" applyAlignment="1"/>
    <xf numFmtId="41" fontId="25" fillId="0" borderId="57" xfId="0" applyNumberFormat="1" applyFont="1" applyFill="1" applyBorder="1" applyAlignment="1"/>
    <xf numFmtId="41" fontId="25" fillId="0" borderId="58" xfId="0" applyNumberFormat="1" applyFont="1" applyFill="1" applyBorder="1" applyAlignment="1"/>
    <xf numFmtId="0" fontId="22" fillId="0" borderId="40" xfId="0" applyNumberFormat="1" applyFont="1" applyBorder="1" applyAlignment="1">
      <alignment horizontal="centerContinuous" vertical="center"/>
    </xf>
    <xf numFmtId="0" fontId="22" fillId="0" borderId="41" xfId="0" applyNumberFormat="1" applyFont="1" applyBorder="1" applyAlignment="1">
      <alignment horizontal="centerContinuous" vertical="center"/>
    </xf>
    <xf numFmtId="42" fontId="25" fillId="0" borderId="0" xfId="3060" applyNumberFormat="1" applyFont="1" applyBorder="1" applyAlignment="1"/>
    <xf numFmtId="0" fontId="22" fillId="0" borderId="41" xfId="0" applyNumberFormat="1" applyFont="1" applyBorder="1" applyAlignment="1">
      <alignment horizontal="center" vertical="top"/>
    </xf>
    <xf numFmtId="42" fontId="0" fillId="0" borderId="0" xfId="0" applyNumberFormat="1" applyAlignment="1"/>
    <xf numFmtId="0" fontId="25" fillId="0" borderId="0" xfId="3063" applyFont="1" applyFill="1"/>
    <xf numFmtId="0" fontId="25" fillId="0" borderId="0" xfId="3063" applyFont="1"/>
    <xf numFmtId="0" fontId="25" fillId="0" borderId="0" xfId="3063" applyFont="1" applyFill="1" applyBorder="1"/>
    <xf numFmtId="5" fontId="32" fillId="0" borderId="0" xfId="3063" applyNumberFormat="1" applyFont="1" applyFill="1" applyBorder="1"/>
    <xf numFmtId="0" fontId="97" fillId="0" borderId="0" xfId="0" applyNumberFormat="1" applyFont="1" applyAlignment="1"/>
    <xf numFmtId="42" fontId="32" fillId="0" borderId="0" xfId="2682" applyNumberFormat="1" applyFont="1" applyFill="1"/>
    <xf numFmtId="41" fontId="32" fillId="0" borderId="0" xfId="2682" applyNumberFormat="1" applyFont="1" applyFill="1"/>
    <xf numFmtId="41" fontId="32" fillId="0" borderId="0" xfId="2682" applyNumberFormat="1" applyFont="1" applyFill="1" applyBorder="1"/>
    <xf numFmtId="10" fontId="32" fillId="0" borderId="0" xfId="3106" applyNumberFormat="1" applyFont="1" applyFill="1" applyBorder="1"/>
    <xf numFmtId="5" fontId="32" fillId="0" borderId="0" xfId="2682" applyNumberFormat="1" applyFont="1" applyFill="1" applyBorder="1"/>
    <xf numFmtId="41" fontId="121" fillId="0" borderId="0" xfId="3063" applyNumberFormat="1" applyFont="1" applyFill="1" applyBorder="1"/>
    <xf numFmtId="5" fontId="22" fillId="0" borderId="0" xfId="2747" applyNumberFormat="1" applyFont="1" applyFill="1" applyAlignment="1"/>
    <xf numFmtId="0" fontId="0" fillId="0" borderId="0" xfId="0" applyNumberFormat="1" applyAlignment="1"/>
    <xf numFmtId="170" fontId="19" fillId="0" borderId="0" xfId="3061" applyNumberFormat="1" applyFont="1" applyAlignment="1"/>
    <xf numFmtId="0" fontId="19" fillId="0" borderId="0" xfId="3127" applyNumberFormat="1" applyFont="1" applyBorder="1" applyAlignment="1">
      <alignment horizontal="center"/>
    </xf>
    <xf numFmtId="13" fontId="25" fillId="0" borderId="0" xfId="3061" applyNumberFormat="1" applyFont="1"/>
    <xf numFmtId="41" fontId="18" fillId="0" borderId="34" xfId="0" applyNumberFormat="1" applyFont="1" applyFill="1" applyBorder="1" applyAlignment="1"/>
    <xf numFmtId="169" fontId="123" fillId="0" borderId="0" xfId="0" applyFont="1" applyFill="1" applyAlignment="1">
      <alignment horizontal="left"/>
    </xf>
    <xf numFmtId="0" fontId="130" fillId="0" borderId="0" xfId="0" applyNumberFormat="1" applyFont="1" applyAlignment="1"/>
    <xf numFmtId="41" fontId="22" fillId="0" borderId="0" xfId="0" applyNumberFormat="1" applyFont="1" applyAlignment="1"/>
    <xf numFmtId="0" fontId="132" fillId="0" borderId="0" xfId="0" applyNumberFormat="1" applyFont="1" applyAlignment="1"/>
    <xf numFmtId="177" fontId="123" fillId="0" borderId="34" xfId="0" applyNumberFormat="1" applyFont="1" applyFill="1" applyBorder="1" applyAlignment="1">
      <alignment horizontal="left"/>
    </xf>
    <xf numFmtId="177" fontId="18" fillId="0" borderId="34" xfId="0" applyNumberFormat="1" applyFont="1" applyFill="1" applyBorder="1" applyAlignment="1">
      <alignment horizontal="right"/>
    </xf>
    <xf numFmtId="0" fontId="0" fillId="0" borderId="0" xfId="3380" applyFont="1"/>
    <xf numFmtId="0" fontId="24" fillId="0" borderId="0" xfId="3380" applyFont="1" applyAlignment="1">
      <alignment horizontal="center"/>
    </xf>
    <xf numFmtId="0" fontId="0" fillId="0" borderId="0" xfId="3380" applyFont="1" applyBorder="1"/>
    <xf numFmtId="37" fontId="0" fillId="0" borderId="43" xfId="3380" applyNumberFormat="1" applyFont="1" applyBorder="1"/>
    <xf numFmtId="10" fontId="18" fillId="0" borderId="0" xfId="3382" applyNumberFormat="1" applyBorder="1"/>
    <xf numFmtId="0" fontId="126" fillId="0" borderId="0" xfId="3380" applyFont="1"/>
    <xf numFmtId="6" fontId="0" fillId="0" borderId="0" xfId="3380" applyNumberFormat="1" applyFont="1"/>
    <xf numFmtId="0" fontId="18" fillId="0" borderId="0" xfId="3380" applyFont="1"/>
    <xf numFmtId="10" fontId="140" fillId="0" borderId="56" xfId="3380" applyNumberFormat="1" applyFont="1" applyBorder="1"/>
    <xf numFmtId="41" fontId="25" fillId="101" borderId="34" xfId="0" applyNumberFormat="1" applyFont="1" applyFill="1" applyBorder="1" applyAlignment="1"/>
    <xf numFmtId="10" fontId="123" fillId="0" borderId="31" xfId="0" applyNumberFormat="1" applyFont="1" applyFill="1" applyBorder="1" applyAlignment="1">
      <alignment horizontal="center"/>
    </xf>
    <xf numFmtId="0" fontId="25" fillId="0" borderId="0" xfId="3061" applyFont="1" applyFill="1"/>
    <xf numFmtId="0" fontId="22" fillId="0" borderId="30" xfId="0" applyNumberFormat="1" applyFont="1" applyFill="1" applyBorder="1" applyAlignment="1">
      <alignment horizontal="center"/>
    </xf>
    <xf numFmtId="0" fontId="25" fillId="0" borderId="0" xfId="0" applyNumberFormat="1" applyFont="1" applyFill="1" applyAlignment="1"/>
    <xf numFmtId="0" fontId="25" fillId="0" borderId="31" xfId="0" applyNumberFormat="1" applyFont="1" applyFill="1" applyBorder="1" applyAlignment="1"/>
    <xf numFmtId="0" fontId="22" fillId="0" borderId="31" xfId="0" applyNumberFormat="1" applyFont="1" applyFill="1" applyBorder="1" applyAlignment="1">
      <alignment horizontal="center"/>
    </xf>
    <xf numFmtId="0" fontId="22" fillId="0" borderId="32" xfId="0" applyNumberFormat="1" applyFont="1" applyFill="1" applyBorder="1" applyAlignment="1">
      <alignment horizontal="center"/>
    </xf>
    <xf numFmtId="0" fontId="45" fillId="0" borderId="32" xfId="0" applyNumberFormat="1" applyFont="1" applyFill="1" applyBorder="1" applyAlignment="1">
      <alignment horizontal="center"/>
    </xf>
    <xf numFmtId="175" fontId="18" fillId="0" borderId="33" xfId="0" applyNumberFormat="1" applyFont="1" applyFill="1" applyBorder="1" applyAlignment="1">
      <alignment horizontal="right"/>
    </xf>
    <xf numFmtId="42" fontId="25" fillId="0" borderId="0" xfId="0" applyNumberFormat="1" applyFont="1" applyFill="1" applyAlignment="1"/>
    <xf numFmtId="41" fontId="25" fillId="0" borderId="0" xfId="0" applyNumberFormat="1" applyFont="1" applyFill="1" applyAlignment="1"/>
    <xf numFmtId="43" fontId="25" fillId="0" borderId="0" xfId="2661" applyFont="1" applyFill="1" applyAlignment="1"/>
    <xf numFmtId="41" fontId="22" fillId="0" borderId="0" xfId="0" applyNumberFormat="1" applyFont="1" applyFill="1" applyAlignment="1"/>
    <xf numFmtId="43" fontId="25" fillId="0" borderId="0" xfId="0" applyNumberFormat="1" applyFont="1" applyFill="1" applyAlignment="1"/>
    <xf numFmtId="175" fontId="22" fillId="0" borderId="30" xfId="0" applyNumberFormat="1" applyFont="1" applyFill="1" applyBorder="1" applyAlignment="1">
      <alignment horizontal="center"/>
    </xf>
    <xf numFmtId="175" fontId="22" fillId="0" borderId="32" xfId="0" applyNumberFormat="1" applyFont="1" applyFill="1" applyBorder="1" applyAlignment="1">
      <alignment horizontal="center"/>
    </xf>
    <xf numFmtId="42" fontId="22" fillId="0" borderId="32" xfId="0" applyNumberFormat="1" applyFont="1" applyFill="1" applyBorder="1" applyAlignment="1"/>
    <xf numFmtId="42" fontId="22" fillId="0" borderId="30" xfId="0" applyNumberFormat="1" applyFont="1" applyFill="1" applyBorder="1" applyAlignment="1"/>
    <xf numFmtId="10" fontId="123" fillId="0" borderId="41" xfId="0" applyNumberFormat="1" applyFont="1" applyFill="1" applyBorder="1" applyAlignment="1">
      <alignment horizontal="centerContinuous" vertical="center"/>
    </xf>
    <xf numFmtId="177" fontId="18" fillId="0" borderId="0" xfId="0" applyNumberFormat="1" applyFont="1" applyFill="1" applyBorder="1" applyAlignment="1">
      <alignment horizontal="right"/>
    </xf>
    <xf numFmtId="0" fontId="22" fillId="101" borderId="41" xfId="0" applyNumberFormat="1" applyFont="1" applyFill="1" applyBorder="1" applyAlignment="1">
      <alignment horizontal="center"/>
    </xf>
    <xf numFmtId="0" fontId="18" fillId="0" borderId="0" xfId="0" applyNumberFormat="1" applyFont="1" applyAlignment="1"/>
    <xf numFmtId="0" fontId="18" fillId="0" borderId="0" xfId="0" applyNumberFormat="1" applyFont="1" applyBorder="1" applyAlignment="1"/>
    <xf numFmtId="0" fontId="142" fillId="0" borderId="40" xfId="3379" applyFont="1" applyBorder="1"/>
    <xf numFmtId="0" fontId="18" fillId="0" borderId="0" xfId="0" applyNumberFormat="1" applyFont="1" applyFill="1" applyAlignment="1"/>
    <xf numFmtId="0" fontId="0" fillId="0" borderId="0" xfId="0" applyNumberFormat="1" applyFill="1" applyAlignment="1"/>
    <xf numFmtId="6" fontId="25" fillId="0" borderId="34" xfId="0" applyNumberFormat="1" applyFont="1" applyFill="1" applyBorder="1" applyAlignment="1"/>
    <xf numFmtId="41" fontId="25" fillId="101" borderId="57" xfId="0" applyNumberFormat="1" applyFont="1" applyFill="1" applyBorder="1" applyAlignment="1"/>
    <xf numFmtId="177" fontId="18" fillId="0" borderId="60" xfId="0" applyNumberFormat="1" applyFont="1" applyFill="1" applyBorder="1" applyAlignment="1">
      <alignment horizontal="right"/>
    </xf>
    <xf numFmtId="0" fontId="18" fillId="0" borderId="0" xfId="3061" applyFont="1" applyFill="1" applyAlignment="1">
      <alignment horizontal="center"/>
    </xf>
    <xf numFmtId="13" fontId="25" fillId="0" borderId="0" xfId="3061" applyNumberFormat="1" applyFont="1" applyFill="1"/>
    <xf numFmtId="0" fontId="25" fillId="0" borderId="0" xfId="3061" applyFont="1" applyFill="1" applyAlignment="1">
      <alignment horizontal="right"/>
    </xf>
    <xf numFmtId="6" fontId="123" fillId="0" borderId="0" xfId="0" applyNumberFormat="1" applyFont="1" applyFill="1" applyAlignment="1"/>
    <xf numFmtId="6" fontId="123" fillId="0" borderId="0" xfId="2747" applyNumberFormat="1" applyFont="1" applyFill="1" applyAlignment="1"/>
    <xf numFmtId="165" fontId="25" fillId="0" borderId="0" xfId="2661" applyNumberFormat="1" applyFont="1" applyFill="1" applyAlignment="1">
      <alignment horizontal="left"/>
    </xf>
    <xf numFmtId="0" fontId="22" fillId="0" borderId="35" xfId="0" applyNumberFormat="1" applyFont="1" applyFill="1" applyBorder="1" applyAlignment="1"/>
    <xf numFmtId="0" fontId="22" fillId="0" borderId="35" xfId="2682" applyNumberFormat="1" applyFont="1" applyFill="1" applyBorder="1" applyAlignment="1">
      <alignment horizontal="center"/>
    </xf>
    <xf numFmtId="0" fontId="22" fillId="0" borderId="36" xfId="0" applyNumberFormat="1" applyFont="1" applyFill="1" applyBorder="1" applyAlignment="1"/>
    <xf numFmtId="170" fontId="22" fillId="0" borderId="36" xfId="3127" applyNumberFormat="1" applyFont="1" applyFill="1" applyBorder="1" applyAlignment="1">
      <alignment horizontal="center"/>
    </xf>
    <xf numFmtId="170" fontId="22" fillId="0" borderId="36" xfId="3126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0" fontId="19" fillId="0" borderId="0" xfId="3127" applyNumberFormat="1" applyFont="1" applyFill="1" applyBorder="1" applyAlignment="1">
      <alignment horizontal="center"/>
    </xf>
    <xf numFmtId="170" fontId="19" fillId="0" borderId="0" xfId="3061" applyNumberFormat="1" applyFont="1" applyFill="1" applyAlignment="1"/>
    <xf numFmtId="0" fontId="22" fillId="0" borderId="37" xfId="0" applyNumberFormat="1" applyFont="1" applyFill="1" applyBorder="1" applyAlignment="1">
      <alignment horizontal="centerContinuous" vertical="center"/>
    </xf>
    <xf numFmtId="0" fontId="22" fillId="0" borderId="38" xfId="0" applyNumberFormat="1" applyFont="1" applyFill="1" applyBorder="1" applyAlignment="1">
      <alignment horizontal="centerContinuous" vertical="center"/>
    </xf>
    <xf numFmtId="169" fontId="22" fillId="0" borderId="30" xfId="0" applyFont="1" applyFill="1" applyBorder="1" applyAlignment="1">
      <alignment horizontal="center"/>
    </xf>
    <xf numFmtId="0" fontId="22" fillId="0" borderId="41" xfId="0" applyNumberFormat="1" applyFont="1" applyFill="1" applyBorder="1" applyAlignment="1">
      <alignment horizontal="center"/>
    </xf>
    <xf numFmtId="0" fontId="133" fillId="0" borderId="0" xfId="0" applyNumberFormat="1" applyFont="1" applyBorder="1" applyAlignment="1">
      <alignment horizontal="center"/>
    </xf>
    <xf numFmtId="6" fontId="18" fillId="0" borderId="0" xfId="3379" applyNumberFormat="1" applyFont="1" applyFill="1" applyBorder="1"/>
    <xf numFmtId="165" fontId="18" fillId="0" borderId="0" xfId="2661" applyNumberFormat="1" applyFont="1" applyBorder="1"/>
    <xf numFmtId="5" fontId="18" fillId="0" borderId="0" xfId="3337" applyNumberFormat="1" applyFont="1" applyFill="1" applyBorder="1"/>
    <xf numFmtId="165" fontId="18" fillId="0" borderId="21" xfId="2661" applyNumberFormat="1" applyFont="1" applyBorder="1"/>
    <xf numFmtId="5" fontId="18" fillId="0" borderId="21" xfId="3337" applyNumberFormat="1" applyFont="1" applyFill="1" applyBorder="1"/>
    <xf numFmtId="6" fontId="18" fillId="0" borderId="21" xfId="0" applyNumberFormat="1" applyFont="1" applyBorder="1" applyAlignment="1"/>
    <xf numFmtId="0" fontId="70" fillId="0" borderId="0" xfId="3379" applyFont="1" applyBorder="1" applyAlignment="1">
      <alignment horizontal="center"/>
    </xf>
    <xf numFmtId="0" fontId="22" fillId="0" borderId="0" xfId="0" applyNumberFormat="1" applyFont="1" applyBorder="1" applyAlignment="1">
      <alignment horizontal="center"/>
    </xf>
    <xf numFmtId="0" fontId="22" fillId="0" borderId="62" xfId="3379" applyFont="1" applyFill="1" applyBorder="1" applyAlignment="1">
      <alignment horizontal="left"/>
    </xf>
    <xf numFmtId="0" fontId="70" fillId="0" borderId="39" xfId="3379" applyFont="1" applyBorder="1" applyAlignment="1">
      <alignment horizontal="center"/>
    </xf>
    <xf numFmtId="0" fontId="70" fillId="0" borderId="40" xfId="3379" applyFont="1" applyBorder="1"/>
    <xf numFmtId="0" fontId="65" fillId="0" borderId="40" xfId="3379" applyFont="1" applyBorder="1"/>
    <xf numFmtId="177" fontId="18" fillId="0" borderId="48" xfId="0" applyNumberFormat="1" applyFont="1" applyFill="1" applyBorder="1" applyAlignment="1">
      <alignment horizontal="right"/>
    </xf>
    <xf numFmtId="177" fontId="18" fillId="0" borderId="50" xfId="0" applyNumberFormat="1" applyFont="1" applyFill="1" applyBorder="1" applyAlignment="1">
      <alignment horizontal="right"/>
    </xf>
    <xf numFmtId="177" fontId="18" fillId="0" borderId="79" xfId="0" applyNumberFormat="1" applyFont="1" applyFill="1" applyBorder="1" applyAlignment="1">
      <alignment horizontal="right"/>
    </xf>
    <xf numFmtId="0" fontId="22" fillId="0" borderId="0" xfId="0" applyNumberFormat="1" applyFont="1" applyFill="1" applyAlignment="1" applyProtection="1">
      <alignment horizontal="centerContinuous"/>
      <protection locked="0"/>
    </xf>
    <xf numFmtId="0" fontId="33" fillId="0" borderId="0" xfId="3063" applyFont="1" applyFill="1"/>
    <xf numFmtId="0" fontId="33" fillId="0" borderId="0" xfId="3063" applyFont="1" applyFill="1" applyAlignment="1" applyProtection="1">
      <alignment horizontal="center"/>
      <protection locked="0"/>
    </xf>
    <xf numFmtId="0" fontId="120" fillId="0" borderId="21" xfId="3063" applyFont="1" applyFill="1" applyBorder="1" applyAlignment="1">
      <alignment horizontal="center"/>
    </xf>
    <xf numFmtId="0" fontId="33" fillId="0" borderId="21" xfId="3063" applyFont="1" applyFill="1" applyBorder="1" applyAlignment="1">
      <alignment horizontal="center"/>
    </xf>
    <xf numFmtId="0" fontId="33" fillId="0" borderId="21" xfId="3063" applyFont="1" applyFill="1" applyBorder="1"/>
    <xf numFmtId="0" fontId="33" fillId="0" borderId="4" xfId="3063" applyFont="1" applyFill="1" applyBorder="1" applyAlignment="1">
      <alignment horizontal="center"/>
    </xf>
    <xf numFmtId="169" fontId="48" fillId="0" borderId="0" xfId="0" applyFont="1" applyFill="1" applyAlignment="1">
      <alignment horizontal="left"/>
    </xf>
    <xf numFmtId="169" fontId="32" fillId="0" borderId="0" xfId="0" applyFont="1" applyFill="1" applyAlignment="1">
      <alignment horizontal="left" indent="2"/>
    </xf>
    <xf numFmtId="42" fontId="32" fillId="0" borderId="0" xfId="2682" applyNumberFormat="1" applyFont="1" applyFill="1" applyBorder="1"/>
    <xf numFmtId="42" fontId="25" fillId="0" borderId="0" xfId="3063" applyNumberFormat="1" applyFont="1" applyFill="1" applyBorder="1"/>
    <xf numFmtId="0" fontId="33" fillId="0" borderId="0" xfId="0" applyNumberFormat="1" applyFont="1" applyFill="1" applyAlignment="1"/>
    <xf numFmtId="0" fontId="22" fillId="0" borderId="0" xfId="3063" applyFont="1" applyFill="1"/>
    <xf numFmtId="164" fontId="25" fillId="0" borderId="0" xfId="3063" applyNumberFormat="1" applyFont="1" applyFill="1"/>
    <xf numFmtId="169" fontId="28" fillId="0" borderId="0" xfId="0" applyFont="1" applyFill="1" applyAlignment="1">
      <alignment horizontal="left"/>
    </xf>
    <xf numFmtId="169" fontId="31" fillId="0" borderId="0" xfId="0" applyFont="1" applyFill="1" applyAlignment="1">
      <alignment horizontal="left"/>
    </xf>
    <xf numFmtId="0" fontId="0" fillId="0" borderId="35" xfId="0" applyNumberFormat="1" applyFill="1" applyBorder="1" applyAlignment="1">
      <alignment horizontal="center"/>
    </xf>
    <xf numFmtId="0" fontId="0" fillId="0" borderId="47" xfId="0" applyNumberFormat="1" applyFill="1" applyBorder="1" applyAlignment="1">
      <alignment horizontal="center"/>
    </xf>
    <xf numFmtId="169" fontId="28" fillId="0" borderId="49" xfId="0" applyFont="1" applyFill="1" applyBorder="1" applyAlignment="1">
      <alignment horizontal="left"/>
    </xf>
    <xf numFmtId="169" fontId="28" fillId="0" borderId="51" xfId="0" applyFont="1" applyFill="1" applyBorder="1" applyAlignment="1">
      <alignment horizontal="left"/>
    </xf>
    <xf numFmtId="169" fontId="28" fillId="0" borderId="0" xfId="0" applyFont="1" applyFill="1" applyAlignment="1">
      <alignment horizontal="center"/>
    </xf>
    <xf numFmtId="0" fontId="0" fillId="0" borderId="36" xfId="0" applyNumberFormat="1" applyFill="1" applyBorder="1" applyAlignment="1">
      <alignment horizontal="center"/>
    </xf>
    <xf numFmtId="169" fontId="28" fillId="0" borderId="52" xfId="0" applyFont="1" applyFill="1" applyBorder="1" applyAlignment="1">
      <alignment horizontal="left"/>
    </xf>
    <xf numFmtId="169" fontId="28" fillId="0" borderId="21" xfId="0" applyFont="1" applyFill="1" applyBorder="1" applyAlignment="1">
      <alignment horizontal="left"/>
    </xf>
    <xf numFmtId="169" fontId="28" fillId="0" borderId="53" xfId="0" applyFont="1" applyFill="1" applyBorder="1" applyAlignment="1">
      <alignment horizontal="left"/>
    </xf>
    <xf numFmtId="41" fontId="25" fillId="0" borderId="78" xfId="0" applyNumberFormat="1" applyFont="1" applyFill="1" applyBorder="1" applyAlignment="1"/>
    <xf numFmtId="41" fontId="25" fillId="0" borderId="80" xfId="0" applyNumberFormat="1" applyFont="1" applyFill="1" applyBorder="1" applyAlignment="1"/>
    <xf numFmtId="38" fontId="25" fillId="0" borderId="34" xfId="0" applyNumberFormat="1" applyFont="1" applyFill="1" applyBorder="1" applyAlignment="1"/>
    <xf numFmtId="42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>
      <alignment horizontal="center"/>
    </xf>
    <xf numFmtId="170" fontId="18" fillId="0" borderId="0" xfId="0" applyNumberFormat="1" applyFont="1" applyFill="1" applyAlignment="1">
      <alignment horizontal="center"/>
    </xf>
    <xf numFmtId="0" fontId="22" fillId="0" borderId="40" xfId="0" applyNumberFormat="1" applyFont="1" applyFill="1" applyBorder="1" applyAlignment="1">
      <alignment horizontal="centerContinuous" vertical="center"/>
    </xf>
    <xf numFmtId="0" fontId="22" fillId="0" borderId="41" xfId="0" applyNumberFormat="1" applyFont="1" applyFill="1" applyBorder="1" applyAlignment="1">
      <alignment horizontal="centerContinuous" vertical="center"/>
    </xf>
    <xf numFmtId="0" fontId="22" fillId="0" borderId="41" xfId="0" applyNumberFormat="1" applyFont="1" applyFill="1" applyBorder="1" applyAlignment="1">
      <alignment horizontal="center" vertical="top"/>
    </xf>
    <xf numFmtId="175" fontId="22" fillId="0" borderId="31" xfId="0" applyNumberFormat="1" applyFont="1" applyBorder="1" applyAlignment="1">
      <alignment horizontal="center"/>
    </xf>
    <xf numFmtId="177" fontId="25" fillId="0" borderId="77" xfId="0" applyNumberFormat="1" applyFont="1" applyFill="1" applyBorder="1" applyAlignment="1">
      <alignment horizontal="right"/>
    </xf>
    <xf numFmtId="175" fontId="25" fillId="0" borderId="52" xfId="0" applyNumberFormat="1" applyFont="1" applyBorder="1" applyAlignment="1"/>
    <xf numFmtId="0" fontId="25" fillId="0" borderId="21" xfId="0" applyNumberFormat="1" applyFont="1" applyBorder="1" applyAlignment="1"/>
    <xf numFmtId="0" fontId="25" fillId="0" borderId="53" xfId="0" applyNumberFormat="1" applyFont="1" applyBorder="1" applyAlignment="1"/>
    <xf numFmtId="41" fontId="124" fillId="0" borderId="21" xfId="0" applyNumberFormat="1" applyFont="1" applyBorder="1" applyAlignment="1"/>
    <xf numFmtId="10" fontId="25" fillId="0" borderId="0" xfId="3061" applyNumberFormat="1" applyFont="1" applyFill="1"/>
    <xf numFmtId="41" fontId="25" fillId="0" borderId="16" xfId="0" applyNumberFormat="1" applyFont="1" applyFill="1" applyBorder="1" applyAlignment="1"/>
    <xf numFmtId="41" fontId="25" fillId="0" borderId="51" xfId="0" applyNumberFormat="1" applyFont="1" applyFill="1" applyBorder="1" applyAlignment="1"/>
    <xf numFmtId="41" fontId="22" fillId="0" borderId="32" xfId="0" applyNumberFormat="1" applyFont="1" applyBorder="1" applyAlignment="1"/>
    <xf numFmtId="41" fontId="22" fillId="0" borderId="31" xfId="0" applyNumberFormat="1" applyFont="1" applyBorder="1" applyAlignment="1"/>
    <xf numFmtId="41" fontId="25" fillId="65" borderId="31" xfId="0" applyNumberFormat="1" applyFont="1" applyFill="1" applyBorder="1" applyAlignment="1"/>
    <xf numFmtId="41" fontId="22" fillId="65" borderId="32" xfId="0" applyNumberFormat="1" applyFont="1" applyFill="1" applyBorder="1" applyAlignment="1"/>
    <xf numFmtId="41" fontId="25" fillId="65" borderId="32" xfId="0" applyNumberFormat="1" applyFont="1" applyFill="1" applyBorder="1" applyAlignment="1"/>
    <xf numFmtId="0" fontId="25" fillId="0" borderId="84" xfId="0" applyNumberFormat="1" applyFont="1" applyBorder="1" applyAlignment="1"/>
    <xf numFmtId="0" fontId="19" fillId="0" borderId="0" xfId="3380" applyFont="1"/>
    <xf numFmtId="0" fontId="19" fillId="0" borderId="0" xfId="3380" applyFont="1" applyAlignment="1">
      <alignment horizontal="left" indent="1"/>
    </xf>
    <xf numFmtId="44" fontId="25" fillId="0" borderId="0" xfId="3063" applyNumberFormat="1" applyFont="1" applyFill="1"/>
    <xf numFmtId="44" fontId="25" fillId="0" borderId="0" xfId="3063" applyNumberFormat="1" applyFont="1" applyFill="1" applyBorder="1"/>
    <xf numFmtId="44" fontId="122" fillId="0" borderId="0" xfId="3347" applyNumberFormat="1" applyFont="1" applyAlignment="1">
      <alignment horizontal="center"/>
    </xf>
    <xf numFmtId="42" fontId="25" fillId="0" borderId="0" xfId="3063" applyNumberFormat="1" applyFont="1" applyFill="1"/>
    <xf numFmtId="37" fontId="0" fillId="0" borderId="0" xfId="0" applyNumberFormat="1" applyAlignment="1"/>
    <xf numFmtId="175" fontId="25" fillId="0" borderId="21" xfId="0" applyNumberFormat="1" applyFont="1" applyBorder="1" applyAlignment="1"/>
    <xf numFmtId="0" fontId="25" fillId="0" borderId="86" xfId="0" applyNumberFormat="1" applyFont="1" applyFill="1" applyBorder="1" applyAlignment="1"/>
    <xf numFmtId="5" fontId="25" fillId="0" borderId="12" xfId="0" applyNumberFormat="1" applyFont="1" applyFill="1" applyBorder="1" applyAlignment="1"/>
    <xf numFmtId="165" fontId="25" fillId="0" borderId="12" xfId="2661" applyNumberFormat="1" applyFont="1" applyFill="1" applyBorder="1" applyAlignment="1"/>
    <xf numFmtId="41" fontId="25" fillId="0" borderId="12" xfId="0" applyNumberFormat="1" applyFont="1" applyFill="1" applyBorder="1" applyAlignment="1"/>
    <xf numFmtId="169" fontId="32" fillId="0" borderId="0" xfId="0" applyFont="1" applyFill="1">
      <alignment horizontal="left" wrapText="1"/>
    </xf>
    <xf numFmtId="164" fontId="33" fillId="0" borderId="20" xfId="0" applyNumberFormat="1" applyFont="1" applyFill="1" applyBorder="1" applyAlignment="1"/>
    <xf numFmtId="0" fontId="122" fillId="0" borderId="0" xfId="0" applyNumberFormat="1" applyFont="1" applyFill="1" applyAlignment="1">
      <alignment horizontal="center"/>
    </xf>
    <xf numFmtId="0" fontId="143" fillId="0" borderId="0" xfId="3342" applyFont="1" applyBorder="1" applyAlignment="1">
      <alignment horizontal="center"/>
    </xf>
    <xf numFmtId="37" fontId="28" fillId="0" borderId="51" xfId="0" applyNumberFormat="1" applyFont="1" applyFill="1" applyBorder="1" applyAlignment="1">
      <alignment horizontal="right"/>
    </xf>
    <xf numFmtId="42" fontId="28" fillId="0" borderId="51" xfId="0" applyNumberFormat="1" applyFont="1" applyFill="1" applyBorder="1" applyAlignment="1">
      <alignment horizontal="left"/>
    </xf>
    <xf numFmtId="37" fontId="28" fillId="0" borderId="0" xfId="0" applyNumberFormat="1" applyFont="1" applyFill="1" applyBorder="1" applyAlignment="1">
      <alignment horizontal="right"/>
    </xf>
    <xf numFmtId="0" fontId="28" fillId="0" borderId="54" xfId="0" applyNumberFormat="1" applyFont="1" applyFill="1" applyBorder="1" applyAlignment="1">
      <alignment horizontal="center"/>
    </xf>
    <xf numFmtId="41" fontId="28" fillId="0" borderId="20" xfId="0" applyNumberFormat="1" applyFont="1" applyFill="1" applyBorder="1" applyAlignment="1">
      <alignment horizontal="left"/>
    </xf>
    <xf numFmtId="37" fontId="28" fillId="0" borderId="0" xfId="0" applyNumberFormat="1" applyFont="1" applyFill="1" applyBorder="1" applyAlignment="1">
      <alignment horizontal="left"/>
    </xf>
    <xf numFmtId="41" fontId="22" fillId="0" borderId="0" xfId="0" applyNumberFormat="1" applyFont="1" applyFill="1" applyBorder="1" applyAlignment="1">
      <alignment horizontal="left"/>
    </xf>
    <xf numFmtId="42" fontId="28" fillId="0" borderId="55" xfId="0" applyNumberFormat="1" applyFont="1" applyFill="1" applyBorder="1" applyAlignment="1">
      <alignment horizontal="left"/>
    </xf>
    <xf numFmtId="42" fontId="22" fillId="0" borderId="56" xfId="0" applyNumberFormat="1" applyFont="1" applyFill="1" applyBorder="1" applyAlignment="1">
      <alignment horizontal="left"/>
    </xf>
    <xf numFmtId="177" fontId="18" fillId="103" borderId="48" xfId="0" applyNumberFormat="1" applyFont="1" applyFill="1" applyBorder="1" applyAlignment="1">
      <alignment horizontal="right"/>
    </xf>
    <xf numFmtId="41" fontId="25" fillId="103" borderId="58" xfId="0" applyNumberFormat="1" applyFont="1" applyFill="1" applyBorder="1" applyAlignment="1"/>
    <xf numFmtId="41" fontId="18" fillId="103" borderId="58" xfId="0" applyNumberFormat="1" applyFont="1" applyFill="1" applyBorder="1" applyAlignment="1"/>
    <xf numFmtId="41" fontId="25" fillId="103" borderId="78" xfId="0" applyNumberFormat="1" applyFont="1" applyFill="1" applyBorder="1" applyAlignment="1"/>
    <xf numFmtId="177" fontId="18" fillId="103" borderId="50" xfId="0" applyNumberFormat="1" applyFont="1" applyFill="1" applyBorder="1" applyAlignment="1">
      <alignment horizontal="right"/>
    </xf>
    <xf numFmtId="41" fontId="25" fillId="103" borderId="34" xfId="0" applyNumberFormat="1" applyFont="1" applyFill="1" applyBorder="1" applyAlignment="1"/>
    <xf numFmtId="41" fontId="18" fillId="103" borderId="34" xfId="0" applyNumberFormat="1" applyFont="1" applyFill="1" applyBorder="1" applyAlignment="1"/>
    <xf numFmtId="41" fontId="25" fillId="103" borderId="80" xfId="0" applyNumberFormat="1" applyFont="1" applyFill="1" applyBorder="1" applyAlignment="1"/>
    <xf numFmtId="177" fontId="18" fillId="103" borderId="52" xfId="0" applyNumberFormat="1" applyFont="1" applyFill="1" applyBorder="1" applyAlignment="1">
      <alignment horizontal="right"/>
    </xf>
    <xf numFmtId="41" fontId="25" fillId="103" borderId="57" xfId="0" applyNumberFormat="1" applyFont="1" applyFill="1" applyBorder="1" applyAlignment="1"/>
    <xf numFmtId="41" fontId="18" fillId="103" borderId="57" xfId="0" applyNumberFormat="1" applyFont="1" applyFill="1" applyBorder="1" applyAlignment="1"/>
    <xf numFmtId="41" fontId="25" fillId="103" borderId="81" xfId="0" applyNumberFormat="1" applyFont="1" applyFill="1" applyBorder="1" applyAlignment="1"/>
    <xf numFmtId="6" fontId="123" fillId="0" borderId="0" xfId="0" applyNumberFormat="1" applyFont="1" applyAlignment="1"/>
    <xf numFmtId="0" fontId="140" fillId="0" borderId="0" xfId="0" applyNumberFormat="1" applyFont="1" applyFill="1" applyAlignment="1"/>
    <xf numFmtId="169" fontId="140" fillId="0" borderId="0" xfId="0" applyNumberFormat="1" applyFont="1" applyFill="1" applyAlignment="1">
      <alignment horizontal="left"/>
    </xf>
    <xf numFmtId="169" fontId="22" fillId="0" borderId="45" xfId="0" applyFont="1" applyFill="1" applyBorder="1" applyAlignment="1">
      <alignment horizontal="centerContinuous"/>
    </xf>
    <xf numFmtId="169" fontId="22" fillId="0" borderId="4" xfId="0" applyFont="1" applyFill="1" applyBorder="1" applyAlignment="1">
      <alignment horizontal="centerContinuous"/>
    </xf>
    <xf numFmtId="177" fontId="18" fillId="101" borderId="50" xfId="0" applyNumberFormat="1" applyFont="1" applyFill="1" applyBorder="1" applyAlignment="1">
      <alignment horizontal="right"/>
    </xf>
    <xf numFmtId="41" fontId="25" fillId="101" borderId="16" xfId="0" applyNumberFormat="1" applyFont="1" applyFill="1" applyBorder="1" applyAlignment="1"/>
    <xf numFmtId="41" fontId="25" fillId="101" borderId="51" xfId="0" applyNumberFormat="1" applyFont="1" applyFill="1" applyBorder="1" applyAlignment="1"/>
    <xf numFmtId="41" fontId="25" fillId="101" borderId="0" xfId="0" applyNumberFormat="1" applyFont="1" applyFill="1" applyBorder="1" applyAlignment="1"/>
    <xf numFmtId="6" fontId="25" fillId="0" borderId="0" xfId="0" applyNumberFormat="1" applyFont="1" applyAlignment="1"/>
    <xf numFmtId="0" fontId="22" fillId="99" borderId="41" xfId="0" applyNumberFormat="1" applyFont="1" applyFill="1" applyBorder="1" applyAlignment="1">
      <alignment horizontal="center"/>
    </xf>
    <xf numFmtId="0" fontId="22" fillId="99" borderId="44" xfId="0" applyNumberFormat="1" applyFont="1" applyFill="1" applyBorder="1" applyAlignment="1">
      <alignment horizontal="center"/>
    </xf>
    <xf numFmtId="0" fontId="141" fillId="0" borderId="0" xfId="0" applyNumberFormat="1" applyFont="1" applyAlignment="1"/>
    <xf numFmtId="0" fontId="141" fillId="0" borderId="0" xfId="0" applyNumberFormat="1" applyFont="1" applyFill="1" applyAlignment="1"/>
    <xf numFmtId="41" fontId="141" fillId="0" borderId="0" xfId="0" applyNumberFormat="1" applyFont="1" applyFill="1" applyAlignment="1"/>
    <xf numFmtId="0" fontId="22" fillId="0" borderId="0" xfId="2682" applyNumberFormat="1" applyFont="1" applyBorder="1" applyAlignment="1">
      <alignment horizontal="center"/>
    </xf>
    <xf numFmtId="0" fontId="22" fillId="0" borderId="0" xfId="2682" applyNumberFormat="1" applyFont="1" applyFill="1" applyBorder="1" applyAlignment="1">
      <alignment horizontal="center"/>
    </xf>
    <xf numFmtId="0" fontId="25" fillId="0" borderId="0" xfId="3061" applyFont="1" applyBorder="1"/>
    <xf numFmtId="170" fontId="22" fillId="0" borderId="0" xfId="3127" applyNumberFormat="1" applyFont="1" applyBorder="1" applyAlignment="1">
      <alignment horizontal="center"/>
    </xf>
    <xf numFmtId="170" fontId="22" fillId="0" borderId="0" xfId="3126" applyNumberFormat="1" applyFont="1" applyBorder="1" applyAlignment="1">
      <alignment horizontal="center"/>
    </xf>
    <xf numFmtId="10" fontId="25" fillId="0" borderId="0" xfId="3061" applyNumberFormat="1" applyFont="1" applyBorder="1"/>
    <xf numFmtId="165" fontId="25" fillId="0" borderId="34" xfId="0" applyNumberFormat="1" applyFont="1" applyFill="1" applyBorder="1" applyAlignment="1"/>
    <xf numFmtId="165" fontId="25" fillId="0" borderId="16" xfId="0" applyNumberFormat="1" applyFont="1" applyFill="1" applyBorder="1" applyAlignment="1"/>
    <xf numFmtId="37" fontId="18" fillId="0" borderId="34" xfId="0" applyNumberFormat="1" applyFont="1" applyFill="1" applyBorder="1" applyAlignment="1"/>
    <xf numFmtId="0" fontId="24" fillId="0" borderId="0" xfId="3380" applyFont="1" applyAlignment="1">
      <alignment horizontal="center"/>
    </xf>
    <xf numFmtId="177" fontId="0" fillId="0" borderId="0" xfId="3380" applyNumberFormat="1" applyFont="1"/>
    <xf numFmtId="43" fontId="25" fillId="0" borderId="0" xfId="0" applyNumberFormat="1" applyFont="1" applyAlignment="1"/>
    <xf numFmtId="0" fontId="19" fillId="0" borderId="0" xfId="3380" applyFont="1"/>
    <xf numFmtId="0" fontId="19" fillId="0" borderId="0" xfId="3380" applyFont="1" applyAlignment="1">
      <alignment horizontal="left" indent="1"/>
    </xf>
    <xf numFmtId="0" fontId="0" fillId="0" borderId="0" xfId="3380" applyFont="1" applyFill="1"/>
    <xf numFmtId="0" fontId="0" fillId="0" borderId="0" xfId="3380" applyFont="1"/>
    <xf numFmtId="17" fontId="0" fillId="0" borderId="0" xfId="3380" applyNumberFormat="1" applyFont="1"/>
    <xf numFmtId="0" fontId="0" fillId="0" borderId="0" xfId="3380" applyFont="1" applyAlignment="1">
      <alignment horizontal="center"/>
    </xf>
    <xf numFmtId="0" fontId="127" fillId="0" borderId="0" xfId="3380" applyFont="1" applyAlignment="1">
      <alignment horizontal="center"/>
    </xf>
    <xf numFmtId="0" fontId="0" fillId="0" borderId="4" xfId="3380" applyFont="1" applyBorder="1" applyAlignment="1">
      <alignment horizontal="center"/>
    </xf>
    <xf numFmtId="10" fontId="143" fillId="0" borderId="0" xfId="3382" applyNumberFormat="1" applyFont="1" applyFill="1" applyBorder="1"/>
    <xf numFmtId="165" fontId="25" fillId="0" borderId="0" xfId="0" applyNumberFormat="1" applyFont="1" applyFill="1" applyBorder="1" applyAlignment="1"/>
    <xf numFmtId="41" fontId="25" fillId="0" borderId="0" xfId="0" applyNumberFormat="1" applyFont="1" applyFill="1" applyBorder="1" applyAlignment="1"/>
    <xf numFmtId="41" fontId="18" fillId="0" borderId="0" xfId="0" applyNumberFormat="1" applyFont="1" applyFill="1" applyBorder="1" applyAlignment="1"/>
    <xf numFmtId="6" fontId="18" fillId="0" borderId="0" xfId="0" applyNumberFormat="1" applyFont="1" applyFill="1" applyBorder="1" applyAlignment="1"/>
    <xf numFmtId="6" fontId="25" fillId="0" borderId="0" xfId="0" applyNumberFormat="1" applyFont="1" applyFill="1" applyBorder="1" applyAlignment="1"/>
    <xf numFmtId="6" fontId="25" fillId="0" borderId="85" xfId="0" applyNumberFormat="1" applyFont="1" applyFill="1" applyBorder="1" applyAlignment="1"/>
    <xf numFmtId="42" fontId="32" fillId="0" borderId="22" xfId="2682" applyNumberFormat="1" applyFont="1" applyFill="1" applyBorder="1"/>
    <xf numFmtId="6" fontId="25" fillId="0" borderId="86" xfId="0" applyNumberFormat="1" applyFont="1" applyFill="1" applyBorder="1" applyAlignment="1"/>
    <xf numFmtId="41" fontId="32" fillId="0" borderId="21" xfId="2682" applyNumberFormat="1" applyFont="1" applyFill="1" applyBorder="1"/>
    <xf numFmtId="0" fontId="135" fillId="0" borderId="0" xfId="6465" applyFont="1"/>
    <xf numFmtId="0" fontId="135" fillId="0" borderId="0" xfId="6465" applyFont="1" applyAlignment="1">
      <alignment horizontal="center"/>
    </xf>
    <xf numFmtId="0" fontId="134" fillId="0" borderId="62" xfId="6465" applyFont="1" applyFill="1" applyBorder="1" applyAlignment="1">
      <alignment horizontal="left"/>
    </xf>
    <xf numFmtId="0" fontId="136" fillId="0" borderId="39" xfId="6465" applyFont="1" applyFill="1" applyBorder="1" applyAlignment="1">
      <alignment horizontal="centerContinuous"/>
    </xf>
    <xf numFmtId="0" fontId="136" fillId="100" borderId="73" xfId="6465" applyFont="1" applyFill="1" applyBorder="1" applyAlignment="1">
      <alignment horizontal="centerContinuous"/>
    </xf>
    <xf numFmtId="0" fontId="136" fillId="100" borderId="74" xfId="6465" applyFont="1" applyFill="1" applyBorder="1" applyAlignment="1">
      <alignment horizontal="centerContinuous"/>
    </xf>
    <xf numFmtId="0" fontId="137" fillId="0" borderId="40" xfId="6465" applyFont="1" applyBorder="1"/>
    <xf numFmtId="0" fontId="135" fillId="0" borderId="0" xfId="6465" applyFont="1" applyBorder="1"/>
    <xf numFmtId="0" fontId="135" fillId="0" borderId="0" xfId="6465" applyFont="1" applyBorder="1" applyAlignment="1">
      <alignment horizontal="center"/>
    </xf>
    <xf numFmtId="0" fontId="135" fillId="0" borderId="41" xfId="6465" applyFont="1" applyBorder="1" applyAlignment="1">
      <alignment horizontal="center"/>
    </xf>
    <xf numFmtId="0" fontId="135" fillId="0" borderId="40" xfId="6465" applyFont="1" applyBorder="1"/>
    <xf numFmtId="0" fontId="135" fillId="0" borderId="41" xfId="6465" applyFont="1" applyBorder="1"/>
    <xf numFmtId="0" fontId="138" fillId="0" borderId="40" xfId="6465" applyFont="1" applyBorder="1"/>
    <xf numFmtId="0" fontId="138" fillId="0" borderId="0" xfId="6465" applyFont="1" applyBorder="1"/>
    <xf numFmtId="190" fontId="135" fillId="0" borderId="0" xfId="6465" applyNumberFormat="1" applyFont="1" applyFill="1" applyBorder="1" applyAlignment="1">
      <alignment horizontal="center"/>
    </xf>
    <xf numFmtId="0" fontId="97" fillId="0" borderId="0" xfId="6466" applyFont="1"/>
    <xf numFmtId="0" fontId="160" fillId="0" borderId="0" xfId="6466"/>
    <xf numFmtId="38" fontId="158" fillId="0" borderId="0" xfId="6466" applyNumberFormat="1" applyFont="1" applyBorder="1" applyAlignment="1">
      <alignment horizontal="right" vertical="center"/>
    </xf>
    <xf numFmtId="9" fontId="157" fillId="0" borderId="0" xfId="6466" applyNumberFormat="1" applyFont="1" applyAlignment="1">
      <alignment horizontal="center"/>
    </xf>
    <xf numFmtId="0" fontId="22" fillId="0" borderId="52" xfId="6466" applyFont="1" applyBorder="1" applyAlignment="1">
      <alignment horizontal="center" wrapText="1"/>
    </xf>
    <xf numFmtId="0" fontId="156" fillId="0" borderId="50" xfId="6466" applyFont="1" applyBorder="1" applyAlignment="1">
      <alignment horizontal="center" wrapText="1"/>
    </xf>
    <xf numFmtId="49" fontId="161" fillId="0" borderId="46" xfId="6466" applyNumberFormat="1" applyFont="1" applyBorder="1" applyAlignment="1">
      <alignment horizontal="right" vertical="center"/>
    </xf>
    <xf numFmtId="6" fontId="162" fillId="0" borderId="11" xfId="6466" applyNumberFormat="1" applyFont="1" applyBorder="1"/>
    <xf numFmtId="168" fontId="163" fillId="0" borderId="0" xfId="6467" applyNumberFormat="1" applyFont="1" applyAlignment="1">
      <alignment horizontal="center"/>
    </xf>
    <xf numFmtId="4" fontId="161" fillId="0" borderId="46" xfId="6466" applyNumberFormat="1" applyFont="1" applyBorder="1" applyAlignment="1">
      <alignment horizontal="right" vertical="center"/>
    </xf>
    <xf numFmtId="38" fontId="155" fillId="0" borderId="46" xfId="6466" applyNumberFormat="1" applyFont="1" applyBorder="1" applyAlignment="1">
      <alignment horizontal="right" vertical="center"/>
    </xf>
    <xf numFmtId="6" fontId="152" fillId="0" borderId="11" xfId="6466" applyNumberFormat="1" applyFont="1" applyBorder="1"/>
    <xf numFmtId="6" fontId="164" fillId="0" borderId="11" xfId="6466" applyNumberFormat="1" applyFont="1" applyBorder="1"/>
    <xf numFmtId="38" fontId="155" fillId="0" borderId="46" xfId="6466" applyNumberFormat="1" applyFont="1" applyFill="1" applyBorder="1" applyAlignment="1">
      <alignment horizontal="right" vertical="center"/>
    </xf>
    <xf numFmtId="164" fontId="154" fillId="0" borderId="46" xfId="6468" applyNumberFormat="1" applyFont="1" applyFill="1" applyBorder="1" applyAlignment="1">
      <alignment horizontal="right" vertical="center"/>
    </xf>
    <xf numFmtId="0" fontId="160" fillId="0" borderId="45" xfId="6466" applyBorder="1"/>
    <xf numFmtId="0" fontId="160" fillId="0" borderId="50" xfId="6466" applyBorder="1"/>
    <xf numFmtId="38" fontId="153" fillId="0" borderId="46" xfId="6466" applyNumberFormat="1" applyFont="1" applyFill="1" applyBorder="1" applyAlignment="1">
      <alignment horizontal="right" vertical="center"/>
    </xf>
    <xf numFmtId="0" fontId="97" fillId="0" borderId="11" xfId="6466" applyFont="1" applyBorder="1"/>
    <xf numFmtId="164" fontId="133" fillId="0" borderId="46" xfId="6468" applyNumberFormat="1" applyFont="1" applyFill="1" applyBorder="1" applyAlignment="1">
      <alignment horizontal="right" vertical="center"/>
    </xf>
    <xf numFmtId="6" fontId="133" fillId="0" borderId="50" xfId="6466" applyNumberFormat="1" applyFont="1" applyBorder="1"/>
    <xf numFmtId="0" fontId="154" fillId="0" borderId="0" xfId="6466" applyFont="1" applyAlignment="1">
      <alignment horizontal="center" wrapText="1"/>
    </xf>
    <xf numFmtId="0" fontId="153" fillId="0" borderId="0" xfId="6466" applyFont="1" applyAlignment="1">
      <alignment horizontal="right"/>
    </xf>
    <xf numFmtId="14" fontId="162" fillId="0" borderId="89" xfId="6466" applyNumberFormat="1" applyFont="1" applyBorder="1" applyAlignment="1">
      <alignment horizontal="center"/>
    </xf>
    <xf numFmtId="14" fontId="162" fillId="0" borderId="12" xfId="6466" applyNumberFormat="1" applyFont="1" applyBorder="1" applyAlignment="1">
      <alignment horizontal="center"/>
    </xf>
    <xf numFmtId="0" fontId="151" fillId="0" borderId="0" xfId="6466" applyFont="1" applyBorder="1" applyAlignment="1">
      <alignment horizontal="right"/>
    </xf>
    <xf numFmtId="6" fontId="150" fillId="0" borderId="0" xfId="6466" applyNumberFormat="1" applyFont="1" applyBorder="1"/>
    <xf numFmtId="0" fontId="151" fillId="0" borderId="0" xfId="6466" applyFont="1" applyAlignment="1">
      <alignment horizontal="right"/>
    </xf>
    <xf numFmtId="169" fontId="165" fillId="0" borderId="0" xfId="0" applyFont="1" applyBorder="1" applyAlignment="1"/>
    <xf numFmtId="169" fontId="135" fillId="0" borderId="0" xfId="0" applyFont="1" applyAlignment="1"/>
    <xf numFmtId="169" fontId="0" fillId="0" borderId="11" xfId="0" applyBorder="1" applyAlignment="1"/>
    <xf numFmtId="6" fontId="0" fillId="0" borderId="11" xfId="0" applyNumberFormat="1" applyBorder="1" applyAlignment="1"/>
    <xf numFmtId="169" fontId="118" fillId="0" borderId="11" xfId="0" applyFont="1" applyBorder="1" applyAlignment="1"/>
    <xf numFmtId="6" fontId="118" fillId="99" borderId="11" xfId="0" applyNumberFormat="1" applyFont="1" applyFill="1" applyBorder="1" applyAlignment="1"/>
    <xf numFmtId="165" fontId="25" fillId="0" borderId="0" xfId="2661" applyNumberFormat="1" applyFont="1" applyAlignment="1"/>
    <xf numFmtId="10" fontId="160" fillId="0" borderId="0" xfId="3099" applyNumberFormat="1" applyFont="1"/>
    <xf numFmtId="10" fontId="157" fillId="0" borderId="0" xfId="6466" applyNumberFormat="1" applyFont="1" applyAlignment="1">
      <alignment horizontal="center"/>
    </xf>
    <xf numFmtId="6" fontId="135" fillId="0" borderId="41" xfId="6465" applyNumberFormat="1" applyFont="1" applyFill="1" applyBorder="1"/>
    <xf numFmtId="165" fontId="97" fillId="0" borderId="0" xfId="0" applyNumberFormat="1" applyFont="1" applyAlignment="1"/>
    <xf numFmtId="0" fontId="70" fillId="0" borderId="90" xfId="3379" applyFont="1" applyBorder="1" applyAlignment="1">
      <alignment horizontal="center"/>
    </xf>
    <xf numFmtId="0" fontId="143" fillId="0" borderId="41" xfId="3342" applyFont="1" applyBorder="1" applyAlignment="1">
      <alignment horizontal="center"/>
    </xf>
    <xf numFmtId="10" fontId="157" fillId="0" borderId="0" xfId="6466" applyNumberFormat="1" applyFont="1" applyBorder="1" applyAlignment="1">
      <alignment horizontal="center"/>
    </xf>
    <xf numFmtId="0" fontId="131" fillId="0" borderId="0" xfId="0" applyNumberFormat="1" applyFont="1" applyAlignment="1">
      <alignment horizontal="right"/>
    </xf>
    <xf numFmtId="44" fontId="131" fillId="0" borderId="0" xfId="6287" applyFont="1" applyAlignment="1">
      <alignment horizontal="center"/>
    </xf>
    <xf numFmtId="0" fontId="142" fillId="0" borderId="75" xfId="3379" applyFont="1" applyBorder="1"/>
    <xf numFmtId="0" fontId="19" fillId="0" borderId="35" xfId="0" applyNumberFormat="1" applyFont="1" applyBorder="1" applyAlignment="1">
      <alignment horizontal="center"/>
    </xf>
    <xf numFmtId="0" fontId="145" fillId="0" borderId="22" xfId="3342" applyFont="1" applyBorder="1" applyAlignment="1">
      <alignment horizontal="center"/>
    </xf>
    <xf numFmtId="0" fontId="19" fillId="0" borderId="48" xfId="0" applyNumberFormat="1" applyFont="1" applyBorder="1" applyAlignment="1">
      <alignment horizontal="center"/>
    </xf>
    <xf numFmtId="0" fontId="19" fillId="0" borderId="76" xfId="0" applyNumberFormat="1" applyFont="1" applyBorder="1" applyAlignment="1">
      <alignment horizontal="center"/>
    </xf>
    <xf numFmtId="0" fontId="18" fillId="0" borderId="22" xfId="0" applyNumberFormat="1" applyFont="1" applyBorder="1" applyAlignment="1"/>
    <xf numFmtId="6" fontId="18" fillId="0" borderId="0" xfId="0" applyNumberFormat="1" applyFont="1" applyBorder="1" applyAlignment="1"/>
    <xf numFmtId="6" fontId="18" fillId="0" borderId="0" xfId="0" applyNumberFormat="1" applyFont="1" applyBorder="1" applyAlignment="1">
      <alignment horizontal="center"/>
    </xf>
    <xf numFmtId="0" fontId="22" fillId="0" borderId="0" xfId="3062" applyFont="1" applyFill="1" applyAlignment="1"/>
    <xf numFmtId="169" fontId="22" fillId="0" borderId="0" xfId="0" applyFont="1" applyFill="1" applyAlignment="1">
      <alignment horizontal="right"/>
    </xf>
    <xf numFmtId="0" fontId="22" fillId="105" borderId="30" xfId="0" applyNumberFormat="1" applyFont="1" applyFill="1" applyBorder="1" applyAlignment="1">
      <alignment horizontal="center"/>
    </xf>
    <xf numFmtId="0" fontId="25" fillId="105" borderId="31" xfId="0" applyNumberFormat="1" applyFont="1" applyFill="1" applyBorder="1" applyAlignment="1"/>
    <xf numFmtId="0" fontId="22" fillId="105" borderId="32" xfId="0" applyNumberFormat="1" applyFont="1" applyFill="1" applyBorder="1" applyAlignment="1">
      <alignment horizontal="center"/>
    </xf>
    <xf numFmtId="175" fontId="18" fillId="105" borderId="33" xfId="0" applyNumberFormat="1" applyFont="1" applyFill="1" applyBorder="1" applyAlignment="1">
      <alignment horizontal="right"/>
    </xf>
    <xf numFmtId="175" fontId="22" fillId="105" borderId="30" xfId="0" applyNumberFormat="1" applyFont="1" applyFill="1" applyBorder="1" applyAlignment="1">
      <alignment horizontal="center"/>
    </xf>
    <xf numFmtId="175" fontId="22" fillId="105" borderId="32" xfId="0" applyNumberFormat="1" applyFont="1" applyFill="1" applyBorder="1" applyAlignment="1">
      <alignment horizontal="center"/>
    </xf>
    <xf numFmtId="0" fontId="22" fillId="105" borderId="31" xfId="0" applyNumberFormat="1" applyFont="1" applyFill="1" applyBorder="1" applyAlignment="1">
      <alignment horizontal="center"/>
    </xf>
    <xf numFmtId="10" fontId="123" fillId="105" borderId="31" xfId="0" applyNumberFormat="1" applyFont="1" applyFill="1" applyBorder="1" applyAlignment="1">
      <alignment horizontal="center"/>
    </xf>
    <xf numFmtId="0" fontId="45" fillId="105" borderId="32" xfId="0" applyNumberFormat="1" applyFont="1" applyFill="1" applyBorder="1" applyAlignment="1">
      <alignment horizontal="center"/>
    </xf>
    <xf numFmtId="0" fontId="25" fillId="105" borderId="86" xfId="0" applyNumberFormat="1" applyFont="1" applyFill="1" applyBorder="1" applyAlignment="1"/>
    <xf numFmtId="41" fontId="25" fillId="105" borderId="86" xfId="0" applyNumberFormat="1" applyFont="1" applyFill="1" applyBorder="1" applyAlignment="1"/>
    <xf numFmtId="5" fontId="25" fillId="105" borderId="12" xfId="0" applyNumberFormat="1" applyFont="1" applyFill="1" applyBorder="1" applyAlignment="1"/>
    <xf numFmtId="165" fontId="25" fillId="105" borderId="12" xfId="0" applyNumberFormat="1" applyFont="1" applyFill="1" applyBorder="1" applyAlignment="1"/>
    <xf numFmtId="41" fontId="25" fillId="105" borderId="12" xfId="0" applyNumberFormat="1" applyFont="1" applyFill="1" applyBorder="1" applyAlignment="1"/>
    <xf numFmtId="5" fontId="25" fillId="105" borderId="87" xfId="0" applyNumberFormat="1" applyFont="1" applyFill="1" applyBorder="1" applyAlignment="1"/>
    <xf numFmtId="165" fontId="25" fillId="105" borderId="87" xfId="0" applyNumberFormat="1" applyFont="1" applyFill="1" applyBorder="1" applyAlignment="1"/>
    <xf numFmtId="41" fontId="25" fillId="105" borderId="87" xfId="0" applyNumberFormat="1" applyFont="1" applyFill="1" applyBorder="1" applyAlignment="1"/>
    <xf numFmtId="42" fontId="22" fillId="105" borderId="32" xfId="0" applyNumberFormat="1" applyFont="1" applyFill="1" applyBorder="1" applyAlignment="1"/>
    <xf numFmtId="42" fontId="22" fillId="105" borderId="30" xfId="0" applyNumberFormat="1" applyFont="1" applyFill="1" applyBorder="1" applyAlignment="1"/>
    <xf numFmtId="41" fontId="139" fillId="105" borderId="85" xfId="0" applyNumberFormat="1" applyFont="1" applyFill="1" applyBorder="1" applyAlignment="1"/>
    <xf numFmtId="0" fontId="144" fillId="0" borderId="75" xfId="3379" applyFont="1" applyBorder="1"/>
    <xf numFmtId="0" fontId="0" fillId="0" borderId="76" xfId="0" applyNumberFormat="1" applyBorder="1" applyAlignment="1"/>
    <xf numFmtId="6" fontId="18" fillId="0" borderId="41" xfId="0" applyNumberFormat="1" applyFont="1" applyBorder="1" applyAlignment="1"/>
    <xf numFmtId="0" fontId="142" fillId="0" borderId="94" xfId="3379" applyFont="1" applyBorder="1"/>
    <xf numFmtId="6" fontId="18" fillId="0" borderId="95" xfId="0" applyNumberFormat="1" applyFont="1" applyBorder="1" applyAlignment="1"/>
    <xf numFmtId="0" fontId="142" fillId="0" borderId="61" xfId="3379" applyFont="1" applyBorder="1"/>
    <xf numFmtId="6" fontId="140" fillId="0" borderId="82" xfId="3379" applyNumberFormat="1" applyFont="1" applyFill="1" applyBorder="1"/>
    <xf numFmtId="165" fontId="22" fillId="0" borderId="19" xfId="2661" applyNumberFormat="1" applyFont="1" applyBorder="1"/>
    <xf numFmtId="5" fontId="22" fillId="0" borderId="19" xfId="3379" applyNumberFormat="1" applyFont="1" applyBorder="1"/>
    <xf numFmtId="5" fontId="22" fillId="0" borderId="59" xfId="3379" applyNumberFormat="1" applyFont="1" applyBorder="1"/>
    <xf numFmtId="0" fontId="135" fillId="0" borderId="96" xfId="6465" applyFont="1" applyBorder="1"/>
    <xf numFmtId="0" fontId="135" fillId="0" borderId="82" xfId="6465" applyFont="1" applyBorder="1"/>
    <xf numFmtId="0" fontId="135" fillId="0" borderId="82" xfId="6465" applyFont="1" applyBorder="1" applyAlignment="1">
      <alignment horizontal="center"/>
    </xf>
    <xf numFmtId="6" fontId="135" fillId="0" borderId="97" xfId="6465" applyNumberFormat="1" applyFont="1" applyBorder="1"/>
    <xf numFmtId="170" fontId="150" fillId="0" borderId="0" xfId="3099" applyNumberFormat="1" applyFont="1" applyBorder="1"/>
    <xf numFmtId="9" fontId="150" fillId="0" borderId="0" xfId="6466" applyNumberFormat="1" applyFont="1" applyBorder="1"/>
    <xf numFmtId="6" fontId="133" fillId="0" borderId="0" xfId="6466" applyNumberFormat="1" applyFont="1" applyFill="1" applyBorder="1"/>
    <xf numFmtId="6" fontId="133" fillId="104" borderId="56" xfId="6466" applyNumberFormat="1" applyFont="1" applyFill="1" applyBorder="1"/>
    <xf numFmtId="169" fontId="140" fillId="0" borderId="0" xfId="0" applyFont="1" applyFill="1" applyAlignment="1">
      <alignment horizontal="left"/>
    </xf>
    <xf numFmtId="16" fontId="0" fillId="0" borderId="0" xfId="0" applyNumberFormat="1" applyAlignment="1"/>
    <xf numFmtId="49" fontId="155" fillId="0" borderId="46" xfId="42216" applyNumberFormat="1" applyFont="1" applyBorder="1" applyAlignment="1">
      <alignment horizontal="right" vertical="center"/>
    </xf>
    <xf numFmtId="0" fontId="137" fillId="0" borderId="0" xfId="6465" applyFont="1"/>
    <xf numFmtId="0" fontId="18" fillId="0" borderId="0" xfId="36175" applyNumberFormat="1" applyAlignment="1"/>
    <xf numFmtId="169" fontId="165" fillId="0" borderId="0" xfId="36175" applyFont="1" applyBorder="1" applyAlignment="1"/>
    <xf numFmtId="169" fontId="135" fillId="0" borderId="0" xfId="36175" applyFont="1" applyAlignment="1"/>
    <xf numFmtId="169" fontId="18" fillId="0" borderId="11" xfId="36175" applyBorder="1" applyAlignment="1"/>
    <xf numFmtId="6" fontId="18" fillId="0" borderId="11" xfId="36175" applyNumberFormat="1" applyBorder="1" applyAlignment="1"/>
    <xf numFmtId="169" fontId="118" fillId="0" borderId="11" xfId="36175" applyFont="1" applyBorder="1" applyAlignment="1"/>
    <xf numFmtId="6" fontId="118" fillId="99" borderId="11" xfId="36175" applyNumberFormat="1" applyFont="1" applyFill="1" applyBorder="1" applyAlignment="1"/>
    <xf numFmtId="194" fontId="152" fillId="0" borderId="0" xfId="21916" applyNumberFormat="1" applyFont="1" applyFill="1" applyAlignment="1">
      <alignment horizontal="center"/>
    </xf>
    <xf numFmtId="0" fontId="152" fillId="0" borderId="0" xfId="10069" applyFont="1"/>
    <xf numFmtId="6" fontId="152" fillId="0" borderId="0" xfId="10069" applyNumberFormat="1" applyFont="1"/>
    <xf numFmtId="194" fontId="242" fillId="0" borderId="0" xfId="21916" applyNumberFormat="1" applyFont="1" applyFill="1" applyAlignment="1">
      <alignment vertical="top"/>
    </xf>
    <xf numFmtId="194" fontId="243" fillId="0" borderId="0" xfId="21916" applyNumberFormat="1" applyFont="1" applyFill="1" applyAlignment="1">
      <alignment vertical="top"/>
    </xf>
    <xf numFmtId="0" fontId="243" fillId="0" borderId="0" xfId="10069" applyFont="1" applyAlignment="1">
      <alignment vertical="top"/>
    </xf>
    <xf numFmtId="0" fontId="152" fillId="0" borderId="0" xfId="10069" applyFont="1" applyAlignment="1">
      <alignment vertical="top"/>
    </xf>
    <xf numFmtId="0" fontId="244" fillId="0" borderId="35" xfId="10069" applyFont="1" applyBorder="1" applyAlignment="1">
      <alignment horizontal="center" vertical="top"/>
    </xf>
    <xf numFmtId="0" fontId="244" fillId="0" borderId="115" xfId="10069" applyFont="1" applyBorder="1" applyAlignment="1">
      <alignment horizontal="center" vertical="top"/>
    </xf>
    <xf numFmtId="0" fontId="244" fillId="0" borderId="116" xfId="10069" applyFont="1" applyBorder="1" applyAlignment="1">
      <alignment horizontal="center" vertical="top" wrapText="1"/>
    </xf>
    <xf numFmtId="0" fontId="154" fillId="0" borderId="117" xfId="10069" applyFont="1" applyBorder="1" applyAlignment="1">
      <alignment horizontal="center" vertical="top" wrapText="1"/>
    </xf>
    <xf numFmtId="0" fontId="154" fillId="0" borderId="118" xfId="10069" applyFont="1" applyBorder="1" applyAlignment="1">
      <alignment horizontal="center" vertical="top"/>
    </xf>
    <xf numFmtId="0" fontId="154" fillId="0" borderId="85" xfId="10069" applyFont="1" applyBorder="1" applyAlignment="1">
      <alignment horizontal="center" vertical="top"/>
    </xf>
    <xf numFmtId="0" fontId="154" fillId="0" borderId="119" xfId="10069" applyFont="1" applyBorder="1" applyAlignment="1">
      <alignment horizontal="center" vertical="top"/>
    </xf>
    <xf numFmtId="0" fontId="154" fillId="0" borderId="117" xfId="10069" applyFont="1" applyBorder="1" applyAlignment="1">
      <alignment horizontal="center" vertical="top"/>
    </xf>
    <xf numFmtId="0" fontId="154" fillId="0" borderId="120" xfId="10069" applyFont="1" applyBorder="1" applyAlignment="1">
      <alignment horizontal="center" vertical="top"/>
    </xf>
    <xf numFmtId="6" fontId="154" fillId="0" borderId="117" xfId="10069" applyNumberFormat="1" applyFont="1" applyBorder="1" applyAlignment="1">
      <alignment horizontal="center" vertical="top" wrapText="1"/>
    </xf>
    <xf numFmtId="0" fontId="152" fillId="0" borderId="0" xfId="10069" applyFont="1" applyAlignment="1">
      <alignment horizontal="center" vertical="top"/>
    </xf>
    <xf numFmtId="0" fontId="155" fillId="0" borderId="48" xfId="10069" applyFont="1" applyBorder="1"/>
    <xf numFmtId="0" fontId="155" fillId="0" borderId="22" xfId="10069" applyFont="1" applyBorder="1"/>
    <xf numFmtId="0" fontId="152" fillId="0" borderId="48" xfId="10069" applyFont="1" applyBorder="1" applyAlignment="1">
      <alignment horizontal="center"/>
    </xf>
    <xf numFmtId="0" fontId="152" fillId="0" borderId="58" xfId="10069" applyFont="1" applyBorder="1" applyAlignment="1">
      <alignment horizontal="center"/>
    </xf>
    <xf numFmtId="0" fontId="152" fillId="0" borderId="78" xfId="10069" applyFont="1" applyBorder="1" applyAlignment="1">
      <alignment horizontal="center"/>
    </xf>
    <xf numFmtId="0" fontId="152" fillId="0" borderId="49" xfId="10069" applyFont="1" applyBorder="1" applyAlignment="1">
      <alignment horizontal="center"/>
    </xf>
    <xf numFmtId="194" fontId="154" fillId="0" borderId="43" xfId="21916" applyNumberFormat="1" applyFont="1" applyFill="1" applyBorder="1" applyAlignment="1">
      <alignment horizontal="center" wrapText="1"/>
    </xf>
    <xf numFmtId="0" fontId="152" fillId="0" borderId="43" xfId="10069" applyFont="1" applyBorder="1"/>
    <xf numFmtId="0" fontId="152" fillId="0" borderId="121" xfId="10069" applyFont="1" applyBorder="1"/>
    <xf numFmtId="0" fontId="152" fillId="0" borderId="122" xfId="10069" applyFont="1" applyBorder="1"/>
    <xf numFmtId="0" fontId="152" fillId="0" borderId="123" xfId="10069" applyFont="1" applyBorder="1"/>
    <xf numFmtId="0" fontId="245" fillId="0" borderId="121" xfId="10069" applyFont="1" applyBorder="1" applyAlignment="1">
      <alignment horizontal="center"/>
    </xf>
    <xf numFmtId="0" fontId="245" fillId="0" borderId="124" xfId="10069" applyFont="1" applyBorder="1" applyAlignment="1">
      <alignment horizontal="center"/>
    </xf>
    <xf numFmtId="0" fontId="245" fillId="0" borderId="125" xfId="10069" applyFont="1" applyBorder="1" applyAlignment="1">
      <alignment horizontal="center"/>
    </xf>
    <xf numFmtId="0" fontId="152" fillId="0" borderId="121" xfId="10069" applyFont="1" applyBorder="1" applyAlignment="1">
      <alignment horizontal="center"/>
    </xf>
    <xf numFmtId="0" fontId="246" fillId="0" borderId="125" xfId="10069" applyFont="1" applyBorder="1" applyAlignment="1">
      <alignment horizontal="center"/>
    </xf>
    <xf numFmtId="0" fontId="247" fillId="0" borderId="125" xfId="10069" applyFont="1" applyBorder="1" applyAlignment="1">
      <alignment horizontal="center"/>
    </xf>
    <xf numFmtId="0" fontId="247" fillId="0" borderId="126" xfId="10069" applyFont="1" applyBorder="1" applyAlignment="1">
      <alignment horizontal="center"/>
    </xf>
    <xf numFmtId="0" fontId="19" fillId="0" borderId="121" xfId="10069" applyFont="1" applyBorder="1" applyAlignment="1">
      <alignment horizontal="center"/>
    </xf>
    <xf numFmtId="17" fontId="152" fillId="0" borderId="121" xfId="10069" applyNumberFormat="1" applyFont="1" applyBorder="1" applyAlignment="1">
      <alignment horizontal="center"/>
    </xf>
    <xf numFmtId="6" fontId="152" fillId="0" borderId="121" xfId="10069" applyNumberFormat="1" applyFont="1" applyBorder="1" applyAlignment="1">
      <alignment horizontal="center"/>
    </xf>
    <xf numFmtId="0" fontId="152" fillId="0" borderId="127" xfId="10069" applyFont="1" applyBorder="1"/>
    <xf numFmtId="0" fontId="154" fillId="0" borderId="127" xfId="10069" applyFont="1" applyBorder="1" applyAlignment="1">
      <alignment horizontal="center"/>
    </xf>
    <xf numFmtId="0" fontId="154" fillId="0" borderId="125" xfId="10069" applyFont="1" applyBorder="1" applyAlignment="1">
      <alignment horizontal="center"/>
    </xf>
    <xf numFmtId="0" fontId="154" fillId="0" borderId="128" xfId="10069" applyFont="1" applyBorder="1" applyAlignment="1">
      <alignment horizontal="center"/>
    </xf>
    <xf numFmtId="0" fontId="154" fillId="0" borderId="55" xfId="10069" applyFont="1" applyBorder="1" applyAlignment="1">
      <alignment horizontal="center"/>
    </xf>
    <xf numFmtId="0" fontId="154" fillId="121" borderId="50" xfId="10069" applyFont="1" applyFill="1" applyBorder="1" applyAlignment="1"/>
    <xf numFmtId="0" fontId="154" fillId="121" borderId="0" xfId="10069" applyFont="1" applyFill="1" applyBorder="1" applyAlignment="1"/>
    <xf numFmtId="0" fontId="152" fillId="121" borderId="0" xfId="10069" applyFont="1" applyFill="1" applyBorder="1" applyAlignment="1"/>
    <xf numFmtId="0" fontId="154" fillId="121" borderId="0" xfId="10069" applyFont="1" applyFill="1" applyBorder="1" applyAlignment="1">
      <alignment horizontal="center"/>
    </xf>
    <xf numFmtId="0" fontId="154" fillId="121" borderId="47" xfId="10069" applyFont="1" applyFill="1" applyBorder="1" applyAlignment="1">
      <alignment horizontal="center"/>
    </xf>
    <xf numFmtId="6" fontId="154" fillId="121" borderId="47" xfId="10069" applyNumberFormat="1" applyFont="1" applyFill="1" applyBorder="1" applyAlignment="1">
      <alignment horizontal="center"/>
    </xf>
    <xf numFmtId="0" fontId="154" fillId="121" borderId="129" xfId="10069" applyFont="1" applyFill="1" applyBorder="1" applyAlignment="1">
      <alignment horizontal="center"/>
    </xf>
    <xf numFmtId="6" fontId="154" fillId="121" borderId="116" xfId="21916" applyNumberFormat="1" applyFont="1" applyFill="1" applyBorder="1" applyAlignment="1">
      <alignment horizontal="center"/>
    </xf>
    <xf numFmtId="6" fontId="154" fillId="121" borderId="117" xfId="21916" applyNumberFormat="1" applyFont="1" applyFill="1" applyBorder="1" applyAlignment="1">
      <alignment horizontal="center"/>
    </xf>
    <xf numFmtId="6" fontId="152" fillId="121" borderId="118" xfId="21916" applyNumberFormat="1" applyFont="1" applyFill="1" applyBorder="1" applyAlignment="1">
      <alignment horizontal="center"/>
    </xf>
    <xf numFmtId="6" fontId="152" fillId="121" borderId="85" xfId="21916" applyNumberFormat="1" applyFont="1" applyFill="1" applyBorder="1" applyAlignment="1">
      <alignment horizontal="center"/>
    </xf>
    <xf numFmtId="6" fontId="152" fillId="121" borderId="119" xfId="21916" applyNumberFormat="1" applyFont="1" applyFill="1" applyBorder="1" applyAlignment="1">
      <alignment horizontal="center"/>
    </xf>
    <xf numFmtId="6" fontId="152" fillId="121" borderId="120" xfId="21916" applyNumberFormat="1" applyFont="1" applyFill="1" applyBorder="1" applyAlignment="1">
      <alignment horizontal="center"/>
    </xf>
    <xf numFmtId="178" fontId="154" fillId="0" borderId="50" xfId="10069" applyNumberFormat="1" applyFont="1" applyBorder="1"/>
    <xf numFmtId="178" fontId="152" fillId="0" borderId="0" xfId="10069" applyNumberFormat="1" applyFont="1" applyBorder="1"/>
    <xf numFmtId="164" fontId="152" fillId="0" borderId="50" xfId="21916" applyNumberFormat="1" applyFont="1" applyBorder="1" applyAlignment="1">
      <alignment horizontal="center"/>
    </xf>
    <xf numFmtId="164" fontId="152" fillId="0" borderId="34" xfId="21916" applyNumberFormat="1" applyFont="1" applyBorder="1" applyAlignment="1">
      <alignment horizontal="center"/>
    </xf>
    <xf numFmtId="164" fontId="152" fillId="0" borderId="80" xfId="21916" applyNumberFormat="1" applyFont="1" applyBorder="1" applyAlignment="1">
      <alignment horizontal="center"/>
    </xf>
    <xf numFmtId="164" fontId="152" fillId="0" borderId="51" xfId="21916" applyNumberFormat="1" applyFont="1" applyBorder="1" applyAlignment="1">
      <alignment horizontal="center"/>
    </xf>
    <xf numFmtId="0" fontId="152" fillId="0" borderId="50" xfId="10069" applyFont="1" applyBorder="1" applyAlignment="1"/>
    <xf numFmtId="0" fontId="152" fillId="0" borderId="0" xfId="10069" applyFont="1" applyBorder="1" applyAlignment="1"/>
    <xf numFmtId="14" fontId="152" fillId="0" borderId="0" xfId="10069" applyNumberFormat="1" applyFont="1" applyBorder="1" applyAlignment="1">
      <alignment horizontal="center"/>
    </xf>
    <xf numFmtId="14" fontId="152" fillId="0" borderId="47" xfId="10069" applyNumberFormat="1" applyFont="1" applyBorder="1" applyAlignment="1">
      <alignment horizontal="center"/>
    </xf>
    <xf numFmtId="6" fontId="152" fillId="0" borderId="47" xfId="10069" applyNumberFormat="1" applyFont="1" applyBorder="1" applyAlignment="1">
      <alignment horizontal="center"/>
    </xf>
    <xf numFmtId="14" fontId="152" fillId="0" borderId="129" xfId="10069" applyNumberFormat="1" applyFont="1" applyBorder="1" applyAlignment="1">
      <alignment horizontal="center"/>
    </xf>
    <xf numFmtId="6" fontId="152" fillId="0" borderId="130" xfId="10069" applyNumberFormat="1" applyFont="1" applyBorder="1" applyAlignment="1">
      <alignment horizontal="center"/>
    </xf>
    <xf numFmtId="6" fontId="152" fillId="0" borderId="79" xfId="10069" applyNumberFormat="1" applyFont="1" applyBorder="1" applyAlignment="1">
      <alignment horizontal="center"/>
    </xf>
    <xf numFmtId="6" fontId="152" fillId="0" borderId="34" xfId="10069" applyNumberFormat="1" applyFont="1" applyBorder="1" applyAlignment="1">
      <alignment horizontal="center"/>
    </xf>
    <xf numFmtId="6" fontId="152" fillId="0" borderId="60" xfId="10069" applyNumberFormat="1" applyFont="1" applyBorder="1" applyAlignment="1">
      <alignment horizontal="center"/>
    </xf>
    <xf numFmtId="6" fontId="152" fillId="0" borderId="16" xfId="10069" applyNumberFormat="1" applyFont="1" applyBorder="1" applyAlignment="1">
      <alignment horizontal="center"/>
    </xf>
    <xf numFmtId="0" fontId="152" fillId="0" borderId="50" xfId="10069" applyFont="1" applyBorder="1"/>
    <xf numFmtId="0" fontId="152" fillId="0" borderId="0" xfId="10069" applyFont="1" applyBorder="1"/>
    <xf numFmtId="0" fontId="152" fillId="0" borderId="34" xfId="10069" applyFont="1" applyBorder="1"/>
    <xf numFmtId="0" fontId="152" fillId="0" borderId="80" xfId="10069" applyFont="1" applyBorder="1"/>
    <xf numFmtId="0" fontId="152" fillId="0" borderId="51" xfId="10069" applyFont="1" applyBorder="1"/>
    <xf numFmtId="220" fontId="152" fillId="0" borderId="0" xfId="10069" applyNumberFormat="1" applyFont="1" applyBorder="1" applyAlignment="1">
      <alignment horizontal="left"/>
    </xf>
    <xf numFmtId="0" fontId="152" fillId="0" borderId="0" xfId="10069" applyFont="1" applyBorder="1" applyAlignment="1">
      <alignment horizontal="center"/>
    </xf>
    <xf numFmtId="0" fontId="152" fillId="0" borderId="47" xfId="10069" applyFont="1" applyBorder="1" applyAlignment="1">
      <alignment horizontal="center"/>
    </xf>
    <xf numFmtId="0" fontId="152" fillId="0" borderId="129" xfId="10069" applyFont="1" applyBorder="1" applyAlignment="1">
      <alignment horizontal="center"/>
    </xf>
    <xf numFmtId="0" fontId="152" fillId="0" borderId="52" xfId="10069" applyFont="1" applyBorder="1"/>
    <xf numFmtId="0" fontId="152" fillId="0" borderId="21" xfId="10069" applyFont="1" applyBorder="1"/>
    <xf numFmtId="0" fontId="152" fillId="0" borderId="57" xfId="10069" applyFont="1" applyBorder="1"/>
    <xf numFmtId="0" fontId="152" fillId="0" borderId="81" xfId="10069" applyFont="1" applyBorder="1"/>
    <xf numFmtId="0" fontId="152" fillId="0" borderId="53" xfId="10069" applyFont="1" applyBorder="1"/>
    <xf numFmtId="0" fontId="152" fillId="0" borderId="0" xfId="10069" applyFont="1" applyBorder="1" applyAlignment="1">
      <alignment horizontal="left"/>
    </xf>
    <xf numFmtId="220" fontId="152" fillId="0" borderId="0" xfId="10069" applyNumberFormat="1" applyFont="1" applyBorder="1" applyAlignment="1"/>
    <xf numFmtId="220" fontId="154" fillId="121" borderId="0" xfId="10069" applyNumberFormat="1" applyFont="1" applyFill="1" applyBorder="1" applyAlignment="1"/>
    <xf numFmtId="6" fontId="154" fillId="121" borderId="130" xfId="21916" applyNumberFormat="1" applyFont="1" applyFill="1" applyBorder="1" applyAlignment="1">
      <alignment horizontal="center"/>
    </xf>
    <xf numFmtId="6" fontId="154" fillId="121" borderId="47" xfId="21916" applyNumberFormat="1" applyFont="1" applyFill="1" applyBorder="1" applyAlignment="1">
      <alignment horizontal="center"/>
    </xf>
    <xf numFmtId="6" fontId="152" fillId="121" borderId="79" xfId="21916" applyNumberFormat="1" applyFont="1" applyFill="1" applyBorder="1" applyAlignment="1">
      <alignment horizontal="center"/>
    </xf>
    <xf numFmtId="6" fontId="152" fillId="121" borderId="34" xfId="21916" applyNumberFormat="1" applyFont="1" applyFill="1" applyBorder="1" applyAlignment="1">
      <alignment horizontal="center"/>
    </xf>
    <xf numFmtId="6" fontId="152" fillId="121" borderId="60" xfId="21916" applyNumberFormat="1" applyFont="1" applyFill="1" applyBorder="1" applyAlignment="1">
      <alignment horizontal="center"/>
    </xf>
    <xf numFmtId="6" fontId="152" fillId="121" borderId="16" xfId="21916" applyNumberFormat="1" applyFont="1" applyFill="1" applyBorder="1" applyAlignment="1">
      <alignment horizontal="center"/>
    </xf>
    <xf numFmtId="0" fontId="243" fillId="0" borderId="50" xfId="10069" applyFont="1" applyBorder="1" applyAlignment="1"/>
    <xf numFmtId="220" fontId="243" fillId="0" borderId="0" xfId="10069" applyNumberFormat="1" applyFont="1" applyBorder="1" applyAlignment="1"/>
    <xf numFmtId="0" fontId="243" fillId="0" borderId="0" xfId="10069" applyFont="1" applyBorder="1" applyAlignment="1"/>
    <xf numFmtId="14" fontId="243" fillId="0" borderId="0" xfId="10069" applyNumberFormat="1" applyFont="1" applyBorder="1" applyAlignment="1">
      <alignment horizontal="center"/>
    </xf>
    <xf numFmtId="14" fontId="243" fillId="0" borderId="47" xfId="10069" applyNumberFormat="1" applyFont="1" applyBorder="1" applyAlignment="1">
      <alignment horizontal="center"/>
    </xf>
    <xf numFmtId="6" fontId="243" fillId="0" borderId="47" xfId="10069" applyNumberFormat="1" applyFont="1" applyBorder="1" applyAlignment="1">
      <alignment horizontal="center"/>
    </xf>
    <xf numFmtId="14" fontId="243" fillId="0" borderId="129" xfId="10069" applyNumberFormat="1" applyFont="1" applyBorder="1" applyAlignment="1">
      <alignment horizontal="center"/>
    </xf>
    <xf numFmtId="6" fontId="243" fillId="0" borderId="130" xfId="10069" applyNumberFormat="1" applyFont="1" applyBorder="1" applyAlignment="1">
      <alignment horizontal="center"/>
    </xf>
    <xf numFmtId="6" fontId="243" fillId="0" borderId="79" xfId="10069" applyNumberFormat="1" applyFont="1" applyBorder="1" applyAlignment="1">
      <alignment horizontal="center"/>
    </xf>
    <xf numFmtId="6" fontId="243" fillId="0" borderId="34" xfId="10069" applyNumberFormat="1" applyFont="1" applyBorder="1" applyAlignment="1">
      <alignment horizontal="center"/>
    </xf>
    <xf numFmtId="6" fontId="243" fillId="0" borderId="60" xfId="10069" applyNumberFormat="1" applyFont="1" applyBorder="1" applyAlignment="1">
      <alignment horizontal="center"/>
    </xf>
    <xf numFmtId="6" fontId="243" fillId="0" borderId="16" xfId="10069" applyNumberFormat="1" applyFont="1" applyBorder="1" applyAlignment="1">
      <alignment horizontal="center"/>
    </xf>
    <xf numFmtId="0" fontId="243" fillId="0" borderId="0" xfId="10069" applyFont="1"/>
    <xf numFmtId="0" fontId="152" fillId="0" borderId="0" xfId="10069" applyFont="1" applyBorder="1" applyAlignment="1">
      <alignment horizontal="left" indent="1"/>
    </xf>
    <xf numFmtId="6" fontId="152" fillId="0" borderId="16" xfId="10069" applyNumberFormat="1" applyFont="1" applyFill="1" applyBorder="1" applyAlignment="1">
      <alignment horizontal="center"/>
    </xf>
    <xf numFmtId="6" fontId="152" fillId="0" borderId="34" xfId="10069" applyNumberFormat="1" applyFont="1" applyFill="1" applyBorder="1" applyAlignment="1">
      <alignment horizontal="center"/>
    </xf>
    <xf numFmtId="6" fontId="152" fillId="0" borderId="60" xfId="10069" applyNumberFormat="1" applyFont="1" applyFill="1" applyBorder="1" applyAlignment="1">
      <alignment horizontal="center"/>
    </xf>
    <xf numFmtId="220" fontId="152" fillId="0" borderId="0" xfId="10069" applyNumberFormat="1" applyFont="1" applyFill="1" applyBorder="1" applyAlignment="1">
      <alignment horizontal="left"/>
    </xf>
    <xf numFmtId="0" fontId="152" fillId="0" borderId="0" xfId="10069" applyFont="1" applyFill="1" applyBorder="1" applyAlignment="1"/>
    <xf numFmtId="0" fontId="152" fillId="44" borderId="0" xfId="10069" applyFont="1" applyFill="1" applyBorder="1" applyAlignment="1"/>
    <xf numFmtId="0" fontId="155" fillId="44" borderId="0" xfId="10069" applyFont="1" applyFill="1" applyBorder="1" applyAlignment="1"/>
    <xf numFmtId="0" fontId="152" fillId="44" borderId="0" xfId="10069" applyFont="1" applyFill="1" applyBorder="1" applyAlignment="1">
      <alignment horizontal="left" indent="1"/>
    </xf>
    <xf numFmtId="6" fontId="152" fillId="122" borderId="47" xfId="10069" applyNumberFormat="1" applyFont="1" applyFill="1" applyBorder="1" applyAlignment="1">
      <alignment horizontal="center"/>
    </xf>
    <xf numFmtId="220" fontId="152" fillId="0" borderId="0" xfId="10069" applyNumberFormat="1" applyFont="1" applyFill="1" applyBorder="1" applyAlignment="1">
      <alignment horizontal="left" indent="1"/>
    </xf>
    <xf numFmtId="0" fontId="152" fillId="0" borderId="0" xfId="10069" applyFont="1" applyFill="1" applyBorder="1" applyAlignment="1">
      <alignment horizontal="left"/>
    </xf>
    <xf numFmtId="6" fontId="152" fillId="0" borderId="47" xfId="10069" applyNumberFormat="1" applyFont="1" applyFill="1" applyBorder="1" applyAlignment="1">
      <alignment horizontal="center"/>
    </xf>
    <xf numFmtId="0" fontId="152" fillId="121" borderId="0" xfId="10069" applyFont="1" applyFill="1" applyBorder="1" applyAlignment="1">
      <alignment horizontal="center"/>
    </xf>
    <xf numFmtId="0" fontId="152" fillId="121" borderId="47" xfId="10069" applyFont="1" applyFill="1" applyBorder="1" applyAlignment="1">
      <alignment horizontal="center"/>
    </xf>
    <xf numFmtId="6" fontId="152" fillId="121" borderId="47" xfId="10069" applyNumberFormat="1" applyFont="1" applyFill="1" applyBorder="1" applyAlignment="1">
      <alignment horizontal="center"/>
    </xf>
    <xf numFmtId="0" fontId="152" fillId="121" borderId="129" xfId="10069" applyFont="1" applyFill="1" applyBorder="1" applyAlignment="1">
      <alignment horizontal="center"/>
    </xf>
    <xf numFmtId="17" fontId="152" fillId="0" borderId="0" xfId="10069" quotePrefix="1" applyNumberFormat="1" applyFont="1" applyBorder="1" applyAlignment="1">
      <alignment horizontal="center"/>
    </xf>
    <xf numFmtId="17" fontId="152" fillId="0" borderId="47" xfId="10069" quotePrefix="1" applyNumberFormat="1" applyFont="1" applyBorder="1" applyAlignment="1">
      <alignment horizontal="center"/>
    </xf>
    <xf numFmtId="6" fontId="152" fillId="0" borderId="47" xfId="10069" quotePrefix="1" applyNumberFormat="1" applyFont="1" applyBorder="1" applyAlignment="1">
      <alignment horizontal="center"/>
    </xf>
    <xf numFmtId="17" fontId="152" fillId="0" borderId="129" xfId="10069" quotePrefix="1" applyNumberFormat="1" applyFont="1" applyBorder="1" applyAlignment="1">
      <alignment horizontal="center"/>
    </xf>
    <xf numFmtId="6" fontId="152" fillId="0" borderId="130" xfId="10069" quotePrefix="1" applyNumberFormat="1" applyFont="1" applyBorder="1" applyAlignment="1">
      <alignment horizontal="center"/>
    </xf>
    <xf numFmtId="3" fontId="152" fillId="0" borderId="0" xfId="10069" applyNumberFormat="1" applyFont="1" applyAlignment="1">
      <alignment horizontal="left"/>
    </xf>
    <xf numFmtId="8" fontId="152" fillId="0" borderId="0" xfId="10069" applyNumberFormat="1" applyFont="1"/>
    <xf numFmtId="6" fontId="248" fillId="0" borderId="50" xfId="10069" applyNumberFormat="1" applyFont="1" applyBorder="1" applyAlignment="1"/>
    <xf numFmtId="6" fontId="248" fillId="0" borderId="0" xfId="10069" applyNumberFormat="1" applyFont="1" applyBorder="1" applyAlignment="1">
      <alignment horizontal="left"/>
    </xf>
    <xf numFmtId="6" fontId="248" fillId="0" borderId="0" xfId="10069" applyNumberFormat="1" applyFont="1" applyBorder="1" applyAlignment="1"/>
    <xf numFmtId="6" fontId="248" fillId="0" borderId="0" xfId="10069" applyNumberFormat="1" applyFont="1" applyBorder="1" applyAlignment="1">
      <alignment horizontal="center"/>
    </xf>
    <xf numFmtId="6" fontId="248" fillId="0" borderId="47" xfId="10069" applyNumberFormat="1" applyFont="1" applyBorder="1" applyAlignment="1">
      <alignment horizontal="center"/>
    </xf>
    <xf numFmtId="6" fontId="248" fillId="0" borderId="129" xfId="10069" applyNumberFormat="1" applyFont="1" applyBorder="1" applyAlignment="1">
      <alignment horizontal="center"/>
    </xf>
    <xf numFmtId="6" fontId="248" fillId="0" borderId="130" xfId="10069" applyNumberFormat="1" applyFont="1" applyBorder="1" applyAlignment="1">
      <alignment horizontal="center"/>
    </xf>
    <xf numFmtId="6" fontId="248" fillId="0" borderId="79" xfId="10069" applyNumberFormat="1" applyFont="1" applyBorder="1" applyAlignment="1">
      <alignment horizontal="center"/>
    </xf>
    <xf numFmtId="6" fontId="248" fillId="0" borderId="34" xfId="10069" applyNumberFormat="1" applyFont="1" applyBorder="1" applyAlignment="1">
      <alignment horizontal="center"/>
    </xf>
    <xf numFmtId="6" fontId="248" fillId="0" borderId="60" xfId="10069" applyNumberFormat="1" applyFont="1" applyFill="1" applyBorder="1" applyAlignment="1">
      <alignment horizontal="center"/>
    </xf>
    <xf numFmtId="6" fontId="248" fillId="0" borderId="47" xfId="10069" applyNumberFormat="1" applyFont="1" applyFill="1" applyBorder="1" applyAlignment="1">
      <alignment horizontal="center"/>
    </xf>
    <xf numFmtId="6" fontId="248" fillId="0" borderId="16" xfId="10069" applyNumberFormat="1" applyFont="1" applyFill="1" applyBorder="1" applyAlignment="1">
      <alignment horizontal="center"/>
    </xf>
    <xf numFmtId="6" fontId="248" fillId="0" borderId="34" xfId="10069" applyNumberFormat="1" applyFont="1" applyFill="1" applyBorder="1" applyAlignment="1">
      <alignment horizontal="center"/>
    </xf>
    <xf numFmtId="6" fontId="248" fillId="0" borderId="60" xfId="10069" applyNumberFormat="1" applyFont="1" applyBorder="1" applyAlignment="1">
      <alignment horizontal="center"/>
    </xf>
    <xf numFmtId="6" fontId="248" fillId="0" borderId="16" xfId="10069" applyNumberFormat="1" applyFont="1" applyBorder="1" applyAlignment="1">
      <alignment horizontal="center"/>
    </xf>
    <xf numFmtId="6" fontId="248" fillId="0" borderId="0" xfId="10069" applyNumberFormat="1" applyFont="1"/>
    <xf numFmtId="6" fontId="248" fillId="0" borderId="0" xfId="10069" applyNumberFormat="1" applyFont="1" applyAlignment="1">
      <alignment horizontal="left"/>
    </xf>
    <xf numFmtId="220" fontId="152" fillId="0" borderId="0" xfId="10069" applyNumberFormat="1" applyFont="1" applyBorder="1" applyAlignment="1">
      <alignment horizontal="left" indent="1"/>
    </xf>
    <xf numFmtId="0" fontId="152" fillId="0" borderId="0" xfId="10069" quotePrefix="1" applyFont="1" applyBorder="1" applyAlignment="1">
      <alignment horizontal="center"/>
    </xf>
    <xf numFmtId="0" fontId="152" fillId="0" borderId="47" xfId="10069" quotePrefix="1" applyFont="1" applyBorder="1" applyAlignment="1">
      <alignment horizontal="center"/>
    </xf>
    <xf numFmtId="0" fontId="152" fillId="0" borderId="129" xfId="10069" quotePrefix="1" applyFont="1" applyBorder="1" applyAlignment="1">
      <alignment horizontal="center"/>
    </xf>
    <xf numFmtId="6" fontId="152" fillId="123" borderId="34" xfId="10069" applyNumberFormat="1" applyFont="1" applyFill="1" applyBorder="1" applyAlignment="1">
      <alignment horizontal="center"/>
    </xf>
    <xf numFmtId="220" fontId="152" fillId="0" borderId="0" xfId="10069" applyNumberFormat="1" applyFont="1" applyFill="1" applyBorder="1" applyAlignment="1"/>
    <xf numFmtId="6" fontId="152" fillId="0" borderId="11" xfId="10069" applyNumberFormat="1" applyFont="1" applyBorder="1" applyAlignment="1">
      <alignment horizontal="center"/>
    </xf>
    <xf numFmtId="0" fontId="249" fillId="0" borderId="50" xfId="10069" applyFont="1" applyBorder="1" applyAlignment="1"/>
    <xf numFmtId="220" fontId="249" fillId="0" borderId="0" xfId="10069" applyNumberFormat="1" applyFont="1" applyFill="1" applyBorder="1" applyAlignment="1">
      <alignment horizontal="left"/>
    </xf>
    <xf numFmtId="220" fontId="249" fillId="0" borderId="0" xfId="10069" applyNumberFormat="1" applyFont="1" applyBorder="1" applyAlignment="1"/>
    <xf numFmtId="0" fontId="249" fillId="0" borderId="0" xfId="10069" applyFont="1" applyBorder="1" applyAlignment="1"/>
    <xf numFmtId="6" fontId="249" fillId="0" borderId="0" xfId="10069" applyNumberFormat="1" applyFont="1" applyBorder="1" applyAlignment="1"/>
    <xf numFmtId="0" fontId="249" fillId="0" borderId="0" xfId="10069" applyFont="1" applyBorder="1" applyAlignment="1">
      <alignment horizontal="center"/>
    </xf>
    <xf numFmtId="0" fontId="249" fillId="0" borderId="47" xfId="10069" applyFont="1" applyBorder="1" applyAlignment="1">
      <alignment horizontal="center"/>
    </xf>
    <xf numFmtId="6" fontId="249" fillId="0" borderId="47" xfId="10069" applyNumberFormat="1" applyFont="1" applyBorder="1" applyAlignment="1">
      <alignment horizontal="center"/>
    </xf>
    <xf numFmtId="0" fontId="249" fillId="0" borderId="129" xfId="10069" applyFont="1" applyBorder="1" applyAlignment="1">
      <alignment horizontal="center"/>
    </xf>
    <xf numFmtId="6" fontId="249" fillId="0" borderId="130" xfId="10069" applyNumberFormat="1" applyFont="1" applyBorder="1" applyAlignment="1">
      <alignment horizontal="center"/>
    </xf>
    <xf numFmtId="6" fontId="249" fillId="0" borderId="79" xfId="10069" applyNumberFormat="1" applyFont="1" applyBorder="1" applyAlignment="1">
      <alignment horizontal="center"/>
    </xf>
    <xf numFmtId="6" fontId="249" fillId="0" borderId="34" xfId="10069" applyNumberFormat="1" applyFont="1" applyBorder="1" applyAlignment="1">
      <alignment horizontal="center"/>
    </xf>
    <xf numFmtId="6" fontId="249" fillId="0" borderId="60" xfId="10069" applyNumberFormat="1" applyFont="1" applyFill="1" applyBorder="1" applyAlignment="1">
      <alignment horizontal="center"/>
    </xf>
    <xf numFmtId="6" fontId="249" fillId="0" borderId="16" xfId="10069" applyNumberFormat="1" applyFont="1" applyBorder="1" applyAlignment="1">
      <alignment horizontal="center"/>
    </xf>
    <xf numFmtId="6" fontId="249" fillId="0" borderId="16" xfId="10069" applyNumberFormat="1" applyFont="1" applyFill="1" applyBorder="1" applyAlignment="1">
      <alignment horizontal="center"/>
    </xf>
    <xf numFmtId="6" fontId="249" fillId="0" borderId="34" xfId="10069" applyNumberFormat="1" applyFont="1" applyFill="1" applyBorder="1" applyAlignment="1">
      <alignment horizontal="center"/>
    </xf>
    <xf numFmtId="6" fontId="249" fillId="0" borderId="60" xfId="10069" applyNumberFormat="1" applyFont="1" applyBorder="1" applyAlignment="1">
      <alignment horizontal="center"/>
    </xf>
    <xf numFmtId="6" fontId="249" fillId="0" borderId="47" xfId="10069" applyNumberFormat="1" applyFont="1" applyFill="1" applyBorder="1" applyAlignment="1">
      <alignment horizontal="center"/>
    </xf>
    <xf numFmtId="6" fontId="249" fillId="0" borderId="11" xfId="10069" applyNumberFormat="1" applyFont="1" applyBorder="1" applyAlignment="1">
      <alignment horizontal="center"/>
    </xf>
    <xf numFmtId="0" fontId="249" fillId="0" borderId="0" xfId="10069" applyFont="1"/>
    <xf numFmtId="0" fontId="249" fillId="0" borderId="36" xfId="10069" applyFont="1" applyBorder="1" applyAlignment="1">
      <alignment horizontal="center"/>
    </xf>
    <xf numFmtId="0" fontId="154" fillId="0" borderId="0" xfId="10069" applyFont="1" applyBorder="1" applyAlignment="1"/>
    <xf numFmtId="17" fontId="154" fillId="121" borderId="0" xfId="10069" quotePrefix="1" applyNumberFormat="1" applyFont="1" applyFill="1" applyBorder="1" applyAlignment="1">
      <alignment horizontal="center"/>
    </xf>
    <xf numFmtId="17" fontId="154" fillId="121" borderId="47" xfId="10069" quotePrefix="1" applyNumberFormat="1" applyFont="1" applyFill="1" applyBorder="1" applyAlignment="1">
      <alignment horizontal="center"/>
    </xf>
    <xf numFmtId="6" fontId="154" fillId="121" borderId="47" xfId="10069" quotePrefix="1" applyNumberFormat="1" applyFont="1" applyFill="1" applyBorder="1" applyAlignment="1">
      <alignment horizontal="center"/>
    </xf>
    <xf numFmtId="17" fontId="154" fillId="121" borderId="129" xfId="10069" quotePrefix="1" applyNumberFormat="1" applyFont="1" applyFill="1" applyBorder="1" applyAlignment="1">
      <alignment horizontal="center"/>
    </xf>
    <xf numFmtId="0" fontId="243" fillId="0" borderId="0" xfId="10069" applyFont="1" applyBorder="1" applyAlignment="1">
      <alignment horizontal="left"/>
    </xf>
    <xf numFmtId="0" fontId="243" fillId="0" borderId="0" xfId="10069" applyFont="1" applyBorder="1" applyAlignment="1">
      <alignment horizontal="center"/>
    </xf>
    <xf numFmtId="0" fontId="243" fillId="0" borderId="47" xfId="10069" applyFont="1" applyBorder="1" applyAlignment="1">
      <alignment horizontal="center"/>
    </xf>
    <xf numFmtId="0" fontId="243" fillId="0" borderId="129" xfId="10069" applyFont="1" applyBorder="1" applyAlignment="1">
      <alignment horizontal="center"/>
    </xf>
    <xf numFmtId="38" fontId="152" fillId="0" borderId="47" xfId="10069" applyNumberFormat="1" applyFont="1" applyBorder="1" applyAlignment="1">
      <alignment horizontal="center"/>
    </xf>
    <xf numFmtId="38" fontId="152" fillId="0" borderId="129" xfId="10069" applyNumberFormat="1" applyFont="1" applyBorder="1" applyAlignment="1">
      <alignment horizontal="center"/>
    </xf>
    <xf numFmtId="0" fontId="243" fillId="0" borderId="0" xfId="10069" applyFont="1" applyFill="1" applyBorder="1" applyAlignment="1"/>
    <xf numFmtId="6" fontId="152" fillId="54" borderId="47" xfId="10069" applyNumberFormat="1" applyFont="1" applyFill="1" applyBorder="1" applyAlignment="1">
      <alignment horizontal="center"/>
    </xf>
    <xf numFmtId="0" fontId="152" fillId="0" borderId="50" xfId="10069" applyFont="1" applyBorder="1" applyAlignment="1">
      <alignment vertical="top"/>
    </xf>
    <xf numFmtId="220" fontId="152" fillId="0" borderId="0" xfId="10069" applyNumberFormat="1" applyFont="1" applyBorder="1" applyAlignment="1">
      <alignment vertical="top"/>
    </xf>
    <xf numFmtId="0" fontId="152" fillId="0" borderId="0" xfId="10069" applyFont="1" applyBorder="1" applyAlignment="1">
      <alignment vertical="top" wrapText="1"/>
    </xf>
    <xf numFmtId="0" fontId="152" fillId="0" borderId="0" xfId="10069" applyFont="1" applyBorder="1" applyAlignment="1">
      <alignment horizontal="center" vertical="top" wrapText="1"/>
    </xf>
    <xf numFmtId="38" fontId="152" fillId="0" borderId="47" xfId="10069" applyNumberFormat="1" applyFont="1" applyBorder="1" applyAlignment="1">
      <alignment horizontal="center" vertical="top" wrapText="1"/>
    </xf>
    <xf numFmtId="38" fontId="152" fillId="0" borderId="129" xfId="10069" applyNumberFormat="1" applyFont="1" applyBorder="1" applyAlignment="1">
      <alignment horizontal="center" vertical="top" wrapText="1"/>
    </xf>
    <xf numFmtId="6" fontId="152" fillId="0" borderId="130" xfId="10069" applyNumberFormat="1" applyFont="1" applyBorder="1" applyAlignment="1">
      <alignment horizontal="center" vertical="top" wrapText="1"/>
    </xf>
    <xf numFmtId="6" fontId="152" fillId="0" borderId="47" xfId="10069" applyNumberFormat="1" applyFont="1" applyBorder="1" applyAlignment="1">
      <alignment horizontal="center" vertical="top" wrapText="1"/>
    </xf>
    <xf numFmtId="6" fontId="152" fillId="0" borderId="79" xfId="10069" applyNumberFormat="1" applyFont="1" applyBorder="1" applyAlignment="1">
      <alignment horizontal="center" vertical="top" wrapText="1"/>
    </xf>
    <xf numFmtId="6" fontId="152" fillId="0" borderId="34" xfId="10069" applyNumberFormat="1" applyFont="1" applyBorder="1" applyAlignment="1">
      <alignment horizontal="center" vertical="top" wrapText="1"/>
    </xf>
    <xf numFmtId="6" fontId="152" fillId="0" borderId="60" xfId="10069" applyNumberFormat="1" applyFont="1" applyBorder="1" applyAlignment="1">
      <alignment horizontal="center" vertical="top" wrapText="1"/>
    </xf>
    <xf numFmtId="6" fontId="152" fillId="0" borderId="16" xfId="10069" applyNumberFormat="1" applyFont="1" applyFill="1" applyBorder="1" applyAlignment="1">
      <alignment horizontal="center" vertical="top" wrapText="1"/>
    </xf>
    <xf numFmtId="6" fontId="152" fillId="0" borderId="34" xfId="10069" applyNumberFormat="1" applyFont="1" applyFill="1" applyBorder="1" applyAlignment="1">
      <alignment horizontal="center" vertical="top" wrapText="1"/>
    </xf>
    <xf numFmtId="6" fontId="152" fillId="0" borderId="60" xfId="10069" applyNumberFormat="1" applyFont="1" applyFill="1" applyBorder="1" applyAlignment="1">
      <alignment horizontal="center" vertical="top" wrapText="1"/>
    </xf>
    <xf numFmtId="6" fontId="152" fillId="0" borderId="47" xfId="10069" applyNumberFormat="1" applyFont="1" applyFill="1" applyBorder="1" applyAlignment="1">
      <alignment horizontal="center" vertical="top" wrapText="1"/>
    </xf>
    <xf numFmtId="6" fontId="152" fillId="0" borderId="16" xfId="10069" applyNumberFormat="1" applyFont="1" applyBorder="1" applyAlignment="1">
      <alignment horizontal="center" vertical="top" wrapText="1"/>
    </xf>
    <xf numFmtId="0" fontId="152" fillId="0" borderId="0" xfId="10069" applyFont="1" applyBorder="1" applyAlignment="1">
      <alignment horizontal="left" vertical="top" wrapText="1" indent="1"/>
    </xf>
    <xf numFmtId="0" fontId="152" fillId="0" borderId="0" xfId="10069" applyFont="1" applyBorder="1" applyAlignment="1">
      <alignment horizontal="left" vertical="top" wrapText="1"/>
    </xf>
    <xf numFmtId="6" fontId="152" fillId="122" borderId="47" xfId="10069" applyNumberFormat="1" applyFont="1" applyFill="1" applyBorder="1" applyAlignment="1">
      <alignment horizontal="center" vertical="top" wrapText="1"/>
    </xf>
    <xf numFmtId="0" fontId="152" fillId="0" borderId="0" xfId="10069" applyFont="1" applyFill="1" applyBorder="1" applyAlignment="1">
      <alignment vertical="top"/>
    </xf>
    <xf numFmtId="0" fontId="152" fillId="0" borderId="0" xfId="10069" applyFont="1" applyBorder="1" applyAlignment="1">
      <alignment horizontal="center" vertical="top"/>
    </xf>
    <xf numFmtId="8" fontId="152" fillId="0" borderId="34" xfId="10069" applyNumberFormat="1" applyFont="1" applyBorder="1" applyAlignment="1">
      <alignment horizontal="center"/>
    </xf>
    <xf numFmtId="6" fontId="243" fillId="0" borderId="34" xfId="10069" applyNumberFormat="1" applyFont="1" applyFill="1" applyBorder="1" applyAlignment="1">
      <alignment horizontal="center"/>
    </xf>
    <xf numFmtId="6" fontId="243" fillId="0" borderId="47" xfId="10069" applyNumberFormat="1" applyFont="1" applyFill="1" applyBorder="1" applyAlignment="1">
      <alignment horizontal="center"/>
    </xf>
    <xf numFmtId="0" fontId="152" fillId="0" borderId="0" xfId="10069" applyFont="1" applyBorder="1" applyAlignment="1">
      <alignment horizontal="left" indent="2"/>
    </xf>
    <xf numFmtId="0" fontId="150" fillId="0" borderId="50" xfId="10069" applyFont="1" applyBorder="1" applyAlignment="1"/>
    <xf numFmtId="220" fontId="150" fillId="0" borderId="0" xfId="10069" applyNumberFormat="1" applyFont="1" applyBorder="1" applyAlignment="1">
      <alignment horizontal="left"/>
    </xf>
    <xf numFmtId="0" fontId="150" fillId="0" borderId="0" xfId="10069" applyFont="1" applyBorder="1" applyAlignment="1"/>
    <xf numFmtId="0" fontId="150" fillId="0" borderId="0" xfId="10069" applyFont="1" applyBorder="1" applyAlignment="1">
      <alignment horizontal="left"/>
    </xf>
    <xf numFmtId="6" fontId="243" fillId="122" borderId="47" xfId="10069" applyNumberFormat="1" applyFont="1" applyFill="1" applyBorder="1" applyAlignment="1">
      <alignment horizontal="center"/>
    </xf>
    <xf numFmtId="6" fontId="152" fillId="104" borderId="34" xfId="10069" applyNumberFormat="1" applyFont="1" applyFill="1" applyBorder="1" applyAlignment="1">
      <alignment horizontal="center"/>
    </xf>
    <xf numFmtId="6" fontId="154" fillId="121" borderId="50" xfId="10069" applyNumberFormat="1" applyFont="1" applyFill="1" applyBorder="1" applyAlignment="1"/>
    <xf numFmtId="6" fontId="154" fillId="121" borderId="0" xfId="10069" applyNumberFormat="1" applyFont="1" applyFill="1" applyBorder="1" applyAlignment="1"/>
    <xf numFmtId="6" fontId="154" fillId="121" borderId="0" xfId="10069" applyNumberFormat="1" applyFont="1" applyFill="1" applyBorder="1" applyAlignment="1">
      <alignment horizontal="center"/>
    </xf>
    <xf numFmtId="6" fontId="154" fillId="121" borderId="129" xfId="10069" applyNumberFormat="1" applyFont="1" applyFill="1" applyBorder="1" applyAlignment="1">
      <alignment horizontal="center"/>
    </xf>
    <xf numFmtId="6" fontId="152" fillId="0" borderId="50" xfId="10069" applyNumberFormat="1" applyFont="1" applyBorder="1" applyAlignment="1"/>
    <xf numFmtId="221" fontId="152" fillId="0" borderId="0" xfId="10069" applyNumberFormat="1" applyFont="1" applyBorder="1" applyAlignment="1">
      <alignment horizontal="left"/>
    </xf>
    <xf numFmtId="6" fontId="152" fillId="0" borderId="0" xfId="10069" applyNumberFormat="1" applyFont="1" applyBorder="1" applyAlignment="1"/>
    <xf numFmtId="6" fontId="152" fillId="0" borderId="0" xfId="10069" applyNumberFormat="1" applyFont="1" applyBorder="1" applyAlignment="1">
      <alignment horizontal="center"/>
    </xf>
    <xf numFmtId="6" fontId="152" fillId="0" borderId="129" xfId="10069" applyNumberFormat="1" applyFont="1" applyBorder="1" applyAlignment="1">
      <alignment horizontal="center"/>
    </xf>
    <xf numFmtId="0" fontId="152" fillId="0" borderId="43" xfId="10069" applyFont="1" applyBorder="1" applyAlignment="1">
      <alignment horizontal="center"/>
    </xf>
    <xf numFmtId="0" fontId="152" fillId="0" borderId="122" xfId="10069" applyFont="1" applyBorder="1" applyAlignment="1">
      <alignment horizontal="center"/>
    </xf>
    <xf numFmtId="6" fontId="152" fillId="0" borderId="123" xfId="10069" applyNumberFormat="1" applyFont="1" applyBorder="1" applyAlignment="1">
      <alignment horizontal="center"/>
    </xf>
    <xf numFmtId="6" fontId="152" fillId="0" borderId="124" xfId="10069" applyNumberFormat="1" applyFont="1" applyBorder="1" applyAlignment="1">
      <alignment horizontal="center"/>
    </xf>
    <xf numFmtId="6" fontId="152" fillId="0" borderId="125" xfId="10069" applyNumberFormat="1" applyFont="1" applyBorder="1" applyAlignment="1">
      <alignment horizontal="center"/>
    </xf>
    <xf numFmtId="6" fontId="152" fillId="0" borderId="126" xfId="10069" applyNumberFormat="1" applyFont="1" applyBorder="1" applyAlignment="1">
      <alignment horizontal="center"/>
    </xf>
    <xf numFmtId="6" fontId="152" fillId="0" borderId="131" xfId="10069" applyNumberFormat="1" applyFont="1" applyBorder="1" applyAlignment="1">
      <alignment horizontal="center"/>
    </xf>
    <xf numFmtId="0" fontId="154" fillId="121" borderId="132" xfId="10069" applyFont="1" applyFill="1" applyBorder="1" applyAlignment="1"/>
    <xf numFmtId="220" fontId="154" fillId="121" borderId="133" xfId="10069" applyNumberFormat="1" applyFont="1" applyFill="1" applyBorder="1" applyAlignment="1"/>
    <xf numFmtId="0" fontId="154" fillId="121" borderId="133" xfId="10069" applyFont="1" applyFill="1" applyBorder="1" applyAlignment="1"/>
    <xf numFmtId="0" fontId="154" fillId="121" borderId="21" xfId="10069" applyFont="1" applyFill="1" applyBorder="1" applyAlignment="1">
      <alignment horizontal="center"/>
    </xf>
    <xf numFmtId="6" fontId="154" fillId="121" borderId="21" xfId="10069" applyNumberFormat="1" applyFont="1" applyFill="1" applyBorder="1" applyAlignment="1">
      <alignment horizontal="center"/>
    </xf>
    <xf numFmtId="6" fontId="154" fillId="121" borderId="134" xfId="21916" applyNumberFormat="1" applyFont="1" applyFill="1" applyBorder="1" applyAlignment="1">
      <alignment horizontal="center"/>
    </xf>
    <xf numFmtId="6" fontId="154" fillId="121" borderId="36" xfId="21916" applyNumberFormat="1" applyFont="1" applyFill="1" applyBorder="1" applyAlignment="1">
      <alignment horizontal="center"/>
    </xf>
    <xf numFmtId="6" fontId="152" fillId="121" borderId="135" xfId="21916" applyNumberFormat="1" applyFont="1" applyFill="1" applyBorder="1" applyAlignment="1">
      <alignment horizontal="center"/>
    </xf>
    <xf numFmtId="6" fontId="152" fillId="121" borderId="57" xfId="21916" applyNumberFormat="1" applyFont="1" applyFill="1" applyBorder="1" applyAlignment="1">
      <alignment horizontal="center"/>
    </xf>
    <xf numFmtId="6" fontId="152" fillId="121" borderId="136" xfId="21916" applyNumberFormat="1" applyFont="1" applyFill="1" applyBorder="1" applyAlignment="1">
      <alignment horizontal="center"/>
    </xf>
    <xf numFmtId="6" fontId="152" fillId="121" borderId="15" xfId="21916" applyNumberFormat="1" applyFont="1" applyFill="1" applyBorder="1" applyAlignment="1">
      <alignment horizontal="center"/>
    </xf>
    <xf numFmtId="6" fontId="154" fillId="121" borderId="88" xfId="21916" applyNumberFormat="1" applyFont="1" applyFill="1" applyBorder="1" applyAlignment="1">
      <alignment horizontal="center"/>
    </xf>
    <xf numFmtId="6" fontId="154" fillId="0" borderId="56" xfId="21916" applyNumberFormat="1" applyFont="1" applyBorder="1" applyAlignment="1">
      <alignment horizontal="center"/>
    </xf>
    <xf numFmtId="6" fontId="152" fillId="0" borderId="48" xfId="21916" applyNumberFormat="1" applyFont="1" applyFill="1" applyBorder="1" applyAlignment="1">
      <alignment horizontal="center"/>
    </xf>
    <xf numFmtId="6" fontId="152" fillId="0" borderId="22" xfId="21916" applyNumberFormat="1" applyFont="1" applyFill="1" applyBorder="1" applyAlignment="1">
      <alignment horizontal="center"/>
    </xf>
    <xf numFmtId="6" fontId="152" fillId="0" borderId="22" xfId="10069" applyNumberFormat="1" applyFont="1" applyBorder="1"/>
    <xf numFmtId="6" fontId="152" fillId="0" borderId="137" xfId="10069" applyNumberFormat="1" applyFont="1" applyBorder="1"/>
    <xf numFmtId="6" fontId="152" fillId="0" borderId="35" xfId="10069" applyNumberFormat="1" applyFont="1" applyBorder="1" applyAlignment="1">
      <alignment horizontal="center"/>
    </xf>
    <xf numFmtId="6" fontId="152" fillId="0" borderId="83" xfId="10069" applyNumberFormat="1" applyFont="1" applyBorder="1" applyAlignment="1">
      <alignment horizontal="center"/>
    </xf>
    <xf numFmtId="6" fontId="152" fillId="0" borderId="58" xfId="10069" applyNumberFormat="1" applyFont="1" applyBorder="1" applyAlignment="1">
      <alignment horizontal="center"/>
    </xf>
    <xf numFmtId="6" fontId="152" fillId="0" borderId="138" xfId="10069" applyNumberFormat="1" applyFont="1" applyBorder="1" applyAlignment="1">
      <alignment horizontal="center"/>
    </xf>
    <xf numFmtId="6" fontId="243" fillId="0" borderId="0" xfId="10069" applyNumberFormat="1" applyFont="1" applyAlignment="1">
      <alignment horizontal="center"/>
    </xf>
    <xf numFmtId="6" fontId="244" fillId="0" borderId="50" xfId="21916" applyNumberFormat="1" applyFont="1" applyFill="1" applyBorder="1" applyAlignment="1">
      <alignment horizontal="center"/>
    </xf>
    <xf numFmtId="6" fontId="244" fillId="0" borderId="0" xfId="21916" applyNumberFormat="1" applyFont="1" applyFill="1" applyBorder="1" applyAlignment="1">
      <alignment horizontal="center"/>
    </xf>
    <xf numFmtId="6" fontId="244" fillId="0" borderId="0" xfId="10069" applyNumberFormat="1" applyFont="1" applyBorder="1"/>
    <xf numFmtId="6" fontId="244" fillId="0" borderId="130" xfId="10069" applyNumberFormat="1" applyFont="1" applyBorder="1" applyAlignment="1">
      <alignment horizontal="center"/>
    </xf>
    <xf numFmtId="6" fontId="244" fillId="0" borderId="47" xfId="10069" applyNumberFormat="1" applyFont="1" applyBorder="1" applyAlignment="1">
      <alignment horizontal="center"/>
    </xf>
    <xf numFmtId="6" fontId="244" fillId="0" borderId="16" xfId="10069" applyNumberFormat="1" applyFont="1" applyBorder="1" applyAlignment="1">
      <alignment horizontal="center"/>
    </xf>
    <xf numFmtId="6" fontId="244" fillId="0" borderId="34" xfId="10069" applyNumberFormat="1" applyFont="1" applyBorder="1" applyAlignment="1">
      <alignment horizontal="center"/>
    </xf>
    <xf numFmtId="6" fontId="244" fillId="0" borderId="60" xfId="10069" applyNumberFormat="1" applyFont="1" applyBorder="1" applyAlignment="1">
      <alignment horizontal="center"/>
    </xf>
    <xf numFmtId="6" fontId="244" fillId="0" borderId="0" xfId="10069" applyNumberFormat="1" applyFont="1"/>
    <xf numFmtId="6" fontId="154" fillId="0" borderId="0" xfId="10069" applyNumberFormat="1" applyFont="1" applyAlignment="1">
      <alignment horizontal="center"/>
    </xf>
    <xf numFmtId="6" fontId="152" fillId="0" borderId="50" xfId="21916" applyNumberFormat="1" applyFont="1" applyFill="1" applyBorder="1" applyAlignment="1">
      <alignment horizontal="center"/>
    </xf>
    <xf numFmtId="6" fontId="152" fillId="0" borderId="0" xfId="21916" applyNumberFormat="1" applyFont="1" applyFill="1" applyBorder="1" applyAlignment="1">
      <alignment horizontal="center"/>
    </xf>
    <xf numFmtId="6" fontId="152" fillId="0" borderId="0" xfId="10069" applyNumberFormat="1" applyFont="1" applyBorder="1"/>
    <xf numFmtId="6" fontId="152" fillId="0" borderId="0" xfId="10069" applyNumberFormat="1" applyFont="1" applyFill="1" applyBorder="1"/>
    <xf numFmtId="6" fontId="152" fillId="0" borderId="130" xfId="10069" applyNumberFormat="1" applyFont="1" applyBorder="1"/>
    <xf numFmtId="6" fontId="152" fillId="0" borderId="47" xfId="10069" applyNumberFormat="1" applyFont="1" applyBorder="1"/>
    <xf numFmtId="6" fontId="152" fillId="0" borderId="16" xfId="10069" applyNumberFormat="1" applyFont="1" applyBorder="1"/>
    <xf numFmtId="6" fontId="152" fillId="0" borderId="34" xfId="10069" applyNumberFormat="1" applyFont="1" applyBorder="1"/>
    <xf numFmtId="6" fontId="152" fillId="0" borderId="60" xfId="10069" applyNumberFormat="1" applyFont="1" applyBorder="1"/>
    <xf numFmtId="6" fontId="152" fillId="0" borderId="139" xfId="10069" applyNumberFormat="1" applyFont="1" applyBorder="1" applyAlignment="1">
      <alignment horizontal="center"/>
    </xf>
    <xf numFmtId="6" fontId="152" fillId="0" borderId="140" xfId="10069" applyNumberFormat="1" applyFont="1" applyBorder="1" applyAlignment="1">
      <alignment horizontal="center"/>
    </xf>
    <xf numFmtId="6" fontId="152" fillId="0" borderId="141" xfId="10069" applyNumberFormat="1" applyFont="1" applyBorder="1" applyAlignment="1">
      <alignment horizontal="center"/>
    </xf>
    <xf numFmtId="6" fontId="152" fillId="0" borderId="142" xfId="10069" applyNumberFormat="1" applyFont="1" applyBorder="1" applyAlignment="1">
      <alignment horizontal="center"/>
    </xf>
    <xf numFmtId="6" fontId="152" fillId="0" borderId="52" xfId="10069" applyNumberFormat="1" applyFont="1" applyFill="1" applyBorder="1"/>
    <xf numFmtId="6" fontId="152" fillId="0" borderId="21" xfId="10069" applyNumberFormat="1" applyFont="1" applyFill="1" applyBorder="1"/>
    <xf numFmtId="6" fontId="152" fillId="0" borderId="21" xfId="10069" applyNumberFormat="1" applyFont="1" applyBorder="1"/>
    <xf numFmtId="6" fontId="152" fillId="0" borderId="123" xfId="10069" applyNumberFormat="1" applyFont="1" applyBorder="1"/>
    <xf numFmtId="6" fontId="152" fillId="0" borderId="36" xfId="10069" applyNumberFormat="1" applyFont="1" applyBorder="1"/>
    <xf numFmtId="6" fontId="152" fillId="0" borderId="15" xfId="10069" applyNumberFormat="1" applyFont="1" applyBorder="1"/>
    <xf numFmtId="6" fontId="152" fillId="0" borderId="57" xfId="10069" applyNumberFormat="1" applyFont="1" applyBorder="1"/>
    <xf numFmtId="6" fontId="152" fillId="0" borderId="136" xfId="10069" applyNumberFormat="1" applyFont="1" applyBorder="1"/>
    <xf numFmtId="6" fontId="152" fillId="0" borderId="15" xfId="10069" applyNumberFormat="1" applyFont="1" applyBorder="1" applyAlignment="1">
      <alignment horizontal="center"/>
    </xf>
    <xf numFmtId="6" fontId="152" fillId="0" borderId="57" xfId="10069" applyNumberFormat="1" applyFont="1" applyBorder="1" applyAlignment="1">
      <alignment horizontal="center"/>
    </xf>
    <xf numFmtId="6" fontId="152" fillId="0" borderId="36" xfId="10069" applyNumberFormat="1" applyFont="1" applyBorder="1" applyAlignment="1">
      <alignment horizontal="center"/>
    </xf>
    <xf numFmtId="5" fontId="152" fillId="0" borderId="0" xfId="10069" applyNumberFormat="1" applyFont="1" applyFill="1" applyBorder="1"/>
    <xf numFmtId="178" fontId="152" fillId="0" borderId="0" xfId="10069" applyNumberFormat="1" applyFont="1"/>
    <xf numFmtId="0" fontId="152" fillId="54" borderId="45" xfId="10069" applyFont="1" applyFill="1" applyBorder="1"/>
    <xf numFmtId="0" fontId="152" fillId="54" borderId="4" xfId="10069" applyFont="1" applyFill="1" applyBorder="1" applyAlignment="1">
      <alignment horizontal="right"/>
    </xf>
    <xf numFmtId="0" fontId="152" fillId="0" borderId="0" xfId="10069" applyFont="1" applyFill="1"/>
    <xf numFmtId="0" fontId="152" fillId="0" borderId="0" xfId="10069" applyFont="1" applyFill="1" applyAlignment="1">
      <alignment horizontal="right"/>
    </xf>
    <xf numFmtId="6" fontId="152" fillId="0" borderId="0" xfId="10069" applyNumberFormat="1" applyFont="1" applyFill="1" applyAlignment="1">
      <alignment horizontal="center"/>
    </xf>
    <xf numFmtId="0" fontId="152" fillId="0" borderId="0" xfId="10069" applyFont="1" applyAlignment="1">
      <alignment horizontal="right"/>
    </xf>
    <xf numFmtId="5" fontId="152" fillId="0" borderId="0" xfId="10069" applyNumberFormat="1" applyFont="1" applyFill="1" applyBorder="1" applyAlignment="1">
      <alignment horizontal="left"/>
    </xf>
    <xf numFmtId="0" fontId="152" fillId="0" borderId="0" xfId="10069" applyFont="1" applyAlignment="1">
      <alignment horizontal="left"/>
    </xf>
    <xf numFmtId="178" fontId="152" fillId="0" borderId="0" xfId="10069" applyNumberFormat="1" applyFont="1" applyAlignment="1">
      <alignment horizontal="left"/>
    </xf>
    <xf numFmtId="0" fontId="152" fillId="0" borderId="143" xfId="10069" applyNumberFormat="1" applyFont="1" applyFill="1" applyBorder="1" applyAlignment="1">
      <alignment horizontal="left" indent="1"/>
    </xf>
    <xf numFmtId="5" fontId="152" fillId="0" borderId="144" xfId="10069" applyNumberFormat="1" applyFont="1" applyFill="1" applyBorder="1" applyAlignment="1">
      <alignment horizontal="left"/>
    </xf>
    <xf numFmtId="0" fontId="152" fillId="0" borderId="144" xfId="10069" applyFont="1" applyBorder="1" applyAlignment="1">
      <alignment horizontal="left"/>
    </xf>
    <xf numFmtId="178" fontId="152" fillId="0" borderId="144" xfId="10069" applyNumberFormat="1" applyFont="1" applyBorder="1" applyAlignment="1">
      <alignment horizontal="left"/>
    </xf>
    <xf numFmtId="0" fontId="152" fillId="0" borderId="144" xfId="10069" applyFont="1" applyBorder="1"/>
    <xf numFmtId="178" fontId="152" fillId="0" borderId="144" xfId="10069" applyNumberFormat="1" applyFont="1" applyBorder="1"/>
    <xf numFmtId="222" fontId="152" fillId="0" borderId="145" xfId="10069" applyNumberFormat="1" applyFont="1" applyBorder="1" applyAlignment="1">
      <alignment horizontal="center"/>
    </xf>
    <xf numFmtId="222" fontId="152" fillId="0" borderId="146" xfId="10069" applyNumberFormat="1" applyFont="1" applyBorder="1" applyAlignment="1">
      <alignment horizontal="center"/>
    </xf>
    <xf numFmtId="6" fontId="152" fillId="0" borderId="146" xfId="10069" applyNumberFormat="1" applyFont="1" applyBorder="1" applyAlignment="1">
      <alignment horizontal="center"/>
    </xf>
    <xf numFmtId="6" fontId="152" fillId="0" borderId="147" xfId="10069" applyNumberFormat="1" applyFont="1" applyBorder="1" applyAlignment="1">
      <alignment horizontal="center"/>
    </xf>
    <xf numFmtId="6" fontId="152" fillId="0" borderId="148" xfId="10069" applyNumberFormat="1" applyFont="1" applyBorder="1" applyAlignment="1">
      <alignment horizontal="center"/>
    </xf>
    <xf numFmtId="6" fontId="152" fillId="0" borderId="149" xfId="10069" applyNumberFormat="1" applyFont="1" applyBorder="1" applyAlignment="1">
      <alignment horizontal="center"/>
    </xf>
    <xf numFmtId="6" fontId="152" fillId="0" borderId="150" xfId="10069" applyNumberFormat="1" applyFont="1" applyBorder="1" applyAlignment="1">
      <alignment horizontal="center"/>
    </xf>
    <xf numFmtId="6" fontId="152" fillId="0" borderId="151" xfId="10069" applyNumberFormat="1" applyFont="1" applyBorder="1" applyAlignment="1">
      <alignment horizontal="center"/>
    </xf>
    <xf numFmtId="6" fontId="152" fillId="0" borderId="152" xfId="10069" applyNumberFormat="1" applyFont="1" applyBorder="1" applyAlignment="1">
      <alignment horizontal="center"/>
    </xf>
    <xf numFmtId="6" fontId="152" fillId="0" borderId="153" xfId="10069" applyNumberFormat="1" applyFont="1" applyBorder="1" applyAlignment="1">
      <alignment horizontal="center"/>
    </xf>
    <xf numFmtId="6" fontId="152" fillId="0" borderId="144" xfId="10069" applyNumberFormat="1" applyFont="1" applyBorder="1" applyAlignment="1">
      <alignment horizontal="center"/>
    </xf>
    <xf numFmtId="6" fontId="152" fillId="0" borderId="154" xfId="10069" applyNumberFormat="1" applyFont="1" applyBorder="1" applyAlignment="1">
      <alignment horizontal="center"/>
    </xf>
    <xf numFmtId="6" fontId="152" fillId="0" borderId="155" xfId="10069" applyNumberFormat="1" applyFont="1" applyBorder="1"/>
    <xf numFmtId="0" fontId="152" fillId="0" borderId="155" xfId="10069" applyFont="1" applyBorder="1"/>
    <xf numFmtId="0" fontId="152" fillId="0" borderId="156" xfId="10069" applyNumberFormat="1" applyFont="1" applyFill="1" applyBorder="1" applyAlignment="1">
      <alignment horizontal="left" indent="1"/>
    </xf>
    <xf numFmtId="5" fontId="152" fillId="0" borderId="157" xfId="10069" applyNumberFormat="1" applyFont="1" applyFill="1" applyBorder="1" applyAlignment="1">
      <alignment horizontal="left"/>
    </xf>
    <xf numFmtId="0" fontId="152" fillId="0" borderId="157" xfId="10069" applyFont="1" applyBorder="1" applyAlignment="1">
      <alignment horizontal="left"/>
    </xf>
    <xf numFmtId="178" fontId="152" fillId="0" borderId="157" xfId="10069" applyNumberFormat="1" applyFont="1" applyBorder="1" applyAlignment="1">
      <alignment horizontal="left"/>
    </xf>
    <xf numFmtId="0" fontId="152" fillId="0" borderId="157" xfId="10069" applyFont="1" applyBorder="1"/>
    <xf numFmtId="178" fontId="152" fillId="0" borderId="157" xfId="10069" applyNumberFormat="1" applyFont="1" applyBorder="1"/>
    <xf numFmtId="222" fontId="152" fillId="0" borderId="158" xfId="10069" applyNumberFormat="1" applyFont="1" applyBorder="1" applyAlignment="1">
      <alignment horizontal="center"/>
    </xf>
    <xf numFmtId="222" fontId="152" fillId="0" borderId="159" xfId="10069" applyNumberFormat="1" applyFont="1" applyBorder="1" applyAlignment="1">
      <alignment horizontal="center"/>
    </xf>
    <xf numFmtId="6" fontId="152" fillId="0" borderId="159" xfId="10069" applyNumberFormat="1" applyFont="1" applyBorder="1" applyAlignment="1">
      <alignment horizontal="center"/>
    </xf>
    <xf numFmtId="6" fontId="152" fillId="0" borderId="160" xfId="10069" applyNumberFormat="1" applyFont="1" applyBorder="1" applyAlignment="1">
      <alignment horizontal="center"/>
    </xf>
    <xf numFmtId="6" fontId="152" fillId="0" borderId="161" xfId="10069" applyNumberFormat="1" applyFont="1" applyBorder="1" applyAlignment="1">
      <alignment horizontal="center"/>
    </xf>
    <xf numFmtId="6" fontId="152" fillId="0" borderId="162" xfId="10069" applyNumberFormat="1" applyFont="1" applyBorder="1" applyAlignment="1">
      <alignment horizontal="center"/>
    </xf>
    <xf numFmtId="6" fontId="152" fillId="0" borderId="163" xfId="10069" applyNumberFormat="1" applyFont="1" applyBorder="1" applyAlignment="1">
      <alignment horizontal="center"/>
    </xf>
    <xf numFmtId="6" fontId="152" fillId="0" borderId="164" xfId="10069" applyNumberFormat="1" applyFont="1" applyBorder="1" applyAlignment="1">
      <alignment horizontal="center"/>
    </xf>
    <xf numFmtId="6" fontId="152" fillId="0" borderId="165" xfId="10069" applyNumberFormat="1" applyFont="1" applyBorder="1" applyAlignment="1">
      <alignment horizontal="center"/>
    </xf>
    <xf numFmtId="6" fontId="152" fillId="0" borderId="166" xfId="10069" applyNumberFormat="1" applyFont="1" applyBorder="1" applyAlignment="1">
      <alignment horizontal="center"/>
    </xf>
    <xf numFmtId="6" fontId="152" fillId="0" borderId="157" xfId="10069" applyNumberFormat="1" applyFont="1" applyBorder="1" applyAlignment="1">
      <alignment horizontal="center"/>
    </xf>
    <xf numFmtId="6" fontId="152" fillId="0" borderId="167" xfId="10069" applyNumberFormat="1" applyFont="1" applyBorder="1" applyAlignment="1">
      <alignment horizontal="center"/>
    </xf>
    <xf numFmtId="6" fontId="152" fillId="0" borderId="157" xfId="10069" applyNumberFormat="1" applyFont="1" applyBorder="1"/>
    <xf numFmtId="6" fontId="152" fillId="0" borderId="163" xfId="10069" applyNumberFormat="1" applyFont="1" applyFill="1" applyBorder="1" applyAlignment="1">
      <alignment horizontal="center"/>
    </xf>
    <xf numFmtId="0" fontId="152" fillId="0" borderId="156" xfId="21916" applyNumberFormat="1" applyFont="1" applyFill="1" applyBorder="1" applyAlignment="1">
      <alignment horizontal="left" indent="1"/>
    </xf>
    <xf numFmtId="194" fontId="152" fillId="0" borderId="157" xfId="21916" applyNumberFormat="1" applyFont="1" applyFill="1" applyBorder="1" applyAlignment="1">
      <alignment horizontal="left"/>
    </xf>
    <xf numFmtId="0" fontId="152" fillId="0" borderId="168" xfId="21916" applyNumberFormat="1" applyFont="1" applyFill="1" applyBorder="1" applyAlignment="1">
      <alignment horizontal="left" indent="1"/>
    </xf>
    <xf numFmtId="194" fontId="152" fillId="0" borderId="169" xfId="21916" applyNumberFormat="1" applyFont="1" applyFill="1" applyBorder="1" applyAlignment="1">
      <alignment horizontal="left"/>
    </xf>
    <xf numFmtId="0" fontId="152" fillId="0" borderId="169" xfId="10069" applyFont="1" applyBorder="1" applyAlignment="1">
      <alignment horizontal="left"/>
    </xf>
    <xf numFmtId="0" fontId="152" fillId="0" borderId="169" xfId="10069" applyFont="1" applyBorder="1"/>
    <xf numFmtId="222" fontId="152" fillId="0" borderId="170" xfId="10069" applyNumberFormat="1" applyFont="1" applyBorder="1" applyAlignment="1">
      <alignment horizontal="center"/>
    </xf>
    <xf numFmtId="222" fontId="152" fillId="0" borderId="171" xfId="10069" applyNumberFormat="1" applyFont="1" applyBorder="1" applyAlignment="1">
      <alignment horizontal="center"/>
    </xf>
    <xf numFmtId="6" fontId="152" fillId="0" borderId="171" xfId="10069" applyNumberFormat="1" applyFont="1" applyBorder="1" applyAlignment="1">
      <alignment horizontal="center"/>
    </xf>
    <xf numFmtId="6" fontId="152" fillId="0" borderId="172" xfId="10069" applyNumberFormat="1" applyFont="1" applyBorder="1" applyAlignment="1">
      <alignment horizontal="center"/>
    </xf>
    <xf numFmtId="6" fontId="152" fillId="0" borderId="173" xfId="10069" applyNumberFormat="1" applyFont="1" applyBorder="1" applyAlignment="1">
      <alignment horizontal="center"/>
    </xf>
    <xf numFmtId="6" fontId="152" fillId="0" borderId="174" xfId="10069" applyNumberFormat="1" applyFont="1" applyBorder="1" applyAlignment="1">
      <alignment horizontal="center"/>
    </xf>
    <xf numFmtId="6" fontId="152" fillId="0" borderId="175" xfId="10069" applyNumberFormat="1" applyFont="1" applyBorder="1" applyAlignment="1">
      <alignment horizontal="center"/>
    </xf>
    <xf numFmtId="6" fontId="152" fillId="0" borderId="176" xfId="10069" applyNumberFormat="1" applyFont="1" applyBorder="1" applyAlignment="1">
      <alignment horizontal="center"/>
    </xf>
    <xf numFmtId="6" fontId="152" fillId="0" borderId="175" xfId="10069" applyNumberFormat="1" applyFont="1" applyFill="1" applyBorder="1" applyAlignment="1">
      <alignment horizontal="center"/>
    </xf>
    <xf numFmtId="6" fontId="152" fillId="0" borderId="177" xfId="10069" applyNumberFormat="1" applyFont="1" applyBorder="1" applyAlignment="1">
      <alignment horizontal="center"/>
    </xf>
    <xf numFmtId="6" fontId="152" fillId="0" borderId="178" xfId="10069" applyNumberFormat="1" applyFont="1" applyBorder="1" applyAlignment="1">
      <alignment horizontal="center"/>
    </xf>
    <xf numFmtId="6" fontId="152" fillId="0" borderId="179" xfId="10069" applyNumberFormat="1" applyFont="1" applyBorder="1" applyAlignment="1">
      <alignment horizontal="center"/>
    </xf>
    <xf numFmtId="6" fontId="152" fillId="0" borderId="169" xfId="10069" applyNumberFormat="1" applyFont="1" applyBorder="1" applyAlignment="1">
      <alignment horizontal="center"/>
    </xf>
    <xf numFmtId="6" fontId="152" fillId="0" borderId="180" xfId="10069" applyNumberFormat="1" applyFont="1" applyBorder="1" applyAlignment="1">
      <alignment horizontal="center"/>
    </xf>
    <xf numFmtId="194" fontId="154" fillId="0" borderId="45" xfId="21916" applyNumberFormat="1" applyFont="1" applyFill="1" applyBorder="1" applyAlignment="1">
      <alignment horizontal="left"/>
    </xf>
    <xf numFmtId="194" fontId="154" fillId="0" borderId="4" xfId="21916" applyNumberFormat="1" applyFont="1" applyFill="1" applyBorder="1" applyAlignment="1">
      <alignment horizontal="left"/>
    </xf>
    <xf numFmtId="0" fontId="154" fillId="0" borderId="4" xfId="10069" applyFont="1" applyBorder="1" applyAlignment="1">
      <alignment horizontal="left"/>
    </xf>
    <xf numFmtId="0" fontId="154" fillId="0" borderId="4" xfId="10069" applyFont="1" applyBorder="1"/>
    <xf numFmtId="222" fontId="154" fillId="0" borderId="181" xfId="10069" applyNumberFormat="1" applyFont="1" applyBorder="1"/>
    <xf numFmtId="222" fontId="154" fillId="0" borderId="182" xfId="10069" applyNumberFormat="1" applyFont="1" applyBorder="1"/>
    <xf numFmtId="6" fontId="154" fillId="0" borderId="182" xfId="10069" applyNumberFormat="1" applyFont="1" applyBorder="1" applyAlignment="1">
      <alignment horizontal="center"/>
    </xf>
    <xf numFmtId="6" fontId="154" fillId="0" borderId="183" xfId="10069" applyNumberFormat="1" applyFont="1" applyBorder="1" applyAlignment="1">
      <alignment horizontal="center"/>
    </xf>
    <xf numFmtId="6" fontId="154" fillId="0" borderId="11" xfId="10069" applyNumberFormat="1" applyFont="1" applyBorder="1" applyAlignment="1">
      <alignment horizontal="center"/>
    </xf>
    <xf numFmtId="6" fontId="154" fillId="0" borderId="184" xfId="10069" applyNumberFormat="1" applyFont="1" applyBorder="1" applyAlignment="1">
      <alignment horizontal="center"/>
    </xf>
    <xf numFmtId="6" fontId="154" fillId="0" borderId="141" xfId="10069" applyNumberFormat="1" applyFont="1" applyBorder="1" applyAlignment="1">
      <alignment horizontal="center"/>
    </xf>
    <xf numFmtId="6" fontId="154" fillId="0" borderId="185" xfId="10069" applyNumberFormat="1" applyFont="1" applyBorder="1" applyAlignment="1">
      <alignment horizontal="center"/>
    </xf>
    <xf numFmtId="6" fontId="154" fillId="0" borderId="141" xfId="10069" applyNumberFormat="1" applyFont="1" applyFill="1" applyBorder="1" applyAlignment="1">
      <alignment horizontal="center"/>
    </xf>
    <xf numFmtId="6" fontId="154" fillId="0" borderId="142" xfId="10069" applyNumberFormat="1" applyFont="1" applyBorder="1" applyAlignment="1">
      <alignment horizontal="center"/>
    </xf>
    <xf numFmtId="6" fontId="154" fillId="0" borderId="140" xfId="10069" applyNumberFormat="1" applyFont="1" applyBorder="1" applyAlignment="1">
      <alignment horizontal="center"/>
    </xf>
    <xf numFmtId="6" fontId="154" fillId="0" borderId="4" xfId="10069" applyNumberFormat="1" applyFont="1" applyBorder="1" applyAlignment="1">
      <alignment horizontal="center"/>
    </xf>
    <xf numFmtId="6" fontId="154" fillId="0" borderId="46" xfId="10069" applyNumberFormat="1" applyFont="1" applyBorder="1" applyAlignment="1">
      <alignment horizontal="center"/>
    </xf>
    <xf numFmtId="6" fontId="154" fillId="0" borderId="169" xfId="10069" applyNumberFormat="1" applyFont="1" applyBorder="1"/>
    <xf numFmtId="0" fontId="154" fillId="0" borderId="169" xfId="10069" applyFont="1" applyBorder="1"/>
    <xf numFmtId="194" fontId="152" fillId="0" borderId="0" xfId="21916" applyNumberFormat="1" applyFont="1" applyFill="1" applyAlignment="1">
      <alignment horizontal="left"/>
    </xf>
    <xf numFmtId="194" fontId="152" fillId="0" borderId="48" xfId="21916" applyNumberFormat="1" applyFont="1" applyFill="1" applyBorder="1" applyAlignment="1"/>
    <xf numFmtId="194" fontId="152" fillId="0" borderId="22" xfId="21916" applyNumberFormat="1" applyFont="1" applyFill="1" applyBorder="1" applyAlignment="1">
      <alignment horizontal="left"/>
    </xf>
    <xf numFmtId="0" fontId="152" fillId="0" borderId="22" xfId="10069" applyFont="1" applyBorder="1" applyAlignment="1">
      <alignment horizontal="left"/>
    </xf>
    <xf numFmtId="0" fontId="152" fillId="0" borderId="22" xfId="10069" applyFont="1" applyBorder="1"/>
    <xf numFmtId="6" fontId="152" fillId="0" borderId="186" xfId="10069" applyNumberFormat="1" applyFont="1" applyBorder="1" applyAlignment="1">
      <alignment horizontal="center"/>
    </xf>
    <xf numFmtId="6" fontId="152" fillId="0" borderId="187" xfId="10069" applyNumberFormat="1" applyFont="1" applyBorder="1" applyAlignment="1">
      <alignment horizontal="center"/>
    </xf>
    <xf numFmtId="6" fontId="152" fillId="0" borderId="188" xfId="10069" applyNumberFormat="1" applyFont="1" applyBorder="1" applyAlignment="1">
      <alignment horizontal="center"/>
    </xf>
    <xf numFmtId="6" fontId="152" fillId="0" borderId="77" xfId="10069" applyNumberFormat="1" applyFont="1" applyBorder="1" applyAlignment="1">
      <alignment horizontal="center"/>
    </xf>
    <xf numFmtId="6" fontId="152" fillId="0" borderId="78" xfId="10069" applyNumberFormat="1" applyFont="1" applyBorder="1" applyAlignment="1">
      <alignment horizontal="center"/>
    </xf>
    <xf numFmtId="6" fontId="152" fillId="0" borderId="189" xfId="10069" applyNumberFormat="1" applyFont="1" applyBorder="1" applyAlignment="1">
      <alignment horizontal="center"/>
    </xf>
    <xf numFmtId="6" fontId="152" fillId="0" borderId="190" xfId="10069" applyNumberFormat="1" applyFont="1" applyBorder="1" applyAlignment="1">
      <alignment horizontal="center"/>
    </xf>
    <xf numFmtId="6" fontId="152" fillId="0" borderId="191" xfId="10069" applyNumberFormat="1" applyFont="1" applyBorder="1" applyAlignment="1">
      <alignment horizontal="center"/>
    </xf>
    <xf numFmtId="6" fontId="152" fillId="0" borderId="191" xfId="10069" applyNumberFormat="1" applyFont="1" applyFill="1" applyBorder="1" applyAlignment="1">
      <alignment horizontal="center"/>
    </xf>
    <xf numFmtId="6" fontId="152" fillId="0" borderId="192" xfId="10069" applyNumberFormat="1" applyFont="1" applyBorder="1" applyAlignment="1">
      <alignment horizontal="center"/>
    </xf>
    <xf numFmtId="6" fontId="152" fillId="0" borderId="193" xfId="10069" applyNumberFormat="1" applyFont="1" applyBorder="1" applyAlignment="1">
      <alignment horizontal="center"/>
    </xf>
    <xf numFmtId="6" fontId="152" fillId="0" borderId="194" xfId="10069" applyNumberFormat="1" applyFont="1" applyBorder="1" applyAlignment="1">
      <alignment horizontal="center"/>
    </xf>
    <xf numFmtId="6" fontId="152" fillId="0" borderId="195" xfId="10069" applyNumberFormat="1" applyFont="1" applyBorder="1" applyAlignment="1">
      <alignment horizontal="center"/>
    </xf>
    <xf numFmtId="6" fontId="152" fillId="0" borderId="196" xfId="10069" applyNumberFormat="1" applyFont="1" applyBorder="1" applyAlignment="1">
      <alignment horizontal="center"/>
    </xf>
    <xf numFmtId="0" fontId="152" fillId="0" borderId="197" xfId="10069" applyFont="1" applyBorder="1"/>
    <xf numFmtId="6" fontId="152" fillId="0" borderId="197" xfId="10069" applyNumberFormat="1" applyFont="1" applyBorder="1"/>
    <xf numFmtId="0" fontId="152" fillId="0" borderId="49" xfId="10069" applyFont="1" applyBorder="1"/>
    <xf numFmtId="194" fontId="152" fillId="0" borderId="198" xfId="21916" applyNumberFormat="1" applyFont="1" applyFill="1" applyBorder="1" applyAlignment="1">
      <alignment horizontal="center"/>
    </xf>
    <xf numFmtId="194" fontId="152" fillId="0" borderId="199" xfId="21916" applyNumberFormat="1" applyFont="1" applyFill="1" applyBorder="1" applyAlignment="1"/>
    <xf numFmtId="0" fontId="152" fillId="0" borderId="199" xfId="10069" applyFont="1" applyFill="1" applyBorder="1"/>
    <xf numFmtId="6" fontId="152" fillId="0" borderId="200" xfId="10069" applyNumberFormat="1" applyFont="1" applyFill="1" applyBorder="1" applyAlignment="1">
      <alignment horizontal="center"/>
    </xf>
    <xf numFmtId="6" fontId="152" fillId="0" borderId="201" xfId="10069" applyNumberFormat="1" applyFont="1" applyFill="1" applyBorder="1" applyAlignment="1">
      <alignment horizontal="center"/>
    </xf>
    <xf numFmtId="6" fontId="152" fillId="0" borderId="202" xfId="10069" applyNumberFormat="1" applyFont="1" applyFill="1" applyBorder="1" applyAlignment="1">
      <alignment horizontal="center"/>
    </xf>
    <xf numFmtId="6" fontId="152" fillId="0" borderId="203" xfId="10069" applyNumberFormat="1" applyFont="1" applyFill="1" applyBorder="1" applyAlignment="1">
      <alignment horizontal="center"/>
    </xf>
    <xf numFmtId="6" fontId="152" fillId="0" borderId="204" xfId="10069" applyNumberFormat="1" applyFont="1" applyFill="1" applyBorder="1" applyAlignment="1">
      <alignment horizontal="center"/>
    </xf>
    <xf numFmtId="6" fontId="152" fillId="0" borderId="205" xfId="10069" applyNumberFormat="1" applyFont="1" applyFill="1" applyBorder="1" applyAlignment="1">
      <alignment horizontal="center"/>
    </xf>
    <xf numFmtId="6" fontId="152" fillId="0" borderId="206" xfId="10069" applyNumberFormat="1" applyFont="1" applyBorder="1" applyAlignment="1">
      <alignment horizontal="center"/>
    </xf>
    <xf numFmtId="6" fontId="152" fillId="0" borderId="207" xfId="10069" applyNumberFormat="1" applyFont="1" applyBorder="1" applyAlignment="1">
      <alignment horizontal="center"/>
    </xf>
    <xf numFmtId="6" fontId="152" fillId="0" borderId="208" xfId="10069" applyNumberFormat="1" applyFont="1" applyBorder="1" applyAlignment="1">
      <alignment horizontal="center"/>
    </xf>
    <xf numFmtId="6" fontId="152" fillId="0" borderId="209" xfId="10069" applyNumberFormat="1" applyFont="1" applyBorder="1" applyAlignment="1">
      <alignment horizontal="center"/>
    </xf>
    <xf numFmtId="6" fontId="152" fillId="0" borderId="209" xfId="10069" applyNumberFormat="1" applyFont="1" applyFill="1" applyBorder="1" applyAlignment="1">
      <alignment horizontal="center"/>
    </xf>
    <xf numFmtId="6" fontId="152" fillId="0" borderId="210" xfId="10069" applyNumberFormat="1" applyFont="1" applyBorder="1" applyAlignment="1">
      <alignment horizontal="center"/>
    </xf>
    <xf numFmtId="6" fontId="250" fillId="0" borderId="209" xfId="10069" applyNumberFormat="1" applyFont="1" applyFill="1" applyBorder="1" applyAlignment="1">
      <alignment horizontal="center"/>
    </xf>
    <xf numFmtId="6" fontId="152" fillId="0" borderId="211" xfId="10069" applyNumberFormat="1" applyFont="1" applyBorder="1" applyAlignment="1">
      <alignment horizontal="center"/>
    </xf>
    <xf numFmtId="6" fontId="152" fillId="0" borderId="212" xfId="10069" applyNumberFormat="1" applyFont="1" applyBorder="1" applyAlignment="1">
      <alignment horizontal="center"/>
    </xf>
    <xf numFmtId="0" fontId="152" fillId="0" borderId="213" xfId="10069" applyFont="1" applyBorder="1"/>
    <xf numFmtId="38" fontId="152" fillId="0" borderId="213" xfId="10069" applyNumberFormat="1" applyFont="1" applyBorder="1" applyAlignment="1">
      <alignment horizontal="center"/>
    </xf>
    <xf numFmtId="6" fontId="152" fillId="0" borderId="208" xfId="10069" applyNumberFormat="1" applyFont="1" applyFill="1" applyBorder="1" applyAlignment="1">
      <alignment horizontal="center"/>
    </xf>
    <xf numFmtId="6" fontId="152" fillId="0" borderId="210" xfId="10069" applyNumberFormat="1" applyFont="1" applyFill="1" applyBorder="1" applyAlignment="1">
      <alignment horizontal="center"/>
    </xf>
    <xf numFmtId="6" fontId="152" fillId="0" borderId="207" xfId="10069" applyNumberFormat="1" applyFont="1" applyFill="1" applyBorder="1" applyAlignment="1">
      <alignment horizontal="center"/>
    </xf>
    <xf numFmtId="6" fontId="152" fillId="104" borderId="211" xfId="10069" applyNumberFormat="1" applyFont="1" applyFill="1" applyBorder="1" applyAlignment="1">
      <alignment horizontal="center"/>
    </xf>
    <xf numFmtId="6" fontId="152" fillId="0" borderId="214" xfId="10069" applyNumberFormat="1" applyFont="1" applyBorder="1" applyAlignment="1">
      <alignment horizontal="center"/>
    </xf>
    <xf numFmtId="6" fontId="152" fillId="0" borderId="214" xfId="10069" applyNumberFormat="1" applyFont="1" applyFill="1" applyBorder="1" applyAlignment="1">
      <alignment horizontal="center"/>
    </xf>
    <xf numFmtId="6" fontId="152" fillId="0" borderId="215" xfId="10069" applyNumberFormat="1" applyFont="1" applyBorder="1" applyAlignment="1">
      <alignment horizontal="center"/>
    </xf>
    <xf numFmtId="6" fontId="152" fillId="0" borderId="216" xfId="10069" applyNumberFormat="1" applyFont="1" applyBorder="1" applyAlignment="1">
      <alignment horizontal="center"/>
    </xf>
    <xf numFmtId="0" fontId="152" fillId="0" borderId="217" xfId="10069" applyFont="1" applyBorder="1"/>
    <xf numFmtId="6" fontId="152" fillId="0" borderId="203" xfId="10069" applyNumberFormat="1" applyFont="1" applyBorder="1" applyAlignment="1">
      <alignment horizontal="center"/>
    </xf>
    <xf numFmtId="6" fontId="152" fillId="0" borderId="218" xfId="10069" applyNumberFormat="1" applyFont="1" applyBorder="1" applyAlignment="1">
      <alignment horizontal="center"/>
    </xf>
    <xf numFmtId="0" fontId="152" fillId="0" borderId="199" xfId="10069" applyFont="1" applyBorder="1"/>
    <xf numFmtId="6" fontId="152" fillId="0" borderId="200" xfId="10069" applyNumberFormat="1" applyFont="1" applyBorder="1" applyAlignment="1">
      <alignment horizontal="center"/>
    </xf>
    <xf numFmtId="6" fontId="152" fillId="0" borderId="201" xfId="10069" applyNumberFormat="1" applyFont="1" applyBorder="1" applyAlignment="1">
      <alignment horizontal="center"/>
    </xf>
    <xf numFmtId="6" fontId="152" fillId="0" borderId="202" xfId="10069" applyNumberFormat="1" applyFont="1" applyBorder="1" applyAlignment="1">
      <alignment horizontal="center"/>
    </xf>
    <xf numFmtId="6" fontId="152" fillId="0" borderId="204" xfId="10069" applyNumberFormat="1" applyFont="1" applyBorder="1" applyAlignment="1">
      <alignment horizontal="center"/>
    </xf>
    <xf numFmtId="6" fontId="152" fillId="0" borderId="205" xfId="10069" applyNumberFormat="1" applyFont="1" applyBorder="1" applyAlignment="1">
      <alignment horizontal="center"/>
    </xf>
    <xf numFmtId="6" fontId="152" fillId="0" borderId="199" xfId="10069" applyNumberFormat="1" applyFont="1" applyBorder="1"/>
    <xf numFmtId="194" fontId="152" fillId="0" borderId="219" xfId="21916" applyNumberFormat="1" applyFont="1" applyFill="1" applyBorder="1" applyAlignment="1">
      <alignment horizontal="center"/>
    </xf>
    <xf numFmtId="194" fontId="152" fillId="0" borderId="220" xfId="21916" applyNumberFormat="1" applyFont="1" applyFill="1" applyBorder="1" applyAlignment="1"/>
    <xf numFmtId="0" fontId="152" fillId="0" borderId="220" xfId="10069" applyFont="1" applyFill="1" applyBorder="1"/>
    <xf numFmtId="6" fontId="152" fillId="0" borderId="221" xfId="10069" applyNumberFormat="1" applyFont="1" applyFill="1" applyBorder="1" applyAlignment="1">
      <alignment horizontal="center"/>
    </xf>
    <xf numFmtId="6" fontId="152" fillId="0" borderId="222" xfId="10069" applyNumberFormat="1" applyFont="1" applyFill="1" applyBorder="1" applyAlignment="1">
      <alignment horizontal="center"/>
    </xf>
    <xf numFmtId="6" fontId="152" fillId="0" borderId="223" xfId="10069" applyNumberFormat="1" applyFont="1" applyFill="1" applyBorder="1" applyAlignment="1">
      <alignment horizontal="center"/>
    </xf>
    <xf numFmtId="6" fontId="152" fillId="0" borderId="224" xfId="10069" applyNumberFormat="1" applyFont="1" applyFill="1" applyBorder="1" applyAlignment="1">
      <alignment horizontal="center"/>
    </xf>
    <xf numFmtId="6" fontId="152" fillId="0" borderId="225" xfId="10069" applyNumberFormat="1" applyFont="1" applyFill="1" applyBorder="1" applyAlignment="1">
      <alignment horizontal="center"/>
    </xf>
    <xf numFmtId="6" fontId="152" fillId="0" borderId="226" xfId="10069" applyNumberFormat="1" applyFont="1" applyFill="1" applyBorder="1" applyAlignment="1">
      <alignment horizontal="center"/>
    </xf>
    <xf numFmtId="6" fontId="152" fillId="0" borderId="227" xfId="10069" applyNumberFormat="1" applyFont="1" applyBorder="1" applyAlignment="1">
      <alignment horizontal="center"/>
    </xf>
    <xf numFmtId="6" fontId="152" fillId="0" borderId="224" xfId="10069" applyNumberFormat="1" applyFont="1" applyBorder="1" applyAlignment="1">
      <alignment horizontal="center"/>
    </xf>
    <xf numFmtId="6" fontId="152" fillId="0" borderId="228" xfId="10069" applyNumberFormat="1" applyFont="1" applyBorder="1" applyAlignment="1">
      <alignment horizontal="center"/>
    </xf>
    <xf numFmtId="6" fontId="152" fillId="0" borderId="229" xfId="10069" applyNumberFormat="1" applyFont="1" applyBorder="1" applyAlignment="1">
      <alignment horizontal="center"/>
    </xf>
    <xf numFmtId="6" fontId="152" fillId="0" borderId="230" xfId="10069" applyNumberFormat="1" applyFont="1" applyBorder="1" applyAlignment="1">
      <alignment horizontal="center"/>
    </xf>
    <xf numFmtId="6" fontId="152" fillId="0" borderId="231" xfId="10069" applyNumberFormat="1" applyFont="1" applyBorder="1" applyAlignment="1">
      <alignment horizontal="center"/>
    </xf>
    <xf numFmtId="0" fontId="152" fillId="0" borderId="220" xfId="10069" applyFont="1" applyBorder="1"/>
    <xf numFmtId="6" fontId="152" fillId="0" borderId="220" xfId="10069" applyNumberFormat="1" applyFont="1" applyBorder="1"/>
    <xf numFmtId="194" fontId="154" fillId="0" borderId="45" xfId="21916" applyNumberFormat="1" applyFont="1" applyFill="1" applyBorder="1" applyAlignment="1"/>
    <xf numFmtId="194" fontId="154" fillId="0" borderId="4" xfId="21916" applyNumberFormat="1" applyFont="1" applyFill="1" applyBorder="1" applyAlignment="1">
      <alignment horizontal="center"/>
    </xf>
    <xf numFmtId="6" fontId="154" fillId="0" borderId="181" xfId="10069" applyNumberFormat="1" applyFont="1" applyBorder="1" applyAlignment="1">
      <alignment horizontal="center"/>
    </xf>
    <xf numFmtId="6" fontId="154" fillId="0" borderId="232" xfId="10069" applyNumberFormat="1" applyFont="1" applyBorder="1" applyAlignment="1">
      <alignment horizontal="center"/>
    </xf>
    <xf numFmtId="6" fontId="154" fillId="0" borderId="233" xfId="10069" applyNumberFormat="1" applyFont="1" applyBorder="1" applyAlignment="1">
      <alignment horizontal="center"/>
    </xf>
    <xf numFmtId="6" fontId="154" fillId="0" borderId="234" xfId="10069" applyNumberFormat="1" applyFont="1" applyBorder="1" applyAlignment="1">
      <alignment horizontal="center"/>
    </xf>
    <xf numFmtId="6" fontId="154" fillId="0" borderId="235" xfId="10069" applyNumberFormat="1" applyFont="1" applyBorder="1" applyAlignment="1">
      <alignment horizontal="center"/>
    </xf>
    <xf numFmtId="6" fontId="154" fillId="0" borderId="4" xfId="10069" applyNumberFormat="1" applyFont="1" applyBorder="1"/>
    <xf numFmtId="0" fontId="154" fillId="0" borderId="46" xfId="10069" applyFont="1" applyBorder="1"/>
    <xf numFmtId="0" fontId="154" fillId="0" borderId="0" xfId="10069" applyFont="1"/>
    <xf numFmtId="194" fontId="152" fillId="0" borderId="236" xfId="21916" applyNumberFormat="1" applyFont="1" applyFill="1" applyBorder="1" applyAlignment="1"/>
    <xf numFmtId="194" fontId="152" fillId="0" borderId="237" xfId="21916" applyNumberFormat="1" applyFont="1" applyFill="1" applyBorder="1" applyAlignment="1">
      <alignment horizontal="center"/>
    </xf>
    <xf numFmtId="0" fontId="152" fillId="0" borderId="237" xfId="10069" applyFont="1" applyBorder="1"/>
    <xf numFmtId="6" fontId="152" fillId="0" borderId="238" xfId="10069" applyNumberFormat="1" applyFont="1" applyBorder="1" applyAlignment="1">
      <alignment horizontal="center"/>
    </xf>
    <xf numFmtId="6" fontId="152" fillId="0" borderId="239" xfId="10069" applyNumberFormat="1" applyFont="1" applyBorder="1" applyAlignment="1">
      <alignment horizontal="center"/>
    </xf>
    <xf numFmtId="6" fontId="152" fillId="0" borderId="240" xfId="10069" applyNumberFormat="1" applyFont="1" applyBorder="1" applyAlignment="1">
      <alignment horizontal="center"/>
    </xf>
    <xf numFmtId="6" fontId="152" fillId="0" borderId="241" xfId="10069" applyNumberFormat="1" applyFont="1" applyBorder="1" applyAlignment="1">
      <alignment horizontal="center"/>
    </xf>
    <xf numFmtId="6" fontId="152" fillId="0" borderId="242" xfId="10069" applyNumberFormat="1" applyFont="1" applyBorder="1" applyAlignment="1">
      <alignment horizontal="center"/>
    </xf>
    <xf numFmtId="6" fontId="152" fillId="0" borderId="243" xfId="10069" applyNumberFormat="1" applyFont="1" applyBorder="1" applyAlignment="1">
      <alignment horizontal="center"/>
    </xf>
    <xf numFmtId="6" fontId="152" fillId="0" borderId="244" xfId="10069" applyNumberFormat="1" applyFont="1" applyBorder="1" applyAlignment="1">
      <alignment horizontal="center"/>
    </xf>
    <xf numFmtId="6" fontId="152" fillId="0" borderId="245" xfId="10069" applyNumberFormat="1" applyFont="1" applyBorder="1" applyAlignment="1">
      <alignment horizontal="center"/>
    </xf>
    <xf numFmtId="6" fontId="152" fillId="0" borderId="246" xfId="10069" applyNumberFormat="1" applyFont="1" applyBorder="1" applyAlignment="1">
      <alignment horizontal="center"/>
    </xf>
    <xf numFmtId="6" fontId="152" fillId="0" borderId="247" xfId="10069" applyNumberFormat="1" applyFont="1" applyBorder="1" applyAlignment="1">
      <alignment horizontal="center"/>
    </xf>
    <xf numFmtId="6" fontId="152" fillId="0" borderId="248" xfId="10069" applyNumberFormat="1" applyFont="1" applyBorder="1" applyAlignment="1">
      <alignment horizontal="center"/>
    </xf>
    <xf numFmtId="6" fontId="152" fillId="0" borderId="249" xfId="10069" applyNumberFormat="1" applyFont="1" applyBorder="1" applyAlignment="1">
      <alignment horizontal="center"/>
    </xf>
    <xf numFmtId="6" fontId="152" fillId="0" borderId="250" xfId="10069" applyNumberFormat="1" applyFont="1" applyBorder="1" applyAlignment="1">
      <alignment horizontal="center"/>
    </xf>
    <xf numFmtId="6" fontId="152" fillId="0" borderId="251" xfId="10069" applyNumberFormat="1" applyFont="1" applyBorder="1" applyAlignment="1">
      <alignment horizontal="center"/>
    </xf>
    <xf numFmtId="6" fontId="152" fillId="0" borderId="252" xfId="10069" applyNumberFormat="1" applyFont="1" applyBorder="1"/>
    <xf numFmtId="6" fontId="152" fillId="0" borderId="237" xfId="10069" applyNumberFormat="1" applyFont="1" applyBorder="1"/>
    <xf numFmtId="0" fontId="152" fillId="0" borderId="253" xfId="10069" applyFont="1" applyBorder="1"/>
    <xf numFmtId="194" fontId="152" fillId="0" borderId="219" xfId="21916" applyNumberFormat="1" applyFont="1" applyFill="1" applyBorder="1" applyAlignment="1"/>
    <xf numFmtId="194" fontId="152" fillId="0" borderId="220" xfId="21916" applyNumberFormat="1" applyFont="1" applyFill="1" applyBorder="1" applyAlignment="1">
      <alignment horizontal="center"/>
    </xf>
    <xf numFmtId="6" fontId="152" fillId="0" borderId="221" xfId="10069" applyNumberFormat="1" applyFont="1" applyBorder="1" applyAlignment="1">
      <alignment horizontal="center"/>
    </xf>
    <xf numFmtId="6" fontId="152" fillId="0" borderId="222" xfId="10069" applyNumberFormat="1" applyFont="1" applyBorder="1" applyAlignment="1">
      <alignment horizontal="center"/>
    </xf>
    <xf numFmtId="6" fontId="152" fillId="0" borderId="223" xfId="10069" applyNumberFormat="1" applyFont="1" applyBorder="1" applyAlignment="1">
      <alignment horizontal="center"/>
    </xf>
    <xf numFmtId="6" fontId="152" fillId="0" borderId="225" xfId="10069" applyNumberFormat="1" applyFont="1" applyBorder="1" applyAlignment="1">
      <alignment horizontal="center"/>
    </xf>
    <xf numFmtId="6" fontId="152" fillId="0" borderId="226" xfId="10069" applyNumberFormat="1" applyFont="1" applyBorder="1" applyAlignment="1">
      <alignment horizontal="center"/>
    </xf>
    <xf numFmtId="6" fontId="152" fillId="0" borderId="254" xfId="10069" applyNumberFormat="1" applyFont="1" applyBorder="1" applyAlignment="1">
      <alignment horizontal="center"/>
    </xf>
    <xf numFmtId="6" fontId="152" fillId="0" borderId="255" xfId="10069" applyNumberFormat="1" applyFont="1" applyBorder="1" applyAlignment="1">
      <alignment horizontal="center"/>
    </xf>
    <xf numFmtId="6" fontId="152" fillId="0" borderId="256" xfId="10069" applyNumberFormat="1" applyFont="1" applyBorder="1" applyAlignment="1">
      <alignment horizontal="center"/>
    </xf>
    <xf numFmtId="6" fontId="152" fillId="0" borderId="257" xfId="10069" applyNumberFormat="1" applyFont="1" applyBorder="1" applyAlignment="1">
      <alignment horizontal="center"/>
    </xf>
    <xf numFmtId="6" fontId="152" fillId="0" borderId="258" xfId="10069" applyNumberFormat="1" applyFont="1" applyBorder="1" applyAlignment="1">
      <alignment horizontal="center"/>
    </xf>
    <xf numFmtId="6" fontId="152" fillId="0" borderId="259" xfId="10069" applyNumberFormat="1" applyFont="1" applyBorder="1" applyAlignment="1">
      <alignment horizontal="center"/>
    </xf>
    <xf numFmtId="6" fontId="152" fillId="0" borderId="260" xfId="10069" applyNumberFormat="1" applyFont="1" applyBorder="1" applyAlignment="1">
      <alignment horizontal="center"/>
    </xf>
    <xf numFmtId="6" fontId="152" fillId="0" borderId="261" xfId="10069" applyNumberFormat="1" applyFont="1" applyBorder="1" applyAlignment="1">
      <alignment horizontal="center"/>
    </xf>
    <xf numFmtId="6" fontId="152" fillId="0" borderId="262" xfId="10069" applyNumberFormat="1" applyFont="1" applyBorder="1"/>
    <xf numFmtId="6" fontId="152" fillId="0" borderId="263" xfId="10069" applyNumberFormat="1" applyFont="1" applyBorder="1"/>
    <xf numFmtId="0" fontId="152" fillId="0" borderId="264" xfId="10069" applyFont="1" applyBorder="1"/>
    <xf numFmtId="194" fontId="154" fillId="0" borderId="52" xfId="21916" applyNumberFormat="1" applyFont="1" applyFill="1" applyBorder="1" applyAlignment="1"/>
    <xf numFmtId="194" fontId="154" fillId="0" borderId="21" xfId="21916" applyNumberFormat="1" applyFont="1" applyFill="1" applyBorder="1" applyAlignment="1">
      <alignment horizontal="center"/>
    </xf>
    <xf numFmtId="0" fontId="154" fillId="0" borderId="21" xfId="10069" applyFont="1" applyBorder="1"/>
    <xf numFmtId="6" fontId="154" fillId="0" borderId="265" xfId="10069" applyNumberFormat="1" applyFont="1" applyBorder="1" applyAlignment="1">
      <alignment horizontal="center"/>
    </xf>
    <xf numFmtId="6" fontId="154" fillId="0" borderId="266" xfId="10069" applyNumberFormat="1" applyFont="1" applyBorder="1" applyAlignment="1">
      <alignment horizontal="center"/>
    </xf>
    <xf numFmtId="6" fontId="154" fillId="0" borderId="267" xfId="10069" applyNumberFormat="1" applyFont="1" applyBorder="1" applyAlignment="1">
      <alignment horizontal="center"/>
    </xf>
    <xf numFmtId="6" fontId="154" fillId="0" borderId="36" xfId="10069" applyNumberFormat="1" applyFont="1" applyBorder="1" applyAlignment="1">
      <alignment horizontal="center"/>
    </xf>
    <xf numFmtId="6" fontId="154" fillId="0" borderId="135" xfId="10069" applyNumberFormat="1" applyFont="1" applyBorder="1" applyAlignment="1">
      <alignment horizontal="center"/>
    </xf>
    <xf numFmtId="6" fontId="154" fillId="0" borderId="57" xfId="10069" applyNumberFormat="1" applyFont="1" applyBorder="1" applyAlignment="1">
      <alignment horizontal="center"/>
    </xf>
    <xf numFmtId="6" fontId="154" fillId="0" borderId="268" xfId="10069" applyNumberFormat="1" applyFont="1" applyBorder="1" applyAlignment="1">
      <alignment horizontal="center"/>
    </xf>
    <xf numFmtId="6" fontId="154" fillId="0" borderId="269" xfId="10069" applyNumberFormat="1" applyFont="1" applyBorder="1" applyAlignment="1">
      <alignment horizontal="center"/>
    </xf>
    <xf numFmtId="6" fontId="154" fillId="0" borderId="270" xfId="10069" applyNumberFormat="1" applyFont="1" applyBorder="1" applyAlignment="1">
      <alignment horizontal="center"/>
    </xf>
    <xf numFmtId="6" fontId="154" fillId="0" borderId="271" xfId="10069" applyNumberFormat="1" applyFont="1" applyBorder="1" applyAlignment="1">
      <alignment horizontal="center"/>
    </xf>
    <xf numFmtId="6" fontId="154" fillId="0" borderId="272" xfId="10069" applyNumberFormat="1" applyFont="1" applyBorder="1" applyAlignment="1">
      <alignment horizontal="center"/>
    </xf>
    <xf numFmtId="6" fontId="154" fillId="0" borderId="273" xfId="10069" applyNumberFormat="1" applyFont="1" applyBorder="1" applyAlignment="1">
      <alignment horizontal="center"/>
    </xf>
    <xf numFmtId="6" fontId="154" fillId="0" borderId="274" xfId="10069" applyNumberFormat="1" applyFont="1" applyBorder="1"/>
    <xf numFmtId="6" fontId="154" fillId="0" borderId="21" xfId="10069" applyNumberFormat="1" applyFont="1" applyBorder="1"/>
    <xf numFmtId="0" fontId="154" fillId="0" borderId="53" xfId="10069" applyFont="1" applyBorder="1"/>
    <xf numFmtId="49" fontId="18" fillId="0" borderId="0" xfId="10069" applyNumberFormat="1" applyFont="1" applyAlignment="1">
      <alignment vertical="center"/>
    </xf>
    <xf numFmtId="49" fontId="18" fillId="0" borderId="0" xfId="10069" applyNumberFormat="1" applyFont="1" applyAlignment="1">
      <alignment horizontal="center" vertical="center"/>
    </xf>
    <xf numFmtId="41" fontId="253" fillId="0" borderId="0" xfId="10069" applyNumberFormat="1" applyFont="1" applyAlignment="1">
      <alignment horizontal="center" vertical="center"/>
    </xf>
    <xf numFmtId="38" fontId="18" fillId="0" borderId="0" xfId="10069" applyNumberFormat="1" applyFont="1" applyAlignment="1">
      <alignment vertical="center"/>
    </xf>
    <xf numFmtId="41" fontId="254" fillId="0" borderId="0" xfId="10069" applyNumberFormat="1" applyFont="1" applyAlignment="1">
      <alignment horizontal="center" vertical="center"/>
    </xf>
    <xf numFmtId="41" fontId="39" fillId="0" borderId="0" xfId="10069" applyNumberFormat="1" applyFont="1" applyAlignment="1">
      <alignment horizontal="center" vertical="center"/>
    </xf>
    <xf numFmtId="49" fontId="18" fillId="0" borderId="0" xfId="10069" applyNumberFormat="1" applyFont="1" applyBorder="1" applyAlignment="1">
      <alignment horizontal="center" vertical="center"/>
    </xf>
    <xf numFmtId="38" fontId="18" fillId="0" borderId="0" xfId="10069" applyNumberFormat="1" applyFont="1" applyAlignment="1">
      <alignment horizontal="center" vertical="center"/>
    </xf>
    <xf numFmtId="3" fontId="18" fillId="0" borderId="0" xfId="10069" applyNumberFormat="1" applyFont="1" applyBorder="1" applyAlignment="1">
      <alignment vertical="center"/>
    </xf>
    <xf numFmtId="3" fontId="18" fillId="0" borderId="0" xfId="10069" applyNumberFormat="1" applyFont="1" applyAlignment="1">
      <alignment vertical="center"/>
    </xf>
    <xf numFmtId="49" fontId="18" fillId="0" borderId="0" xfId="10069" applyNumberFormat="1" applyFont="1" applyFill="1" applyBorder="1" applyAlignment="1">
      <alignment horizontal="center" vertical="center"/>
    </xf>
    <xf numFmtId="6" fontId="18" fillId="0" borderId="0" xfId="10069" applyNumberFormat="1" applyFont="1" applyBorder="1" applyAlignment="1">
      <alignment vertical="center"/>
    </xf>
    <xf numFmtId="41" fontId="22" fillId="121" borderId="35" xfId="10069" applyNumberFormat="1" applyFont="1" applyFill="1" applyBorder="1" applyAlignment="1">
      <alignment horizontal="center" vertical="center" textRotation="90"/>
    </xf>
    <xf numFmtId="49" fontId="18" fillId="0" borderId="48" xfId="10069" applyNumberFormat="1" applyFont="1" applyBorder="1" applyAlignment="1">
      <alignment vertical="center"/>
    </xf>
    <xf numFmtId="49" fontId="18" fillId="0" borderId="22" xfId="10069" applyNumberFormat="1" applyFont="1" applyBorder="1" applyAlignment="1">
      <alignment vertical="center"/>
    </xf>
    <xf numFmtId="49" fontId="18" fillId="0" borderId="49" xfId="10069" applyNumberFormat="1" applyFont="1" applyBorder="1" applyAlignment="1">
      <alignment vertical="center"/>
    </xf>
    <xf numFmtId="38" fontId="18" fillId="0" borderId="35" xfId="10069" applyNumberFormat="1" applyFont="1" applyFill="1" applyBorder="1" applyAlignment="1">
      <alignment horizontal="center" vertical="center"/>
    </xf>
    <xf numFmtId="0" fontId="18" fillId="0" borderId="48" xfId="10069" applyNumberFormat="1" applyFont="1" applyFill="1" applyBorder="1" applyAlignment="1">
      <alignment horizontal="center" vertical="center"/>
    </xf>
    <xf numFmtId="38" fontId="18" fillId="0" borderId="48" xfId="10069" applyNumberFormat="1" applyFont="1" applyFill="1" applyBorder="1" applyAlignment="1">
      <alignment horizontal="center" vertical="center"/>
    </xf>
    <xf numFmtId="6" fontId="18" fillId="0" borderId="48" xfId="10069" applyNumberFormat="1" applyFont="1" applyBorder="1" applyAlignment="1">
      <alignment horizontal="center" vertical="center"/>
    </xf>
    <xf numFmtId="6" fontId="18" fillId="0" borderId="35" xfId="10069" applyNumberFormat="1" applyFont="1" applyFill="1" applyBorder="1" applyAlignment="1">
      <alignment horizontal="center" vertical="center"/>
    </xf>
    <xf numFmtId="6" fontId="18" fillId="0" borderId="49" xfId="10069" applyNumberFormat="1" applyFont="1" applyFill="1" applyBorder="1" applyAlignment="1">
      <alignment horizontal="center" vertical="center"/>
    </xf>
    <xf numFmtId="6" fontId="18" fillId="0" borderId="278" xfId="10069" applyNumberFormat="1" applyFont="1" applyFill="1" applyBorder="1" applyAlignment="1">
      <alignment horizontal="center" vertical="center"/>
    </xf>
    <xf numFmtId="6" fontId="18" fillId="0" borderId="279" xfId="10069" applyNumberFormat="1" applyFont="1" applyBorder="1" applyAlignment="1">
      <alignment horizontal="center" vertical="center"/>
    </xf>
    <xf numFmtId="6" fontId="18" fillId="0" borderId="280" xfId="10069" applyNumberFormat="1" applyFont="1" applyBorder="1" applyAlignment="1">
      <alignment horizontal="center" vertical="center"/>
    </xf>
    <xf numFmtId="6" fontId="18" fillId="0" borderId="280" xfId="10069" applyNumberFormat="1" applyFont="1" applyFill="1" applyBorder="1" applyAlignment="1">
      <alignment horizontal="center" vertical="center"/>
    </xf>
    <xf numFmtId="6" fontId="18" fillId="0" borderId="22" xfId="10069" applyNumberFormat="1" applyFont="1" applyFill="1" applyBorder="1" applyAlignment="1">
      <alignment horizontal="center" vertical="center"/>
    </xf>
    <xf numFmtId="6" fontId="18" fillId="0" borderId="35" xfId="10069" applyNumberFormat="1" applyFont="1" applyBorder="1" applyAlignment="1">
      <alignment horizontal="center" vertical="center"/>
    </xf>
    <xf numFmtId="6" fontId="18" fillId="0" borderId="49" xfId="10069" applyNumberFormat="1" applyFont="1" applyBorder="1" applyAlignment="1">
      <alignment horizontal="center" vertical="center"/>
    </xf>
    <xf numFmtId="38" fontId="18" fillId="0" borderId="0" xfId="10069" applyNumberFormat="1" applyFont="1" applyFill="1" applyBorder="1" applyAlignment="1">
      <alignment horizontal="center" vertical="center"/>
    </xf>
    <xf numFmtId="41" fontId="18" fillId="0" borderId="0" xfId="10069" applyNumberFormat="1" applyFont="1" applyAlignment="1">
      <alignment vertical="center"/>
    </xf>
    <xf numFmtId="41" fontId="22" fillId="121" borderId="47" xfId="10069" applyNumberFormat="1" applyFont="1" applyFill="1" applyBorder="1" applyAlignment="1">
      <alignment horizontal="center" vertical="center" textRotation="90"/>
    </xf>
    <xf numFmtId="38" fontId="126" fillId="0" borderId="50" xfId="10069" applyNumberFormat="1" applyFont="1" applyBorder="1" applyAlignment="1">
      <alignment vertical="center"/>
    </xf>
    <xf numFmtId="4" fontId="127" fillId="0" borderId="0" xfId="10069" applyNumberFormat="1" applyFont="1" applyBorder="1" applyAlignment="1">
      <alignment vertical="center"/>
    </xf>
    <xf numFmtId="4" fontId="127" fillId="0" borderId="51" xfId="10069" applyNumberFormat="1" applyFont="1" applyBorder="1" applyAlignment="1">
      <alignment vertical="center"/>
    </xf>
    <xf numFmtId="223" fontId="127" fillId="0" borderId="47" xfId="10069" applyNumberFormat="1" applyFont="1" applyFill="1" applyBorder="1" applyAlignment="1">
      <alignment horizontal="right" vertical="center" indent="2"/>
    </xf>
    <xf numFmtId="223" fontId="127" fillId="0" borderId="47" xfId="42345" applyNumberFormat="1" applyFont="1" applyFill="1" applyBorder="1" applyAlignment="1">
      <alignment horizontal="center"/>
    </xf>
    <xf numFmtId="6" fontId="127" fillId="0" borderId="47" xfId="10069" applyNumberFormat="1" applyFont="1" applyBorder="1" applyAlignment="1">
      <alignment horizontal="center" vertical="center"/>
    </xf>
    <xf numFmtId="6" fontId="127" fillId="0" borderId="47" xfId="10069" applyNumberFormat="1" applyFont="1" applyFill="1" applyBorder="1" applyAlignment="1">
      <alignment horizontal="center" vertical="center"/>
    </xf>
    <xf numFmtId="6" fontId="127" fillId="0" borderId="51" xfId="10069" applyNumberFormat="1" applyFont="1" applyFill="1" applyBorder="1" applyAlignment="1">
      <alignment horizontal="center" vertical="center"/>
    </xf>
    <xf numFmtId="6" fontId="127" fillId="0" borderId="281" xfId="10069" applyNumberFormat="1" applyFont="1" applyFill="1" applyBorder="1" applyAlignment="1">
      <alignment horizontal="center" vertical="center"/>
    </xf>
    <xf numFmtId="6" fontId="127" fillId="0" borderId="282" xfId="10069" applyNumberFormat="1" applyFont="1" applyBorder="1" applyAlignment="1">
      <alignment horizontal="center" vertical="center"/>
    </xf>
    <xf numFmtId="6" fontId="127" fillId="0" borderId="283" xfId="10069" applyNumberFormat="1" applyFont="1" applyBorder="1" applyAlignment="1">
      <alignment horizontal="center" vertical="center"/>
    </xf>
    <xf numFmtId="6" fontId="127" fillId="0" borderId="283" xfId="10069" applyNumberFormat="1" applyFont="1" applyFill="1" applyBorder="1" applyAlignment="1">
      <alignment horizontal="center" vertical="center"/>
    </xf>
    <xf numFmtId="6" fontId="127" fillId="0" borderId="0" xfId="10069" applyNumberFormat="1" applyFont="1" applyFill="1" applyBorder="1" applyAlignment="1">
      <alignment horizontal="center" vertical="center"/>
    </xf>
    <xf numFmtId="6" fontId="127" fillId="0" borderId="47" xfId="10069" applyNumberFormat="1" applyFont="1" applyBorder="1" applyAlignment="1">
      <alignment horizontal="right" vertical="center" indent="2"/>
    </xf>
    <xf numFmtId="6" fontId="127" fillId="0" borderId="51" xfId="10069" applyNumberFormat="1" applyFont="1" applyBorder="1" applyAlignment="1">
      <alignment horizontal="center" vertical="center"/>
    </xf>
    <xf numFmtId="38" fontId="127" fillId="0" borderId="0" xfId="10069" applyNumberFormat="1" applyFont="1" applyAlignment="1">
      <alignment horizontal="center" vertical="center"/>
    </xf>
    <xf numFmtId="4" fontId="127" fillId="0" borderId="0" xfId="10069" applyNumberFormat="1" applyFont="1" applyAlignment="1">
      <alignment vertical="center"/>
    </xf>
    <xf numFmtId="6" fontId="127" fillId="0" borderId="0" xfId="10069" applyNumberFormat="1" applyFont="1" applyBorder="1" applyAlignment="1">
      <alignment vertical="center"/>
    </xf>
    <xf numFmtId="4" fontId="18" fillId="0" borderId="50" xfId="10069" applyNumberFormat="1" applyFont="1" applyBorder="1" applyAlignment="1">
      <alignment vertical="center"/>
    </xf>
    <xf numFmtId="4" fontId="18" fillId="0" borderId="0" xfId="10069" applyNumberFormat="1" applyFont="1" applyBorder="1" applyAlignment="1">
      <alignment vertical="center"/>
    </xf>
    <xf numFmtId="4" fontId="18" fillId="0" borderId="51" xfId="10069" applyNumberFormat="1" applyFont="1" applyBorder="1" applyAlignment="1">
      <alignment vertical="center"/>
    </xf>
    <xf numFmtId="6" fontId="18" fillId="0" borderId="47" xfId="10069" applyNumberFormat="1" applyFont="1" applyFill="1" applyBorder="1" applyAlignment="1">
      <alignment horizontal="right" vertical="center" indent="2"/>
    </xf>
    <xf numFmtId="0" fontId="18" fillId="0" borderId="50" xfId="10069" applyNumberFormat="1" applyFont="1" applyFill="1" applyBorder="1" applyAlignment="1">
      <alignment horizontal="center" vertical="center"/>
    </xf>
    <xf numFmtId="6" fontId="18" fillId="0" borderId="50" xfId="10069" applyNumberFormat="1" applyFont="1" applyFill="1" applyBorder="1" applyAlignment="1">
      <alignment horizontal="center" vertical="center"/>
    </xf>
    <xf numFmtId="223" fontId="18" fillId="0" borderId="50" xfId="10069" applyNumberFormat="1" applyFont="1" applyFill="1" applyBorder="1" applyAlignment="1">
      <alignment horizontal="center" vertical="center"/>
    </xf>
    <xf numFmtId="6" fontId="18" fillId="0" borderId="50" xfId="10069" applyNumberFormat="1" applyFont="1" applyBorder="1" applyAlignment="1">
      <alignment horizontal="center" vertical="center"/>
    </xf>
    <xf numFmtId="6" fontId="18" fillId="0" borderId="47" xfId="10069" applyNumberFormat="1" applyFont="1" applyFill="1" applyBorder="1" applyAlignment="1">
      <alignment horizontal="center" vertical="center"/>
    </xf>
    <xf numFmtId="6" fontId="18" fillId="0" borderId="51" xfId="10069" applyNumberFormat="1" applyFont="1" applyFill="1" applyBorder="1" applyAlignment="1">
      <alignment horizontal="center" vertical="center"/>
    </xf>
    <xf numFmtId="6" fontId="18" fillId="0" borderId="281" xfId="10069" applyNumberFormat="1" applyFont="1" applyFill="1" applyBorder="1" applyAlignment="1">
      <alignment horizontal="center" vertical="center"/>
    </xf>
    <xf numFmtId="6" fontId="18" fillId="0" borderId="282" xfId="10069" applyNumberFormat="1" applyFont="1" applyBorder="1" applyAlignment="1">
      <alignment horizontal="center" vertical="center"/>
    </xf>
    <xf numFmtId="6" fontId="18" fillId="0" borderId="283" xfId="10069" applyNumberFormat="1" applyFont="1" applyBorder="1" applyAlignment="1">
      <alignment horizontal="center" vertical="center"/>
    </xf>
    <xf numFmtId="6" fontId="18" fillId="0" borderId="283" xfId="10069" applyNumberFormat="1" applyFont="1" applyFill="1" applyBorder="1" applyAlignment="1">
      <alignment horizontal="center" vertical="center"/>
    </xf>
    <xf numFmtId="6" fontId="18" fillId="0" borderId="0" xfId="10069" applyNumberFormat="1" applyFont="1" applyFill="1" applyBorder="1" applyAlignment="1">
      <alignment horizontal="center" vertical="center"/>
    </xf>
    <xf numFmtId="6" fontId="18" fillId="0" borderId="47" xfId="10069" applyNumberFormat="1" applyFont="1" applyBorder="1" applyAlignment="1">
      <alignment horizontal="right" vertical="center" indent="2"/>
    </xf>
    <xf numFmtId="6" fontId="18" fillId="0" borderId="51" xfId="10069" applyNumberFormat="1" applyFont="1" applyBorder="1" applyAlignment="1">
      <alignment horizontal="center" vertical="center"/>
    </xf>
    <xf numFmtId="4" fontId="18" fillId="0" borderId="0" xfId="10069" applyNumberFormat="1" applyFont="1" applyAlignment="1">
      <alignment vertical="center"/>
    </xf>
    <xf numFmtId="0" fontId="18" fillId="0" borderId="47" xfId="42345" applyNumberFormat="1" applyFont="1" applyFill="1" applyBorder="1" applyAlignment="1">
      <alignment horizontal="center"/>
    </xf>
    <xf numFmtId="6" fontId="18" fillId="0" borderId="47" xfId="42345" applyNumberFormat="1" applyFont="1" applyFill="1" applyBorder="1" applyAlignment="1">
      <alignment horizontal="center"/>
    </xf>
    <xf numFmtId="223" fontId="18" fillId="0" borderId="47" xfId="42345" applyNumberFormat="1" applyFont="1" applyFill="1" applyBorder="1" applyAlignment="1">
      <alignment horizontal="center"/>
    </xf>
    <xf numFmtId="6" fontId="18" fillId="0" borderId="47" xfId="10069" applyNumberFormat="1" applyFont="1" applyBorder="1" applyAlignment="1">
      <alignment horizontal="center" vertical="center"/>
    </xf>
    <xf numFmtId="6" fontId="18" fillId="0" borderId="0" xfId="10069" applyNumberFormat="1" applyFont="1" applyFill="1" applyBorder="1" applyAlignment="1">
      <alignment vertical="center"/>
    </xf>
    <xf numFmtId="38" fontId="18" fillId="0" borderId="50" xfId="10069" applyNumberFormat="1" applyFont="1" applyBorder="1" applyAlignment="1">
      <alignment vertical="center"/>
    </xf>
    <xf numFmtId="38" fontId="18" fillId="0" borderId="0" xfId="10069" applyNumberFormat="1" applyFont="1" applyBorder="1" applyAlignment="1">
      <alignment vertical="center"/>
    </xf>
    <xf numFmtId="38" fontId="18" fillId="0" borderId="51" xfId="10069" applyNumberFormat="1" applyFont="1" applyBorder="1" applyAlignment="1">
      <alignment vertical="center"/>
    </xf>
    <xf numFmtId="6" fontId="18" fillId="0" borderId="283" xfId="10069" applyNumberFormat="1" applyFont="1" applyFill="1" applyBorder="1" applyAlignment="1">
      <alignment horizontal="right" vertical="center" indent="2"/>
    </xf>
    <xf numFmtId="38" fontId="18" fillId="0" borderId="0" xfId="10069" applyNumberFormat="1" applyFont="1" applyFill="1" applyAlignment="1">
      <alignment horizontal="center" vertical="center"/>
    </xf>
    <xf numFmtId="4" fontId="18" fillId="0" borderId="0" xfId="10069" applyNumberFormat="1" applyFont="1" applyFill="1" applyBorder="1" applyAlignment="1">
      <alignment vertical="center"/>
    </xf>
    <xf numFmtId="6" fontId="65" fillId="0" borderId="47" xfId="10069" applyNumberFormat="1" applyFont="1" applyFill="1" applyBorder="1" applyAlignment="1">
      <alignment horizontal="right" vertical="center" indent="2"/>
    </xf>
    <xf numFmtId="41" fontId="55" fillId="121" borderId="47" xfId="10069" applyNumberFormat="1" applyFont="1" applyFill="1" applyBorder="1" applyAlignment="1">
      <alignment horizontal="center" vertical="center" textRotation="90"/>
    </xf>
    <xf numFmtId="4" fontId="31" fillId="0" borderId="50" xfId="10069" applyNumberFormat="1" applyFont="1" applyBorder="1" applyAlignment="1">
      <alignment vertical="center"/>
    </xf>
    <xf numFmtId="4" fontId="31" fillId="0" borderId="0" xfId="10069" applyNumberFormat="1" applyFont="1" applyBorder="1" applyAlignment="1">
      <alignment vertical="center"/>
    </xf>
    <xf numFmtId="4" fontId="31" fillId="0" borderId="51" xfId="10069" applyNumberFormat="1" applyFont="1" applyBorder="1" applyAlignment="1">
      <alignment vertical="center"/>
    </xf>
    <xf numFmtId="6" fontId="31" fillId="0" borderId="47" xfId="10069" applyNumberFormat="1" applyFont="1" applyFill="1" applyBorder="1" applyAlignment="1">
      <alignment horizontal="right" vertical="center" indent="2"/>
    </xf>
    <xf numFmtId="0" fontId="31" fillId="0" borderId="50" xfId="10069" applyNumberFormat="1" applyFont="1" applyFill="1" applyBorder="1" applyAlignment="1">
      <alignment horizontal="center" vertical="center"/>
    </xf>
    <xf numFmtId="6" fontId="31" fillId="0" borderId="50" xfId="10069" applyNumberFormat="1" applyFont="1" applyFill="1" applyBorder="1" applyAlignment="1">
      <alignment horizontal="center" vertical="center"/>
    </xf>
    <xf numFmtId="223" fontId="31" fillId="0" borderId="50" xfId="10069" applyNumberFormat="1" applyFont="1" applyFill="1" applyBorder="1" applyAlignment="1">
      <alignment horizontal="center" vertical="center"/>
    </xf>
    <xf numFmtId="6" fontId="31" fillId="0" borderId="50" xfId="10069" applyNumberFormat="1" applyFont="1" applyBorder="1" applyAlignment="1">
      <alignment horizontal="center" vertical="center"/>
    </xf>
    <xf numFmtId="6" fontId="31" fillId="0" borderId="47" xfId="10069" applyNumberFormat="1" applyFont="1" applyFill="1" applyBorder="1" applyAlignment="1">
      <alignment horizontal="center" vertical="center"/>
    </xf>
    <xf numFmtId="6" fontId="31" fillId="0" borderId="51" xfId="10069" applyNumberFormat="1" applyFont="1" applyFill="1" applyBorder="1" applyAlignment="1">
      <alignment horizontal="center" vertical="center"/>
    </xf>
    <xf numFmtId="6" fontId="31" fillId="0" borderId="281" xfId="10069" applyNumberFormat="1" applyFont="1" applyFill="1" applyBorder="1" applyAlignment="1">
      <alignment horizontal="center" vertical="center"/>
    </xf>
    <xf numFmtId="6" fontId="31" fillId="0" borderId="282" xfId="10069" applyNumberFormat="1" applyFont="1" applyBorder="1" applyAlignment="1">
      <alignment horizontal="center" vertical="center"/>
    </xf>
    <xf numFmtId="6" fontId="31" fillId="0" borderId="283" xfId="10069" applyNumberFormat="1" applyFont="1" applyBorder="1" applyAlignment="1">
      <alignment horizontal="center" vertical="center"/>
    </xf>
    <xf numFmtId="6" fontId="31" fillId="0" borderId="283" xfId="10069" applyNumberFormat="1" applyFont="1" applyFill="1" applyBorder="1" applyAlignment="1">
      <alignment horizontal="center" vertical="center"/>
    </xf>
    <xf numFmtId="6" fontId="31" fillId="0" borderId="0" xfId="10069" applyNumberFormat="1" applyFont="1" applyFill="1" applyBorder="1" applyAlignment="1">
      <alignment horizontal="center" vertical="center"/>
    </xf>
    <xf numFmtId="6" fontId="31" fillId="0" borderId="47" xfId="10069" applyNumberFormat="1" applyFont="1" applyBorder="1" applyAlignment="1">
      <alignment horizontal="right" vertical="center" indent="2"/>
    </xf>
    <xf numFmtId="6" fontId="31" fillId="0" borderId="51" xfId="10069" applyNumberFormat="1" applyFont="1" applyBorder="1" applyAlignment="1">
      <alignment horizontal="center" vertical="center"/>
    </xf>
    <xf numFmtId="38" fontId="31" fillId="0" borderId="0" xfId="10069" applyNumberFormat="1" applyFont="1" applyAlignment="1">
      <alignment horizontal="center" vertical="center"/>
    </xf>
    <xf numFmtId="4" fontId="31" fillId="0" borderId="0" xfId="10069" applyNumberFormat="1" applyFont="1" applyAlignment="1">
      <alignment vertical="center"/>
    </xf>
    <xf numFmtId="6" fontId="55" fillId="0" borderId="0" xfId="10069" applyNumberFormat="1" applyFont="1" applyFill="1" applyBorder="1" applyAlignment="1">
      <alignment vertical="center"/>
    </xf>
    <xf numFmtId="6" fontId="22" fillId="0" borderId="0" xfId="10069" applyNumberFormat="1" applyFont="1" applyBorder="1" applyAlignment="1">
      <alignment vertical="center"/>
    </xf>
    <xf numFmtId="38" fontId="127" fillId="0" borderId="0" xfId="10069" applyNumberFormat="1" applyFont="1" applyBorder="1" applyAlignment="1">
      <alignment vertical="center"/>
    </xf>
    <xf numFmtId="38" fontId="127" fillId="0" borderId="51" xfId="10069" applyNumberFormat="1" applyFont="1" applyBorder="1" applyAlignment="1">
      <alignment vertical="center"/>
    </xf>
    <xf numFmtId="6" fontId="127" fillId="0" borderId="47" xfId="10069" applyNumberFormat="1" applyFont="1" applyFill="1" applyBorder="1" applyAlignment="1">
      <alignment horizontal="right" vertical="center" indent="2"/>
    </xf>
    <xf numFmtId="0" fontId="127" fillId="0" borderId="50" xfId="10069" applyNumberFormat="1" applyFont="1" applyFill="1" applyBorder="1" applyAlignment="1">
      <alignment horizontal="center" vertical="center"/>
    </xf>
    <xf numFmtId="6" fontId="127" fillId="0" borderId="50" xfId="10069" applyNumberFormat="1" applyFont="1" applyFill="1" applyBorder="1" applyAlignment="1">
      <alignment horizontal="center" vertical="center"/>
    </xf>
    <xf numFmtId="223" fontId="127" fillId="0" borderId="50" xfId="10069" applyNumberFormat="1" applyFont="1" applyFill="1" applyBorder="1" applyAlignment="1">
      <alignment horizontal="center" vertical="center"/>
    </xf>
    <xf numFmtId="38" fontId="127" fillId="0" borderId="0" xfId="10069" applyNumberFormat="1" applyFont="1" applyAlignment="1">
      <alignment vertical="center"/>
    </xf>
    <xf numFmtId="38" fontId="126" fillId="0" borderId="0" xfId="10069" applyNumberFormat="1" applyFont="1" applyAlignment="1">
      <alignment vertical="center"/>
    </xf>
    <xf numFmtId="0" fontId="18" fillId="0" borderId="0" xfId="10069" applyNumberFormat="1" applyFont="1" applyFill="1" applyBorder="1" applyAlignment="1">
      <alignment horizontal="left" vertical="center" indent="2"/>
    </xf>
    <xf numFmtId="6" fontId="18" fillId="36" borderId="51" xfId="10069" applyNumberFormat="1" applyFont="1" applyFill="1" applyBorder="1" applyAlignment="1">
      <alignment horizontal="center" vertical="center"/>
    </xf>
    <xf numFmtId="6" fontId="18" fillId="123" borderId="51" xfId="10069" applyNumberFormat="1" applyFont="1" applyFill="1" applyBorder="1" applyAlignment="1">
      <alignment horizontal="center" vertical="center"/>
    </xf>
    <xf numFmtId="4" fontId="18" fillId="0" borderId="0" xfId="10069" applyNumberFormat="1" applyFont="1" applyBorder="1" applyAlignment="1">
      <alignment horizontal="left" vertical="center" indent="2"/>
    </xf>
    <xf numFmtId="41" fontId="18" fillId="121" borderId="47" xfId="10069" applyNumberFormat="1" applyFont="1" applyFill="1" applyBorder="1" applyAlignment="1">
      <alignment horizontal="center" vertical="center" textRotation="90"/>
    </xf>
    <xf numFmtId="4" fontId="18" fillId="0" borderId="11" xfId="10069" applyNumberFormat="1" applyFont="1" applyBorder="1" applyAlignment="1">
      <alignment horizontal="center" vertical="center"/>
    </xf>
    <xf numFmtId="6" fontId="127" fillId="0" borderId="50" xfId="10069" applyNumberFormat="1" applyFont="1" applyBorder="1" applyAlignment="1">
      <alignment horizontal="center" vertical="center"/>
    </xf>
    <xf numFmtId="6" fontId="31" fillId="0" borderId="0" xfId="10069" applyNumberFormat="1" applyFont="1" applyBorder="1" applyAlignment="1">
      <alignment vertical="center"/>
    </xf>
    <xf numFmtId="4" fontId="18" fillId="0" borderId="11" xfId="10069" applyNumberFormat="1" applyFont="1" applyBorder="1" applyAlignment="1">
      <alignment vertical="center"/>
    </xf>
    <xf numFmtId="4" fontId="18" fillId="50" borderId="0" xfId="10069" applyNumberFormat="1" applyFont="1" applyFill="1" applyBorder="1" applyAlignment="1">
      <alignment vertical="center"/>
    </xf>
    <xf numFmtId="4" fontId="18" fillId="50" borderId="51" xfId="10069" applyNumberFormat="1" applyFont="1" applyFill="1" applyBorder="1" applyAlignment="1">
      <alignment vertical="center"/>
    </xf>
    <xf numFmtId="8" fontId="18" fillId="0" borderId="51" xfId="10069" applyNumberFormat="1" applyFont="1" applyFill="1" applyBorder="1" applyAlignment="1">
      <alignment horizontal="center" vertical="center"/>
    </xf>
    <xf numFmtId="41" fontId="55" fillId="124" borderId="47" xfId="10069" applyNumberFormat="1" applyFont="1" applyFill="1" applyBorder="1" applyAlignment="1">
      <alignment horizontal="center" vertical="center" textRotation="90"/>
    </xf>
    <xf numFmtId="4" fontId="31" fillId="0" borderId="0" xfId="10069" applyNumberFormat="1" applyFont="1" applyBorder="1" applyAlignment="1">
      <alignment horizontal="left" vertical="center" indent="2"/>
    </xf>
    <xf numFmtId="6" fontId="31" fillId="36" borderId="51" xfId="10069" applyNumberFormat="1" applyFont="1" applyFill="1" applyBorder="1" applyAlignment="1">
      <alignment horizontal="center" vertical="center"/>
    </xf>
    <xf numFmtId="4" fontId="31" fillId="0" borderId="11" xfId="10069" applyNumberFormat="1" applyFont="1" applyBorder="1" applyAlignment="1">
      <alignment vertical="center"/>
    </xf>
    <xf numFmtId="41" fontId="22" fillId="124" borderId="47" xfId="10069" applyNumberFormat="1" applyFont="1" applyFill="1" applyBorder="1" applyAlignment="1">
      <alignment horizontal="center" vertical="center" textRotation="90"/>
    </xf>
    <xf numFmtId="4" fontId="18" fillId="50" borderId="0" xfId="10069" applyNumberFormat="1" applyFont="1" applyFill="1" applyBorder="1" applyAlignment="1">
      <alignment horizontal="left" vertical="center" indent="2"/>
    </xf>
    <xf numFmtId="6" fontId="18" fillId="104" borderId="51" xfId="10069" applyNumberFormat="1" applyFont="1" applyFill="1" applyBorder="1" applyAlignment="1">
      <alignment horizontal="center" vertical="center"/>
    </xf>
    <xf numFmtId="40" fontId="18" fillId="0" borderId="11" xfId="10069" applyNumberFormat="1" applyFont="1" applyBorder="1" applyAlignment="1">
      <alignment vertical="center"/>
    </xf>
    <xf numFmtId="4" fontId="126" fillId="50" borderId="0" xfId="10069" applyNumberFormat="1" applyFont="1" applyFill="1" applyBorder="1" applyAlignment="1">
      <alignment horizontal="left" vertical="center" indent="2"/>
    </xf>
    <xf numFmtId="4" fontId="18" fillId="50" borderId="0" xfId="10069" applyNumberFormat="1" applyFont="1" applyFill="1" applyBorder="1" applyAlignment="1">
      <alignment horizontal="left" vertical="center" indent="3"/>
    </xf>
    <xf numFmtId="4" fontId="18" fillId="0" borderId="0" xfId="10069" applyNumberFormat="1" applyFont="1" applyFill="1" applyBorder="1" applyAlignment="1">
      <alignment horizontal="right" vertical="center"/>
    </xf>
    <xf numFmtId="4" fontId="18" fillId="50" borderId="51" xfId="10069" applyNumberFormat="1" applyFont="1" applyFill="1" applyBorder="1" applyAlignment="1">
      <alignment horizontal="left" vertical="center" indent="1"/>
    </xf>
    <xf numFmtId="4" fontId="18" fillId="50" borderId="51" xfId="10069" applyNumberFormat="1" applyFont="1" applyFill="1" applyBorder="1" applyAlignment="1">
      <alignment horizontal="left" vertical="center" indent="3"/>
    </xf>
    <xf numFmtId="41" fontId="22" fillId="124" borderId="47" xfId="10069" applyNumberFormat="1" applyFont="1" applyFill="1" applyBorder="1" applyAlignment="1">
      <alignment horizontal="center" vertical="top" textRotation="90"/>
    </xf>
    <xf numFmtId="4" fontId="18" fillId="0" borderId="50" xfId="10069" applyNumberFormat="1" applyFont="1" applyBorder="1" applyAlignment="1">
      <alignment vertical="top"/>
    </xf>
    <xf numFmtId="4" fontId="18" fillId="0" borderId="0" xfId="10069" applyNumberFormat="1" applyFont="1" applyBorder="1" applyAlignment="1">
      <alignment horizontal="left" vertical="top"/>
    </xf>
    <xf numFmtId="6" fontId="18" fillId="0" borderId="47" xfId="10069" applyNumberFormat="1" applyFont="1" applyFill="1" applyBorder="1" applyAlignment="1">
      <alignment horizontal="center" vertical="top"/>
    </xf>
    <xf numFmtId="0" fontId="18" fillId="0" borderId="50" xfId="10069" applyNumberFormat="1" applyFont="1" applyFill="1" applyBorder="1" applyAlignment="1">
      <alignment horizontal="center" vertical="top"/>
    </xf>
    <xf numFmtId="6" fontId="18" fillId="0" borderId="50" xfId="10069" applyNumberFormat="1" applyFont="1" applyFill="1" applyBorder="1" applyAlignment="1">
      <alignment horizontal="center" vertical="top"/>
    </xf>
    <xf numFmtId="223" fontId="18" fillId="0" borderId="50" xfId="10069" applyNumberFormat="1" applyFont="1" applyFill="1" applyBorder="1" applyAlignment="1">
      <alignment horizontal="center" vertical="top"/>
    </xf>
    <xf numFmtId="6" fontId="18" fillId="0" borderId="50" xfId="10069" applyNumberFormat="1" applyFont="1" applyBorder="1" applyAlignment="1">
      <alignment horizontal="center" vertical="top"/>
    </xf>
    <xf numFmtId="6" fontId="18" fillId="0" borderId="51" xfId="10069" applyNumberFormat="1" applyFont="1" applyFill="1" applyBorder="1" applyAlignment="1">
      <alignment horizontal="center" vertical="top"/>
    </xf>
    <xf numFmtId="6" fontId="18" fillId="0" borderId="281" xfId="10069" applyNumberFormat="1" applyFont="1" applyFill="1" applyBorder="1" applyAlignment="1">
      <alignment horizontal="center" vertical="top"/>
    </xf>
    <xf numFmtId="6" fontId="18" fillId="0" borderId="282" xfId="10069" applyNumberFormat="1" applyFont="1" applyBorder="1" applyAlignment="1">
      <alignment horizontal="center" vertical="top"/>
    </xf>
    <xf numFmtId="6" fontId="18" fillId="0" borderId="283" xfId="10069" applyNumberFormat="1" applyFont="1" applyBorder="1" applyAlignment="1">
      <alignment horizontal="center" vertical="top"/>
    </xf>
    <xf numFmtId="6" fontId="18" fillId="0" borderId="283" xfId="10069" applyNumberFormat="1" applyFont="1" applyFill="1" applyBorder="1" applyAlignment="1">
      <alignment horizontal="center" vertical="top"/>
    </xf>
    <xf numFmtId="6" fontId="18" fillId="36" borderId="51" xfId="10069" applyNumberFormat="1" applyFont="1" applyFill="1" applyBorder="1" applyAlignment="1">
      <alignment horizontal="center" vertical="top"/>
    </xf>
    <xf numFmtId="6" fontId="18" fillId="0" borderId="0" xfId="10069" applyNumberFormat="1" applyFont="1" applyFill="1" applyBorder="1" applyAlignment="1">
      <alignment horizontal="center" vertical="top"/>
    </xf>
    <xf numFmtId="6" fontId="18" fillId="0" borderId="47" xfId="10069" applyNumberFormat="1" applyFont="1" applyFill="1" applyBorder="1" applyAlignment="1">
      <alignment horizontal="right" vertical="top"/>
    </xf>
    <xf numFmtId="6" fontId="18" fillId="0" borderId="51" xfId="10069" applyNumberFormat="1" applyFont="1" applyBorder="1" applyAlignment="1">
      <alignment horizontal="center" vertical="top"/>
    </xf>
    <xf numFmtId="38" fontId="18" fillId="0" borderId="0" xfId="10069" applyNumberFormat="1" applyFont="1" applyAlignment="1">
      <alignment horizontal="center" vertical="top"/>
    </xf>
    <xf numFmtId="40" fontId="18" fillId="0" borderId="11" xfId="10069" applyNumberFormat="1" applyFont="1" applyBorder="1" applyAlignment="1">
      <alignment vertical="top"/>
    </xf>
    <xf numFmtId="4" fontId="18" fillId="0" borderId="11" xfId="10069" applyNumberFormat="1" applyFont="1" applyBorder="1" applyAlignment="1">
      <alignment vertical="top"/>
    </xf>
    <xf numFmtId="4" fontId="18" fillId="0" borderId="0" xfId="10069" applyNumberFormat="1" applyFont="1" applyAlignment="1">
      <alignment vertical="top"/>
    </xf>
    <xf numFmtId="6" fontId="18" fillId="0" borderId="0" xfId="10069" applyNumberFormat="1" applyFont="1" applyBorder="1" applyAlignment="1">
      <alignment vertical="top"/>
    </xf>
    <xf numFmtId="4" fontId="18" fillId="0" borderId="0" xfId="10069" applyNumberFormat="1" applyFont="1" applyBorder="1" applyAlignment="1">
      <alignment horizontal="left" vertical="center" indent="1"/>
    </xf>
    <xf numFmtId="0" fontId="18" fillId="122" borderId="47" xfId="42345" applyNumberFormat="1" applyFont="1" applyFill="1" applyBorder="1" applyAlignment="1">
      <alignment horizontal="center"/>
    </xf>
    <xf numFmtId="6" fontId="18" fillId="122" borderId="47" xfId="42345" applyNumberFormat="1" applyFont="1" applyFill="1" applyBorder="1" applyAlignment="1">
      <alignment horizontal="center"/>
    </xf>
    <xf numFmtId="223" fontId="18" fillId="122" borderId="47" xfId="42345" applyNumberFormat="1" applyFont="1" applyFill="1" applyBorder="1" applyAlignment="1">
      <alignment horizontal="center"/>
    </xf>
    <xf numFmtId="4" fontId="126" fillId="0" borderId="0" xfId="10069" applyNumberFormat="1" applyFont="1" applyBorder="1" applyAlignment="1">
      <alignment horizontal="left" vertical="center" indent="2"/>
    </xf>
    <xf numFmtId="4" fontId="126" fillId="0" borderId="51" xfId="10069" applyNumberFormat="1" applyFont="1" applyBorder="1" applyAlignment="1">
      <alignment vertical="center"/>
    </xf>
    <xf numFmtId="6" fontId="126" fillId="0" borderId="47" xfId="10069" applyNumberFormat="1" applyFont="1" applyFill="1" applyBorder="1" applyAlignment="1">
      <alignment horizontal="center" vertical="center"/>
    </xf>
    <xf numFmtId="0" fontId="126" fillId="0" borderId="47" xfId="42345" applyNumberFormat="1" applyFont="1" applyFill="1" applyBorder="1" applyAlignment="1">
      <alignment horizontal="center"/>
    </xf>
    <xf numFmtId="6" fontId="126" fillId="0" borderId="47" xfId="42345" applyNumberFormat="1" applyFont="1" applyFill="1" applyBorder="1" applyAlignment="1">
      <alignment horizontal="center"/>
    </xf>
    <xf numFmtId="223" fontId="126" fillId="0" borderId="47" xfId="42345" applyNumberFormat="1" applyFont="1" applyFill="1" applyBorder="1" applyAlignment="1">
      <alignment horizontal="center"/>
    </xf>
    <xf numFmtId="6" fontId="126" fillId="0" borderId="47" xfId="10069" applyNumberFormat="1" applyFont="1" applyBorder="1" applyAlignment="1">
      <alignment horizontal="center" vertical="center"/>
    </xf>
    <xf numFmtId="6" fontId="126" fillId="0" borderId="51" xfId="10069" applyNumberFormat="1" applyFont="1" applyFill="1" applyBorder="1" applyAlignment="1">
      <alignment horizontal="center" vertical="center"/>
    </xf>
    <xf numFmtId="6" fontId="126" fillId="0" borderId="281" xfId="10069" applyNumberFormat="1" applyFont="1" applyFill="1" applyBorder="1" applyAlignment="1">
      <alignment horizontal="center" vertical="center"/>
    </xf>
    <xf numFmtId="6" fontId="126" fillId="0" borderId="282" xfId="10069" applyNumberFormat="1" applyFont="1" applyBorder="1" applyAlignment="1">
      <alignment horizontal="center" vertical="center"/>
    </xf>
    <xf numFmtId="6" fontId="126" fillId="0" borderId="283" xfId="10069" applyNumberFormat="1" applyFont="1" applyBorder="1" applyAlignment="1">
      <alignment horizontal="center" vertical="center"/>
    </xf>
    <xf numFmtId="6" fontId="126" fillId="0" borderId="283" xfId="10069" applyNumberFormat="1" applyFont="1" applyFill="1" applyBorder="1" applyAlignment="1">
      <alignment horizontal="center" vertical="center"/>
    </xf>
    <xf numFmtId="6" fontId="126" fillId="36" borderId="51" xfId="10069" applyNumberFormat="1" applyFont="1" applyFill="1" applyBorder="1" applyAlignment="1">
      <alignment horizontal="center" vertical="center"/>
    </xf>
    <xf numFmtId="6" fontId="126" fillId="0" borderId="0" xfId="10069" applyNumberFormat="1" applyFont="1" applyFill="1" applyBorder="1" applyAlignment="1">
      <alignment horizontal="center" vertical="center"/>
    </xf>
    <xf numFmtId="6" fontId="126" fillId="0" borderId="47" xfId="10069" applyNumberFormat="1" applyFont="1" applyBorder="1" applyAlignment="1">
      <alignment horizontal="right" vertical="center" indent="2"/>
    </xf>
    <xf numFmtId="4" fontId="249" fillId="0" borderId="0" xfId="10069" quotePrefix="1" applyNumberFormat="1" applyFont="1" applyBorder="1" applyAlignment="1">
      <alignment horizontal="left" vertical="center" indent="3"/>
    </xf>
    <xf numFmtId="4" fontId="18" fillId="125" borderId="0" xfId="10069" applyNumberFormat="1" applyFont="1" applyFill="1" applyBorder="1" applyAlignment="1">
      <alignment vertical="center"/>
    </xf>
    <xf numFmtId="4" fontId="18" fillId="125" borderId="0" xfId="10069" applyNumberFormat="1" applyFont="1" applyFill="1" applyBorder="1" applyAlignment="1">
      <alignment horizontal="left" vertical="center" indent="1"/>
    </xf>
    <xf numFmtId="4" fontId="249" fillId="0" borderId="0" xfId="10069" applyNumberFormat="1" applyFont="1" applyBorder="1" applyAlignment="1">
      <alignment vertical="center"/>
    </xf>
    <xf numFmtId="4" fontId="18" fillId="0" borderId="0" xfId="10069" applyNumberFormat="1" applyFont="1" applyFill="1" applyBorder="1" applyAlignment="1">
      <alignment horizontal="right" vertical="top"/>
    </xf>
    <xf numFmtId="6" fontId="18" fillId="0" borderId="47" xfId="10069" applyNumberFormat="1" applyFont="1" applyFill="1" applyBorder="1" applyAlignment="1">
      <alignment horizontal="right" vertical="top" indent="2"/>
    </xf>
    <xf numFmtId="4" fontId="18" fillId="0" borderId="0" xfId="10069" applyNumberFormat="1" applyFont="1" applyFill="1" applyBorder="1" applyAlignment="1">
      <alignment horizontal="left" vertical="center" indent="2"/>
    </xf>
    <xf numFmtId="4" fontId="18" fillId="50" borderId="0" xfId="10069" applyNumberFormat="1" applyFont="1" applyFill="1" applyBorder="1" applyAlignment="1">
      <alignment horizontal="left" vertical="center"/>
    </xf>
    <xf numFmtId="4" fontId="126" fillId="50" borderId="0" xfId="10069" applyNumberFormat="1" applyFont="1" applyFill="1" applyBorder="1" applyAlignment="1">
      <alignment horizontal="left" vertical="center"/>
    </xf>
    <xf numFmtId="4" fontId="18" fillId="50" borderId="0" xfId="10069" applyNumberFormat="1" applyFont="1" applyFill="1" applyBorder="1" applyAlignment="1">
      <alignment horizontal="left" vertical="center" indent="1"/>
    </xf>
    <xf numFmtId="222" fontId="18" fillId="0" borderId="47" xfId="10069" applyNumberFormat="1" applyFont="1" applyFill="1" applyBorder="1" applyAlignment="1">
      <alignment horizontal="center" vertical="top"/>
    </xf>
    <xf numFmtId="222" fontId="18" fillId="0" borderId="50" xfId="10069" applyNumberFormat="1" applyFont="1" applyFill="1" applyBorder="1" applyAlignment="1">
      <alignment horizontal="center" vertical="top"/>
    </xf>
    <xf numFmtId="222" fontId="18" fillId="0" borderId="50" xfId="10069" applyNumberFormat="1" applyFont="1" applyBorder="1" applyAlignment="1">
      <alignment horizontal="center" vertical="top"/>
    </xf>
    <xf numFmtId="222" fontId="18" fillId="0" borderId="51" xfId="10069" applyNumberFormat="1" applyFont="1" applyFill="1" applyBorder="1" applyAlignment="1">
      <alignment horizontal="center" vertical="top"/>
    </xf>
    <xf numFmtId="222" fontId="18" fillId="0" borderId="281" xfId="10069" applyNumberFormat="1" applyFont="1" applyFill="1" applyBorder="1" applyAlignment="1">
      <alignment horizontal="center" vertical="top"/>
    </xf>
    <xf numFmtId="222" fontId="18" fillId="0" borderId="282" xfId="10069" applyNumberFormat="1" applyFont="1" applyBorder="1" applyAlignment="1">
      <alignment horizontal="center" vertical="top"/>
    </xf>
    <xf numFmtId="222" fontId="18" fillId="0" borderId="283" xfId="10069" applyNumberFormat="1" applyFont="1" applyBorder="1" applyAlignment="1">
      <alignment horizontal="center" vertical="top"/>
    </xf>
    <xf numFmtId="222" fontId="18" fillId="0" borderId="283" xfId="10069" applyNumberFormat="1" applyFont="1" applyFill="1" applyBorder="1" applyAlignment="1">
      <alignment horizontal="center" vertical="top"/>
    </xf>
    <xf numFmtId="222" fontId="18" fillId="36" borderId="51" xfId="10069" applyNumberFormat="1" applyFont="1" applyFill="1" applyBorder="1" applyAlignment="1">
      <alignment horizontal="center" vertical="top"/>
    </xf>
    <xf numFmtId="222" fontId="18" fillId="0" borderId="0" xfId="10069" applyNumberFormat="1" applyFont="1" applyFill="1" applyBorder="1" applyAlignment="1">
      <alignment horizontal="center" vertical="top"/>
    </xf>
    <xf numFmtId="222" fontId="18" fillId="0" borderId="47" xfId="10069" applyNumberFormat="1" applyFont="1" applyFill="1" applyBorder="1" applyAlignment="1">
      <alignment horizontal="right" vertical="top" indent="2"/>
    </xf>
    <xf numFmtId="222" fontId="18" fillId="0" borderId="0" xfId="10069" applyNumberFormat="1" applyFont="1" applyAlignment="1">
      <alignment horizontal="center" vertical="top"/>
    </xf>
    <xf numFmtId="222" fontId="18" fillId="0" borderId="11" xfId="10069" applyNumberFormat="1" applyFont="1" applyBorder="1" applyAlignment="1">
      <alignment vertical="top"/>
    </xf>
    <xf numFmtId="4" fontId="18" fillId="0" borderId="0" xfId="10069" applyNumberFormat="1" applyFont="1" applyFill="1" applyBorder="1" applyAlignment="1">
      <alignment horizontal="left" vertical="top"/>
    </xf>
    <xf numFmtId="6" fontId="18" fillId="0" borderId="47" xfId="10069" applyNumberFormat="1" applyFont="1" applyBorder="1" applyAlignment="1">
      <alignment horizontal="right" vertical="top" indent="2"/>
    </xf>
    <xf numFmtId="8" fontId="18" fillId="0" borderId="51" xfId="10069" applyNumberFormat="1" applyFont="1" applyFill="1" applyBorder="1" applyAlignment="1">
      <alignment horizontal="center" vertical="top"/>
    </xf>
    <xf numFmtId="4" fontId="18" fillId="0" borderId="47" xfId="10069" applyNumberFormat="1" applyFont="1" applyBorder="1" applyAlignment="1">
      <alignment vertical="center"/>
    </xf>
    <xf numFmtId="4" fontId="152" fillId="0" borderId="0" xfId="10069" applyNumberFormat="1" applyFont="1" applyBorder="1" applyAlignment="1">
      <alignment horizontal="right" vertical="center"/>
    </xf>
    <xf numFmtId="4" fontId="152" fillId="0" borderId="0" xfId="10069" applyNumberFormat="1" applyFont="1" applyBorder="1" applyAlignment="1">
      <alignment horizontal="left" vertical="top"/>
    </xf>
    <xf numFmtId="0" fontId="18" fillId="0" borderId="47" xfId="42345" applyNumberFormat="1" applyFont="1" applyFill="1" applyBorder="1" applyAlignment="1">
      <alignment horizontal="center" vertical="top"/>
    </xf>
    <xf numFmtId="6" fontId="18" fillId="0" borderId="47" xfId="42345" applyNumberFormat="1" applyFont="1" applyFill="1" applyBorder="1" applyAlignment="1">
      <alignment horizontal="center" vertical="top"/>
    </xf>
    <xf numFmtId="223" fontId="18" fillId="0" borderId="47" xfId="42345" applyNumberFormat="1" applyFont="1" applyFill="1" applyBorder="1" applyAlignment="1">
      <alignment horizontal="center" vertical="top"/>
    </xf>
    <xf numFmtId="4" fontId="152" fillId="0" borderId="0" xfId="10069" applyNumberFormat="1" applyFont="1" applyBorder="1" applyAlignment="1">
      <alignment horizontal="left" vertical="center" indent="1"/>
    </xf>
    <xf numFmtId="4" fontId="152" fillId="0" borderId="51" xfId="10069" applyNumberFormat="1" applyFont="1" applyBorder="1" applyAlignment="1">
      <alignment vertical="center"/>
    </xf>
    <xf numFmtId="4" fontId="18" fillId="0" borderId="0" xfId="10069" applyNumberFormat="1" applyFont="1" applyFill="1" applyBorder="1" applyAlignment="1">
      <alignment horizontal="left" vertical="center" indent="1"/>
    </xf>
    <xf numFmtId="4" fontId="152" fillId="50" borderId="51" xfId="10069" applyNumberFormat="1" applyFont="1" applyFill="1" applyBorder="1" applyAlignment="1">
      <alignment vertical="center"/>
    </xf>
    <xf numFmtId="6" fontId="18" fillId="122" borderId="51" xfId="10069" applyNumberFormat="1" applyFont="1" applyFill="1" applyBorder="1" applyAlignment="1">
      <alignment horizontal="center" vertical="center"/>
    </xf>
    <xf numFmtId="0" fontId="31" fillId="0" borderId="47" xfId="42345" applyNumberFormat="1" applyFont="1" applyFill="1" applyBorder="1" applyAlignment="1">
      <alignment horizontal="center"/>
    </xf>
    <xf numFmtId="6" fontId="31" fillId="0" borderId="47" xfId="42345" applyNumberFormat="1" applyFont="1" applyFill="1" applyBorder="1" applyAlignment="1">
      <alignment horizontal="center"/>
    </xf>
    <xf numFmtId="223" fontId="31" fillId="0" borderId="47" xfId="42345" applyNumberFormat="1" applyFont="1" applyFill="1" applyBorder="1" applyAlignment="1">
      <alignment horizontal="center"/>
    </xf>
    <xf numFmtId="6" fontId="31" fillId="0" borderId="47" xfId="10069" applyNumberFormat="1" applyFont="1" applyBorder="1" applyAlignment="1">
      <alignment horizontal="center" vertical="center"/>
    </xf>
    <xf numFmtId="6" fontId="127" fillId="0" borderId="283" xfId="10069" applyNumberFormat="1" applyFont="1" applyFill="1" applyBorder="1" applyAlignment="1">
      <alignment horizontal="right" vertical="center" indent="2"/>
    </xf>
    <xf numFmtId="6" fontId="127" fillId="0" borderId="0" xfId="10069" applyNumberFormat="1" applyFont="1" applyBorder="1" applyAlignment="1">
      <alignment horizontal="center" vertical="center"/>
    </xf>
    <xf numFmtId="49" fontId="18" fillId="0" borderId="50" xfId="10069" applyNumberFormat="1" applyFont="1" applyBorder="1" applyAlignment="1">
      <alignment vertical="center"/>
    </xf>
    <xf numFmtId="49" fontId="18" fillId="0" borderId="0" xfId="10069" applyNumberFormat="1" applyFont="1" applyBorder="1" applyAlignment="1">
      <alignment vertical="center"/>
    </xf>
    <xf numFmtId="49" fontId="18" fillId="0" borderId="51" xfId="10069" applyNumberFormat="1" applyFont="1" applyBorder="1" applyAlignment="1">
      <alignment vertical="center"/>
    </xf>
    <xf numFmtId="49" fontId="55" fillId="0" borderId="0" xfId="10069" applyNumberFormat="1" applyFont="1" applyBorder="1" applyAlignment="1">
      <alignment horizontal="left" vertical="center" indent="2"/>
    </xf>
    <xf numFmtId="6" fontId="18" fillId="104" borderId="47" xfId="10069" applyNumberFormat="1" applyFont="1" applyFill="1" applyBorder="1" applyAlignment="1">
      <alignment horizontal="center" vertical="center"/>
    </xf>
    <xf numFmtId="49" fontId="18" fillId="0" borderId="0" xfId="10069" applyNumberFormat="1" applyFont="1" applyBorder="1" applyAlignment="1">
      <alignment horizontal="right" vertical="center"/>
    </xf>
    <xf numFmtId="4" fontId="22" fillId="121" borderId="11" xfId="10069" applyNumberFormat="1" applyFont="1" applyFill="1" applyBorder="1" applyAlignment="1">
      <alignment horizontal="center" vertical="center"/>
    </xf>
    <xf numFmtId="4" fontId="22" fillId="124" borderId="11" xfId="10069" applyNumberFormat="1" applyFont="1" applyFill="1" applyBorder="1" applyAlignment="1">
      <alignment horizontal="center" vertical="center"/>
    </xf>
    <xf numFmtId="41" fontId="127" fillId="44" borderId="0" xfId="10069" applyNumberFormat="1" applyFont="1" applyFill="1" applyBorder="1" applyAlignment="1">
      <alignment horizontal="center" vertical="center"/>
    </xf>
    <xf numFmtId="49" fontId="126" fillId="0" borderId="52" xfId="10069" applyNumberFormat="1" applyFont="1" applyBorder="1" applyAlignment="1">
      <alignment vertical="center"/>
    </xf>
    <xf numFmtId="49" fontId="126" fillId="0" borderId="21" xfId="10069" applyNumberFormat="1" applyFont="1" applyBorder="1" applyAlignment="1">
      <alignment vertical="center"/>
    </xf>
    <xf numFmtId="49" fontId="126" fillId="0" borderId="53" xfId="10069" applyNumberFormat="1" applyFont="1" applyBorder="1" applyAlignment="1">
      <alignment vertical="center"/>
    </xf>
    <xf numFmtId="6" fontId="18" fillId="0" borderId="36" xfId="10069" applyNumberFormat="1" applyFont="1" applyFill="1" applyBorder="1" applyAlignment="1">
      <alignment horizontal="center" vertical="center"/>
    </xf>
    <xf numFmtId="0" fontId="18" fillId="0" borderId="52" xfId="10069" applyNumberFormat="1" applyFont="1" applyFill="1" applyBorder="1" applyAlignment="1">
      <alignment horizontal="center" vertical="center"/>
    </xf>
    <xf numFmtId="6" fontId="18" fillId="0" borderId="52" xfId="10069" applyNumberFormat="1" applyFont="1" applyFill="1" applyBorder="1" applyAlignment="1">
      <alignment horizontal="center" vertical="center"/>
    </xf>
    <xf numFmtId="223" fontId="18" fillId="0" borderId="52" xfId="10069" applyNumberFormat="1" applyFont="1" applyFill="1" applyBorder="1" applyAlignment="1">
      <alignment horizontal="center" vertical="center"/>
    </xf>
    <xf numFmtId="6" fontId="18" fillId="0" borderId="52" xfId="10069" applyNumberFormat="1" applyFont="1" applyBorder="1" applyAlignment="1">
      <alignment horizontal="center" vertical="center"/>
    </xf>
    <xf numFmtId="6" fontId="18" fillId="0" borderId="53" xfId="10069" applyNumberFormat="1" applyFont="1" applyFill="1" applyBorder="1" applyAlignment="1">
      <alignment horizontal="center" vertical="center"/>
    </xf>
    <xf numFmtId="6" fontId="18" fillId="0" borderId="277" xfId="10069" applyNumberFormat="1" applyFont="1" applyFill="1" applyBorder="1" applyAlignment="1">
      <alignment horizontal="center" vertical="center"/>
    </xf>
    <xf numFmtId="6" fontId="18" fillId="0" borderId="284" xfId="10069" applyNumberFormat="1" applyFont="1" applyBorder="1" applyAlignment="1">
      <alignment horizontal="center" vertical="center"/>
    </xf>
    <xf numFmtId="6" fontId="18" fillId="0" borderId="285" xfId="10069" applyNumberFormat="1" applyFont="1" applyBorder="1" applyAlignment="1">
      <alignment horizontal="center" vertical="center"/>
    </xf>
    <xf numFmtId="6" fontId="18" fillId="0" borderId="285" xfId="10069" applyNumberFormat="1" applyFont="1" applyFill="1" applyBorder="1" applyAlignment="1">
      <alignment horizontal="center" vertical="center"/>
    </xf>
    <xf numFmtId="6" fontId="18" fillId="36" borderId="53" xfId="10069" applyNumberFormat="1" applyFont="1" applyFill="1" applyBorder="1" applyAlignment="1">
      <alignment horizontal="center" vertical="center"/>
    </xf>
    <xf numFmtId="6" fontId="18" fillId="0" borderId="21" xfId="10069" applyNumberFormat="1" applyFont="1" applyFill="1" applyBorder="1" applyAlignment="1">
      <alignment horizontal="center" vertical="center"/>
    </xf>
    <xf numFmtId="6" fontId="18" fillId="0" borderId="36" xfId="10069" applyNumberFormat="1" applyFont="1" applyBorder="1" applyAlignment="1">
      <alignment horizontal="right" vertical="center" indent="2"/>
    </xf>
    <xf numFmtId="6" fontId="18" fillId="0" borderId="53" xfId="10069" applyNumberFormat="1" applyFont="1" applyBorder="1" applyAlignment="1">
      <alignment horizontal="center" vertical="center"/>
    </xf>
    <xf numFmtId="6" fontId="18" fillId="0" borderId="36" xfId="10069" applyNumberFormat="1" applyFont="1" applyBorder="1" applyAlignment="1">
      <alignment horizontal="center" vertical="center"/>
    </xf>
    <xf numFmtId="41" fontId="18" fillId="0" borderId="0" xfId="10069" applyNumberFormat="1" applyFont="1" applyAlignment="1">
      <alignment horizontal="center" vertical="center"/>
    </xf>
    <xf numFmtId="41" fontId="18" fillId="0" borderId="0" xfId="10069" applyNumberFormat="1" applyFont="1" applyFill="1" applyBorder="1" applyAlignment="1">
      <alignment horizontal="center" vertical="center"/>
    </xf>
    <xf numFmtId="38" fontId="18" fillId="43" borderId="0" xfId="10069" applyNumberFormat="1" applyFont="1" applyFill="1" applyAlignment="1">
      <alignment vertical="center"/>
    </xf>
    <xf numFmtId="38" fontId="18" fillId="43" borderId="0" xfId="10069" applyNumberFormat="1" applyFont="1" applyFill="1" applyAlignment="1">
      <alignment horizontal="center" vertical="center"/>
    </xf>
    <xf numFmtId="38" fontId="126" fillId="43" borderId="0" xfId="10069" applyNumberFormat="1" applyFont="1" applyFill="1" applyAlignment="1">
      <alignment horizontal="center" vertical="center"/>
    </xf>
    <xf numFmtId="38" fontId="18" fillId="43" borderId="45" xfId="10069" applyNumberFormat="1" applyFont="1" applyFill="1" applyBorder="1" applyAlignment="1">
      <alignment horizontal="center" vertical="center"/>
    </xf>
    <xf numFmtId="38" fontId="18" fillId="43" borderId="46" xfId="10069" applyNumberFormat="1" applyFont="1" applyFill="1" applyBorder="1" applyAlignment="1">
      <alignment horizontal="center" vertical="center"/>
    </xf>
    <xf numFmtId="3" fontId="22" fillId="0" borderId="0" xfId="10069" applyNumberFormat="1" applyFont="1" applyBorder="1" applyAlignment="1">
      <alignment vertical="center"/>
    </xf>
    <xf numFmtId="3" fontId="22" fillId="0" borderId="0" xfId="10069" applyNumberFormat="1" applyFont="1" applyAlignment="1">
      <alignment vertical="center"/>
    </xf>
    <xf numFmtId="3" fontId="18" fillId="0" borderId="0" xfId="10069" applyNumberFormat="1" applyFont="1" applyAlignment="1">
      <alignment horizontal="center" vertical="center"/>
    </xf>
    <xf numFmtId="6" fontId="18" fillId="0" borderId="287" xfId="10069" applyNumberFormat="1" applyFont="1" applyFill="1" applyBorder="1" applyAlignment="1">
      <alignment horizontal="center" vertical="center"/>
    </xf>
    <xf numFmtId="41" fontId="18" fillId="121" borderId="45" xfId="10069" applyNumberFormat="1" applyFont="1" applyFill="1" applyBorder="1" applyAlignment="1">
      <alignment vertical="center"/>
    </xf>
    <xf numFmtId="6" fontId="18" fillId="121" borderId="46" xfId="10069" applyNumberFormat="1" applyFont="1" applyFill="1" applyBorder="1" applyAlignment="1">
      <alignment vertical="center"/>
    </xf>
    <xf numFmtId="41" fontId="18" fillId="0" borderId="0" xfId="10069" applyNumberFormat="1" applyFont="1" applyBorder="1" applyAlignment="1">
      <alignment horizontal="center" vertical="center"/>
    </xf>
    <xf numFmtId="6" fontId="22" fillId="0" borderId="48" xfId="10069" applyNumberFormat="1" applyFont="1" applyBorder="1" applyAlignment="1">
      <alignment horizontal="center" vertical="center"/>
    </xf>
    <xf numFmtId="6" fontId="22" fillId="0" borderId="49" xfId="10069" applyNumberFormat="1" applyFont="1" applyBorder="1" applyAlignment="1">
      <alignment horizontal="center" vertical="center"/>
    </xf>
    <xf numFmtId="224" fontId="18" fillId="0" borderId="0" xfId="10069" applyNumberFormat="1" applyFont="1" applyAlignment="1">
      <alignment vertical="center"/>
    </xf>
    <xf numFmtId="41" fontId="18" fillId="0" borderId="0" xfId="10069" applyNumberFormat="1" applyFont="1" applyAlignment="1">
      <alignment horizontal="right" vertical="center"/>
    </xf>
    <xf numFmtId="6" fontId="22" fillId="0" borderId="0" xfId="10069" applyNumberFormat="1" applyFont="1" applyAlignment="1">
      <alignment vertical="center"/>
    </xf>
    <xf numFmtId="6" fontId="22" fillId="0" borderId="50" xfId="10069" applyNumberFormat="1" applyFont="1" applyBorder="1" applyAlignment="1">
      <alignment horizontal="center" vertical="center"/>
    </xf>
    <xf numFmtId="6" fontId="22" fillId="0" borderId="51" xfId="10069" applyNumberFormat="1" applyFont="1" applyBorder="1" applyAlignment="1">
      <alignment horizontal="center" vertical="center"/>
    </xf>
    <xf numFmtId="41" fontId="256" fillId="0" borderId="0" xfId="10069" applyNumberFormat="1" applyFont="1" applyAlignment="1">
      <alignment vertical="center"/>
    </xf>
    <xf numFmtId="6" fontId="22" fillId="0" borderId="52" xfId="10069" applyNumberFormat="1" applyFont="1" applyBorder="1" applyAlignment="1">
      <alignment horizontal="center" vertical="center"/>
    </xf>
    <xf numFmtId="6" fontId="22" fillId="0" borderId="53" xfId="10069" applyNumberFormat="1" applyFont="1" applyBorder="1" applyAlignment="1">
      <alignment horizontal="center" vertical="center"/>
    </xf>
    <xf numFmtId="41" fontId="18" fillId="0" borderId="0" xfId="10069" applyNumberFormat="1" applyFont="1" applyFill="1" applyBorder="1" applyAlignment="1">
      <alignment vertical="center"/>
    </xf>
    <xf numFmtId="41" fontId="22" fillId="0" borderId="0" xfId="10069" applyNumberFormat="1" applyFont="1" applyAlignment="1">
      <alignment vertical="center"/>
    </xf>
    <xf numFmtId="224" fontId="18" fillId="0" borderId="0" xfId="10069" applyNumberFormat="1" applyFont="1" applyFill="1" applyBorder="1" applyAlignment="1">
      <alignment vertical="center"/>
    </xf>
    <xf numFmtId="41" fontId="18" fillId="0" borderId="0" xfId="10069" applyNumberFormat="1" applyFont="1" applyFill="1" applyBorder="1" applyAlignment="1">
      <alignment horizontal="right" vertical="center"/>
    </xf>
    <xf numFmtId="6" fontId="22" fillId="0" borderId="0" xfId="10069" applyNumberFormat="1" applyFont="1" applyFill="1" applyBorder="1" applyAlignment="1">
      <alignment vertical="center"/>
    </xf>
    <xf numFmtId="0" fontId="97" fillId="0" borderId="0" xfId="42216" applyFont="1"/>
    <xf numFmtId="0" fontId="18" fillId="0" borderId="0" xfId="42216"/>
    <xf numFmtId="38" fontId="158" fillId="0" borderId="0" xfId="42216" applyNumberFormat="1" applyFont="1" applyBorder="1" applyAlignment="1">
      <alignment horizontal="right" vertical="center"/>
    </xf>
    <xf numFmtId="10" fontId="157" fillId="0" borderId="0" xfId="42216" applyNumberFormat="1" applyFont="1" applyAlignment="1">
      <alignment horizontal="center"/>
    </xf>
    <xf numFmtId="9" fontId="157" fillId="0" borderId="0" xfId="42216" applyNumberFormat="1" applyFont="1" applyAlignment="1">
      <alignment horizontal="center"/>
    </xf>
    <xf numFmtId="0" fontId="22" fillId="0" borderId="52" xfId="42216" applyFont="1" applyBorder="1" applyAlignment="1">
      <alignment horizontal="center" wrapText="1"/>
    </xf>
    <xf numFmtId="0" fontId="156" fillId="0" borderId="50" xfId="42216" applyFont="1" applyBorder="1" applyAlignment="1">
      <alignment horizontal="center" wrapText="1"/>
    </xf>
    <xf numFmtId="6" fontId="152" fillId="0" borderId="11" xfId="42216" applyNumberFormat="1" applyFont="1" applyBorder="1"/>
    <xf numFmtId="168" fontId="156" fillId="0" borderId="0" xfId="42346" applyNumberFormat="1" applyFont="1" applyAlignment="1">
      <alignment horizontal="center"/>
    </xf>
    <xf numFmtId="4" fontId="155" fillId="0" borderId="46" xfId="42216" applyNumberFormat="1" applyFont="1" applyBorder="1" applyAlignment="1">
      <alignment horizontal="right" vertical="center"/>
    </xf>
    <xf numFmtId="38" fontId="155" fillId="0" borderId="46" xfId="42216" applyNumberFormat="1" applyFont="1" applyBorder="1" applyAlignment="1">
      <alignment horizontal="right" vertical="center"/>
    </xf>
    <xf numFmtId="6" fontId="150" fillId="0" borderId="11" xfId="42216" applyNumberFormat="1" applyFont="1" applyBorder="1"/>
    <xf numFmtId="10" fontId="18" fillId="0" borderId="0" xfId="42346" applyNumberFormat="1" applyFont="1"/>
    <xf numFmtId="38" fontId="155" fillId="0" borderId="46" xfId="42216" applyNumberFormat="1" applyFont="1" applyFill="1" applyBorder="1" applyAlignment="1">
      <alignment horizontal="right" vertical="center"/>
    </xf>
    <xf numFmtId="164" fontId="154" fillId="0" borderId="46" xfId="42347" applyNumberFormat="1" applyFont="1" applyFill="1" applyBorder="1" applyAlignment="1">
      <alignment horizontal="right" vertical="center"/>
    </xf>
    <xf numFmtId="0" fontId="18" fillId="0" borderId="45" xfId="42216" applyBorder="1"/>
    <xf numFmtId="0" fontId="18" fillId="0" borderId="50" xfId="42216" applyBorder="1"/>
    <xf numFmtId="38" fontId="153" fillId="0" borderId="46" xfId="42216" applyNumberFormat="1" applyFont="1" applyFill="1" applyBorder="1" applyAlignment="1">
      <alignment horizontal="right" vertical="center"/>
    </xf>
    <xf numFmtId="0" fontId="97" fillId="0" borderId="11" xfId="42216" applyFont="1" applyBorder="1"/>
    <xf numFmtId="164" fontId="133" fillId="0" borderId="46" xfId="42347" applyNumberFormat="1" applyFont="1" applyFill="1" applyBorder="1" applyAlignment="1">
      <alignment horizontal="right" vertical="center"/>
    </xf>
    <xf numFmtId="6" fontId="133" fillId="0" borderId="50" xfId="42216" applyNumberFormat="1" applyFont="1" applyBorder="1"/>
    <xf numFmtId="0" fontId="154" fillId="0" borderId="0" xfId="42216" applyFont="1" applyAlignment="1">
      <alignment horizontal="center" wrapText="1"/>
    </xf>
    <xf numFmtId="0" fontId="153" fillId="0" borderId="0" xfId="42216" applyFont="1" applyAlignment="1">
      <alignment horizontal="right"/>
    </xf>
    <xf numFmtId="6" fontId="133" fillId="0" borderId="0" xfId="42216" applyNumberFormat="1" applyFont="1" applyFill="1" applyBorder="1"/>
    <xf numFmtId="14" fontId="152" fillId="0" borderId="89" xfId="42216" applyNumberFormat="1" applyFont="1" applyBorder="1" applyAlignment="1">
      <alignment horizontal="center"/>
    </xf>
    <xf numFmtId="14" fontId="152" fillId="0" borderId="12" xfId="42216" applyNumberFormat="1" applyFont="1" applyBorder="1" applyAlignment="1">
      <alignment horizontal="center"/>
    </xf>
    <xf numFmtId="6" fontId="133" fillId="104" borderId="56" xfId="42216" applyNumberFormat="1" applyFont="1" applyFill="1" applyBorder="1"/>
    <xf numFmtId="0" fontId="151" fillId="0" borderId="0" xfId="42216" applyFont="1" applyBorder="1" applyAlignment="1">
      <alignment horizontal="right"/>
    </xf>
    <xf numFmtId="6" fontId="150" fillId="0" borderId="0" xfId="42216" applyNumberFormat="1" applyFont="1" applyBorder="1"/>
    <xf numFmtId="9" fontId="150" fillId="0" borderId="0" xfId="42216" applyNumberFormat="1" applyFont="1" applyBorder="1"/>
    <xf numFmtId="170" fontId="150" fillId="0" borderId="0" xfId="42346" applyNumberFormat="1" applyFont="1" applyBorder="1"/>
    <xf numFmtId="0" fontId="151" fillId="0" borderId="0" xfId="42216" applyFont="1" applyAlignment="1">
      <alignment horizontal="right"/>
    </xf>
    <xf numFmtId="0" fontId="135" fillId="0" borderId="0" xfId="42368" applyFont="1"/>
    <xf numFmtId="0" fontId="135" fillId="0" borderId="0" xfId="42368" applyFont="1" applyAlignment="1">
      <alignment horizontal="center"/>
    </xf>
    <xf numFmtId="6" fontId="135" fillId="0" borderId="97" xfId="42368" applyNumberFormat="1" applyFont="1" applyBorder="1"/>
    <xf numFmtId="0" fontId="135" fillId="0" borderId="82" xfId="42368" applyFont="1" applyBorder="1" applyAlignment="1">
      <alignment horizontal="center"/>
    </xf>
    <xf numFmtId="0" fontId="135" fillId="0" borderId="82" xfId="42368" applyFont="1" applyBorder="1"/>
    <xf numFmtId="0" fontId="135" fillId="0" borderId="96" xfId="42368" applyFont="1" applyBorder="1"/>
    <xf numFmtId="6" fontId="135" fillId="0" borderId="41" xfId="42368" applyNumberFormat="1" applyFont="1" applyFill="1" applyBorder="1"/>
    <xf numFmtId="190" fontId="135" fillId="0" borderId="0" xfId="42368" applyNumberFormat="1" applyFont="1" applyFill="1" applyBorder="1" applyAlignment="1">
      <alignment horizontal="center"/>
    </xf>
    <xf numFmtId="0" fontId="135" fillId="0" borderId="0" xfId="42368" applyFont="1" applyBorder="1"/>
    <xf numFmtId="0" fontId="135" fillId="0" borderId="40" xfId="42368" applyFont="1" applyBorder="1"/>
    <xf numFmtId="0" fontId="135" fillId="0" borderId="41" xfId="42368" applyFont="1" applyBorder="1"/>
    <xf numFmtId="0" fontId="135" fillId="0" borderId="0" xfId="42368" applyFont="1" applyBorder="1" applyAlignment="1">
      <alignment horizontal="center"/>
    </xf>
    <xf numFmtId="0" fontId="138" fillId="0" borderId="0" xfId="42368" applyFont="1" applyBorder="1"/>
    <xf numFmtId="0" fontId="138" fillId="0" borderId="40" xfId="42368" applyFont="1" applyBorder="1"/>
    <xf numFmtId="0" fontId="135" fillId="0" borderId="41" xfId="42368" applyFont="1" applyBorder="1" applyAlignment="1">
      <alignment horizontal="center"/>
    </xf>
    <xf numFmtId="0" fontId="137" fillId="0" borderId="40" xfId="42368" applyFont="1" applyBorder="1"/>
    <xf numFmtId="0" fontId="136" fillId="100" borderId="74" xfId="42368" applyFont="1" applyFill="1" applyBorder="1" applyAlignment="1">
      <alignment horizontal="centerContinuous"/>
    </xf>
    <xf numFmtId="0" fontId="136" fillId="100" borderId="73" xfId="42368" applyFont="1" applyFill="1" applyBorder="1" applyAlignment="1">
      <alignment horizontal="centerContinuous"/>
    </xf>
    <xf numFmtId="0" fontId="136" fillId="0" borderId="39" xfId="42368" applyFont="1" applyFill="1" applyBorder="1" applyAlignment="1">
      <alignment horizontal="centerContinuous"/>
    </xf>
    <xf numFmtId="0" fontId="134" fillId="0" borderId="62" xfId="42368" applyFont="1" applyFill="1" applyBorder="1" applyAlignment="1">
      <alignment horizontal="left"/>
    </xf>
    <xf numFmtId="0" fontId="241" fillId="0" borderId="0" xfId="42368" applyFont="1"/>
    <xf numFmtId="43" fontId="152" fillId="0" borderId="0" xfId="5877" applyFont="1"/>
    <xf numFmtId="6" fontId="152" fillId="104" borderId="11" xfId="10069" applyNumberFormat="1" applyFont="1" applyFill="1" applyBorder="1" applyAlignment="1">
      <alignment horizontal="center"/>
    </xf>
    <xf numFmtId="6" fontId="244" fillId="0" borderId="60" xfId="6079" applyNumberFormat="1" applyFont="1" applyBorder="1" applyAlignment="1">
      <alignment horizontal="center"/>
    </xf>
    <xf numFmtId="6" fontId="244" fillId="0" borderId="34" xfId="6079" applyNumberFormat="1" applyFont="1" applyBorder="1" applyAlignment="1">
      <alignment horizontal="center"/>
    </xf>
    <xf numFmtId="6" fontId="244" fillId="0" borderId="16" xfId="6079" applyNumberFormat="1" applyFont="1" applyBorder="1" applyAlignment="1">
      <alignment horizontal="center"/>
    </xf>
    <xf numFmtId="6" fontId="257" fillId="104" borderId="34" xfId="10069" applyNumberFormat="1" applyFont="1" applyFill="1" applyBorder="1" applyAlignment="1">
      <alignment horizontal="center"/>
    </xf>
    <xf numFmtId="6" fontId="257" fillId="0" borderId="34" xfId="10069" applyNumberFormat="1" applyFont="1" applyBorder="1" applyAlignment="1">
      <alignment horizontal="center"/>
    </xf>
    <xf numFmtId="6" fontId="257" fillId="0" borderId="34" xfId="10069" applyNumberFormat="1" applyFont="1" applyFill="1" applyBorder="1" applyAlignment="1">
      <alignment horizontal="center"/>
    </xf>
    <xf numFmtId="6" fontId="152" fillId="104" borderId="16" xfId="10069" applyNumberFormat="1" applyFont="1" applyFill="1" applyBorder="1" applyAlignment="1">
      <alignment horizontal="center"/>
    </xf>
    <xf numFmtId="165" fontId="152" fillId="0" borderId="0" xfId="5877" applyNumberFormat="1" applyFont="1"/>
    <xf numFmtId="41" fontId="18" fillId="104" borderId="0" xfId="10069" applyNumberFormat="1" applyFont="1" applyFill="1" applyAlignment="1">
      <alignment vertical="center"/>
    </xf>
    <xf numFmtId="41" fontId="18" fillId="0" borderId="0" xfId="10069" applyNumberFormat="1" applyFont="1" applyAlignment="1">
      <alignment horizontal="left" vertical="center"/>
    </xf>
    <xf numFmtId="38" fontId="18" fillId="43" borderId="0" xfId="10069" applyNumberFormat="1" applyFont="1" applyFill="1" applyAlignment="1">
      <alignment horizontal="left" vertical="center"/>
    </xf>
    <xf numFmtId="169" fontId="18" fillId="0" borderId="0" xfId="36175">
      <alignment horizontal="left" wrapText="1"/>
    </xf>
    <xf numFmtId="41" fontId="18" fillId="126" borderId="0" xfId="10069" applyNumberFormat="1" applyFont="1" applyFill="1" applyAlignment="1">
      <alignment horizontal="center" vertical="center"/>
    </xf>
    <xf numFmtId="43" fontId="18" fillId="0" borderId="11" xfId="5877" applyFont="1" applyBorder="1" applyAlignment="1">
      <alignment vertical="center"/>
    </xf>
    <xf numFmtId="43" fontId="18" fillId="0" borderId="11" xfId="5877" applyFont="1" applyBorder="1" applyAlignment="1">
      <alignment vertical="top"/>
    </xf>
    <xf numFmtId="43" fontId="18" fillId="0" borderId="11" xfId="5877" applyFont="1" applyFill="1" applyBorder="1" applyAlignment="1">
      <alignment horizontal="center" vertical="center"/>
    </xf>
    <xf numFmtId="6" fontId="18" fillId="104" borderId="51" xfId="10069" applyNumberFormat="1" applyFont="1" applyFill="1" applyBorder="1" applyAlignment="1">
      <alignment horizontal="center" vertical="top"/>
    </xf>
    <xf numFmtId="6" fontId="31" fillId="104" borderId="51" xfId="10069" applyNumberFormat="1" applyFont="1" applyFill="1" applyBorder="1" applyAlignment="1">
      <alignment horizontal="center" vertical="center"/>
    </xf>
    <xf numFmtId="8" fontId="18" fillId="104" borderId="51" xfId="10069" applyNumberFormat="1" applyFont="1" applyFill="1" applyBorder="1" applyAlignment="1">
      <alignment horizontal="center" vertical="center"/>
    </xf>
    <xf numFmtId="0" fontId="70" fillId="0" borderId="30" xfId="3379" applyFont="1" applyFill="1" applyBorder="1" applyAlignment="1">
      <alignment horizontal="center"/>
    </xf>
    <xf numFmtId="0" fontId="143" fillId="0" borderId="31" xfId="3342" applyFont="1" applyFill="1" applyBorder="1" applyAlignment="1">
      <alignment horizontal="center"/>
    </xf>
    <xf numFmtId="0" fontId="19" fillId="0" borderId="93" xfId="0" applyNumberFormat="1" applyFont="1" applyFill="1" applyBorder="1" applyAlignment="1">
      <alignment horizontal="center"/>
    </xf>
    <xf numFmtId="0" fontId="18" fillId="0" borderId="93" xfId="0" applyNumberFormat="1" applyFont="1" applyFill="1" applyBorder="1" applyAlignment="1"/>
    <xf numFmtId="6" fontId="18" fillId="0" borderId="31" xfId="0" applyNumberFormat="1" applyFont="1" applyFill="1" applyBorder="1" applyAlignment="1"/>
    <xf numFmtId="6" fontId="18" fillId="0" borderId="91" xfId="0" applyNumberFormat="1" applyFont="1" applyFill="1" applyBorder="1" applyAlignment="1"/>
    <xf numFmtId="5" fontId="22" fillId="0" borderId="92" xfId="3379" applyNumberFormat="1" applyFont="1" applyFill="1" applyBorder="1"/>
    <xf numFmtId="0" fontId="22" fillId="0" borderId="0" xfId="0" applyNumberFormat="1" applyFont="1" applyFill="1" applyAlignment="1" applyProtection="1">
      <alignment horizontal="center"/>
      <protection locked="0"/>
    </xf>
    <xf numFmtId="5" fontId="18" fillId="0" borderId="12" xfId="0" applyNumberFormat="1" applyFont="1" applyFill="1" applyBorder="1" applyAlignment="1"/>
    <xf numFmtId="165" fontId="18" fillId="0" borderId="12" xfId="2661" applyNumberFormat="1" applyFont="1" applyFill="1" applyBorder="1" applyAlignment="1"/>
    <xf numFmtId="41" fontId="18" fillId="0" borderId="12" xfId="0" applyNumberFormat="1" applyFont="1" applyFill="1" applyBorder="1" applyAlignment="1"/>
    <xf numFmtId="0" fontId="18" fillId="102" borderId="30" xfId="0" applyNumberFormat="1" applyFont="1" applyFill="1" applyBorder="1" applyAlignment="1"/>
    <xf numFmtId="0" fontId="18" fillId="65" borderId="30" xfId="0" applyNumberFormat="1" applyFont="1" applyFill="1" applyBorder="1" applyAlignment="1"/>
    <xf numFmtId="0" fontId="18" fillId="65" borderId="32" xfId="0" applyNumberFormat="1" applyFont="1" applyFill="1" applyBorder="1" applyAlignment="1"/>
    <xf numFmtId="0" fontId="18" fillId="0" borderId="50" xfId="0" applyNumberFormat="1" applyFont="1" applyFill="1" applyBorder="1" applyAlignment="1">
      <alignment horizontal="center"/>
    </xf>
    <xf numFmtId="37" fontId="18" fillId="0" borderId="0" xfId="0" applyNumberFormat="1" applyFont="1" applyFill="1" applyBorder="1" applyAlignment="1">
      <alignment horizontal="right"/>
    </xf>
    <xf numFmtId="37" fontId="18" fillId="0" borderId="51" xfId="0" applyNumberFormat="1" applyFont="1" applyFill="1" applyBorder="1" applyAlignment="1">
      <alignment horizontal="right"/>
    </xf>
    <xf numFmtId="37" fontId="18" fillId="0" borderId="50" xfId="0" applyNumberFormat="1" applyFont="1" applyFill="1" applyBorder="1" applyAlignment="1">
      <alignment horizontal="center"/>
    </xf>
    <xf numFmtId="37" fontId="18" fillId="0" borderId="0" xfId="0" applyNumberFormat="1" applyFont="1" applyFill="1" applyBorder="1" applyAlignment="1">
      <alignment horizontal="center"/>
    </xf>
    <xf numFmtId="41" fontId="18" fillId="0" borderId="0" xfId="0" applyNumberFormat="1" applyFont="1" applyFill="1" applyBorder="1" applyAlignment="1">
      <alignment horizontal="left"/>
    </xf>
    <xf numFmtId="42" fontId="18" fillId="0" borderId="51" xfId="0" applyNumberFormat="1" applyFont="1" applyFill="1" applyBorder="1" applyAlignment="1">
      <alignment horizontal="left"/>
    </xf>
    <xf numFmtId="41" fontId="18" fillId="0" borderId="51" xfId="0" applyNumberFormat="1" applyFont="1" applyFill="1" applyBorder="1" applyAlignment="1">
      <alignment horizontal="left"/>
    </xf>
    <xf numFmtId="175" fontId="22" fillId="104" borderId="31" xfId="0" applyNumberFormat="1" applyFont="1" applyFill="1" applyBorder="1" applyAlignment="1">
      <alignment horizontal="center"/>
    </xf>
    <xf numFmtId="0" fontId="18" fillId="65" borderId="31" xfId="0" applyNumberFormat="1" applyFont="1" applyFill="1" applyBorder="1" applyAlignment="1"/>
    <xf numFmtId="41" fontId="18" fillId="65" borderId="31" xfId="0" applyNumberFormat="1" applyFont="1" applyFill="1" applyBorder="1" applyAlignment="1"/>
    <xf numFmtId="175" fontId="22" fillId="104" borderId="32" xfId="0" applyNumberFormat="1" applyFont="1" applyFill="1" applyBorder="1" applyAlignment="1">
      <alignment horizontal="center"/>
    </xf>
    <xf numFmtId="41" fontId="25" fillId="0" borderId="0" xfId="3063" applyNumberFormat="1" applyFont="1"/>
    <xf numFmtId="177" fontId="18" fillId="101" borderId="79" xfId="0" applyNumberFormat="1" applyFont="1" applyFill="1" applyBorder="1" applyAlignment="1">
      <alignment horizontal="right"/>
    </xf>
    <xf numFmtId="0" fontId="22" fillId="0" borderId="44" xfId="0" applyNumberFormat="1" applyFont="1" applyFill="1" applyBorder="1" applyAlignment="1">
      <alignment horizontal="center"/>
    </xf>
    <xf numFmtId="169" fontId="22" fillId="0" borderId="32" xfId="0" applyFont="1" applyFill="1" applyBorder="1" applyAlignment="1">
      <alignment horizontal="center"/>
    </xf>
    <xf numFmtId="0" fontId="25" fillId="0" borderId="0" xfId="0" applyNumberFormat="1" applyFont="1" applyFill="1" applyBorder="1" applyAlignment="1"/>
    <xf numFmtId="0" fontId="0" fillId="0" borderId="0" xfId="0" applyNumberFormat="1" applyFill="1" applyBorder="1" applyAlignment="1"/>
    <xf numFmtId="0" fontId="141" fillId="0" borderId="0" xfId="0" applyNumberFormat="1" applyFont="1" applyFill="1" applyBorder="1" applyAlignment="1"/>
    <xf numFmtId="165" fontId="25" fillId="101" borderId="34" xfId="0" applyNumberFormat="1" applyFont="1" applyFill="1" applyBorder="1" applyAlignment="1"/>
    <xf numFmtId="41" fontId="18" fillId="101" borderId="34" xfId="0" applyNumberFormat="1" applyFont="1" applyFill="1" applyBorder="1" applyAlignment="1"/>
    <xf numFmtId="6" fontId="25" fillId="101" borderId="34" xfId="0" applyNumberFormat="1" applyFont="1" applyFill="1" applyBorder="1" applyAlignment="1"/>
    <xf numFmtId="41" fontId="25" fillId="101" borderId="80" xfId="0" applyNumberFormat="1" applyFont="1" applyFill="1" applyBorder="1" applyAlignment="1"/>
    <xf numFmtId="165" fontId="25" fillId="101" borderId="0" xfId="0" applyNumberFormat="1" applyFont="1" applyFill="1" applyBorder="1" applyAlignment="1"/>
    <xf numFmtId="177" fontId="18" fillId="101" borderId="47" xfId="0" applyNumberFormat="1" applyFont="1" applyFill="1" applyBorder="1" applyAlignment="1">
      <alignment horizontal="right"/>
    </xf>
    <xf numFmtId="6" fontId="152" fillId="127" borderId="47" xfId="10069" applyNumberFormat="1" applyFont="1" applyFill="1" applyBorder="1" applyAlignment="1">
      <alignment horizontal="center"/>
    </xf>
    <xf numFmtId="0" fontId="19" fillId="128" borderId="11" xfId="10069" applyNumberFormat="1" applyFont="1" applyFill="1" applyBorder="1" applyAlignment="1">
      <alignment horizontal="center" vertical="center" wrapText="1"/>
    </xf>
    <xf numFmtId="0" fontId="19" fillId="130" borderId="11" xfId="10069" applyNumberFormat="1" applyFont="1" applyFill="1" applyBorder="1" applyAlignment="1">
      <alignment horizontal="center" vertical="center" wrapText="1"/>
    </xf>
    <xf numFmtId="6" fontId="152" fillId="131" borderId="46" xfId="10069" applyNumberFormat="1" applyFont="1" applyFill="1" applyBorder="1" applyAlignment="1">
      <alignment horizontal="center"/>
    </xf>
    <xf numFmtId="6" fontId="154" fillId="130" borderId="141" xfId="10069" applyNumberFormat="1" applyFont="1" applyFill="1" applyBorder="1" applyAlignment="1">
      <alignment horizontal="center"/>
    </xf>
    <xf numFmtId="6" fontId="152" fillId="129" borderId="150" xfId="10069" applyNumberFormat="1" applyFont="1" applyFill="1" applyBorder="1" applyAlignment="1">
      <alignment horizontal="center"/>
    </xf>
    <xf numFmtId="6" fontId="152" fillId="129" borderId="165" xfId="10069" applyNumberFormat="1" applyFont="1" applyFill="1" applyBorder="1" applyAlignment="1">
      <alignment horizontal="center"/>
    </xf>
    <xf numFmtId="6" fontId="152" fillId="129" borderId="163" xfId="10069" applyNumberFormat="1" applyFont="1" applyFill="1" applyBorder="1" applyAlignment="1">
      <alignment horizontal="center"/>
    </xf>
    <xf numFmtId="6" fontId="152" fillId="129" borderId="175" xfId="10069" applyNumberFormat="1" applyFont="1" applyFill="1" applyBorder="1" applyAlignment="1">
      <alignment horizontal="center"/>
    </xf>
    <xf numFmtId="6" fontId="152" fillId="130" borderId="57" xfId="10069" applyNumberFormat="1" applyFont="1" applyFill="1" applyBorder="1"/>
    <xf numFmtId="6" fontId="257" fillId="129" borderId="34" xfId="10069" applyNumberFormat="1" applyFont="1" applyFill="1" applyBorder="1" applyAlignment="1">
      <alignment horizontal="center"/>
    </xf>
    <xf numFmtId="49" fontId="18" fillId="101" borderId="0" xfId="10069" applyNumberFormat="1" applyFont="1" applyFill="1" applyAlignment="1">
      <alignment vertical="center"/>
    </xf>
    <xf numFmtId="49" fontId="22" fillId="101" borderId="49" xfId="10069" applyNumberFormat="1" applyFont="1" applyFill="1" applyBorder="1" applyAlignment="1">
      <alignment horizontal="center" vertical="center"/>
    </xf>
    <xf numFmtId="38" fontId="22" fillId="101" borderId="45" xfId="10069" applyNumberFormat="1" applyFont="1" applyFill="1" applyBorder="1" applyAlignment="1">
      <alignment horizontal="center" vertical="center" wrapText="1"/>
    </xf>
    <xf numFmtId="49" fontId="22" fillId="101" borderId="4" xfId="10069" applyNumberFormat="1" applyFont="1" applyFill="1" applyBorder="1" applyAlignment="1">
      <alignment horizontal="centerContinuous" vertical="center"/>
    </xf>
    <xf numFmtId="38" fontId="22" fillId="101" borderId="4" xfId="10069" applyNumberFormat="1" applyFont="1" applyFill="1" applyBorder="1" applyAlignment="1">
      <alignment horizontal="center" vertical="center" wrapText="1"/>
    </xf>
    <xf numFmtId="49" fontId="22" fillId="101" borderId="4" xfId="10069" applyNumberFormat="1" applyFont="1" applyFill="1" applyBorder="1" applyAlignment="1">
      <alignment vertical="center"/>
    </xf>
    <xf numFmtId="49" fontId="22" fillId="101" borderId="50" xfId="10069" applyNumberFormat="1" applyFont="1" applyFill="1" applyBorder="1" applyAlignment="1">
      <alignment horizontal="center" vertical="center" wrapText="1"/>
    </xf>
    <xf numFmtId="6" fontId="126" fillId="101" borderId="0" xfId="10069" applyNumberFormat="1" applyFont="1" applyFill="1" applyBorder="1" applyAlignment="1">
      <alignment horizontal="center" vertical="center"/>
    </xf>
    <xf numFmtId="6" fontId="18" fillId="101" borderId="0" xfId="10069" applyNumberFormat="1" applyFont="1" applyFill="1" applyBorder="1" applyAlignment="1">
      <alignment vertical="center"/>
    </xf>
    <xf numFmtId="49" fontId="22" fillId="101" borderId="51" xfId="10069" applyNumberFormat="1" applyFont="1" applyFill="1" applyBorder="1" applyAlignment="1">
      <alignment horizontal="center" vertical="center"/>
    </xf>
    <xf numFmtId="49" fontId="22" fillId="101" borderId="35" xfId="10069" applyNumberFormat="1" applyFont="1" applyFill="1" applyBorder="1" applyAlignment="1">
      <alignment horizontal="center" vertical="center"/>
    </xf>
    <xf numFmtId="49" fontId="22" fillId="101" borderId="35" xfId="10069" applyNumberFormat="1" applyFont="1" applyFill="1" applyBorder="1" applyAlignment="1">
      <alignment horizontal="center" vertical="center" wrapText="1"/>
    </xf>
    <xf numFmtId="38" fontId="22" fillId="101" borderId="50" xfId="10069" quotePrefix="1" applyNumberFormat="1" applyFont="1" applyFill="1" applyBorder="1" applyAlignment="1">
      <alignment horizontal="center" vertical="center" wrapText="1"/>
    </xf>
    <xf numFmtId="0" fontId="18" fillId="101" borderId="50" xfId="10069" applyFill="1" applyBorder="1" applyAlignment="1">
      <alignment horizontal="center" vertical="center" wrapText="1"/>
    </xf>
    <xf numFmtId="49" fontId="18" fillId="101" borderId="0" xfId="10069" applyNumberFormat="1" applyFont="1" applyFill="1" applyAlignment="1">
      <alignment horizontal="center" vertical="center"/>
    </xf>
    <xf numFmtId="0" fontId="22" fillId="101" borderId="53" xfId="10069" applyFont="1" applyFill="1" applyBorder="1" applyAlignment="1">
      <alignment horizontal="center" vertical="center"/>
    </xf>
    <xf numFmtId="0" fontId="18" fillId="101" borderId="36" xfId="10069" applyFill="1" applyBorder="1" applyAlignment="1">
      <alignment horizontal="center" vertical="center"/>
    </xf>
    <xf numFmtId="0" fontId="19" fillId="101" borderId="36" xfId="10069" quotePrefix="1" applyFont="1" applyFill="1" applyBorder="1" applyAlignment="1">
      <alignment horizontal="center" vertical="center"/>
    </xf>
    <xf numFmtId="0" fontId="18" fillId="101" borderId="52" xfId="10069" applyFill="1" applyBorder="1" applyAlignment="1">
      <alignment horizontal="center" vertical="center"/>
    </xf>
    <xf numFmtId="49" fontId="18" fillId="101" borderId="275" xfId="10069" applyNumberFormat="1" applyFont="1" applyFill="1" applyBorder="1" applyAlignment="1">
      <alignment horizontal="center" vertical="center"/>
    </xf>
    <xf numFmtId="49" fontId="18" fillId="101" borderId="276" xfId="10069" applyNumberFormat="1" applyFont="1" applyFill="1" applyBorder="1" applyAlignment="1">
      <alignment horizontal="center" vertical="center"/>
    </xf>
    <xf numFmtId="38" fontId="22" fillId="101" borderId="52" xfId="10069" applyNumberFormat="1" applyFont="1" applyFill="1" applyBorder="1" applyAlignment="1">
      <alignment horizontal="center" vertical="center"/>
    </xf>
    <xf numFmtId="49" fontId="22" fillId="101" borderId="277" xfId="10069" applyNumberFormat="1" applyFont="1" applyFill="1" applyBorder="1" applyAlignment="1">
      <alignment horizontal="center" vertical="center"/>
    </xf>
    <xf numFmtId="49" fontId="22" fillId="101" borderId="53" xfId="10069" applyNumberFormat="1" applyFont="1" applyFill="1" applyBorder="1" applyAlignment="1">
      <alignment horizontal="center" vertical="center"/>
    </xf>
    <xf numFmtId="49" fontId="18" fillId="101" borderId="53" xfId="10069" applyNumberFormat="1" applyFont="1" applyFill="1" applyBorder="1" applyAlignment="1">
      <alignment horizontal="center" vertical="center"/>
    </xf>
    <xf numFmtId="49" fontId="19" fillId="101" borderId="36" xfId="10069" quotePrefix="1" applyNumberFormat="1" applyFont="1" applyFill="1" applyBorder="1" applyAlignment="1">
      <alignment horizontal="center" vertical="center"/>
    </xf>
    <xf numFmtId="49" fontId="19" fillId="101" borderId="0" xfId="10069" quotePrefix="1" applyNumberFormat="1" applyFont="1" applyFill="1" applyBorder="1" applyAlignment="1">
      <alignment horizontal="center" vertical="center"/>
    </xf>
    <xf numFmtId="38" fontId="18" fillId="101" borderId="0" xfId="10069" applyNumberFormat="1" applyFont="1" applyFill="1" applyAlignment="1">
      <alignment horizontal="center" vertical="center"/>
    </xf>
    <xf numFmtId="6" fontId="18" fillId="101" borderId="0" xfId="10069" applyNumberFormat="1" applyFont="1" applyFill="1" applyBorder="1" applyAlignment="1">
      <alignment horizontal="center" vertical="center"/>
    </xf>
    <xf numFmtId="38" fontId="22" fillId="101" borderId="50" xfId="10069" applyNumberFormat="1" applyFont="1" applyFill="1" applyBorder="1" applyAlignment="1">
      <alignment vertical="center"/>
    </xf>
    <xf numFmtId="38" fontId="22" fillId="101" borderId="0" xfId="10069" applyNumberFormat="1" applyFont="1" applyFill="1" applyBorder="1" applyAlignment="1">
      <alignment vertical="center"/>
    </xf>
    <xf numFmtId="38" fontId="22" fillId="101" borderId="51" xfId="10069" applyNumberFormat="1" applyFont="1" applyFill="1" applyBorder="1" applyAlignment="1">
      <alignment vertical="center"/>
    </xf>
    <xf numFmtId="6" fontId="22" fillId="101" borderId="47" xfId="10069" applyNumberFormat="1" applyFont="1" applyFill="1" applyBorder="1" applyAlignment="1">
      <alignment horizontal="center" vertical="center"/>
    </xf>
    <xf numFmtId="0" fontId="22" fillId="101" borderId="50" xfId="10069" applyNumberFormat="1" applyFont="1" applyFill="1" applyBorder="1" applyAlignment="1">
      <alignment horizontal="center" vertical="center"/>
    </xf>
    <xf numFmtId="6" fontId="22" fillId="101" borderId="50" xfId="10069" applyNumberFormat="1" applyFont="1" applyFill="1" applyBorder="1" applyAlignment="1">
      <alignment horizontal="center" vertical="center"/>
    </xf>
    <xf numFmtId="223" fontId="22" fillId="101" borderId="50" xfId="10069" applyNumberFormat="1" applyFont="1" applyFill="1" applyBorder="1" applyAlignment="1">
      <alignment horizontal="center" vertical="center"/>
    </xf>
    <xf numFmtId="6" fontId="22" fillId="101" borderId="51" xfId="10069" applyNumberFormat="1" applyFont="1" applyFill="1" applyBorder="1" applyAlignment="1">
      <alignment horizontal="center" vertical="center"/>
    </xf>
    <xf numFmtId="6" fontId="22" fillId="101" borderId="281" xfId="10069" applyNumberFormat="1" applyFont="1" applyFill="1" applyBorder="1" applyAlignment="1">
      <alignment horizontal="center" vertical="center"/>
    </xf>
    <xf numFmtId="6" fontId="22" fillId="101" borderId="282" xfId="10069" applyNumberFormat="1" applyFont="1" applyFill="1" applyBorder="1" applyAlignment="1">
      <alignment horizontal="center" vertical="center"/>
    </xf>
    <xf numFmtId="6" fontId="22" fillId="101" borderId="283" xfId="10069" applyNumberFormat="1" applyFont="1" applyFill="1" applyBorder="1" applyAlignment="1">
      <alignment horizontal="center" vertical="center"/>
    </xf>
    <xf numFmtId="6" fontId="22" fillId="101" borderId="0" xfId="10069" applyNumberFormat="1" applyFont="1" applyFill="1" applyBorder="1" applyAlignment="1">
      <alignment horizontal="center" vertical="center"/>
    </xf>
    <xf numFmtId="6" fontId="22" fillId="101" borderId="47" xfId="10069" applyNumberFormat="1" applyFont="1" applyFill="1" applyBorder="1" applyAlignment="1">
      <alignment horizontal="right" vertical="center" indent="2"/>
    </xf>
    <xf numFmtId="38" fontId="22" fillId="101" borderId="11" xfId="10069" applyNumberFormat="1" applyFont="1" applyFill="1" applyBorder="1" applyAlignment="1">
      <alignment horizontal="center" vertical="center"/>
    </xf>
    <xf numFmtId="6" fontId="22" fillId="101" borderId="35" xfId="10069" applyNumberFormat="1" applyFont="1" applyFill="1" applyBorder="1" applyAlignment="1">
      <alignment horizontal="center" vertical="center"/>
    </xf>
    <xf numFmtId="38" fontId="22" fillId="101" borderId="0" xfId="10069" applyNumberFormat="1" applyFont="1" applyFill="1" applyAlignment="1">
      <alignment vertical="center"/>
    </xf>
    <xf numFmtId="6" fontId="22" fillId="101" borderId="0" xfId="10069" applyNumberFormat="1" applyFont="1" applyFill="1" applyBorder="1" applyAlignment="1">
      <alignment vertical="center"/>
    </xf>
    <xf numFmtId="38" fontId="22" fillId="101" borderId="45" xfId="10069" applyNumberFormat="1" applyFont="1" applyFill="1" applyBorder="1" applyAlignment="1">
      <alignment vertical="center"/>
    </xf>
    <xf numFmtId="38" fontId="22" fillId="101" borderId="4" xfId="10069" applyNumberFormat="1" applyFont="1" applyFill="1" applyBorder="1" applyAlignment="1">
      <alignment vertical="center"/>
    </xf>
    <xf numFmtId="38" fontId="22" fillId="101" borderId="46" xfId="10069" applyNumberFormat="1" applyFont="1" applyFill="1" applyBorder="1" applyAlignment="1">
      <alignment vertical="center"/>
    </xf>
    <xf numFmtId="6" fontId="22" fillId="101" borderId="11" xfId="10069" applyNumberFormat="1" applyFont="1" applyFill="1" applyBorder="1" applyAlignment="1">
      <alignment horizontal="center" vertical="center"/>
    </xf>
    <xf numFmtId="0" fontId="22" fillId="101" borderId="45" xfId="10069" applyNumberFormat="1" applyFont="1" applyFill="1" applyBorder="1" applyAlignment="1">
      <alignment horizontal="left" vertical="center"/>
    </xf>
    <xf numFmtId="6" fontId="22" fillId="101" borderId="45" xfId="10069" applyNumberFormat="1" applyFont="1" applyFill="1" applyBorder="1" applyAlignment="1">
      <alignment horizontal="center" vertical="center"/>
    </xf>
    <xf numFmtId="223" fontId="22" fillId="101" borderId="45" xfId="10069" applyNumberFormat="1" applyFont="1" applyFill="1" applyBorder="1" applyAlignment="1">
      <alignment horizontal="center" vertical="center"/>
    </xf>
    <xf numFmtId="6" fontId="22" fillId="101" borderId="275" xfId="10069" applyNumberFormat="1" applyFont="1" applyFill="1" applyBorder="1" applyAlignment="1">
      <alignment horizontal="center" vertical="center"/>
    </xf>
    <xf numFmtId="6" fontId="22" fillId="101" borderId="276" xfId="10069" applyNumberFormat="1" applyFont="1" applyFill="1" applyBorder="1" applyAlignment="1">
      <alignment horizontal="center" vertical="center"/>
    </xf>
    <xf numFmtId="6" fontId="22" fillId="101" borderId="286" xfId="10069" applyNumberFormat="1" applyFont="1" applyFill="1" applyBorder="1" applyAlignment="1">
      <alignment horizontal="center" vertical="center"/>
    </xf>
    <xf numFmtId="6" fontId="22" fillId="101" borderId="11" xfId="10069" applyNumberFormat="1" applyFont="1" applyFill="1" applyBorder="1" applyAlignment="1">
      <alignment horizontal="right" vertical="center" indent="2"/>
    </xf>
    <xf numFmtId="38" fontId="22" fillId="101" borderId="0" xfId="10069" applyNumberFormat="1" applyFont="1" applyFill="1" applyAlignment="1">
      <alignment horizontal="center" vertical="center"/>
    </xf>
    <xf numFmtId="6" fontId="22" fillId="101" borderId="36" xfId="10069" applyNumberFormat="1" applyFont="1" applyFill="1" applyBorder="1" applyAlignment="1">
      <alignment horizontal="center" vertical="center"/>
    </xf>
    <xf numFmtId="220" fontId="152" fillId="0" borderId="0" xfId="10069" applyNumberFormat="1" applyFont="1" applyBorder="1" applyAlignment="1">
      <alignment horizontal="left"/>
    </xf>
    <xf numFmtId="0" fontId="152" fillId="0" borderId="0" xfId="10069" applyFont="1" applyBorder="1" applyAlignment="1">
      <alignment horizontal="left"/>
    </xf>
    <xf numFmtId="220" fontId="154" fillId="121" borderId="133" xfId="10069" applyNumberFormat="1" applyFont="1" applyFill="1" applyBorder="1" applyAlignment="1">
      <alignment horizontal="left"/>
    </xf>
    <xf numFmtId="221" fontId="154" fillId="121" borderId="0" xfId="10069" applyNumberFormat="1" applyFont="1" applyFill="1" applyBorder="1" applyAlignment="1">
      <alignment horizontal="left"/>
    </xf>
    <xf numFmtId="221" fontId="152" fillId="121" borderId="0" xfId="10069" applyNumberFormat="1" applyFont="1" applyFill="1" applyBorder="1" applyAlignment="1">
      <alignment horizontal="left"/>
    </xf>
    <xf numFmtId="221" fontId="152" fillId="0" borderId="0" xfId="10069" applyNumberFormat="1" applyFont="1" applyBorder="1" applyAlignment="1"/>
    <xf numFmtId="221" fontId="152" fillId="0" borderId="0" xfId="10069" applyNumberFormat="1" applyFont="1" applyBorder="1" applyAlignment="1">
      <alignment horizontal="left"/>
    </xf>
    <xf numFmtId="220" fontId="154" fillId="121" borderId="0" xfId="10069" applyNumberFormat="1" applyFont="1" applyFill="1" applyBorder="1" applyAlignment="1">
      <alignment horizontal="left"/>
    </xf>
    <xf numFmtId="0" fontId="152" fillId="121" borderId="0" xfId="10069" applyFont="1" applyFill="1" applyBorder="1" applyAlignment="1">
      <alignment horizontal="left"/>
    </xf>
    <xf numFmtId="0" fontId="152" fillId="0" borderId="0" xfId="10069" applyFont="1" applyBorder="1" applyAlignment="1"/>
    <xf numFmtId="0" fontId="243" fillId="0" borderId="0" xfId="10069" applyFont="1" applyFill="1" applyBorder="1" applyAlignment="1">
      <alignment vertical="top" wrapText="1"/>
    </xf>
    <xf numFmtId="0" fontId="152" fillId="0" borderId="0" xfId="10069" applyFont="1" applyFill="1" applyBorder="1" applyAlignment="1">
      <alignment vertical="top" wrapText="1"/>
    </xf>
    <xf numFmtId="220" fontId="249" fillId="0" borderId="0" xfId="10069" applyNumberFormat="1" applyFont="1" applyBorder="1" applyAlignment="1">
      <alignment horizontal="left"/>
    </xf>
    <xf numFmtId="0" fontId="152" fillId="0" borderId="0" xfId="10069" applyFont="1" applyFill="1" applyBorder="1" applyAlignment="1">
      <alignment horizontal="left" vertical="top" wrapText="1" indent="1"/>
    </xf>
    <xf numFmtId="0" fontId="152" fillId="0" borderId="0" xfId="10069" applyFont="1" applyFill="1" applyBorder="1" applyAlignment="1">
      <alignment horizontal="left" wrapText="1" indent="1"/>
    </xf>
    <xf numFmtId="0" fontId="18" fillId="0" borderId="0" xfId="10069" applyAlignment="1">
      <alignment horizontal="left" wrapText="1" indent="1"/>
    </xf>
    <xf numFmtId="0" fontId="18" fillId="0" borderId="51" xfId="10069" applyBorder="1" applyAlignment="1">
      <alignment horizontal="left" wrapText="1" indent="1"/>
    </xf>
    <xf numFmtId="220" fontId="152" fillId="0" borderId="0" xfId="10069" applyNumberFormat="1" applyFont="1" applyBorder="1" applyAlignment="1">
      <alignment horizontal="left" vertical="top"/>
    </xf>
    <xf numFmtId="6" fontId="248" fillId="0" borderId="0" xfId="10069" applyNumberFormat="1" applyFont="1" applyBorder="1" applyAlignment="1">
      <alignment horizontal="left"/>
    </xf>
    <xf numFmtId="220" fontId="243" fillId="0" borderId="0" xfId="10069" applyNumberFormat="1" applyFont="1" applyBorder="1" applyAlignment="1">
      <alignment horizontal="left"/>
    </xf>
    <xf numFmtId="0" fontId="243" fillId="0" borderId="0" xfId="10069" applyFont="1" applyBorder="1" applyAlignment="1">
      <alignment horizontal="left"/>
    </xf>
    <xf numFmtId="220" fontId="152" fillId="44" borderId="0" xfId="10069" applyNumberFormat="1" applyFont="1" applyFill="1" applyBorder="1" applyAlignment="1">
      <alignment horizontal="left"/>
    </xf>
    <xf numFmtId="0" fontId="152" fillId="44" borderId="0" xfId="10069" applyFont="1" applyFill="1" applyBorder="1" applyAlignment="1"/>
    <xf numFmtId="220" fontId="152" fillId="0" borderId="0" xfId="10069" applyNumberFormat="1" applyFont="1" applyBorder="1" applyAlignment="1">
      <alignment horizontal="right"/>
    </xf>
    <xf numFmtId="0" fontId="152" fillId="0" borderId="0" xfId="10069" applyFont="1" applyBorder="1" applyAlignment="1">
      <alignment horizontal="right"/>
    </xf>
    <xf numFmtId="4" fontId="18" fillId="50" borderId="0" xfId="10069" applyNumberFormat="1" applyFont="1" applyFill="1" applyBorder="1" applyAlignment="1">
      <alignment horizontal="left" vertical="top" wrapText="1" indent="1"/>
    </xf>
    <xf numFmtId="0" fontId="18" fillId="0" borderId="51" xfId="10069" applyBorder="1" applyAlignment="1">
      <alignment horizontal="left" vertical="top" indent="1"/>
    </xf>
    <xf numFmtId="4" fontId="18" fillId="50" borderId="0" xfId="10069" applyNumberFormat="1" applyFont="1" applyFill="1" applyBorder="1" applyAlignment="1">
      <alignment vertical="top" wrapText="1"/>
    </xf>
    <xf numFmtId="4" fontId="18" fillId="50" borderId="51" xfId="10069" applyNumberFormat="1" applyFont="1" applyFill="1" applyBorder="1" applyAlignment="1">
      <alignment vertical="top" wrapText="1"/>
    </xf>
    <xf numFmtId="0" fontId="18" fillId="0" borderId="51" xfId="10069" applyBorder="1" applyAlignment="1">
      <alignment vertical="top" wrapText="1"/>
    </xf>
    <xf numFmtId="41" fontId="127" fillId="44" borderId="47" xfId="10069" applyNumberFormat="1" applyFont="1" applyFill="1" applyBorder="1" applyAlignment="1">
      <alignment horizontal="center" vertical="center"/>
    </xf>
    <xf numFmtId="0" fontId="18" fillId="0" borderId="51" xfId="10069" applyBorder="1" applyAlignment="1">
      <alignment horizontal="left" vertical="top" wrapText="1" indent="1"/>
    </xf>
    <xf numFmtId="41" fontId="22" fillId="124" borderId="47" xfId="10069" applyNumberFormat="1" applyFont="1" applyFill="1" applyBorder="1" applyAlignment="1">
      <alignment horizontal="center" vertical="center" textRotation="90"/>
    </xf>
    <xf numFmtId="4" fontId="18" fillId="50" borderId="0" xfId="10069" applyNumberFormat="1" applyFont="1" applyFill="1" applyBorder="1" applyAlignment="1">
      <alignment horizontal="left" vertical="center" wrapText="1" indent="3"/>
    </xf>
    <xf numFmtId="0" fontId="18" fillId="0" borderId="51" xfId="10069" applyBorder="1" applyAlignment="1">
      <alignment horizontal="left" vertical="center" wrapText="1" indent="3"/>
    </xf>
    <xf numFmtId="4" fontId="18" fillId="50" borderId="0" xfId="10069" applyNumberFormat="1" applyFont="1" applyFill="1" applyBorder="1" applyAlignment="1">
      <alignment horizontal="left" vertical="top" wrapText="1" indent="2"/>
    </xf>
    <xf numFmtId="0" fontId="18" fillId="0" borderId="51" xfId="10069" applyBorder="1" applyAlignment="1">
      <alignment horizontal="left" vertical="top" wrapText="1" indent="2"/>
    </xf>
    <xf numFmtId="0" fontId="18" fillId="50" borderId="51" xfId="10069" applyFill="1" applyBorder="1" applyAlignment="1">
      <alignment vertical="top" wrapText="1"/>
    </xf>
    <xf numFmtId="0" fontId="18" fillId="50" borderId="51" xfId="10069" applyFill="1" applyBorder="1" applyAlignment="1">
      <alignment horizontal="left" vertical="top" wrapText="1" indent="1"/>
    </xf>
    <xf numFmtId="4" fontId="126" fillId="50" borderId="0" xfId="10069" applyNumberFormat="1" applyFont="1" applyFill="1" applyBorder="1" applyAlignment="1">
      <alignment vertical="top" wrapText="1"/>
    </xf>
    <xf numFmtId="0" fontId="18" fillId="0" borderId="51" xfId="10069" applyBorder="1" applyAlignment="1">
      <alignment vertical="top"/>
    </xf>
    <xf numFmtId="38" fontId="22" fillId="101" borderId="0" xfId="10069" applyNumberFormat="1" applyFont="1" applyFill="1" applyBorder="1" applyAlignment="1">
      <alignment horizontal="center" vertical="center" wrapText="1"/>
    </xf>
    <xf numFmtId="0" fontId="18" fillId="101" borderId="0" xfId="10069" applyFill="1" applyBorder="1" applyAlignment="1">
      <alignment horizontal="center" vertical="center" wrapText="1"/>
    </xf>
    <xf numFmtId="38" fontId="22" fillId="101" borderId="35" xfId="10069" quotePrefix="1" applyNumberFormat="1" applyFont="1" applyFill="1" applyBorder="1" applyAlignment="1">
      <alignment horizontal="center" vertical="center" wrapText="1"/>
    </xf>
    <xf numFmtId="0" fontId="18" fillId="101" borderId="36" xfId="10069" applyFill="1" applyBorder="1" applyAlignment="1">
      <alignment horizontal="center" vertical="center" wrapText="1"/>
    </xf>
    <xf numFmtId="49" fontId="22" fillId="101" borderId="45" xfId="10069" applyNumberFormat="1" applyFont="1" applyFill="1" applyBorder="1" applyAlignment="1">
      <alignment horizontal="center" vertical="center"/>
    </xf>
    <xf numFmtId="49" fontId="22" fillId="101" borderId="4" xfId="10069" applyNumberFormat="1" applyFont="1" applyFill="1" applyBorder="1" applyAlignment="1">
      <alignment horizontal="center" vertical="center"/>
    </xf>
    <xf numFmtId="49" fontId="22" fillId="101" borderId="46" xfId="10069" applyNumberFormat="1" applyFont="1" applyFill="1" applyBorder="1" applyAlignment="1">
      <alignment horizontal="center" vertical="center"/>
    </xf>
    <xf numFmtId="49" fontId="22" fillId="101" borderId="35" xfId="10069" applyNumberFormat="1" applyFont="1" applyFill="1" applyBorder="1" applyAlignment="1">
      <alignment horizontal="center" vertical="center" wrapText="1"/>
    </xf>
    <xf numFmtId="0" fontId="22" fillId="101" borderId="47" xfId="10069" applyFont="1" applyFill="1" applyBorder="1" applyAlignment="1">
      <alignment horizontal="center" vertical="center" wrapText="1"/>
    </xf>
    <xf numFmtId="0" fontId="22" fillId="101" borderId="36" xfId="10069" applyFont="1" applyFill="1" applyBorder="1" applyAlignment="1">
      <alignment horizontal="center" vertical="center" wrapText="1"/>
    </xf>
    <xf numFmtId="0" fontId="18" fillId="101" borderId="47" xfId="10069" applyFill="1" applyBorder="1" applyAlignment="1">
      <alignment vertical="center" wrapText="1"/>
    </xf>
    <xf numFmtId="49" fontId="22" fillId="101" borderId="35" xfId="10069" applyNumberFormat="1" applyFont="1" applyFill="1" applyBorder="1" applyAlignment="1">
      <alignment horizontal="center" vertical="top" wrapText="1"/>
    </xf>
    <xf numFmtId="0" fontId="22" fillId="101" borderId="47" xfId="10069" applyFont="1" applyFill="1" applyBorder="1" applyAlignment="1">
      <alignment horizontal="center" vertical="top" wrapText="1"/>
    </xf>
    <xf numFmtId="0" fontId="22" fillId="101" borderId="36" xfId="10069" applyFont="1" applyFill="1" applyBorder="1" applyAlignment="1">
      <alignment horizontal="center" vertical="top" wrapText="1"/>
    </xf>
    <xf numFmtId="0" fontId="18" fillId="101" borderId="47" xfId="10069" applyFill="1" applyBorder="1" applyAlignment="1">
      <alignment horizontal="center" vertical="center" wrapText="1"/>
    </xf>
    <xf numFmtId="49" fontId="22" fillId="101" borderId="45" xfId="10069" applyNumberFormat="1" applyFont="1" applyFill="1" applyBorder="1" applyAlignment="1">
      <alignment horizontal="center" vertical="center" wrapText="1"/>
    </xf>
    <xf numFmtId="49" fontId="22" fillId="101" borderId="4" xfId="10069" applyNumberFormat="1" applyFont="1" applyFill="1" applyBorder="1" applyAlignment="1">
      <alignment horizontal="center" vertical="center" wrapText="1"/>
    </xf>
    <xf numFmtId="49" fontId="22" fillId="101" borderId="46" xfId="10069" applyNumberFormat="1" applyFont="1" applyFill="1" applyBorder="1" applyAlignment="1">
      <alignment horizontal="center" vertical="center" wrapText="1"/>
    </xf>
    <xf numFmtId="49" fontId="18" fillId="101" borderId="48" xfId="10069" applyNumberFormat="1" applyFont="1" applyFill="1" applyBorder="1" applyAlignment="1">
      <alignment horizontal="center" vertical="center" wrapText="1"/>
    </xf>
    <xf numFmtId="0" fontId="18" fillId="101" borderId="22" xfId="10069" applyFill="1" applyBorder="1" applyAlignment="1">
      <alignment wrapText="1"/>
    </xf>
    <xf numFmtId="0" fontId="18" fillId="101" borderId="50" xfId="10069" applyFill="1" applyBorder="1" applyAlignment="1">
      <alignment wrapText="1"/>
    </xf>
    <xf numFmtId="0" fontId="18" fillId="101" borderId="0" xfId="10069" applyFill="1" applyAlignment="1">
      <alignment wrapText="1"/>
    </xf>
    <xf numFmtId="0" fontId="18" fillId="101" borderId="52" xfId="10069" applyFill="1" applyBorder="1" applyAlignment="1">
      <alignment wrapText="1"/>
    </xf>
    <xf numFmtId="0" fontId="18" fillId="101" borderId="21" xfId="10069" applyFill="1" applyBorder="1" applyAlignment="1">
      <alignment wrapText="1"/>
    </xf>
    <xf numFmtId="49" fontId="18" fillId="101" borderId="35" xfId="10069" applyNumberFormat="1" applyFont="1" applyFill="1" applyBorder="1" applyAlignment="1">
      <alignment horizontal="center" vertical="center"/>
    </xf>
    <xf numFmtId="0" fontId="18" fillId="101" borderId="47" xfId="10069" applyFill="1" applyBorder="1" applyAlignment="1">
      <alignment horizontal="center" vertical="center"/>
    </xf>
    <xf numFmtId="0" fontId="18" fillId="101" borderId="36" xfId="10069" applyFill="1" applyBorder="1" applyAlignment="1">
      <alignment horizontal="center" vertical="center"/>
    </xf>
    <xf numFmtId="49" fontId="18" fillId="101" borderId="35" xfId="10069" applyNumberFormat="1" applyFont="1" applyFill="1" applyBorder="1" applyAlignment="1">
      <alignment horizontal="center" vertical="center" wrapText="1"/>
    </xf>
    <xf numFmtId="49" fontId="18" fillId="101" borderId="47" xfId="10069" applyNumberFormat="1" applyFont="1" applyFill="1" applyBorder="1" applyAlignment="1">
      <alignment horizontal="center" vertical="center" wrapText="1"/>
    </xf>
    <xf numFmtId="49" fontId="18" fillId="101" borderId="36" xfId="10069" applyNumberFormat="1" applyFont="1" applyFill="1" applyBorder="1" applyAlignment="1">
      <alignment horizontal="center" vertical="center" wrapText="1"/>
    </xf>
    <xf numFmtId="169" fontId="33" fillId="0" borderId="0" xfId="0" applyFont="1" applyFill="1" applyAlignment="1" applyProtection="1">
      <alignment horizontal="center"/>
      <protection locked="0"/>
    </xf>
    <xf numFmtId="169" fontId="146" fillId="0" borderId="0" xfId="0" applyFont="1" applyFill="1" applyAlignment="1">
      <alignment horizontal="center"/>
    </xf>
    <xf numFmtId="0" fontId="22" fillId="0" borderId="0" xfId="0" applyNumberFormat="1" applyFont="1" applyFill="1" applyAlignment="1" applyProtection="1">
      <alignment horizontal="center"/>
      <protection locked="0"/>
    </xf>
    <xf numFmtId="0" fontId="258" fillId="0" borderId="45" xfId="3063" applyFont="1" applyFill="1" applyBorder="1" applyAlignment="1">
      <alignment horizontal="center" wrapText="1"/>
    </xf>
    <xf numFmtId="0" fontId="258" fillId="0" borderId="4" xfId="3063" applyFont="1" applyFill="1" applyBorder="1" applyAlignment="1">
      <alignment horizontal="center" wrapText="1"/>
    </xf>
    <xf numFmtId="0" fontId="258" fillId="0" borderId="46" xfId="3063" applyFont="1" applyFill="1" applyBorder="1" applyAlignment="1">
      <alignment horizontal="center" wrapText="1"/>
    </xf>
    <xf numFmtId="0" fontId="24" fillId="0" borderId="0" xfId="3380" applyFont="1" applyAlignment="1">
      <alignment horizontal="center"/>
    </xf>
  </cellXfs>
  <cellStyles count="42369">
    <cellStyle name="_x0013_" xfId="1"/>
    <cellStyle name=" 1" xfId="2"/>
    <cellStyle name=" 1 2" xfId="3"/>
    <cellStyle name=" 1 2 2" xfId="3390"/>
    <cellStyle name=" 1 2 2 2" xfId="22587"/>
    <cellStyle name=" 1 2 2 3" xfId="11867"/>
    <cellStyle name=" 1 2 3" xfId="15692"/>
    <cellStyle name=" 1 2 4" xfId="22588"/>
    <cellStyle name=" 1 3" xfId="3389"/>
    <cellStyle name=" 1 3 2" xfId="22589"/>
    <cellStyle name=" 1 3 3" xfId="22590"/>
    <cellStyle name=" 1 3 4" xfId="11868"/>
    <cellStyle name=" 1 4" xfId="11869"/>
    <cellStyle name=" 1 4 2" xfId="22591"/>
    <cellStyle name=" 1 5" xfId="15691"/>
    <cellStyle name=" 1 6" xfId="22592"/>
    <cellStyle name=" 1 6 2" xfId="22593"/>
    <cellStyle name=" 1 7" xfId="22594"/>
    <cellStyle name=" 1 7 2" xfId="22595"/>
    <cellStyle name=" 1 8" xfId="22596"/>
    <cellStyle name="_x0013_ 10" xfId="14333"/>
    <cellStyle name="_x0013_ 10 2" xfId="22597"/>
    <cellStyle name="_x0013_ 11" xfId="14334"/>
    <cellStyle name="_x0013_ 11 2" xfId="22598"/>
    <cellStyle name="_x0013_ 12" xfId="14335"/>
    <cellStyle name="_x0013_ 12 2" xfId="22599"/>
    <cellStyle name="_x0013_ 13" xfId="14336"/>
    <cellStyle name="_x0013_ 13 2" xfId="22600"/>
    <cellStyle name="_x0013_ 14" xfId="14337"/>
    <cellStyle name="_x0013_ 14 2" xfId="22601"/>
    <cellStyle name="_x0013_ 15" xfId="14338"/>
    <cellStyle name="_x0013_ 15 2" xfId="22602"/>
    <cellStyle name="_x0013_ 16" xfId="14339"/>
    <cellStyle name="_x0013_ 17" xfId="14340"/>
    <cellStyle name="_x0013_ 18" xfId="14341"/>
    <cellStyle name="_x0013_ 19" xfId="14342"/>
    <cellStyle name="_x0013_ 2" xfId="4"/>
    <cellStyle name="_x0013_ 2 2" xfId="3391"/>
    <cellStyle name="_x0013_ 2 2 2" xfId="19484"/>
    <cellStyle name="_x0013_ 2 3" xfId="15693"/>
    <cellStyle name="_x0013_ 20" xfId="14343"/>
    <cellStyle name="_x0013_ 21" xfId="14344"/>
    <cellStyle name="_x0013_ 22" xfId="14345"/>
    <cellStyle name="_x0013_ 23" xfId="14346"/>
    <cellStyle name="_x0013_ 24" xfId="14347"/>
    <cellStyle name="_x0013_ 25" xfId="14348"/>
    <cellStyle name="_x0013_ 26" xfId="14349"/>
    <cellStyle name="_x0013_ 27" xfId="14350"/>
    <cellStyle name="_x0013_ 28" xfId="14351"/>
    <cellStyle name="_x0013_ 29" xfId="14352"/>
    <cellStyle name="_x0013_ 3" xfId="5"/>
    <cellStyle name="_x0013_ 3 2" xfId="3392"/>
    <cellStyle name="_x0013_ 3 2 2" xfId="22603"/>
    <cellStyle name="_x0013_ 3 3" xfId="22604"/>
    <cellStyle name="_x0013_ 30" xfId="14353"/>
    <cellStyle name="_x0013_ 31" xfId="14354"/>
    <cellStyle name="_x0013_ 32" xfId="14355"/>
    <cellStyle name="_x0013_ 33" xfId="14356"/>
    <cellStyle name="_x0013_ 34" xfId="14357"/>
    <cellStyle name="_x0013_ 35" xfId="14358"/>
    <cellStyle name="_x0013_ 36" xfId="14359"/>
    <cellStyle name="_x0013_ 37" xfId="14360"/>
    <cellStyle name="_x0013_ 38" xfId="14361"/>
    <cellStyle name="_x0013_ 39" xfId="14362"/>
    <cellStyle name="_x0013_ 4" xfId="6"/>
    <cellStyle name="_x0013_ 4 2" xfId="3393"/>
    <cellStyle name="_x0013_ 4 2 2" xfId="22605"/>
    <cellStyle name="_x0013_ 4 3" xfId="22606"/>
    <cellStyle name="_x0013_ 40" xfId="14363"/>
    <cellStyle name="_x0013_ 41" xfId="14364"/>
    <cellStyle name="_x0013_ 42" xfId="15690"/>
    <cellStyle name="_x0013_ 43" xfId="17796"/>
    <cellStyle name="_x0013_ 44" xfId="22607"/>
    <cellStyle name="_x0013_ 45" xfId="22608"/>
    <cellStyle name="_x0013_ 46" xfId="22609"/>
    <cellStyle name="_x0013_ 47" xfId="41116"/>
    <cellStyle name="_x0013_ 48" xfId="41117"/>
    <cellStyle name="_x0013_ 49" xfId="41118"/>
    <cellStyle name="_x0013_ 5" xfId="7"/>
    <cellStyle name="_x0013_ 5 2" xfId="3394"/>
    <cellStyle name="_x0013_ 50" xfId="41119"/>
    <cellStyle name="_x0013_ 51" xfId="41120"/>
    <cellStyle name="_x0013_ 6" xfId="8"/>
    <cellStyle name="_x0013_ 6 2" xfId="3395"/>
    <cellStyle name="_x0013_ 7" xfId="9"/>
    <cellStyle name="_x0013_ 7 2" xfId="3396"/>
    <cellStyle name="_x0013_ 8" xfId="10"/>
    <cellStyle name="_x0013_ 8 2" xfId="3397"/>
    <cellStyle name="_x0013_ 9" xfId="11"/>
    <cellStyle name="_x0013_ 9 2" xfId="3398"/>
    <cellStyle name="_09GRC Gas Transport For Review" xfId="12"/>
    <cellStyle name="_09GRC Gas Transport For Review 2" xfId="13"/>
    <cellStyle name="_09GRC Gas Transport For Review 2 2" xfId="3400"/>
    <cellStyle name="_09GRC Gas Transport For Review 2 2 2" xfId="19485"/>
    <cellStyle name="_09GRC Gas Transport For Review 2 3" xfId="15695"/>
    <cellStyle name="_09GRC Gas Transport For Review 3" xfId="3399"/>
    <cellStyle name="_09GRC Gas Transport For Review 3 2" xfId="19486"/>
    <cellStyle name="_09GRC Gas Transport For Review 4" xfId="15694"/>
    <cellStyle name="_09GRC Gas Transport For Review_Book4" xfId="14"/>
    <cellStyle name="_09GRC Gas Transport For Review_Book4 2" xfId="15"/>
    <cellStyle name="_09GRC Gas Transport For Review_Book4 2 2" xfId="3402"/>
    <cellStyle name="_09GRC Gas Transport For Review_Book4 2 2 2" xfId="19487"/>
    <cellStyle name="_09GRC Gas Transport For Review_Book4 2 3" xfId="15697"/>
    <cellStyle name="_09GRC Gas Transport For Review_Book4 3" xfId="3401"/>
    <cellStyle name="_09GRC Gas Transport For Review_Book4 3 2" xfId="19488"/>
    <cellStyle name="_09GRC Gas Transport For Review_Book4 4" xfId="15696"/>
    <cellStyle name="_09GRC Gas Transport For Review_Book4_DEM-WP(C) ENERG10C--ctn Mid-C_042010 2010GRC" xfId="11870"/>
    <cellStyle name="_09GRC Gas Transport For Review_DEM-WP(C) ENERG10C--ctn Mid-C_042010 2010GRC" xfId="11871"/>
    <cellStyle name="_x0013__16.07E Wild Horse Wind Expansionwrkingfile" xfId="16"/>
    <cellStyle name="_x0013__16.07E Wild Horse Wind Expansionwrkingfile 2" xfId="17"/>
    <cellStyle name="_x0013__16.07E Wild Horse Wind Expansionwrkingfile 2 2" xfId="3404"/>
    <cellStyle name="_x0013__16.07E Wild Horse Wind Expansionwrkingfile 2 2 2" xfId="19489"/>
    <cellStyle name="_x0013__16.07E Wild Horse Wind Expansionwrkingfile 2 3" xfId="15699"/>
    <cellStyle name="_x0013__16.07E Wild Horse Wind Expansionwrkingfile 3" xfId="3403"/>
    <cellStyle name="_x0013__16.07E Wild Horse Wind Expansionwrkingfile 3 2" xfId="19490"/>
    <cellStyle name="_x0013__16.07E Wild Horse Wind Expansionwrkingfile 4" xfId="15698"/>
    <cellStyle name="_x0013__16.07E Wild Horse Wind Expansionwrkingfile SF" xfId="18"/>
    <cellStyle name="_x0013__16.07E Wild Horse Wind Expansionwrkingfile SF 2" xfId="19"/>
    <cellStyle name="_x0013__16.07E Wild Horse Wind Expansionwrkingfile SF 2 2" xfId="3406"/>
    <cellStyle name="_x0013__16.07E Wild Horse Wind Expansionwrkingfile SF 2 2 2" xfId="19491"/>
    <cellStyle name="_x0013__16.07E Wild Horse Wind Expansionwrkingfile SF 2 3" xfId="15701"/>
    <cellStyle name="_x0013__16.07E Wild Horse Wind Expansionwrkingfile SF 3" xfId="3405"/>
    <cellStyle name="_x0013__16.07E Wild Horse Wind Expansionwrkingfile SF 3 2" xfId="19492"/>
    <cellStyle name="_x0013__16.07E Wild Horse Wind Expansionwrkingfile SF 4" xfId="15700"/>
    <cellStyle name="_x0013__16.07E Wild Horse Wind Expansionwrkingfile SF_DEM-WP(C) ENERG10C--ctn Mid-C_042010 2010GRC" xfId="11872"/>
    <cellStyle name="_x0013__16.07E Wild Horse Wind Expansionwrkingfile_DEM-WP(C) ENERG10C--ctn Mid-C_042010 2010GRC" xfId="11873"/>
    <cellStyle name="_x0013__16.37E Wild Horse Expansion DeferralRevwrkingfile SF" xfId="20"/>
    <cellStyle name="_x0013__16.37E Wild Horse Expansion DeferralRevwrkingfile SF 2" xfId="21"/>
    <cellStyle name="_x0013__16.37E Wild Horse Expansion DeferralRevwrkingfile SF 2 2" xfId="3408"/>
    <cellStyle name="_x0013__16.37E Wild Horse Expansion DeferralRevwrkingfile SF 2 2 2" xfId="19493"/>
    <cellStyle name="_x0013__16.37E Wild Horse Expansion DeferralRevwrkingfile SF 2 3" xfId="15703"/>
    <cellStyle name="_x0013__16.37E Wild Horse Expansion DeferralRevwrkingfile SF 3" xfId="3407"/>
    <cellStyle name="_x0013__16.37E Wild Horse Expansion DeferralRevwrkingfile SF 3 2" xfId="19494"/>
    <cellStyle name="_x0013__16.37E Wild Horse Expansion DeferralRevwrkingfile SF 4" xfId="15702"/>
    <cellStyle name="_x0013__16.37E Wild Horse Expansion DeferralRevwrkingfile SF_DEM-WP(C) ENERG10C--ctn Mid-C_042010 2010GRC" xfId="11874"/>
    <cellStyle name="_2008 Strat Plan Power Costs Forecast V2 (2009 Update)" xfId="22"/>
    <cellStyle name="_2008 Strat Plan Power Costs Forecast V2 (2009 Update) 2" xfId="23"/>
    <cellStyle name="_2008 Strat Plan Power Costs Forecast V2 (2009 Update) 2 2" xfId="3410"/>
    <cellStyle name="_2008 Strat Plan Power Costs Forecast V2 (2009 Update) 3" xfId="3409"/>
    <cellStyle name="_2008 Strat Plan Power Costs Forecast V2 (2009 Update)_DEM-WP(C) ENERG10C--ctn Mid-C_042010 2010GRC" xfId="11875"/>
    <cellStyle name="_2008 Strat Plan Power Costs Forecast V2 (2009 Update)_NIM Summary" xfId="24"/>
    <cellStyle name="_2008 Strat Plan Power Costs Forecast V2 (2009 Update)_NIM Summary 2" xfId="25"/>
    <cellStyle name="_2008 Strat Plan Power Costs Forecast V2 (2009 Update)_NIM Summary 2 2" xfId="3412"/>
    <cellStyle name="_2008 Strat Plan Power Costs Forecast V2 (2009 Update)_NIM Summary 3" xfId="3411"/>
    <cellStyle name="_2008 Strat Plan Power Costs Forecast V2 (2009 Update)_NIM Summary_DEM-WP(C) ENERG10C--ctn Mid-C_042010 2010GRC" xfId="11876"/>
    <cellStyle name="_4.06E Pass Throughs" xfId="26"/>
    <cellStyle name="_4.06E Pass Throughs 10" xfId="22610"/>
    <cellStyle name="_4.06E Pass Throughs 10 2" xfId="22611"/>
    <cellStyle name="_4.06E Pass Throughs 2" xfId="27"/>
    <cellStyle name="_4.06E Pass Throughs 2 2" xfId="28"/>
    <cellStyle name="_4.06E Pass Throughs 2 2 2" xfId="3415"/>
    <cellStyle name="_4.06E Pass Throughs 2 2 2 2" xfId="19495"/>
    <cellStyle name="_4.06E Pass Throughs 2 2 3" xfId="15705"/>
    <cellStyle name="_4.06E Pass Throughs 2 3" xfId="3414"/>
    <cellStyle name="_4.06E Pass Throughs 2 3 2" xfId="19496"/>
    <cellStyle name="_4.06E Pass Throughs 2 4" xfId="15704"/>
    <cellStyle name="_4.06E Pass Throughs 3" xfId="29"/>
    <cellStyle name="_4.06E Pass Throughs 3 2" xfId="3416"/>
    <cellStyle name="_4.06E Pass Throughs 3 2 2" xfId="6471"/>
    <cellStyle name="_4.06E Pass Throughs 3 2 2 2" xfId="19497"/>
    <cellStyle name="_4.06E Pass Throughs 3 2 3" xfId="18096"/>
    <cellStyle name="_4.06E Pass Throughs 3 3" xfId="6472"/>
    <cellStyle name="_4.06E Pass Throughs 3 3 2" xfId="6473"/>
    <cellStyle name="_4.06E Pass Throughs 3 3 2 2" xfId="19498"/>
    <cellStyle name="_4.06E Pass Throughs 3 3 3" xfId="18097"/>
    <cellStyle name="_4.06E Pass Throughs 3 4" xfId="6474"/>
    <cellStyle name="_4.06E Pass Throughs 3 4 2" xfId="6475"/>
    <cellStyle name="_4.06E Pass Throughs 3 4 2 2" xfId="19499"/>
    <cellStyle name="_4.06E Pass Throughs 3 4 3" xfId="18098"/>
    <cellStyle name="_4.06E Pass Throughs 3 5" xfId="15706"/>
    <cellStyle name="_4.06E Pass Throughs 4" xfId="30"/>
    <cellStyle name="_4.06E Pass Throughs 4 2" xfId="31"/>
    <cellStyle name="_4.06E Pass Throughs 4 2 2" xfId="3418"/>
    <cellStyle name="_4.06E Pass Throughs 4 3" xfId="3417"/>
    <cellStyle name="_4.06E Pass Throughs 5" xfId="3413"/>
    <cellStyle name="_4.06E Pass Throughs 5 2" xfId="11877"/>
    <cellStyle name="_4.06E Pass Throughs 5 2 2" xfId="22612"/>
    <cellStyle name="_4.06E Pass Throughs 5 2 3" xfId="22613"/>
    <cellStyle name="_4.06E Pass Throughs 5 3" xfId="19500"/>
    <cellStyle name="_4.06E Pass Throughs 5 3 2" xfId="22614"/>
    <cellStyle name="_4.06E Pass Throughs 6" xfId="6476"/>
    <cellStyle name="_4.06E Pass Throughs 6 2" xfId="22615"/>
    <cellStyle name="_4.06E Pass Throughs 6 2 2" xfId="22616"/>
    <cellStyle name="_4.06E Pass Throughs 6 3" xfId="22617"/>
    <cellStyle name="_4.06E Pass Throughs 7" xfId="11878"/>
    <cellStyle name="_4.06E Pass Throughs 7 2" xfId="11879"/>
    <cellStyle name="_4.06E Pass Throughs 8" xfId="11880"/>
    <cellStyle name="_4.06E Pass Throughs 8 2" xfId="11881"/>
    <cellStyle name="_4.06E Pass Throughs 9" xfId="22618"/>
    <cellStyle name="_4.06E Pass Throughs 9 2" xfId="22619"/>
    <cellStyle name="_4.06E Pass Throughs_04 07E Wild Horse Wind Expansion (C) (2)" xfId="32"/>
    <cellStyle name="_4.06E Pass Throughs_04 07E Wild Horse Wind Expansion (C) (2) 2" xfId="33"/>
    <cellStyle name="_4.06E Pass Throughs_04 07E Wild Horse Wind Expansion (C) (2) 2 2" xfId="3420"/>
    <cellStyle name="_4.06E Pass Throughs_04 07E Wild Horse Wind Expansion (C) (2) 2 2 2" xfId="19501"/>
    <cellStyle name="_4.06E Pass Throughs_04 07E Wild Horse Wind Expansion (C) (2) 2 3" xfId="15708"/>
    <cellStyle name="_4.06E Pass Throughs_04 07E Wild Horse Wind Expansion (C) (2) 3" xfId="3419"/>
    <cellStyle name="_4.06E Pass Throughs_04 07E Wild Horse Wind Expansion (C) (2) 3 2" xfId="19502"/>
    <cellStyle name="_4.06E Pass Throughs_04 07E Wild Horse Wind Expansion (C) (2) 4" xfId="15707"/>
    <cellStyle name="_4.06E Pass Throughs_04 07E Wild Horse Wind Expansion (C) (2)_Adj Bench DR 3 for Initial Briefs (Electric)" xfId="34"/>
    <cellStyle name="_4.06E Pass Throughs_04 07E Wild Horse Wind Expansion (C) (2)_Adj Bench DR 3 for Initial Briefs (Electric) 2" xfId="35"/>
    <cellStyle name="_4.06E Pass Throughs_04 07E Wild Horse Wind Expansion (C) (2)_Adj Bench DR 3 for Initial Briefs (Electric) 2 2" xfId="3422"/>
    <cellStyle name="_4.06E Pass Throughs_04 07E Wild Horse Wind Expansion (C) (2)_Adj Bench DR 3 for Initial Briefs (Electric) 2 2 2" xfId="19503"/>
    <cellStyle name="_4.06E Pass Throughs_04 07E Wild Horse Wind Expansion (C) (2)_Adj Bench DR 3 for Initial Briefs (Electric) 2 3" xfId="15710"/>
    <cellStyle name="_4.06E Pass Throughs_04 07E Wild Horse Wind Expansion (C) (2)_Adj Bench DR 3 for Initial Briefs (Electric) 3" xfId="3421"/>
    <cellStyle name="_4.06E Pass Throughs_04 07E Wild Horse Wind Expansion (C) (2)_Adj Bench DR 3 for Initial Briefs (Electric) 3 2" xfId="19504"/>
    <cellStyle name="_4.06E Pass Throughs_04 07E Wild Horse Wind Expansion (C) (2)_Adj Bench DR 3 for Initial Briefs (Electric) 4" xfId="15709"/>
    <cellStyle name="_4.06E Pass Throughs_04 07E Wild Horse Wind Expansion (C) (2)_Adj Bench DR 3 for Initial Briefs (Electric)_DEM-WP(C) ENERG10C--ctn Mid-C_042010 2010GRC" xfId="11882"/>
    <cellStyle name="_4.06E Pass Throughs_04 07E Wild Horse Wind Expansion (C) (2)_Book1" xfId="14231"/>
    <cellStyle name="_4.06E Pass Throughs_04 07E Wild Horse Wind Expansion (C) (2)_DEM-WP(C) ENERG10C--ctn Mid-C_042010 2010GRC" xfId="11883"/>
    <cellStyle name="_4.06E Pass Throughs_04 07E Wild Horse Wind Expansion (C) (2)_Electric Rev Req Model (2009 GRC) " xfId="36"/>
    <cellStyle name="_4.06E Pass Throughs_04 07E Wild Horse Wind Expansion (C) (2)_Electric Rev Req Model (2009 GRC)  2" xfId="37"/>
    <cellStyle name="_4.06E Pass Throughs_04 07E Wild Horse Wind Expansion (C) (2)_Electric Rev Req Model (2009 GRC)  2 2" xfId="3424"/>
    <cellStyle name="_4.06E Pass Throughs_04 07E Wild Horse Wind Expansion (C) (2)_Electric Rev Req Model (2009 GRC)  2 2 2" xfId="19505"/>
    <cellStyle name="_4.06E Pass Throughs_04 07E Wild Horse Wind Expansion (C) (2)_Electric Rev Req Model (2009 GRC)  2 3" xfId="15712"/>
    <cellStyle name="_4.06E Pass Throughs_04 07E Wild Horse Wind Expansion (C) (2)_Electric Rev Req Model (2009 GRC)  3" xfId="3423"/>
    <cellStyle name="_4.06E Pass Throughs_04 07E Wild Horse Wind Expansion (C) (2)_Electric Rev Req Model (2009 GRC)  3 2" xfId="19506"/>
    <cellStyle name="_4.06E Pass Throughs_04 07E Wild Horse Wind Expansion (C) (2)_Electric Rev Req Model (2009 GRC)  4" xfId="15711"/>
    <cellStyle name="_4.06E Pass Throughs_04 07E Wild Horse Wind Expansion (C) (2)_Electric Rev Req Model (2009 GRC) _DEM-WP(C) ENERG10C--ctn Mid-C_042010 2010GRC" xfId="11884"/>
    <cellStyle name="_4.06E Pass Throughs_04 07E Wild Horse Wind Expansion (C) (2)_Electric Rev Req Model (2009 GRC) Rebuttal" xfId="38"/>
    <cellStyle name="_4.06E Pass Throughs_04 07E Wild Horse Wind Expansion (C) (2)_Electric Rev Req Model (2009 GRC) Rebuttal 2" xfId="3425"/>
    <cellStyle name="_4.06E Pass Throughs_04 07E Wild Horse Wind Expansion (C) (2)_Electric Rev Req Model (2009 GRC) Rebuttal 2 2" xfId="6477"/>
    <cellStyle name="_4.06E Pass Throughs_04 07E Wild Horse Wind Expansion (C) (2)_Electric Rev Req Model (2009 GRC) Rebuttal 2 2 2" xfId="19507"/>
    <cellStyle name="_4.06E Pass Throughs_04 07E Wild Horse Wind Expansion (C) (2)_Electric Rev Req Model (2009 GRC) Rebuttal 2 3" xfId="18099"/>
    <cellStyle name="_4.06E Pass Throughs_04 07E Wild Horse Wind Expansion (C) (2)_Electric Rev Req Model (2009 GRC) Rebuttal 3" xfId="6478"/>
    <cellStyle name="_4.06E Pass Throughs_04 07E Wild Horse Wind Expansion (C) (2)_Electric Rev Req Model (2009 GRC) Rebuttal 3 2" xfId="19508"/>
    <cellStyle name="_4.06E Pass Throughs_04 07E Wild Horse Wind Expansion (C) (2)_Electric Rev Req Model (2009 GRC) Rebuttal 4" xfId="15713"/>
    <cellStyle name="_4.06E Pass Throughs_04 07E Wild Horse Wind Expansion (C) (2)_Electric Rev Req Model (2009 GRC) Rebuttal REmoval of New  WH Solar AdjustMI" xfId="39"/>
    <cellStyle name="_4.06E Pass Throughs_04 07E Wild Horse Wind Expansion (C) (2)_Electric Rev Req Model (2009 GRC) Rebuttal REmoval of New  WH Solar AdjustMI 2" xfId="40"/>
    <cellStyle name="_4.06E Pass Throughs_04 07E Wild Horse Wind Expansion (C) (2)_Electric Rev Req Model (2009 GRC) Rebuttal REmoval of New  WH Solar AdjustMI 2 2" xfId="3427"/>
    <cellStyle name="_4.06E Pass Throughs_04 07E Wild Horse Wind Expansion (C) (2)_Electric Rev Req Model (2009 GRC) Rebuttal REmoval of New  WH Solar AdjustMI 2 2 2" xfId="19509"/>
    <cellStyle name="_4.06E Pass Throughs_04 07E Wild Horse Wind Expansion (C) (2)_Electric Rev Req Model (2009 GRC) Rebuttal REmoval of New  WH Solar AdjustMI 2 3" xfId="15715"/>
    <cellStyle name="_4.06E Pass Throughs_04 07E Wild Horse Wind Expansion (C) (2)_Electric Rev Req Model (2009 GRC) Rebuttal REmoval of New  WH Solar AdjustMI 3" xfId="3426"/>
    <cellStyle name="_4.06E Pass Throughs_04 07E Wild Horse Wind Expansion (C) (2)_Electric Rev Req Model (2009 GRC) Rebuttal REmoval of New  WH Solar AdjustMI 3 2" xfId="19510"/>
    <cellStyle name="_4.06E Pass Throughs_04 07E Wild Horse Wind Expansion (C) (2)_Electric Rev Req Model (2009 GRC) Rebuttal REmoval of New  WH Solar AdjustMI 4" xfId="15714"/>
    <cellStyle name="_4.06E Pass Throughs_04 07E Wild Horse Wind Expansion (C) (2)_Electric Rev Req Model (2009 GRC) Rebuttal REmoval of New  WH Solar AdjustMI_DEM-WP(C) ENERG10C--ctn Mid-C_042010 2010GRC" xfId="11885"/>
    <cellStyle name="_4.06E Pass Throughs_04 07E Wild Horse Wind Expansion (C) (2)_Electric Rev Req Model (2009 GRC) Revised 01-18-2010" xfId="41"/>
    <cellStyle name="_4.06E Pass Throughs_04 07E Wild Horse Wind Expansion (C) (2)_Electric Rev Req Model (2009 GRC) Revised 01-18-2010 2" xfId="42"/>
    <cellStyle name="_4.06E Pass Throughs_04 07E Wild Horse Wind Expansion (C) (2)_Electric Rev Req Model (2009 GRC) Revised 01-18-2010 2 2" xfId="3429"/>
    <cellStyle name="_4.06E Pass Throughs_04 07E Wild Horse Wind Expansion (C) (2)_Electric Rev Req Model (2009 GRC) Revised 01-18-2010 2 2 2" xfId="19511"/>
    <cellStyle name="_4.06E Pass Throughs_04 07E Wild Horse Wind Expansion (C) (2)_Electric Rev Req Model (2009 GRC) Revised 01-18-2010 2 3" xfId="15717"/>
    <cellStyle name="_4.06E Pass Throughs_04 07E Wild Horse Wind Expansion (C) (2)_Electric Rev Req Model (2009 GRC) Revised 01-18-2010 3" xfId="3428"/>
    <cellStyle name="_4.06E Pass Throughs_04 07E Wild Horse Wind Expansion (C) (2)_Electric Rev Req Model (2009 GRC) Revised 01-18-2010 3 2" xfId="19512"/>
    <cellStyle name="_4.06E Pass Throughs_04 07E Wild Horse Wind Expansion (C) (2)_Electric Rev Req Model (2009 GRC) Revised 01-18-2010 4" xfId="15716"/>
    <cellStyle name="_4.06E Pass Throughs_04 07E Wild Horse Wind Expansion (C) (2)_Electric Rev Req Model (2009 GRC) Revised 01-18-2010_DEM-WP(C) ENERG10C--ctn Mid-C_042010 2010GRC" xfId="11886"/>
    <cellStyle name="_4.06E Pass Throughs_04 07E Wild Horse Wind Expansion (C) (2)_Electric Rev Req Model (2010 GRC)" xfId="14232"/>
    <cellStyle name="_4.06E Pass Throughs_04 07E Wild Horse Wind Expansion (C) (2)_Electric Rev Req Model (2010 GRC) SF" xfId="14233"/>
    <cellStyle name="_4.06E Pass Throughs_04 07E Wild Horse Wind Expansion (C) (2)_Final Order Electric EXHIBIT A-1" xfId="43"/>
    <cellStyle name="_4.06E Pass Throughs_04 07E Wild Horse Wind Expansion (C) (2)_Final Order Electric EXHIBIT A-1 2" xfId="3430"/>
    <cellStyle name="_4.06E Pass Throughs_04 07E Wild Horse Wind Expansion (C) (2)_Final Order Electric EXHIBIT A-1 2 2" xfId="6479"/>
    <cellStyle name="_4.06E Pass Throughs_04 07E Wild Horse Wind Expansion (C) (2)_Final Order Electric EXHIBIT A-1 2 2 2" xfId="19513"/>
    <cellStyle name="_4.06E Pass Throughs_04 07E Wild Horse Wind Expansion (C) (2)_Final Order Electric EXHIBIT A-1 2 3" xfId="18100"/>
    <cellStyle name="_4.06E Pass Throughs_04 07E Wild Horse Wind Expansion (C) (2)_Final Order Electric EXHIBIT A-1 3" xfId="6480"/>
    <cellStyle name="_4.06E Pass Throughs_04 07E Wild Horse Wind Expansion (C) (2)_Final Order Electric EXHIBIT A-1 3 2" xfId="19514"/>
    <cellStyle name="_4.06E Pass Throughs_04 07E Wild Horse Wind Expansion (C) (2)_Final Order Electric EXHIBIT A-1 4" xfId="15718"/>
    <cellStyle name="_4.06E Pass Throughs_04 07E Wild Horse Wind Expansion (C) (2)_TENASKA REGULATORY ASSET" xfId="44"/>
    <cellStyle name="_4.06E Pass Throughs_04 07E Wild Horse Wind Expansion (C) (2)_TENASKA REGULATORY ASSET 2" xfId="3431"/>
    <cellStyle name="_4.06E Pass Throughs_04 07E Wild Horse Wind Expansion (C) (2)_TENASKA REGULATORY ASSET 2 2" xfId="6481"/>
    <cellStyle name="_4.06E Pass Throughs_04 07E Wild Horse Wind Expansion (C) (2)_TENASKA REGULATORY ASSET 2 2 2" xfId="19515"/>
    <cellStyle name="_4.06E Pass Throughs_04 07E Wild Horse Wind Expansion (C) (2)_TENASKA REGULATORY ASSET 2 3" xfId="18101"/>
    <cellStyle name="_4.06E Pass Throughs_04 07E Wild Horse Wind Expansion (C) (2)_TENASKA REGULATORY ASSET 3" xfId="6482"/>
    <cellStyle name="_4.06E Pass Throughs_04 07E Wild Horse Wind Expansion (C) (2)_TENASKA REGULATORY ASSET 3 2" xfId="19516"/>
    <cellStyle name="_4.06E Pass Throughs_04 07E Wild Horse Wind Expansion (C) (2)_TENASKA REGULATORY ASSET 4" xfId="15719"/>
    <cellStyle name="_4.06E Pass Throughs_16.37E Wild Horse Expansion DeferralRevwrkingfile SF" xfId="45"/>
    <cellStyle name="_4.06E Pass Throughs_16.37E Wild Horse Expansion DeferralRevwrkingfile SF 2" xfId="46"/>
    <cellStyle name="_4.06E Pass Throughs_16.37E Wild Horse Expansion DeferralRevwrkingfile SF 2 2" xfId="3433"/>
    <cellStyle name="_4.06E Pass Throughs_16.37E Wild Horse Expansion DeferralRevwrkingfile SF 2 2 2" xfId="19517"/>
    <cellStyle name="_4.06E Pass Throughs_16.37E Wild Horse Expansion DeferralRevwrkingfile SF 2 3" xfId="15721"/>
    <cellStyle name="_4.06E Pass Throughs_16.37E Wild Horse Expansion DeferralRevwrkingfile SF 3" xfId="3432"/>
    <cellStyle name="_4.06E Pass Throughs_16.37E Wild Horse Expansion DeferralRevwrkingfile SF 3 2" xfId="19518"/>
    <cellStyle name="_4.06E Pass Throughs_16.37E Wild Horse Expansion DeferralRevwrkingfile SF 4" xfId="15720"/>
    <cellStyle name="_4.06E Pass Throughs_16.37E Wild Horse Expansion DeferralRevwrkingfile SF_DEM-WP(C) ENERG10C--ctn Mid-C_042010 2010GRC" xfId="11887"/>
    <cellStyle name="_4.06E Pass Throughs_2009 Compliance Filing PCA Exhibits for GRC" xfId="14001"/>
    <cellStyle name="_4.06E Pass Throughs_2009 Compliance Filing PCA Exhibits for GRC 2" xfId="14365"/>
    <cellStyle name="_4.06E Pass Throughs_2009 GRC Compl Filing - Exhibit D" xfId="47"/>
    <cellStyle name="_4.06E Pass Throughs_2009 GRC Compl Filing - Exhibit D 2" xfId="48"/>
    <cellStyle name="_4.06E Pass Throughs_2009 GRC Compl Filing - Exhibit D 2 2" xfId="3435"/>
    <cellStyle name="_4.06E Pass Throughs_2009 GRC Compl Filing - Exhibit D 3" xfId="3434"/>
    <cellStyle name="_4.06E Pass Throughs_2009 GRC Compl Filing - Exhibit D_DEM-WP(C) ENERG10C--ctn Mid-C_042010 2010GRC" xfId="11888"/>
    <cellStyle name="_4.06E Pass Throughs_3.01 Income Statement" xfId="14002"/>
    <cellStyle name="_4.06E Pass Throughs_4 31 Regulatory Assets and Liabilities  7 06- Exhibit D" xfId="49"/>
    <cellStyle name="_4.06E Pass Throughs_4 31 Regulatory Assets and Liabilities  7 06- Exhibit D 2" xfId="50"/>
    <cellStyle name="_4.06E Pass Throughs_4 31 Regulatory Assets and Liabilities  7 06- Exhibit D 2 2" xfId="3437"/>
    <cellStyle name="_4.06E Pass Throughs_4 31 Regulatory Assets and Liabilities  7 06- Exhibit D 2 2 2" xfId="14366"/>
    <cellStyle name="_4.06E Pass Throughs_4 31 Regulatory Assets and Liabilities  7 06- Exhibit D 3" xfId="3436"/>
    <cellStyle name="_4.06E Pass Throughs_4 31 Regulatory Assets and Liabilities  7 06- Exhibit D 3 2" xfId="19519"/>
    <cellStyle name="_4.06E Pass Throughs_4 31 Regulatory Assets and Liabilities  7 06- Exhibit D_DEM-WP(C) ENERG10C--ctn Mid-C_042010 2010GRC" xfId="11889"/>
    <cellStyle name="_4.06E Pass Throughs_4 31 Regulatory Assets and Liabilities  7 06- Exhibit D_NIM Summary" xfId="51"/>
    <cellStyle name="_4.06E Pass Throughs_4 31 Regulatory Assets and Liabilities  7 06- Exhibit D_NIM Summary 2" xfId="52"/>
    <cellStyle name="_4.06E Pass Throughs_4 31 Regulatory Assets and Liabilities  7 06- Exhibit D_NIM Summary 2 2" xfId="3439"/>
    <cellStyle name="_4.06E Pass Throughs_4 31 Regulatory Assets and Liabilities  7 06- Exhibit D_NIM Summary 3" xfId="3438"/>
    <cellStyle name="_4.06E Pass Throughs_4 31 Regulatory Assets and Liabilities  7 06- Exhibit D_NIM Summary_DEM-WP(C) ENERG10C--ctn Mid-C_042010 2010GRC" xfId="11890"/>
    <cellStyle name="_4.06E Pass Throughs_4 31 Regulatory Assets and Liabilities  7 06- Exhibit D_NIM+O&amp;M" xfId="11891"/>
    <cellStyle name="_4.06E Pass Throughs_4 31 Regulatory Assets and Liabilities  7 06- Exhibit D_NIM+O&amp;M 2" xfId="22620"/>
    <cellStyle name="_4.06E Pass Throughs_4 31 Regulatory Assets and Liabilities  7 06- Exhibit D_NIM+O&amp;M Monthly" xfId="11892"/>
    <cellStyle name="_4.06E Pass Throughs_4 31 Regulatory Assets and Liabilities  7 06- Exhibit D_NIM+O&amp;M Monthly 2" xfId="22621"/>
    <cellStyle name="_4.06E Pass Throughs_4 31E Reg Asset  Liab and EXH D" xfId="11893"/>
    <cellStyle name="_4.06E Pass Throughs_4 31E Reg Asset  Liab and EXH D _ Aug 10 Filing (2)" xfId="11894"/>
    <cellStyle name="_4.06E Pass Throughs_4 31E Reg Asset  Liab and EXH D _ Aug 10 Filing (2) 2" xfId="22622"/>
    <cellStyle name="_4.06E Pass Throughs_4 31E Reg Asset  Liab and EXH D 10" xfId="22623"/>
    <cellStyle name="_4.06E Pass Throughs_4 31E Reg Asset  Liab and EXH D 11" xfId="22624"/>
    <cellStyle name="_4.06E Pass Throughs_4 31E Reg Asset  Liab and EXH D 12" xfId="22625"/>
    <cellStyle name="_4.06E Pass Throughs_4 31E Reg Asset  Liab and EXH D 13" xfId="22626"/>
    <cellStyle name="_4.06E Pass Throughs_4 31E Reg Asset  Liab and EXH D 14" xfId="22627"/>
    <cellStyle name="_4.06E Pass Throughs_4 31E Reg Asset  Liab and EXH D 15" xfId="22628"/>
    <cellStyle name="_4.06E Pass Throughs_4 31E Reg Asset  Liab and EXH D 16" xfId="22629"/>
    <cellStyle name="_4.06E Pass Throughs_4 31E Reg Asset  Liab and EXH D 17" xfId="22630"/>
    <cellStyle name="_4.06E Pass Throughs_4 31E Reg Asset  Liab and EXH D 18" xfId="22631"/>
    <cellStyle name="_4.06E Pass Throughs_4 31E Reg Asset  Liab and EXH D 19" xfId="22632"/>
    <cellStyle name="_4.06E Pass Throughs_4 31E Reg Asset  Liab and EXH D 2" xfId="22633"/>
    <cellStyle name="_4.06E Pass Throughs_4 31E Reg Asset  Liab and EXH D 20" xfId="22634"/>
    <cellStyle name="_4.06E Pass Throughs_4 31E Reg Asset  Liab and EXH D 21" xfId="22635"/>
    <cellStyle name="_4.06E Pass Throughs_4 31E Reg Asset  Liab and EXH D 22" xfId="22636"/>
    <cellStyle name="_4.06E Pass Throughs_4 31E Reg Asset  Liab and EXH D 23" xfId="22637"/>
    <cellStyle name="_4.06E Pass Throughs_4 31E Reg Asset  Liab and EXH D 24" xfId="22638"/>
    <cellStyle name="_4.06E Pass Throughs_4 31E Reg Asset  Liab and EXH D 25" xfId="22639"/>
    <cellStyle name="_4.06E Pass Throughs_4 31E Reg Asset  Liab and EXH D 26" xfId="22640"/>
    <cellStyle name="_4.06E Pass Throughs_4 31E Reg Asset  Liab and EXH D 27" xfId="22641"/>
    <cellStyle name="_4.06E Pass Throughs_4 31E Reg Asset  Liab and EXH D 28" xfId="22642"/>
    <cellStyle name="_4.06E Pass Throughs_4 31E Reg Asset  Liab and EXH D 29" xfId="22643"/>
    <cellStyle name="_4.06E Pass Throughs_4 31E Reg Asset  Liab and EXH D 3" xfId="22644"/>
    <cellStyle name="_4.06E Pass Throughs_4 31E Reg Asset  Liab and EXH D 30" xfId="22645"/>
    <cellStyle name="_4.06E Pass Throughs_4 31E Reg Asset  Liab and EXH D 31" xfId="22646"/>
    <cellStyle name="_4.06E Pass Throughs_4 31E Reg Asset  Liab and EXH D 32" xfId="22647"/>
    <cellStyle name="_4.06E Pass Throughs_4 31E Reg Asset  Liab and EXH D 33" xfId="22648"/>
    <cellStyle name="_4.06E Pass Throughs_4 31E Reg Asset  Liab and EXH D 34" xfId="22649"/>
    <cellStyle name="_4.06E Pass Throughs_4 31E Reg Asset  Liab and EXH D 35" xfId="22650"/>
    <cellStyle name="_4.06E Pass Throughs_4 31E Reg Asset  Liab and EXH D 36" xfId="22651"/>
    <cellStyle name="_4.06E Pass Throughs_4 31E Reg Asset  Liab and EXH D 4" xfId="22652"/>
    <cellStyle name="_4.06E Pass Throughs_4 31E Reg Asset  Liab and EXH D 5" xfId="22653"/>
    <cellStyle name="_4.06E Pass Throughs_4 31E Reg Asset  Liab and EXH D 6" xfId="22654"/>
    <cellStyle name="_4.06E Pass Throughs_4 31E Reg Asset  Liab and EXH D 7" xfId="22655"/>
    <cellStyle name="_4.06E Pass Throughs_4 31E Reg Asset  Liab and EXH D 8" xfId="22656"/>
    <cellStyle name="_4.06E Pass Throughs_4 31E Reg Asset  Liab and EXH D 9" xfId="22657"/>
    <cellStyle name="_4.06E Pass Throughs_4 32 Regulatory Assets and Liabilities  7 06- Exhibit D" xfId="53"/>
    <cellStyle name="_4.06E Pass Throughs_4 32 Regulatory Assets and Liabilities  7 06- Exhibit D 2" xfId="54"/>
    <cellStyle name="_4.06E Pass Throughs_4 32 Regulatory Assets and Liabilities  7 06- Exhibit D 2 2" xfId="3441"/>
    <cellStyle name="_4.06E Pass Throughs_4 32 Regulatory Assets and Liabilities  7 06- Exhibit D 2 2 2" xfId="14367"/>
    <cellStyle name="_4.06E Pass Throughs_4 32 Regulatory Assets and Liabilities  7 06- Exhibit D 3" xfId="3440"/>
    <cellStyle name="_4.06E Pass Throughs_4 32 Regulatory Assets and Liabilities  7 06- Exhibit D 3 2" xfId="19520"/>
    <cellStyle name="_4.06E Pass Throughs_4 32 Regulatory Assets and Liabilities  7 06- Exhibit D_DEM-WP(C) ENERG10C--ctn Mid-C_042010 2010GRC" xfId="11895"/>
    <cellStyle name="_4.06E Pass Throughs_4 32 Regulatory Assets and Liabilities  7 06- Exhibit D_NIM Summary" xfId="55"/>
    <cellStyle name="_4.06E Pass Throughs_4 32 Regulatory Assets and Liabilities  7 06- Exhibit D_NIM Summary 2" xfId="56"/>
    <cellStyle name="_4.06E Pass Throughs_4 32 Regulatory Assets and Liabilities  7 06- Exhibit D_NIM Summary 2 2" xfId="3443"/>
    <cellStyle name="_4.06E Pass Throughs_4 32 Regulatory Assets and Liabilities  7 06- Exhibit D_NIM Summary 3" xfId="3442"/>
    <cellStyle name="_4.06E Pass Throughs_4 32 Regulatory Assets and Liabilities  7 06- Exhibit D_NIM Summary_DEM-WP(C) ENERG10C--ctn Mid-C_042010 2010GRC" xfId="11896"/>
    <cellStyle name="_4.06E Pass Throughs_4 32 Regulatory Assets and Liabilities  7 06- Exhibit D_NIM+O&amp;M" xfId="11897"/>
    <cellStyle name="_4.06E Pass Throughs_4 32 Regulatory Assets and Liabilities  7 06- Exhibit D_NIM+O&amp;M 2" xfId="22658"/>
    <cellStyle name="_4.06E Pass Throughs_4 32 Regulatory Assets and Liabilities  7 06- Exhibit D_NIM+O&amp;M Monthly" xfId="11898"/>
    <cellStyle name="_4.06E Pass Throughs_4 32 Regulatory Assets and Liabilities  7 06- Exhibit D_NIM+O&amp;M Monthly 2" xfId="22659"/>
    <cellStyle name="_4.06E Pass Throughs_AURORA Total New" xfId="57"/>
    <cellStyle name="_4.06E Pass Throughs_AURORA Total New 2" xfId="58"/>
    <cellStyle name="_4.06E Pass Throughs_AURORA Total New 2 2" xfId="3445"/>
    <cellStyle name="_4.06E Pass Throughs_AURORA Total New 3" xfId="3444"/>
    <cellStyle name="_4.06E Pass Throughs_Book2" xfId="59"/>
    <cellStyle name="_4.06E Pass Throughs_Book2 2" xfId="60"/>
    <cellStyle name="_4.06E Pass Throughs_Book2 2 2" xfId="3447"/>
    <cellStyle name="_4.06E Pass Throughs_Book2 2 2 2" xfId="19521"/>
    <cellStyle name="_4.06E Pass Throughs_Book2 2 3" xfId="15723"/>
    <cellStyle name="_4.06E Pass Throughs_Book2 3" xfId="3446"/>
    <cellStyle name="_4.06E Pass Throughs_Book2 3 2" xfId="19522"/>
    <cellStyle name="_4.06E Pass Throughs_Book2 4" xfId="15722"/>
    <cellStyle name="_4.06E Pass Throughs_Book2_Adj Bench DR 3 for Initial Briefs (Electric)" xfId="61"/>
    <cellStyle name="_4.06E Pass Throughs_Book2_Adj Bench DR 3 for Initial Briefs (Electric) 2" xfId="62"/>
    <cellStyle name="_4.06E Pass Throughs_Book2_Adj Bench DR 3 for Initial Briefs (Electric) 2 2" xfId="3449"/>
    <cellStyle name="_4.06E Pass Throughs_Book2_Adj Bench DR 3 for Initial Briefs (Electric) 2 2 2" xfId="19523"/>
    <cellStyle name="_4.06E Pass Throughs_Book2_Adj Bench DR 3 for Initial Briefs (Electric) 2 3" xfId="15725"/>
    <cellStyle name="_4.06E Pass Throughs_Book2_Adj Bench DR 3 for Initial Briefs (Electric) 3" xfId="3448"/>
    <cellStyle name="_4.06E Pass Throughs_Book2_Adj Bench DR 3 for Initial Briefs (Electric) 3 2" xfId="19524"/>
    <cellStyle name="_4.06E Pass Throughs_Book2_Adj Bench DR 3 for Initial Briefs (Electric) 4" xfId="15724"/>
    <cellStyle name="_4.06E Pass Throughs_Book2_Adj Bench DR 3 for Initial Briefs (Electric)_DEM-WP(C) ENERG10C--ctn Mid-C_042010 2010GRC" xfId="11899"/>
    <cellStyle name="_4.06E Pass Throughs_Book2_DEM-WP(C) ENERG10C--ctn Mid-C_042010 2010GRC" xfId="11900"/>
    <cellStyle name="_4.06E Pass Throughs_Book2_Electric Rev Req Model (2009 GRC) Rebuttal" xfId="63"/>
    <cellStyle name="_4.06E Pass Throughs_Book2_Electric Rev Req Model (2009 GRC) Rebuttal 2" xfId="3450"/>
    <cellStyle name="_4.06E Pass Throughs_Book2_Electric Rev Req Model (2009 GRC) Rebuttal 2 2" xfId="6483"/>
    <cellStyle name="_4.06E Pass Throughs_Book2_Electric Rev Req Model (2009 GRC) Rebuttal 2 2 2" xfId="19525"/>
    <cellStyle name="_4.06E Pass Throughs_Book2_Electric Rev Req Model (2009 GRC) Rebuttal 2 3" xfId="18102"/>
    <cellStyle name="_4.06E Pass Throughs_Book2_Electric Rev Req Model (2009 GRC) Rebuttal 3" xfId="6484"/>
    <cellStyle name="_4.06E Pass Throughs_Book2_Electric Rev Req Model (2009 GRC) Rebuttal 3 2" xfId="19526"/>
    <cellStyle name="_4.06E Pass Throughs_Book2_Electric Rev Req Model (2009 GRC) Rebuttal 4" xfId="15726"/>
    <cellStyle name="_4.06E Pass Throughs_Book2_Electric Rev Req Model (2009 GRC) Rebuttal REmoval of New  WH Solar AdjustMI" xfId="64"/>
    <cellStyle name="_4.06E Pass Throughs_Book2_Electric Rev Req Model (2009 GRC) Rebuttal REmoval of New  WH Solar AdjustMI 2" xfId="65"/>
    <cellStyle name="_4.06E Pass Throughs_Book2_Electric Rev Req Model (2009 GRC) Rebuttal REmoval of New  WH Solar AdjustMI 2 2" xfId="3452"/>
    <cellStyle name="_4.06E Pass Throughs_Book2_Electric Rev Req Model (2009 GRC) Rebuttal REmoval of New  WH Solar AdjustMI 2 2 2" xfId="19527"/>
    <cellStyle name="_4.06E Pass Throughs_Book2_Electric Rev Req Model (2009 GRC) Rebuttal REmoval of New  WH Solar AdjustMI 2 3" xfId="15728"/>
    <cellStyle name="_4.06E Pass Throughs_Book2_Electric Rev Req Model (2009 GRC) Rebuttal REmoval of New  WH Solar AdjustMI 3" xfId="3451"/>
    <cellStyle name="_4.06E Pass Throughs_Book2_Electric Rev Req Model (2009 GRC) Rebuttal REmoval of New  WH Solar AdjustMI 3 2" xfId="19528"/>
    <cellStyle name="_4.06E Pass Throughs_Book2_Electric Rev Req Model (2009 GRC) Rebuttal REmoval of New  WH Solar AdjustMI 4" xfId="15727"/>
    <cellStyle name="_4.06E Pass Throughs_Book2_Electric Rev Req Model (2009 GRC) Rebuttal REmoval of New  WH Solar AdjustMI_DEM-WP(C) ENERG10C--ctn Mid-C_042010 2010GRC" xfId="11901"/>
    <cellStyle name="_4.06E Pass Throughs_Book2_Electric Rev Req Model (2009 GRC) Revised 01-18-2010" xfId="66"/>
    <cellStyle name="_4.06E Pass Throughs_Book2_Electric Rev Req Model (2009 GRC) Revised 01-18-2010 2" xfId="67"/>
    <cellStyle name="_4.06E Pass Throughs_Book2_Electric Rev Req Model (2009 GRC) Revised 01-18-2010 2 2" xfId="3454"/>
    <cellStyle name="_4.06E Pass Throughs_Book2_Electric Rev Req Model (2009 GRC) Revised 01-18-2010 2 2 2" xfId="19529"/>
    <cellStyle name="_4.06E Pass Throughs_Book2_Electric Rev Req Model (2009 GRC) Revised 01-18-2010 2 3" xfId="15730"/>
    <cellStyle name="_4.06E Pass Throughs_Book2_Electric Rev Req Model (2009 GRC) Revised 01-18-2010 3" xfId="3453"/>
    <cellStyle name="_4.06E Pass Throughs_Book2_Electric Rev Req Model (2009 GRC) Revised 01-18-2010 3 2" xfId="19530"/>
    <cellStyle name="_4.06E Pass Throughs_Book2_Electric Rev Req Model (2009 GRC) Revised 01-18-2010 4" xfId="15729"/>
    <cellStyle name="_4.06E Pass Throughs_Book2_Electric Rev Req Model (2009 GRC) Revised 01-18-2010_DEM-WP(C) ENERG10C--ctn Mid-C_042010 2010GRC" xfId="11902"/>
    <cellStyle name="_4.06E Pass Throughs_Book2_Final Order Electric EXHIBIT A-1" xfId="68"/>
    <cellStyle name="_4.06E Pass Throughs_Book2_Final Order Electric EXHIBIT A-1 2" xfId="3455"/>
    <cellStyle name="_4.06E Pass Throughs_Book2_Final Order Electric EXHIBIT A-1 2 2" xfId="6485"/>
    <cellStyle name="_4.06E Pass Throughs_Book2_Final Order Electric EXHIBIT A-1 2 2 2" xfId="19531"/>
    <cellStyle name="_4.06E Pass Throughs_Book2_Final Order Electric EXHIBIT A-1 2 3" xfId="18103"/>
    <cellStyle name="_4.06E Pass Throughs_Book2_Final Order Electric EXHIBIT A-1 3" xfId="6486"/>
    <cellStyle name="_4.06E Pass Throughs_Book2_Final Order Electric EXHIBIT A-1 3 2" xfId="19532"/>
    <cellStyle name="_4.06E Pass Throughs_Book2_Final Order Electric EXHIBIT A-1 4" xfId="15731"/>
    <cellStyle name="_4.06E Pass Throughs_Book4" xfId="69"/>
    <cellStyle name="_4.06E Pass Throughs_Book4 2" xfId="70"/>
    <cellStyle name="_4.06E Pass Throughs_Book4 2 2" xfId="3457"/>
    <cellStyle name="_4.06E Pass Throughs_Book4 2 2 2" xfId="19533"/>
    <cellStyle name="_4.06E Pass Throughs_Book4 2 3" xfId="15733"/>
    <cellStyle name="_4.06E Pass Throughs_Book4 3" xfId="3456"/>
    <cellStyle name="_4.06E Pass Throughs_Book4 3 2" xfId="19534"/>
    <cellStyle name="_4.06E Pass Throughs_Book4 4" xfId="15732"/>
    <cellStyle name="_4.06E Pass Throughs_Book4_DEM-WP(C) ENERG10C--ctn Mid-C_042010 2010GRC" xfId="11903"/>
    <cellStyle name="_4.06E Pass Throughs_Book9" xfId="71"/>
    <cellStyle name="_4.06E Pass Throughs_Book9 2" xfId="72"/>
    <cellStyle name="_4.06E Pass Throughs_Book9 2 2" xfId="3459"/>
    <cellStyle name="_4.06E Pass Throughs_Book9 2 2 2" xfId="19535"/>
    <cellStyle name="_4.06E Pass Throughs_Book9 2 3" xfId="15735"/>
    <cellStyle name="_4.06E Pass Throughs_Book9 3" xfId="3458"/>
    <cellStyle name="_4.06E Pass Throughs_Book9 3 2" xfId="19536"/>
    <cellStyle name="_4.06E Pass Throughs_Book9 4" xfId="15734"/>
    <cellStyle name="_4.06E Pass Throughs_Book9_DEM-WP(C) ENERG10C--ctn Mid-C_042010 2010GRC" xfId="11904"/>
    <cellStyle name="_4.06E Pass Throughs_Chelan PUD Power Costs (8-10)" xfId="11905"/>
    <cellStyle name="_4.06E Pass Throughs_Chelan PUD Power Costs (8-10) 2" xfId="22660"/>
    <cellStyle name="_4.06E Pass Throughs_DEM-WP(C) Chelan Power Costs" xfId="11906"/>
    <cellStyle name="_4.06E Pass Throughs_DEM-WP(C) Chelan Power Costs 2" xfId="22661"/>
    <cellStyle name="_4.06E Pass Throughs_DEM-WP(C) ENERG10C--ctn Mid-C_042010 2010GRC" xfId="11907"/>
    <cellStyle name="_4.06E Pass Throughs_DEM-WP(C) Gas Transport 2010GRC" xfId="11908"/>
    <cellStyle name="_4.06E Pass Throughs_DEM-WP(C) Gas Transport 2010GRC 2" xfId="22662"/>
    <cellStyle name="_4.06E Pass Throughs_Exh A-1 resulting from UE-112050 effective Jan 1 2012" xfId="14368"/>
    <cellStyle name="_4.06E Pass Throughs_Exh G - Klamath Peaker PPA fr C Locke 2-12" xfId="14369"/>
    <cellStyle name="_4.06E Pass Throughs_Exhibit A-1 effective 4-1-11 fr S Free 12-11" xfId="14370"/>
    <cellStyle name="_4.06E Pass Throughs_INPUTS" xfId="6487"/>
    <cellStyle name="_4.06E Pass Throughs_INPUTS 2" xfId="6488"/>
    <cellStyle name="_4.06E Pass Throughs_INPUTS 2 2" xfId="6489"/>
    <cellStyle name="_4.06E Pass Throughs_INPUTS 2 2 2" xfId="19537"/>
    <cellStyle name="_4.06E Pass Throughs_INPUTS 2 3" xfId="18105"/>
    <cellStyle name="_4.06E Pass Throughs_INPUTS 3" xfId="6490"/>
    <cellStyle name="_4.06E Pass Throughs_INPUTS 3 2" xfId="19538"/>
    <cellStyle name="_4.06E Pass Throughs_INPUTS 4" xfId="18104"/>
    <cellStyle name="_4.06E Pass Throughs_Mint Farm Generation BPA" xfId="22663"/>
    <cellStyle name="_4.06E Pass Throughs_NIM Summary" xfId="73"/>
    <cellStyle name="_4.06E Pass Throughs_NIM Summary 09GRC" xfId="74"/>
    <cellStyle name="_4.06E Pass Throughs_NIM Summary 09GRC 2" xfId="75"/>
    <cellStyle name="_4.06E Pass Throughs_NIM Summary 09GRC 2 2" xfId="3462"/>
    <cellStyle name="_4.06E Pass Throughs_NIM Summary 09GRC 3" xfId="3461"/>
    <cellStyle name="_4.06E Pass Throughs_NIM Summary 09GRC_DEM-WP(C) ENERG10C--ctn Mid-C_042010 2010GRC" xfId="11909"/>
    <cellStyle name="_4.06E Pass Throughs_NIM Summary 10" xfId="3460"/>
    <cellStyle name="_4.06E Pass Throughs_NIM Summary 11" xfId="6155"/>
    <cellStyle name="_4.06E Pass Throughs_NIM Summary 12" xfId="6283"/>
    <cellStyle name="_4.06E Pass Throughs_NIM Summary 13" xfId="6147"/>
    <cellStyle name="_4.06E Pass Throughs_NIM Summary 14" xfId="6290"/>
    <cellStyle name="_4.06E Pass Throughs_NIM Summary 15" xfId="14371"/>
    <cellStyle name="_4.06E Pass Throughs_NIM Summary 16" xfId="14372"/>
    <cellStyle name="_4.06E Pass Throughs_NIM Summary 17" xfId="14373"/>
    <cellStyle name="_4.06E Pass Throughs_NIM Summary 18" xfId="14374"/>
    <cellStyle name="_4.06E Pass Throughs_NIM Summary 19" xfId="14375"/>
    <cellStyle name="_4.06E Pass Throughs_NIM Summary 2" xfId="76"/>
    <cellStyle name="_4.06E Pass Throughs_NIM Summary 2 2" xfId="3463"/>
    <cellStyle name="_4.06E Pass Throughs_NIM Summary 20" xfId="14376"/>
    <cellStyle name="_4.06E Pass Throughs_NIM Summary 21" xfId="14377"/>
    <cellStyle name="_4.06E Pass Throughs_NIM Summary 22" xfId="14378"/>
    <cellStyle name="_4.06E Pass Throughs_NIM Summary 23" xfId="14379"/>
    <cellStyle name="_4.06E Pass Throughs_NIM Summary 24" xfId="14380"/>
    <cellStyle name="_4.06E Pass Throughs_NIM Summary 25" xfId="14381"/>
    <cellStyle name="_4.06E Pass Throughs_NIM Summary 26" xfId="14382"/>
    <cellStyle name="_4.06E Pass Throughs_NIM Summary 27" xfId="14383"/>
    <cellStyle name="_4.06E Pass Throughs_NIM Summary 28" xfId="14384"/>
    <cellStyle name="_4.06E Pass Throughs_NIM Summary 29" xfId="14385"/>
    <cellStyle name="_4.06E Pass Throughs_NIM Summary 3" xfId="77"/>
    <cellStyle name="_4.06E Pass Throughs_NIM Summary 3 2" xfId="3464"/>
    <cellStyle name="_4.06E Pass Throughs_NIM Summary 30" xfId="14386"/>
    <cellStyle name="_4.06E Pass Throughs_NIM Summary 31" xfId="14387"/>
    <cellStyle name="_4.06E Pass Throughs_NIM Summary 32" xfId="14388"/>
    <cellStyle name="_4.06E Pass Throughs_NIM Summary 33" xfId="14389"/>
    <cellStyle name="_4.06E Pass Throughs_NIM Summary 34" xfId="14390"/>
    <cellStyle name="_4.06E Pass Throughs_NIM Summary 35" xfId="14391"/>
    <cellStyle name="_4.06E Pass Throughs_NIM Summary 36" xfId="14392"/>
    <cellStyle name="_4.06E Pass Throughs_NIM Summary 37" xfId="14393"/>
    <cellStyle name="_4.06E Pass Throughs_NIM Summary 38" xfId="14394"/>
    <cellStyle name="_4.06E Pass Throughs_NIM Summary 39" xfId="14395"/>
    <cellStyle name="_4.06E Pass Throughs_NIM Summary 4" xfId="78"/>
    <cellStyle name="_4.06E Pass Throughs_NIM Summary 4 2" xfId="3465"/>
    <cellStyle name="_4.06E Pass Throughs_NIM Summary 40" xfId="14396"/>
    <cellStyle name="_4.06E Pass Throughs_NIM Summary 41" xfId="14397"/>
    <cellStyle name="_4.06E Pass Throughs_NIM Summary 42" xfId="15736"/>
    <cellStyle name="_4.06E Pass Throughs_NIM Summary 43" xfId="17459"/>
    <cellStyle name="_4.06E Pass Throughs_NIM Summary 44" xfId="22664"/>
    <cellStyle name="_4.06E Pass Throughs_NIM Summary 45" xfId="22665"/>
    <cellStyle name="_4.06E Pass Throughs_NIM Summary 46" xfId="22666"/>
    <cellStyle name="_4.06E Pass Throughs_NIM Summary 47" xfId="22667"/>
    <cellStyle name="_4.06E Pass Throughs_NIM Summary 48" xfId="22668"/>
    <cellStyle name="_4.06E Pass Throughs_NIM Summary 49" xfId="22669"/>
    <cellStyle name="_4.06E Pass Throughs_NIM Summary 5" xfId="79"/>
    <cellStyle name="_4.06E Pass Throughs_NIM Summary 5 2" xfId="3466"/>
    <cellStyle name="_4.06E Pass Throughs_NIM Summary 50" xfId="22670"/>
    <cellStyle name="_4.06E Pass Throughs_NIM Summary 51" xfId="41121"/>
    <cellStyle name="_4.06E Pass Throughs_NIM Summary 52" xfId="6491"/>
    <cellStyle name="_4.06E Pass Throughs_NIM Summary 6" xfId="80"/>
    <cellStyle name="_4.06E Pass Throughs_NIM Summary 6 2" xfId="3467"/>
    <cellStyle name="_4.06E Pass Throughs_NIM Summary 7" xfId="81"/>
    <cellStyle name="_4.06E Pass Throughs_NIM Summary 7 2" xfId="3468"/>
    <cellStyle name="_4.06E Pass Throughs_NIM Summary 8" xfId="82"/>
    <cellStyle name="_4.06E Pass Throughs_NIM Summary 8 2" xfId="3469"/>
    <cellStyle name="_4.06E Pass Throughs_NIM Summary 9" xfId="83"/>
    <cellStyle name="_4.06E Pass Throughs_NIM Summary 9 2" xfId="3470"/>
    <cellStyle name="_4.06E Pass Throughs_NIM Summary_DEM-WP(C) ENERG10C--ctn Mid-C_042010 2010GRC" xfId="11910"/>
    <cellStyle name="_4.06E Pass Throughs_NIM+O&amp;M" xfId="11911"/>
    <cellStyle name="_4.06E Pass Throughs_NIM+O&amp;M 2" xfId="11912"/>
    <cellStyle name="_4.06E Pass Throughs_NIM+O&amp;M 2 2" xfId="22671"/>
    <cellStyle name="_4.06E Pass Throughs_NIM+O&amp;M 3" xfId="22672"/>
    <cellStyle name="_4.06E Pass Throughs_NIM+O&amp;M Monthly" xfId="11913"/>
    <cellStyle name="_4.06E Pass Throughs_NIM+O&amp;M Monthly 2" xfId="11914"/>
    <cellStyle name="_4.06E Pass Throughs_NIM+O&amp;M Monthly 2 2" xfId="22673"/>
    <cellStyle name="_4.06E Pass Throughs_NIM+O&amp;M Monthly 3" xfId="22674"/>
    <cellStyle name="_4.06E Pass Throughs_PCA 10 -  Exhibit D Dec 2011" xfId="14398"/>
    <cellStyle name="_4.06E Pass Throughs_PCA 10 -  Exhibit D from A Kellogg Jan 2011" xfId="14003"/>
    <cellStyle name="_4.06E Pass Throughs_PCA 10 -  Exhibit D from A Kellogg July 2011" xfId="14004"/>
    <cellStyle name="_4.06E Pass Throughs_PCA 10 -  Exhibit D from S Free Rcv'd 12-11" xfId="14005"/>
    <cellStyle name="_4.06E Pass Throughs_PCA 11 -  Exhibit D Jan 2012 fr A Kellogg" xfId="14399"/>
    <cellStyle name="_4.06E Pass Throughs_PCA 11 -  Exhibit D Jan 2012 WF" xfId="14400"/>
    <cellStyle name="_4.06E Pass Throughs_PCA 9 -  Exhibit D April 2010" xfId="14006"/>
    <cellStyle name="_4.06E Pass Throughs_PCA 9 -  Exhibit D April 2010 (3)" xfId="84"/>
    <cellStyle name="_4.06E Pass Throughs_PCA 9 -  Exhibit D April 2010 (3) 2" xfId="85"/>
    <cellStyle name="_4.06E Pass Throughs_PCA 9 -  Exhibit D April 2010 (3) 2 2" xfId="3472"/>
    <cellStyle name="_4.06E Pass Throughs_PCA 9 -  Exhibit D April 2010 (3) 3" xfId="3471"/>
    <cellStyle name="_4.06E Pass Throughs_PCA 9 -  Exhibit D April 2010 (3)_DEM-WP(C) ENERG10C--ctn Mid-C_042010 2010GRC" xfId="11915"/>
    <cellStyle name="_4.06E Pass Throughs_PCA 9 -  Exhibit D April 2010 2" xfId="14401"/>
    <cellStyle name="_4.06E Pass Throughs_PCA 9 -  Exhibit D April 2010 3" xfId="14402"/>
    <cellStyle name="_4.06E Pass Throughs_PCA 9 -  Exhibit D April 2010 4" xfId="14403"/>
    <cellStyle name="_4.06E Pass Throughs_PCA 9 -  Exhibit D April 2010 5" xfId="14404"/>
    <cellStyle name="_4.06E Pass Throughs_PCA 9 -  Exhibit D April 2010 6" xfId="14405"/>
    <cellStyle name="_4.06E Pass Throughs_PCA 9 -  Exhibit D Nov 2010" xfId="14007"/>
    <cellStyle name="_4.06E Pass Throughs_PCA 9 -  Exhibit D Nov 2010 2" xfId="14406"/>
    <cellStyle name="_4.06E Pass Throughs_PCA 9 - Exhibit D at August 2010" xfId="14008"/>
    <cellStyle name="_4.06E Pass Throughs_PCA 9 - Exhibit D at August 2010 2" xfId="14407"/>
    <cellStyle name="_4.06E Pass Throughs_PCA 9 - Exhibit D June 2010 GRC" xfId="14009"/>
    <cellStyle name="_4.06E Pass Throughs_PCA 9 - Exhibit D June 2010 GRC 2" xfId="14408"/>
    <cellStyle name="_4.06E Pass Throughs_Power Costs - Comparison bx Rbtl-Staff-Jt-PC" xfId="86"/>
    <cellStyle name="_4.06E Pass Throughs_Power Costs - Comparison bx Rbtl-Staff-Jt-PC 2" xfId="87"/>
    <cellStyle name="_4.06E Pass Throughs_Power Costs - Comparison bx Rbtl-Staff-Jt-PC 2 2" xfId="3474"/>
    <cellStyle name="_4.06E Pass Throughs_Power Costs - Comparison bx Rbtl-Staff-Jt-PC 2 2 2" xfId="19539"/>
    <cellStyle name="_4.06E Pass Throughs_Power Costs - Comparison bx Rbtl-Staff-Jt-PC 2 3" xfId="15738"/>
    <cellStyle name="_4.06E Pass Throughs_Power Costs - Comparison bx Rbtl-Staff-Jt-PC 3" xfId="3473"/>
    <cellStyle name="_4.06E Pass Throughs_Power Costs - Comparison bx Rbtl-Staff-Jt-PC 3 2" xfId="19540"/>
    <cellStyle name="_4.06E Pass Throughs_Power Costs - Comparison bx Rbtl-Staff-Jt-PC 4" xfId="15737"/>
    <cellStyle name="_4.06E Pass Throughs_Power Costs - Comparison bx Rbtl-Staff-Jt-PC_Adj Bench DR 3 for Initial Briefs (Electric)" xfId="88"/>
    <cellStyle name="_4.06E Pass Throughs_Power Costs - Comparison bx Rbtl-Staff-Jt-PC_Adj Bench DR 3 for Initial Briefs (Electric) 2" xfId="89"/>
    <cellStyle name="_4.06E Pass Throughs_Power Costs - Comparison bx Rbtl-Staff-Jt-PC_Adj Bench DR 3 for Initial Briefs (Electric) 2 2" xfId="3476"/>
    <cellStyle name="_4.06E Pass Throughs_Power Costs - Comparison bx Rbtl-Staff-Jt-PC_Adj Bench DR 3 for Initial Briefs (Electric) 2 2 2" xfId="19541"/>
    <cellStyle name="_4.06E Pass Throughs_Power Costs - Comparison bx Rbtl-Staff-Jt-PC_Adj Bench DR 3 for Initial Briefs (Electric) 2 3" xfId="15740"/>
    <cellStyle name="_4.06E Pass Throughs_Power Costs - Comparison bx Rbtl-Staff-Jt-PC_Adj Bench DR 3 for Initial Briefs (Electric) 3" xfId="3475"/>
    <cellStyle name="_4.06E Pass Throughs_Power Costs - Comparison bx Rbtl-Staff-Jt-PC_Adj Bench DR 3 for Initial Briefs (Electric) 3 2" xfId="19542"/>
    <cellStyle name="_4.06E Pass Throughs_Power Costs - Comparison bx Rbtl-Staff-Jt-PC_Adj Bench DR 3 for Initial Briefs (Electric) 4" xfId="15739"/>
    <cellStyle name="_4.06E Pass Throughs_Power Costs - Comparison bx Rbtl-Staff-Jt-PC_Adj Bench DR 3 for Initial Briefs (Electric)_DEM-WP(C) ENERG10C--ctn Mid-C_042010 2010GRC" xfId="11916"/>
    <cellStyle name="_4.06E Pass Throughs_Power Costs - Comparison bx Rbtl-Staff-Jt-PC_DEM-WP(C) ENERG10C--ctn Mid-C_042010 2010GRC" xfId="11917"/>
    <cellStyle name="_4.06E Pass Throughs_Power Costs - Comparison bx Rbtl-Staff-Jt-PC_Electric Rev Req Model (2009 GRC) Rebuttal" xfId="90"/>
    <cellStyle name="_4.06E Pass Throughs_Power Costs - Comparison bx Rbtl-Staff-Jt-PC_Electric Rev Req Model (2009 GRC) Rebuttal 2" xfId="3477"/>
    <cellStyle name="_4.06E Pass Throughs_Power Costs - Comparison bx Rbtl-Staff-Jt-PC_Electric Rev Req Model (2009 GRC) Rebuttal 2 2" xfId="6492"/>
    <cellStyle name="_4.06E Pass Throughs_Power Costs - Comparison bx Rbtl-Staff-Jt-PC_Electric Rev Req Model (2009 GRC) Rebuttal 2 2 2" xfId="19543"/>
    <cellStyle name="_4.06E Pass Throughs_Power Costs - Comparison bx Rbtl-Staff-Jt-PC_Electric Rev Req Model (2009 GRC) Rebuttal 2 3" xfId="18106"/>
    <cellStyle name="_4.06E Pass Throughs_Power Costs - Comparison bx Rbtl-Staff-Jt-PC_Electric Rev Req Model (2009 GRC) Rebuttal 3" xfId="6493"/>
    <cellStyle name="_4.06E Pass Throughs_Power Costs - Comparison bx Rbtl-Staff-Jt-PC_Electric Rev Req Model (2009 GRC) Rebuttal 3 2" xfId="19544"/>
    <cellStyle name="_4.06E Pass Throughs_Power Costs - Comparison bx Rbtl-Staff-Jt-PC_Electric Rev Req Model (2009 GRC) Rebuttal 4" xfId="15741"/>
    <cellStyle name="_4.06E Pass Throughs_Power Costs - Comparison bx Rbtl-Staff-Jt-PC_Electric Rev Req Model (2009 GRC) Rebuttal REmoval of New  WH Solar AdjustMI" xfId="91"/>
    <cellStyle name="_4.06E Pass Throughs_Power Costs - Comparison bx Rbtl-Staff-Jt-PC_Electric Rev Req Model (2009 GRC) Rebuttal REmoval of New  WH Solar AdjustMI 2" xfId="92"/>
    <cellStyle name="_4.06E Pass Throughs_Power Costs - Comparison bx Rbtl-Staff-Jt-PC_Electric Rev Req Model (2009 GRC) Rebuttal REmoval of New  WH Solar AdjustMI 2 2" xfId="3479"/>
    <cellStyle name="_4.06E Pass Throughs_Power Costs - Comparison bx Rbtl-Staff-Jt-PC_Electric Rev Req Model (2009 GRC) Rebuttal REmoval of New  WH Solar AdjustMI 2 2 2" xfId="19545"/>
    <cellStyle name="_4.06E Pass Throughs_Power Costs - Comparison bx Rbtl-Staff-Jt-PC_Electric Rev Req Model (2009 GRC) Rebuttal REmoval of New  WH Solar AdjustMI 2 3" xfId="15743"/>
    <cellStyle name="_4.06E Pass Throughs_Power Costs - Comparison bx Rbtl-Staff-Jt-PC_Electric Rev Req Model (2009 GRC) Rebuttal REmoval of New  WH Solar AdjustMI 3" xfId="3478"/>
    <cellStyle name="_4.06E Pass Throughs_Power Costs - Comparison bx Rbtl-Staff-Jt-PC_Electric Rev Req Model (2009 GRC) Rebuttal REmoval of New  WH Solar AdjustMI 3 2" xfId="19546"/>
    <cellStyle name="_4.06E Pass Throughs_Power Costs - Comparison bx Rbtl-Staff-Jt-PC_Electric Rev Req Model (2009 GRC) Rebuttal REmoval of New  WH Solar AdjustMI 4" xfId="15742"/>
    <cellStyle name="_4.06E Pass Throughs_Power Costs - Comparison bx Rbtl-Staff-Jt-PC_Electric Rev Req Model (2009 GRC) Rebuttal REmoval of New  WH Solar AdjustMI_DEM-WP(C) ENERG10C--ctn Mid-C_042010 2010GRC" xfId="11918"/>
    <cellStyle name="_4.06E Pass Throughs_Power Costs - Comparison bx Rbtl-Staff-Jt-PC_Electric Rev Req Model (2009 GRC) Revised 01-18-2010" xfId="93"/>
    <cellStyle name="_4.06E Pass Throughs_Power Costs - Comparison bx Rbtl-Staff-Jt-PC_Electric Rev Req Model (2009 GRC) Revised 01-18-2010 2" xfId="94"/>
    <cellStyle name="_4.06E Pass Throughs_Power Costs - Comparison bx Rbtl-Staff-Jt-PC_Electric Rev Req Model (2009 GRC) Revised 01-18-2010 2 2" xfId="3481"/>
    <cellStyle name="_4.06E Pass Throughs_Power Costs - Comparison bx Rbtl-Staff-Jt-PC_Electric Rev Req Model (2009 GRC) Revised 01-18-2010 2 2 2" xfId="19547"/>
    <cellStyle name="_4.06E Pass Throughs_Power Costs - Comparison bx Rbtl-Staff-Jt-PC_Electric Rev Req Model (2009 GRC) Revised 01-18-2010 2 3" xfId="15745"/>
    <cellStyle name="_4.06E Pass Throughs_Power Costs - Comparison bx Rbtl-Staff-Jt-PC_Electric Rev Req Model (2009 GRC) Revised 01-18-2010 3" xfId="3480"/>
    <cellStyle name="_4.06E Pass Throughs_Power Costs - Comparison bx Rbtl-Staff-Jt-PC_Electric Rev Req Model (2009 GRC) Revised 01-18-2010 3 2" xfId="19548"/>
    <cellStyle name="_4.06E Pass Throughs_Power Costs - Comparison bx Rbtl-Staff-Jt-PC_Electric Rev Req Model (2009 GRC) Revised 01-18-2010 4" xfId="15744"/>
    <cellStyle name="_4.06E Pass Throughs_Power Costs - Comparison bx Rbtl-Staff-Jt-PC_Electric Rev Req Model (2009 GRC) Revised 01-18-2010_DEM-WP(C) ENERG10C--ctn Mid-C_042010 2010GRC" xfId="11919"/>
    <cellStyle name="_4.06E Pass Throughs_Power Costs - Comparison bx Rbtl-Staff-Jt-PC_Final Order Electric EXHIBIT A-1" xfId="95"/>
    <cellStyle name="_4.06E Pass Throughs_Power Costs - Comparison bx Rbtl-Staff-Jt-PC_Final Order Electric EXHIBIT A-1 2" xfId="3482"/>
    <cellStyle name="_4.06E Pass Throughs_Power Costs - Comparison bx Rbtl-Staff-Jt-PC_Final Order Electric EXHIBIT A-1 2 2" xfId="6494"/>
    <cellStyle name="_4.06E Pass Throughs_Power Costs - Comparison bx Rbtl-Staff-Jt-PC_Final Order Electric EXHIBIT A-1 2 2 2" xfId="19549"/>
    <cellStyle name="_4.06E Pass Throughs_Power Costs - Comparison bx Rbtl-Staff-Jt-PC_Final Order Electric EXHIBIT A-1 2 3" xfId="18107"/>
    <cellStyle name="_4.06E Pass Throughs_Power Costs - Comparison bx Rbtl-Staff-Jt-PC_Final Order Electric EXHIBIT A-1 3" xfId="6495"/>
    <cellStyle name="_4.06E Pass Throughs_Power Costs - Comparison bx Rbtl-Staff-Jt-PC_Final Order Electric EXHIBIT A-1 3 2" xfId="19550"/>
    <cellStyle name="_4.06E Pass Throughs_Power Costs - Comparison bx Rbtl-Staff-Jt-PC_Final Order Electric EXHIBIT A-1 4" xfId="15746"/>
    <cellStyle name="_4.06E Pass Throughs_Production Adj 4.37" xfId="6496"/>
    <cellStyle name="_4.06E Pass Throughs_Production Adj 4.37 2" xfId="6497"/>
    <cellStyle name="_4.06E Pass Throughs_Production Adj 4.37 2 2" xfId="6498"/>
    <cellStyle name="_4.06E Pass Throughs_Production Adj 4.37 2 2 2" xfId="19551"/>
    <cellStyle name="_4.06E Pass Throughs_Production Adj 4.37 2 3" xfId="18109"/>
    <cellStyle name="_4.06E Pass Throughs_Production Adj 4.37 3" xfId="6499"/>
    <cellStyle name="_4.06E Pass Throughs_Production Adj 4.37 3 2" xfId="19552"/>
    <cellStyle name="_4.06E Pass Throughs_Production Adj 4.37 4" xfId="18108"/>
    <cellStyle name="_4.06E Pass Throughs_Purchased Power Adj 4.03" xfId="6500"/>
    <cellStyle name="_4.06E Pass Throughs_Purchased Power Adj 4.03 2" xfId="6501"/>
    <cellStyle name="_4.06E Pass Throughs_Purchased Power Adj 4.03 2 2" xfId="6502"/>
    <cellStyle name="_4.06E Pass Throughs_Purchased Power Adj 4.03 2 2 2" xfId="19553"/>
    <cellStyle name="_4.06E Pass Throughs_Purchased Power Adj 4.03 2 3" xfId="18111"/>
    <cellStyle name="_4.06E Pass Throughs_Purchased Power Adj 4.03 3" xfId="6503"/>
    <cellStyle name="_4.06E Pass Throughs_Purchased Power Adj 4.03 3 2" xfId="19554"/>
    <cellStyle name="_4.06E Pass Throughs_Purchased Power Adj 4.03 4" xfId="18110"/>
    <cellStyle name="_4.06E Pass Throughs_Rebuttal Power Costs" xfId="96"/>
    <cellStyle name="_4.06E Pass Throughs_Rebuttal Power Costs 2" xfId="97"/>
    <cellStyle name="_4.06E Pass Throughs_Rebuttal Power Costs 2 2" xfId="3484"/>
    <cellStyle name="_4.06E Pass Throughs_Rebuttal Power Costs 2 2 2" xfId="19555"/>
    <cellStyle name="_4.06E Pass Throughs_Rebuttal Power Costs 2 3" xfId="15748"/>
    <cellStyle name="_4.06E Pass Throughs_Rebuttal Power Costs 3" xfId="3483"/>
    <cellStyle name="_4.06E Pass Throughs_Rebuttal Power Costs 3 2" xfId="19556"/>
    <cellStyle name="_4.06E Pass Throughs_Rebuttal Power Costs 4" xfId="15747"/>
    <cellStyle name="_4.06E Pass Throughs_Rebuttal Power Costs_Adj Bench DR 3 for Initial Briefs (Electric)" xfId="98"/>
    <cellStyle name="_4.06E Pass Throughs_Rebuttal Power Costs_Adj Bench DR 3 for Initial Briefs (Electric) 2" xfId="99"/>
    <cellStyle name="_4.06E Pass Throughs_Rebuttal Power Costs_Adj Bench DR 3 for Initial Briefs (Electric) 2 2" xfId="3486"/>
    <cellStyle name="_4.06E Pass Throughs_Rebuttal Power Costs_Adj Bench DR 3 for Initial Briefs (Electric) 2 2 2" xfId="19557"/>
    <cellStyle name="_4.06E Pass Throughs_Rebuttal Power Costs_Adj Bench DR 3 for Initial Briefs (Electric) 2 3" xfId="15750"/>
    <cellStyle name="_4.06E Pass Throughs_Rebuttal Power Costs_Adj Bench DR 3 for Initial Briefs (Electric) 3" xfId="3485"/>
    <cellStyle name="_4.06E Pass Throughs_Rebuttal Power Costs_Adj Bench DR 3 for Initial Briefs (Electric) 3 2" xfId="19558"/>
    <cellStyle name="_4.06E Pass Throughs_Rebuttal Power Costs_Adj Bench DR 3 for Initial Briefs (Electric) 4" xfId="15749"/>
    <cellStyle name="_4.06E Pass Throughs_Rebuttal Power Costs_Adj Bench DR 3 for Initial Briefs (Electric)_DEM-WP(C) ENERG10C--ctn Mid-C_042010 2010GRC" xfId="11920"/>
    <cellStyle name="_4.06E Pass Throughs_Rebuttal Power Costs_DEM-WP(C) ENERG10C--ctn Mid-C_042010 2010GRC" xfId="11921"/>
    <cellStyle name="_4.06E Pass Throughs_Rebuttal Power Costs_Electric Rev Req Model (2009 GRC) Rebuttal" xfId="100"/>
    <cellStyle name="_4.06E Pass Throughs_Rebuttal Power Costs_Electric Rev Req Model (2009 GRC) Rebuttal 2" xfId="3487"/>
    <cellStyle name="_4.06E Pass Throughs_Rebuttal Power Costs_Electric Rev Req Model (2009 GRC) Rebuttal 2 2" xfId="6504"/>
    <cellStyle name="_4.06E Pass Throughs_Rebuttal Power Costs_Electric Rev Req Model (2009 GRC) Rebuttal 2 2 2" xfId="19559"/>
    <cellStyle name="_4.06E Pass Throughs_Rebuttal Power Costs_Electric Rev Req Model (2009 GRC) Rebuttal 2 3" xfId="18112"/>
    <cellStyle name="_4.06E Pass Throughs_Rebuttal Power Costs_Electric Rev Req Model (2009 GRC) Rebuttal 3" xfId="6505"/>
    <cellStyle name="_4.06E Pass Throughs_Rebuttal Power Costs_Electric Rev Req Model (2009 GRC) Rebuttal 3 2" xfId="19560"/>
    <cellStyle name="_4.06E Pass Throughs_Rebuttal Power Costs_Electric Rev Req Model (2009 GRC) Rebuttal 4" xfId="15751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489"/>
    <cellStyle name="_4.06E Pass Throughs_Rebuttal Power Costs_Electric Rev Req Model (2009 GRC) Rebuttal REmoval of New  WH Solar AdjustMI 2 2 2" xfId="19561"/>
    <cellStyle name="_4.06E Pass Throughs_Rebuttal Power Costs_Electric Rev Req Model (2009 GRC) Rebuttal REmoval of New  WH Solar AdjustMI 2 3" xfId="15753"/>
    <cellStyle name="_4.06E Pass Throughs_Rebuttal Power Costs_Electric Rev Req Model (2009 GRC) Rebuttal REmoval of New  WH Solar AdjustMI 3" xfId="3488"/>
    <cellStyle name="_4.06E Pass Throughs_Rebuttal Power Costs_Electric Rev Req Model (2009 GRC) Rebuttal REmoval of New  WH Solar AdjustMI 3 2" xfId="19562"/>
    <cellStyle name="_4.06E Pass Throughs_Rebuttal Power Costs_Electric Rev Req Model (2009 GRC) Rebuttal REmoval of New  WH Solar AdjustMI 4" xfId="15752"/>
    <cellStyle name="_4.06E Pass Throughs_Rebuttal Power Costs_Electric Rev Req Model (2009 GRC) Rebuttal REmoval of New  WH Solar AdjustMI_DEM-WP(C) ENERG10C--ctn Mid-C_042010 2010GRC" xfId="11922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491"/>
    <cellStyle name="_4.06E Pass Throughs_Rebuttal Power Costs_Electric Rev Req Model (2009 GRC) Revised 01-18-2010 2 2 2" xfId="19563"/>
    <cellStyle name="_4.06E Pass Throughs_Rebuttal Power Costs_Electric Rev Req Model (2009 GRC) Revised 01-18-2010 2 3" xfId="15755"/>
    <cellStyle name="_4.06E Pass Throughs_Rebuttal Power Costs_Electric Rev Req Model (2009 GRC) Revised 01-18-2010 3" xfId="3490"/>
    <cellStyle name="_4.06E Pass Throughs_Rebuttal Power Costs_Electric Rev Req Model (2009 GRC) Revised 01-18-2010 3 2" xfId="19564"/>
    <cellStyle name="_4.06E Pass Throughs_Rebuttal Power Costs_Electric Rev Req Model (2009 GRC) Revised 01-18-2010 4" xfId="15754"/>
    <cellStyle name="_4.06E Pass Throughs_Rebuttal Power Costs_Electric Rev Req Model (2009 GRC) Revised 01-18-2010_DEM-WP(C) ENERG10C--ctn Mid-C_042010 2010GRC" xfId="11923"/>
    <cellStyle name="_4.06E Pass Throughs_Rebuttal Power Costs_Final Order Electric EXHIBIT A-1" xfId="105"/>
    <cellStyle name="_4.06E Pass Throughs_Rebuttal Power Costs_Final Order Electric EXHIBIT A-1 2" xfId="3492"/>
    <cellStyle name="_4.06E Pass Throughs_Rebuttal Power Costs_Final Order Electric EXHIBIT A-1 2 2" xfId="6506"/>
    <cellStyle name="_4.06E Pass Throughs_Rebuttal Power Costs_Final Order Electric EXHIBIT A-1 2 2 2" xfId="19565"/>
    <cellStyle name="_4.06E Pass Throughs_Rebuttal Power Costs_Final Order Electric EXHIBIT A-1 2 3" xfId="18113"/>
    <cellStyle name="_4.06E Pass Throughs_Rebuttal Power Costs_Final Order Electric EXHIBIT A-1 3" xfId="6507"/>
    <cellStyle name="_4.06E Pass Throughs_Rebuttal Power Costs_Final Order Electric EXHIBIT A-1 3 2" xfId="19566"/>
    <cellStyle name="_4.06E Pass Throughs_Rebuttal Power Costs_Final Order Electric EXHIBIT A-1 4" xfId="15756"/>
    <cellStyle name="_4.06E Pass Throughs_ROR &amp; CONV FACTOR" xfId="6508"/>
    <cellStyle name="_4.06E Pass Throughs_ROR &amp; CONV FACTOR 2" xfId="6509"/>
    <cellStyle name="_4.06E Pass Throughs_ROR &amp; CONV FACTOR 2 2" xfId="6510"/>
    <cellStyle name="_4.06E Pass Throughs_ROR &amp; CONV FACTOR 2 2 2" xfId="19567"/>
    <cellStyle name="_4.06E Pass Throughs_ROR &amp; CONV FACTOR 2 3" xfId="18115"/>
    <cellStyle name="_4.06E Pass Throughs_ROR &amp; CONV FACTOR 3" xfId="6511"/>
    <cellStyle name="_4.06E Pass Throughs_ROR &amp; CONV FACTOR 3 2" xfId="19568"/>
    <cellStyle name="_4.06E Pass Throughs_ROR &amp; CONV FACTOR 4" xfId="18114"/>
    <cellStyle name="_4.06E Pass Throughs_ROR 5.02" xfId="6512"/>
    <cellStyle name="_4.06E Pass Throughs_ROR 5.02 2" xfId="6513"/>
    <cellStyle name="_4.06E Pass Throughs_ROR 5.02 2 2" xfId="6514"/>
    <cellStyle name="_4.06E Pass Throughs_ROR 5.02 2 2 2" xfId="19569"/>
    <cellStyle name="_4.06E Pass Throughs_ROR 5.02 2 3" xfId="18117"/>
    <cellStyle name="_4.06E Pass Throughs_ROR 5.02 3" xfId="6515"/>
    <cellStyle name="_4.06E Pass Throughs_ROR 5.02 3 2" xfId="19570"/>
    <cellStyle name="_4.06E Pass Throughs_ROR 5.02 4" xfId="18116"/>
    <cellStyle name="_4.06E Pass Throughs_Wind Integration 10GRC" xfId="106"/>
    <cellStyle name="_4.06E Pass Throughs_Wind Integration 10GRC 2" xfId="107"/>
    <cellStyle name="_4.06E Pass Throughs_Wind Integration 10GRC 2 2" xfId="3494"/>
    <cellStyle name="_4.06E Pass Throughs_Wind Integration 10GRC 3" xfId="3493"/>
    <cellStyle name="_4.06E Pass Throughs_Wind Integration 10GRC_DEM-WP(C) ENERG10C--ctn Mid-C_042010 2010GRC" xfId="11924"/>
    <cellStyle name="_4.13E Montana Energy Tax" xfId="108"/>
    <cellStyle name="_4.13E Montana Energy Tax 2" xfId="109"/>
    <cellStyle name="_4.13E Montana Energy Tax 2 2" xfId="110"/>
    <cellStyle name="_4.13E Montana Energy Tax 2 2 2" xfId="3497"/>
    <cellStyle name="_4.13E Montana Energy Tax 2 2 2 2" xfId="19571"/>
    <cellStyle name="_4.13E Montana Energy Tax 2 2 3" xfId="15758"/>
    <cellStyle name="_4.13E Montana Energy Tax 2 3" xfId="3496"/>
    <cellStyle name="_4.13E Montana Energy Tax 2 3 2" xfId="19572"/>
    <cellStyle name="_4.13E Montana Energy Tax 2 4" xfId="15757"/>
    <cellStyle name="_4.13E Montana Energy Tax 3" xfId="111"/>
    <cellStyle name="_4.13E Montana Energy Tax 3 2" xfId="3498"/>
    <cellStyle name="_4.13E Montana Energy Tax 3 2 2" xfId="6516"/>
    <cellStyle name="_4.13E Montana Energy Tax 3 2 2 2" xfId="19573"/>
    <cellStyle name="_4.13E Montana Energy Tax 3 2 3" xfId="18118"/>
    <cellStyle name="_4.13E Montana Energy Tax 3 3" xfId="6517"/>
    <cellStyle name="_4.13E Montana Energy Tax 3 3 2" xfId="6518"/>
    <cellStyle name="_4.13E Montana Energy Tax 3 3 2 2" xfId="19574"/>
    <cellStyle name="_4.13E Montana Energy Tax 3 3 3" xfId="18119"/>
    <cellStyle name="_4.13E Montana Energy Tax 3 4" xfId="6519"/>
    <cellStyle name="_4.13E Montana Energy Tax 3 4 2" xfId="6520"/>
    <cellStyle name="_4.13E Montana Energy Tax 3 4 2 2" xfId="19575"/>
    <cellStyle name="_4.13E Montana Energy Tax 3 4 3" xfId="18120"/>
    <cellStyle name="_4.13E Montana Energy Tax 3 5" xfId="15759"/>
    <cellStyle name="_4.13E Montana Energy Tax 4" xfId="112"/>
    <cellStyle name="_4.13E Montana Energy Tax 4 2" xfId="113"/>
    <cellStyle name="_4.13E Montana Energy Tax 4 2 2" xfId="3500"/>
    <cellStyle name="_4.13E Montana Energy Tax 4 3" xfId="3499"/>
    <cellStyle name="_4.13E Montana Energy Tax 5" xfId="3495"/>
    <cellStyle name="_4.13E Montana Energy Tax 5 2" xfId="19576"/>
    <cellStyle name="_4.13E Montana Energy Tax 5 2 2" xfId="22675"/>
    <cellStyle name="_4.13E Montana Energy Tax 5 3" xfId="22676"/>
    <cellStyle name="_4.13E Montana Energy Tax 6" xfId="6521"/>
    <cellStyle name="_4.13E Montana Energy Tax 6 2" xfId="11925"/>
    <cellStyle name="_4.13E Montana Energy Tax 7" xfId="11926"/>
    <cellStyle name="_4.13E Montana Energy Tax 7 2" xfId="11927"/>
    <cellStyle name="_4.13E Montana Energy Tax 8" xfId="22677"/>
    <cellStyle name="_4.13E Montana Energy Tax 8 2" xfId="22678"/>
    <cellStyle name="_4.13E Montana Energy Tax 9" xfId="22679"/>
    <cellStyle name="_4.13E Montana Energy Tax 9 2" xfId="22680"/>
    <cellStyle name="_4.13E Montana Energy Tax_04 07E Wild Horse Wind Expansion (C) (2)" xfId="114"/>
    <cellStyle name="_4.13E Montana Energy Tax_04 07E Wild Horse Wind Expansion (C) (2) 2" xfId="115"/>
    <cellStyle name="_4.13E Montana Energy Tax_04 07E Wild Horse Wind Expansion (C) (2) 2 2" xfId="3502"/>
    <cellStyle name="_4.13E Montana Energy Tax_04 07E Wild Horse Wind Expansion (C) (2) 2 2 2" xfId="19577"/>
    <cellStyle name="_4.13E Montana Energy Tax_04 07E Wild Horse Wind Expansion (C) (2) 2 3" xfId="15761"/>
    <cellStyle name="_4.13E Montana Energy Tax_04 07E Wild Horse Wind Expansion (C) (2) 3" xfId="3501"/>
    <cellStyle name="_4.13E Montana Energy Tax_04 07E Wild Horse Wind Expansion (C) (2) 3 2" xfId="19578"/>
    <cellStyle name="_4.13E Montana Energy Tax_04 07E Wild Horse Wind Expansion (C) (2) 4" xfId="15760"/>
    <cellStyle name="_4.13E Montana Energy Tax_04 07E Wild Horse Wind Expansion (C) (2)_Adj Bench DR 3 for Initial Briefs (Electric)" xfId="116"/>
    <cellStyle name="_4.13E Montana Energy Tax_04 07E Wild Horse Wind Expansion (C) (2)_Adj Bench DR 3 for Initial Briefs (Electric) 2" xfId="117"/>
    <cellStyle name="_4.13E Montana Energy Tax_04 07E Wild Horse Wind Expansion (C) (2)_Adj Bench DR 3 for Initial Briefs (Electric) 2 2" xfId="3504"/>
    <cellStyle name="_4.13E Montana Energy Tax_04 07E Wild Horse Wind Expansion (C) (2)_Adj Bench DR 3 for Initial Briefs (Electric) 2 2 2" xfId="19579"/>
    <cellStyle name="_4.13E Montana Energy Tax_04 07E Wild Horse Wind Expansion (C) (2)_Adj Bench DR 3 for Initial Briefs (Electric) 2 3" xfId="15763"/>
    <cellStyle name="_4.13E Montana Energy Tax_04 07E Wild Horse Wind Expansion (C) (2)_Adj Bench DR 3 for Initial Briefs (Electric) 3" xfId="3503"/>
    <cellStyle name="_4.13E Montana Energy Tax_04 07E Wild Horse Wind Expansion (C) (2)_Adj Bench DR 3 for Initial Briefs (Electric) 3 2" xfId="19580"/>
    <cellStyle name="_4.13E Montana Energy Tax_04 07E Wild Horse Wind Expansion (C) (2)_Adj Bench DR 3 for Initial Briefs (Electric) 4" xfId="15762"/>
    <cellStyle name="_4.13E Montana Energy Tax_04 07E Wild Horse Wind Expansion (C) (2)_Adj Bench DR 3 for Initial Briefs (Electric)_DEM-WP(C) ENERG10C--ctn Mid-C_042010 2010GRC" xfId="11928"/>
    <cellStyle name="_4.13E Montana Energy Tax_04 07E Wild Horse Wind Expansion (C) (2)_Book1" xfId="14234"/>
    <cellStyle name="_4.13E Montana Energy Tax_04 07E Wild Horse Wind Expansion (C) (2)_DEM-WP(C) ENERG10C--ctn Mid-C_042010 2010GRC" xfId="11929"/>
    <cellStyle name="_4.13E Montana Energy Tax_04 07E Wild Horse Wind Expansion (C) (2)_Electric Rev Req Model (2009 GRC) " xfId="118"/>
    <cellStyle name="_4.13E Montana Energy Tax_04 07E Wild Horse Wind Expansion (C) (2)_Electric Rev Req Model (2009 GRC)  2" xfId="119"/>
    <cellStyle name="_4.13E Montana Energy Tax_04 07E Wild Horse Wind Expansion (C) (2)_Electric Rev Req Model (2009 GRC)  2 2" xfId="3506"/>
    <cellStyle name="_4.13E Montana Energy Tax_04 07E Wild Horse Wind Expansion (C) (2)_Electric Rev Req Model (2009 GRC)  2 2 2" xfId="19581"/>
    <cellStyle name="_4.13E Montana Energy Tax_04 07E Wild Horse Wind Expansion (C) (2)_Electric Rev Req Model (2009 GRC)  2 3" xfId="15765"/>
    <cellStyle name="_4.13E Montana Energy Tax_04 07E Wild Horse Wind Expansion (C) (2)_Electric Rev Req Model (2009 GRC)  3" xfId="3505"/>
    <cellStyle name="_4.13E Montana Energy Tax_04 07E Wild Horse Wind Expansion (C) (2)_Electric Rev Req Model (2009 GRC)  3 2" xfId="19582"/>
    <cellStyle name="_4.13E Montana Energy Tax_04 07E Wild Horse Wind Expansion (C) (2)_Electric Rev Req Model (2009 GRC)  4" xfId="15764"/>
    <cellStyle name="_4.13E Montana Energy Tax_04 07E Wild Horse Wind Expansion (C) (2)_Electric Rev Req Model (2009 GRC) _DEM-WP(C) ENERG10C--ctn Mid-C_042010 2010GRC" xfId="11930"/>
    <cellStyle name="_4.13E Montana Energy Tax_04 07E Wild Horse Wind Expansion (C) (2)_Electric Rev Req Model (2009 GRC) Rebuttal" xfId="120"/>
    <cellStyle name="_4.13E Montana Energy Tax_04 07E Wild Horse Wind Expansion (C) (2)_Electric Rev Req Model (2009 GRC) Rebuttal 2" xfId="3507"/>
    <cellStyle name="_4.13E Montana Energy Tax_04 07E Wild Horse Wind Expansion (C) (2)_Electric Rev Req Model (2009 GRC) Rebuttal 2 2" xfId="6522"/>
    <cellStyle name="_4.13E Montana Energy Tax_04 07E Wild Horse Wind Expansion (C) (2)_Electric Rev Req Model (2009 GRC) Rebuttal 2 2 2" xfId="19583"/>
    <cellStyle name="_4.13E Montana Energy Tax_04 07E Wild Horse Wind Expansion (C) (2)_Electric Rev Req Model (2009 GRC) Rebuttal 2 3" xfId="18121"/>
    <cellStyle name="_4.13E Montana Energy Tax_04 07E Wild Horse Wind Expansion (C) (2)_Electric Rev Req Model (2009 GRC) Rebuttal 3" xfId="6523"/>
    <cellStyle name="_4.13E Montana Energy Tax_04 07E Wild Horse Wind Expansion (C) (2)_Electric Rev Req Model (2009 GRC) Rebuttal 3 2" xfId="19584"/>
    <cellStyle name="_4.13E Montana Energy Tax_04 07E Wild Horse Wind Expansion (C) (2)_Electric Rev Req Model (2009 GRC) Rebuttal 4" xfId="15766"/>
    <cellStyle name="_4.13E Montana Energy Tax_04 07E Wild Horse Wind Expansion (C) (2)_Electric Rev Req Model (2009 GRC) Rebuttal REmoval of New  WH Solar AdjustMI" xfId="121"/>
    <cellStyle name="_4.13E Montana Energy Tax_04 07E Wild Horse Wind Expansion (C) (2)_Electric Rev Req Model (2009 GRC) Rebuttal REmoval of New  WH Solar AdjustMI 2" xfId="122"/>
    <cellStyle name="_4.13E Montana Energy Tax_04 07E Wild Horse Wind Expansion (C) (2)_Electric Rev Req Model (2009 GRC) Rebuttal REmoval of New  WH Solar AdjustMI 2 2" xfId="3509"/>
    <cellStyle name="_4.13E Montana Energy Tax_04 07E Wild Horse Wind Expansion (C) (2)_Electric Rev Req Model (2009 GRC) Rebuttal REmoval of New  WH Solar AdjustMI 2 2 2" xfId="19585"/>
    <cellStyle name="_4.13E Montana Energy Tax_04 07E Wild Horse Wind Expansion (C) (2)_Electric Rev Req Model (2009 GRC) Rebuttal REmoval of New  WH Solar AdjustMI 2 3" xfId="15768"/>
    <cellStyle name="_4.13E Montana Energy Tax_04 07E Wild Horse Wind Expansion (C) (2)_Electric Rev Req Model (2009 GRC) Rebuttal REmoval of New  WH Solar AdjustMI 3" xfId="3508"/>
    <cellStyle name="_4.13E Montana Energy Tax_04 07E Wild Horse Wind Expansion (C) (2)_Electric Rev Req Model (2009 GRC) Rebuttal REmoval of New  WH Solar AdjustMI 3 2" xfId="19586"/>
    <cellStyle name="_4.13E Montana Energy Tax_04 07E Wild Horse Wind Expansion (C) (2)_Electric Rev Req Model (2009 GRC) Rebuttal REmoval of New  WH Solar AdjustMI 4" xfId="15767"/>
    <cellStyle name="_4.13E Montana Energy Tax_04 07E Wild Horse Wind Expansion (C) (2)_Electric Rev Req Model (2009 GRC) Rebuttal REmoval of New  WH Solar AdjustMI_DEM-WP(C) ENERG10C--ctn Mid-C_042010 2010GRC" xfId="11931"/>
    <cellStyle name="_4.13E Montana Energy Tax_04 07E Wild Horse Wind Expansion (C) (2)_Electric Rev Req Model (2009 GRC) Revised 01-18-2010" xfId="123"/>
    <cellStyle name="_4.13E Montana Energy Tax_04 07E Wild Horse Wind Expansion (C) (2)_Electric Rev Req Model (2009 GRC) Revised 01-18-2010 2" xfId="124"/>
    <cellStyle name="_4.13E Montana Energy Tax_04 07E Wild Horse Wind Expansion (C) (2)_Electric Rev Req Model (2009 GRC) Revised 01-18-2010 2 2" xfId="3511"/>
    <cellStyle name="_4.13E Montana Energy Tax_04 07E Wild Horse Wind Expansion (C) (2)_Electric Rev Req Model (2009 GRC) Revised 01-18-2010 2 2 2" xfId="19587"/>
    <cellStyle name="_4.13E Montana Energy Tax_04 07E Wild Horse Wind Expansion (C) (2)_Electric Rev Req Model (2009 GRC) Revised 01-18-2010 2 3" xfId="15770"/>
    <cellStyle name="_4.13E Montana Energy Tax_04 07E Wild Horse Wind Expansion (C) (2)_Electric Rev Req Model (2009 GRC) Revised 01-18-2010 3" xfId="3510"/>
    <cellStyle name="_4.13E Montana Energy Tax_04 07E Wild Horse Wind Expansion (C) (2)_Electric Rev Req Model (2009 GRC) Revised 01-18-2010 3 2" xfId="19588"/>
    <cellStyle name="_4.13E Montana Energy Tax_04 07E Wild Horse Wind Expansion (C) (2)_Electric Rev Req Model (2009 GRC) Revised 01-18-2010 4" xfId="15769"/>
    <cellStyle name="_4.13E Montana Energy Tax_04 07E Wild Horse Wind Expansion (C) (2)_Electric Rev Req Model (2009 GRC) Revised 01-18-2010_DEM-WP(C) ENERG10C--ctn Mid-C_042010 2010GRC" xfId="11932"/>
    <cellStyle name="_4.13E Montana Energy Tax_04 07E Wild Horse Wind Expansion (C) (2)_Electric Rev Req Model (2010 GRC)" xfId="14235"/>
    <cellStyle name="_4.13E Montana Energy Tax_04 07E Wild Horse Wind Expansion (C) (2)_Electric Rev Req Model (2010 GRC) SF" xfId="14236"/>
    <cellStyle name="_4.13E Montana Energy Tax_04 07E Wild Horse Wind Expansion (C) (2)_Final Order Electric EXHIBIT A-1" xfId="125"/>
    <cellStyle name="_4.13E Montana Energy Tax_04 07E Wild Horse Wind Expansion (C) (2)_Final Order Electric EXHIBIT A-1 2" xfId="3512"/>
    <cellStyle name="_4.13E Montana Energy Tax_04 07E Wild Horse Wind Expansion (C) (2)_Final Order Electric EXHIBIT A-1 2 2" xfId="6524"/>
    <cellStyle name="_4.13E Montana Energy Tax_04 07E Wild Horse Wind Expansion (C) (2)_Final Order Electric EXHIBIT A-1 2 2 2" xfId="19589"/>
    <cellStyle name="_4.13E Montana Energy Tax_04 07E Wild Horse Wind Expansion (C) (2)_Final Order Electric EXHIBIT A-1 2 3" xfId="18122"/>
    <cellStyle name="_4.13E Montana Energy Tax_04 07E Wild Horse Wind Expansion (C) (2)_Final Order Electric EXHIBIT A-1 3" xfId="6525"/>
    <cellStyle name="_4.13E Montana Energy Tax_04 07E Wild Horse Wind Expansion (C) (2)_Final Order Electric EXHIBIT A-1 3 2" xfId="19590"/>
    <cellStyle name="_4.13E Montana Energy Tax_04 07E Wild Horse Wind Expansion (C) (2)_Final Order Electric EXHIBIT A-1 4" xfId="15771"/>
    <cellStyle name="_4.13E Montana Energy Tax_04 07E Wild Horse Wind Expansion (C) (2)_TENASKA REGULATORY ASSET" xfId="126"/>
    <cellStyle name="_4.13E Montana Energy Tax_04 07E Wild Horse Wind Expansion (C) (2)_TENASKA REGULATORY ASSET 2" xfId="3513"/>
    <cellStyle name="_4.13E Montana Energy Tax_04 07E Wild Horse Wind Expansion (C) (2)_TENASKA REGULATORY ASSET 2 2" xfId="6526"/>
    <cellStyle name="_4.13E Montana Energy Tax_04 07E Wild Horse Wind Expansion (C) (2)_TENASKA REGULATORY ASSET 2 2 2" xfId="19591"/>
    <cellStyle name="_4.13E Montana Energy Tax_04 07E Wild Horse Wind Expansion (C) (2)_TENASKA REGULATORY ASSET 2 3" xfId="18123"/>
    <cellStyle name="_4.13E Montana Energy Tax_04 07E Wild Horse Wind Expansion (C) (2)_TENASKA REGULATORY ASSET 3" xfId="6527"/>
    <cellStyle name="_4.13E Montana Energy Tax_04 07E Wild Horse Wind Expansion (C) (2)_TENASKA REGULATORY ASSET 3 2" xfId="19592"/>
    <cellStyle name="_4.13E Montana Energy Tax_04 07E Wild Horse Wind Expansion (C) (2)_TENASKA REGULATORY ASSET 4" xfId="15772"/>
    <cellStyle name="_4.13E Montana Energy Tax_16.37E Wild Horse Expansion DeferralRevwrkingfile SF" xfId="127"/>
    <cellStyle name="_4.13E Montana Energy Tax_16.37E Wild Horse Expansion DeferralRevwrkingfile SF 2" xfId="128"/>
    <cellStyle name="_4.13E Montana Energy Tax_16.37E Wild Horse Expansion DeferralRevwrkingfile SF 2 2" xfId="3515"/>
    <cellStyle name="_4.13E Montana Energy Tax_16.37E Wild Horse Expansion DeferralRevwrkingfile SF 2 2 2" xfId="19593"/>
    <cellStyle name="_4.13E Montana Energy Tax_16.37E Wild Horse Expansion DeferralRevwrkingfile SF 2 3" xfId="15774"/>
    <cellStyle name="_4.13E Montana Energy Tax_16.37E Wild Horse Expansion DeferralRevwrkingfile SF 3" xfId="3514"/>
    <cellStyle name="_4.13E Montana Energy Tax_16.37E Wild Horse Expansion DeferralRevwrkingfile SF 3 2" xfId="19594"/>
    <cellStyle name="_4.13E Montana Energy Tax_16.37E Wild Horse Expansion DeferralRevwrkingfile SF 4" xfId="15773"/>
    <cellStyle name="_4.13E Montana Energy Tax_16.37E Wild Horse Expansion DeferralRevwrkingfile SF_DEM-WP(C) ENERG10C--ctn Mid-C_042010 2010GRC" xfId="11933"/>
    <cellStyle name="_4.13E Montana Energy Tax_2009 Compliance Filing PCA Exhibits for GRC" xfId="14010"/>
    <cellStyle name="_4.13E Montana Energy Tax_2009 Compliance Filing PCA Exhibits for GRC 2" xfId="14409"/>
    <cellStyle name="_4.13E Montana Energy Tax_2009 GRC Compl Filing - Exhibit D" xfId="129"/>
    <cellStyle name="_4.13E Montana Energy Tax_2009 GRC Compl Filing - Exhibit D 2" xfId="130"/>
    <cellStyle name="_4.13E Montana Energy Tax_2009 GRC Compl Filing - Exhibit D 2 2" xfId="3517"/>
    <cellStyle name="_4.13E Montana Energy Tax_2009 GRC Compl Filing - Exhibit D 3" xfId="3516"/>
    <cellStyle name="_4.13E Montana Energy Tax_2009 GRC Compl Filing - Exhibit D_DEM-WP(C) ENERG10C--ctn Mid-C_042010 2010GRC" xfId="11934"/>
    <cellStyle name="_4.13E Montana Energy Tax_3.01 Income Statement" xfId="14011"/>
    <cellStyle name="_4.13E Montana Energy Tax_4 31 Regulatory Assets and Liabilities  7 06- Exhibit D" xfId="131"/>
    <cellStyle name="_4.13E Montana Energy Tax_4 31 Regulatory Assets and Liabilities  7 06- Exhibit D 2" xfId="132"/>
    <cellStyle name="_4.13E Montana Energy Tax_4 31 Regulatory Assets and Liabilities  7 06- Exhibit D 2 2" xfId="3519"/>
    <cellStyle name="_4.13E Montana Energy Tax_4 31 Regulatory Assets and Liabilities  7 06- Exhibit D 2 2 2" xfId="19595"/>
    <cellStyle name="_4.13E Montana Energy Tax_4 31 Regulatory Assets and Liabilities  7 06- Exhibit D 2 3" xfId="15776"/>
    <cellStyle name="_4.13E Montana Energy Tax_4 31 Regulatory Assets and Liabilities  7 06- Exhibit D 3" xfId="3518"/>
    <cellStyle name="_4.13E Montana Energy Tax_4 31 Regulatory Assets and Liabilities  7 06- Exhibit D 3 2" xfId="19596"/>
    <cellStyle name="_4.13E Montana Energy Tax_4 31 Regulatory Assets and Liabilities  7 06- Exhibit D 4" xfId="15775"/>
    <cellStyle name="_4.13E Montana Energy Tax_4 31 Regulatory Assets and Liabilities  7 06- Exhibit D_DEM-WP(C) ENERG10C--ctn Mid-C_042010 2010GRC" xfId="11935"/>
    <cellStyle name="_4.13E Montana Energy Tax_4 31 Regulatory Assets and Liabilities  7 06- Exhibit D_NIM Summary" xfId="133"/>
    <cellStyle name="_4.13E Montana Energy Tax_4 31 Regulatory Assets and Liabilities  7 06- Exhibit D_NIM Summary 2" xfId="134"/>
    <cellStyle name="_4.13E Montana Energy Tax_4 31 Regulatory Assets and Liabilities  7 06- Exhibit D_NIM Summary 2 2" xfId="3521"/>
    <cellStyle name="_4.13E Montana Energy Tax_4 31 Regulatory Assets and Liabilities  7 06- Exhibit D_NIM Summary 3" xfId="3520"/>
    <cellStyle name="_4.13E Montana Energy Tax_4 31 Regulatory Assets and Liabilities  7 06- Exhibit D_NIM Summary_DEM-WP(C) ENERG10C--ctn Mid-C_042010 2010GRC" xfId="11936"/>
    <cellStyle name="_4.13E Montana Energy Tax_4 31E Reg Asset  Liab and EXH D" xfId="11937"/>
    <cellStyle name="_4.13E Montana Energy Tax_4 31E Reg Asset  Liab and EXH D _ Aug 10 Filing (2)" xfId="11938"/>
    <cellStyle name="_4.13E Montana Energy Tax_4 31E Reg Asset  Liab and EXH D _ Aug 10 Filing (2) 2" xfId="22681"/>
    <cellStyle name="_4.13E Montana Energy Tax_4 31E Reg Asset  Liab and EXH D 10" xfId="22682"/>
    <cellStyle name="_4.13E Montana Energy Tax_4 31E Reg Asset  Liab and EXH D 11" xfId="22683"/>
    <cellStyle name="_4.13E Montana Energy Tax_4 31E Reg Asset  Liab and EXH D 12" xfId="22684"/>
    <cellStyle name="_4.13E Montana Energy Tax_4 31E Reg Asset  Liab and EXH D 13" xfId="22685"/>
    <cellStyle name="_4.13E Montana Energy Tax_4 31E Reg Asset  Liab and EXH D 14" xfId="22686"/>
    <cellStyle name="_4.13E Montana Energy Tax_4 31E Reg Asset  Liab and EXH D 15" xfId="22687"/>
    <cellStyle name="_4.13E Montana Energy Tax_4 31E Reg Asset  Liab and EXH D 16" xfId="22688"/>
    <cellStyle name="_4.13E Montana Energy Tax_4 31E Reg Asset  Liab and EXH D 17" xfId="22689"/>
    <cellStyle name="_4.13E Montana Energy Tax_4 31E Reg Asset  Liab and EXH D 18" xfId="22690"/>
    <cellStyle name="_4.13E Montana Energy Tax_4 31E Reg Asset  Liab and EXH D 19" xfId="22691"/>
    <cellStyle name="_4.13E Montana Energy Tax_4 31E Reg Asset  Liab and EXH D 2" xfId="22692"/>
    <cellStyle name="_4.13E Montana Energy Tax_4 31E Reg Asset  Liab and EXH D 20" xfId="22693"/>
    <cellStyle name="_4.13E Montana Energy Tax_4 31E Reg Asset  Liab and EXH D 21" xfId="22694"/>
    <cellStyle name="_4.13E Montana Energy Tax_4 31E Reg Asset  Liab and EXH D 22" xfId="22695"/>
    <cellStyle name="_4.13E Montana Energy Tax_4 31E Reg Asset  Liab and EXH D 23" xfId="22696"/>
    <cellStyle name="_4.13E Montana Energy Tax_4 31E Reg Asset  Liab and EXH D 24" xfId="22697"/>
    <cellStyle name="_4.13E Montana Energy Tax_4 31E Reg Asset  Liab and EXH D 25" xfId="22698"/>
    <cellStyle name="_4.13E Montana Energy Tax_4 31E Reg Asset  Liab and EXH D 26" xfId="22699"/>
    <cellStyle name="_4.13E Montana Energy Tax_4 31E Reg Asset  Liab and EXH D 27" xfId="22700"/>
    <cellStyle name="_4.13E Montana Energy Tax_4 31E Reg Asset  Liab and EXH D 28" xfId="22701"/>
    <cellStyle name="_4.13E Montana Energy Tax_4 31E Reg Asset  Liab and EXH D 29" xfId="22702"/>
    <cellStyle name="_4.13E Montana Energy Tax_4 31E Reg Asset  Liab and EXH D 3" xfId="22703"/>
    <cellStyle name="_4.13E Montana Energy Tax_4 31E Reg Asset  Liab and EXH D 30" xfId="22704"/>
    <cellStyle name="_4.13E Montana Energy Tax_4 31E Reg Asset  Liab and EXH D 31" xfId="22705"/>
    <cellStyle name="_4.13E Montana Energy Tax_4 31E Reg Asset  Liab and EXH D 32" xfId="22706"/>
    <cellStyle name="_4.13E Montana Energy Tax_4 31E Reg Asset  Liab and EXH D 33" xfId="22707"/>
    <cellStyle name="_4.13E Montana Energy Tax_4 31E Reg Asset  Liab and EXH D 34" xfId="22708"/>
    <cellStyle name="_4.13E Montana Energy Tax_4 31E Reg Asset  Liab and EXH D 35" xfId="22709"/>
    <cellStyle name="_4.13E Montana Energy Tax_4 31E Reg Asset  Liab and EXH D 36" xfId="22710"/>
    <cellStyle name="_4.13E Montana Energy Tax_4 31E Reg Asset  Liab and EXH D 4" xfId="22711"/>
    <cellStyle name="_4.13E Montana Energy Tax_4 31E Reg Asset  Liab and EXH D 5" xfId="22712"/>
    <cellStyle name="_4.13E Montana Energy Tax_4 31E Reg Asset  Liab and EXH D 6" xfId="22713"/>
    <cellStyle name="_4.13E Montana Energy Tax_4 31E Reg Asset  Liab and EXH D 7" xfId="22714"/>
    <cellStyle name="_4.13E Montana Energy Tax_4 31E Reg Asset  Liab and EXH D 8" xfId="22715"/>
    <cellStyle name="_4.13E Montana Energy Tax_4 31E Reg Asset  Liab and EXH D 9" xfId="22716"/>
    <cellStyle name="_4.13E Montana Energy Tax_4 32 Regulatory Assets and Liabilities  7 06- Exhibit D" xfId="135"/>
    <cellStyle name="_4.13E Montana Energy Tax_4 32 Regulatory Assets and Liabilities  7 06- Exhibit D 2" xfId="136"/>
    <cellStyle name="_4.13E Montana Energy Tax_4 32 Regulatory Assets and Liabilities  7 06- Exhibit D 2 2" xfId="3523"/>
    <cellStyle name="_4.13E Montana Energy Tax_4 32 Regulatory Assets and Liabilities  7 06- Exhibit D 2 2 2" xfId="19597"/>
    <cellStyle name="_4.13E Montana Energy Tax_4 32 Regulatory Assets and Liabilities  7 06- Exhibit D 2 3" xfId="15778"/>
    <cellStyle name="_4.13E Montana Energy Tax_4 32 Regulatory Assets and Liabilities  7 06- Exhibit D 3" xfId="3522"/>
    <cellStyle name="_4.13E Montana Energy Tax_4 32 Regulatory Assets and Liabilities  7 06- Exhibit D 3 2" xfId="19598"/>
    <cellStyle name="_4.13E Montana Energy Tax_4 32 Regulatory Assets and Liabilities  7 06- Exhibit D 4" xfId="15777"/>
    <cellStyle name="_4.13E Montana Energy Tax_4 32 Regulatory Assets and Liabilities  7 06- Exhibit D_DEM-WP(C) ENERG10C--ctn Mid-C_042010 2010GRC" xfId="11939"/>
    <cellStyle name="_4.13E Montana Energy Tax_4 32 Regulatory Assets and Liabilities  7 06- Exhibit D_NIM Summary" xfId="137"/>
    <cellStyle name="_4.13E Montana Energy Tax_4 32 Regulatory Assets and Liabilities  7 06- Exhibit D_NIM Summary 2" xfId="138"/>
    <cellStyle name="_4.13E Montana Energy Tax_4 32 Regulatory Assets and Liabilities  7 06- Exhibit D_NIM Summary 2 2" xfId="3525"/>
    <cellStyle name="_4.13E Montana Energy Tax_4 32 Regulatory Assets and Liabilities  7 06- Exhibit D_NIM Summary 3" xfId="3524"/>
    <cellStyle name="_4.13E Montana Energy Tax_4 32 Regulatory Assets and Liabilities  7 06- Exhibit D_NIM Summary_DEM-WP(C) ENERG10C--ctn Mid-C_042010 2010GRC" xfId="11940"/>
    <cellStyle name="_4.13E Montana Energy Tax_AURORA Total New" xfId="139"/>
    <cellStyle name="_4.13E Montana Energy Tax_AURORA Total New 2" xfId="140"/>
    <cellStyle name="_4.13E Montana Energy Tax_AURORA Total New 2 2" xfId="3527"/>
    <cellStyle name="_4.13E Montana Energy Tax_AURORA Total New 3" xfId="3526"/>
    <cellStyle name="_4.13E Montana Energy Tax_Book2" xfId="141"/>
    <cellStyle name="_4.13E Montana Energy Tax_Book2 2" xfId="142"/>
    <cellStyle name="_4.13E Montana Energy Tax_Book2 2 2" xfId="3529"/>
    <cellStyle name="_4.13E Montana Energy Tax_Book2 2 2 2" xfId="19599"/>
    <cellStyle name="_4.13E Montana Energy Tax_Book2 2 3" xfId="15781"/>
    <cellStyle name="_4.13E Montana Energy Tax_Book2 3" xfId="3528"/>
    <cellStyle name="_4.13E Montana Energy Tax_Book2 3 2" xfId="19600"/>
    <cellStyle name="_4.13E Montana Energy Tax_Book2 4" xfId="15780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531"/>
    <cellStyle name="_4.13E Montana Energy Tax_Book2_Adj Bench DR 3 for Initial Briefs (Electric) 2 2 2" xfId="19601"/>
    <cellStyle name="_4.13E Montana Energy Tax_Book2_Adj Bench DR 3 for Initial Briefs (Electric) 2 3" xfId="15783"/>
    <cellStyle name="_4.13E Montana Energy Tax_Book2_Adj Bench DR 3 for Initial Briefs (Electric) 3" xfId="3530"/>
    <cellStyle name="_4.13E Montana Energy Tax_Book2_Adj Bench DR 3 for Initial Briefs (Electric) 3 2" xfId="19602"/>
    <cellStyle name="_4.13E Montana Energy Tax_Book2_Adj Bench DR 3 for Initial Briefs (Electric) 4" xfId="15782"/>
    <cellStyle name="_4.13E Montana Energy Tax_Book2_Adj Bench DR 3 for Initial Briefs (Electric)_DEM-WP(C) ENERG10C--ctn Mid-C_042010 2010GRC" xfId="11941"/>
    <cellStyle name="_4.13E Montana Energy Tax_Book2_DEM-WP(C) ENERG10C--ctn Mid-C_042010 2010GRC" xfId="11942"/>
    <cellStyle name="_4.13E Montana Energy Tax_Book2_Electric Rev Req Model (2009 GRC) Rebuttal" xfId="145"/>
    <cellStyle name="_4.13E Montana Energy Tax_Book2_Electric Rev Req Model (2009 GRC) Rebuttal 2" xfId="3532"/>
    <cellStyle name="_4.13E Montana Energy Tax_Book2_Electric Rev Req Model (2009 GRC) Rebuttal 2 2" xfId="6528"/>
    <cellStyle name="_4.13E Montana Energy Tax_Book2_Electric Rev Req Model (2009 GRC) Rebuttal 2 2 2" xfId="19603"/>
    <cellStyle name="_4.13E Montana Energy Tax_Book2_Electric Rev Req Model (2009 GRC) Rebuttal 2 3" xfId="18124"/>
    <cellStyle name="_4.13E Montana Energy Tax_Book2_Electric Rev Req Model (2009 GRC) Rebuttal 3" xfId="6529"/>
    <cellStyle name="_4.13E Montana Energy Tax_Book2_Electric Rev Req Model (2009 GRC) Rebuttal 3 2" xfId="19604"/>
    <cellStyle name="_4.13E Montana Energy Tax_Book2_Electric Rev Req Model (2009 GRC) Rebuttal 4" xfId="15784"/>
    <cellStyle name="_4.13E Montana Energy Tax_Book2_Electric Rev Req Model (2009 GRC) Rebuttal REmoval of New  WH Solar AdjustMI" xfId="146"/>
    <cellStyle name="_4.13E Montana Energy Tax_Book2_Electric Rev Req Model (2009 GRC) Rebuttal REmoval of New  WH Solar AdjustMI 2" xfId="147"/>
    <cellStyle name="_4.13E Montana Energy Tax_Book2_Electric Rev Req Model (2009 GRC) Rebuttal REmoval of New  WH Solar AdjustMI 2 2" xfId="3534"/>
    <cellStyle name="_4.13E Montana Energy Tax_Book2_Electric Rev Req Model (2009 GRC) Rebuttal REmoval of New  WH Solar AdjustMI 2 2 2" xfId="19605"/>
    <cellStyle name="_4.13E Montana Energy Tax_Book2_Electric Rev Req Model (2009 GRC) Rebuttal REmoval of New  WH Solar AdjustMI 2 3" xfId="15786"/>
    <cellStyle name="_4.13E Montana Energy Tax_Book2_Electric Rev Req Model (2009 GRC) Rebuttal REmoval of New  WH Solar AdjustMI 3" xfId="3533"/>
    <cellStyle name="_4.13E Montana Energy Tax_Book2_Electric Rev Req Model (2009 GRC) Rebuttal REmoval of New  WH Solar AdjustMI 3 2" xfId="19606"/>
    <cellStyle name="_4.13E Montana Energy Tax_Book2_Electric Rev Req Model (2009 GRC) Rebuttal REmoval of New  WH Solar AdjustMI 4" xfId="15785"/>
    <cellStyle name="_4.13E Montana Energy Tax_Book2_Electric Rev Req Model (2009 GRC) Rebuttal REmoval of New  WH Solar AdjustMI_DEM-WP(C) ENERG10C--ctn Mid-C_042010 2010GRC" xfId="11943"/>
    <cellStyle name="_4.13E Montana Energy Tax_Book2_Electric Rev Req Model (2009 GRC) Revised 01-18-2010" xfId="148"/>
    <cellStyle name="_4.13E Montana Energy Tax_Book2_Electric Rev Req Model (2009 GRC) Revised 01-18-2010 2" xfId="149"/>
    <cellStyle name="_4.13E Montana Energy Tax_Book2_Electric Rev Req Model (2009 GRC) Revised 01-18-2010 2 2" xfId="3536"/>
    <cellStyle name="_4.13E Montana Energy Tax_Book2_Electric Rev Req Model (2009 GRC) Revised 01-18-2010 2 2 2" xfId="19607"/>
    <cellStyle name="_4.13E Montana Energy Tax_Book2_Electric Rev Req Model (2009 GRC) Revised 01-18-2010 2 3" xfId="15788"/>
    <cellStyle name="_4.13E Montana Energy Tax_Book2_Electric Rev Req Model (2009 GRC) Revised 01-18-2010 3" xfId="3535"/>
    <cellStyle name="_4.13E Montana Energy Tax_Book2_Electric Rev Req Model (2009 GRC) Revised 01-18-2010 3 2" xfId="19608"/>
    <cellStyle name="_4.13E Montana Energy Tax_Book2_Electric Rev Req Model (2009 GRC) Revised 01-18-2010 4" xfId="15787"/>
    <cellStyle name="_4.13E Montana Energy Tax_Book2_Electric Rev Req Model (2009 GRC) Revised 01-18-2010_DEM-WP(C) ENERG10C--ctn Mid-C_042010 2010GRC" xfId="11944"/>
    <cellStyle name="_4.13E Montana Energy Tax_Book2_Final Order Electric EXHIBIT A-1" xfId="150"/>
    <cellStyle name="_4.13E Montana Energy Tax_Book2_Final Order Electric EXHIBIT A-1 2" xfId="3537"/>
    <cellStyle name="_4.13E Montana Energy Tax_Book2_Final Order Electric EXHIBIT A-1 2 2" xfId="6530"/>
    <cellStyle name="_4.13E Montana Energy Tax_Book2_Final Order Electric EXHIBIT A-1 2 2 2" xfId="19609"/>
    <cellStyle name="_4.13E Montana Energy Tax_Book2_Final Order Electric EXHIBIT A-1 2 3" xfId="18125"/>
    <cellStyle name="_4.13E Montana Energy Tax_Book2_Final Order Electric EXHIBIT A-1 3" xfId="6531"/>
    <cellStyle name="_4.13E Montana Energy Tax_Book2_Final Order Electric EXHIBIT A-1 3 2" xfId="19610"/>
    <cellStyle name="_4.13E Montana Energy Tax_Book2_Final Order Electric EXHIBIT A-1 4" xfId="15789"/>
    <cellStyle name="_4.13E Montana Energy Tax_Book4" xfId="151"/>
    <cellStyle name="_4.13E Montana Energy Tax_Book4 2" xfId="152"/>
    <cellStyle name="_4.13E Montana Energy Tax_Book4 2 2" xfId="3539"/>
    <cellStyle name="_4.13E Montana Energy Tax_Book4 2 2 2" xfId="19611"/>
    <cellStyle name="_4.13E Montana Energy Tax_Book4 2 3" xfId="15791"/>
    <cellStyle name="_4.13E Montana Energy Tax_Book4 3" xfId="3538"/>
    <cellStyle name="_4.13E Montana Energy Tax_Book4 3 2" xfId="19612"/>
    <cellStyle name="_4.13E Montana Energy Tax_Book4 4" xfId="15790"/>
    <cellStyle name="_4.13E Montana Energy Tax_Book4_DEM-WP(C) ENERG10C--ctn Mid-C_042010 2010GRC" xfId="11945"/>
    <cellStyle name="_4.13E Montana Energy Tax_Book9" xfId="153"/>
    <cellStyle name="_4.13E Montana Energy Tax_Book9 2" xfId="154"/>
    <cellStyle name="_4.13E Montana Energy Tax_Book9 2 2" xfId="3541"/>
    <cellStyle name="_4.13E Montana Energy Tax_Book9 2 2 2" xfId="19613"/>
    <cellStyle name="_4.13E Montana Energy Tax_Book9 2 3" xfId="15793"/>
    <cellStyle name="_4.13E Montana Energy Tax_Book9 3" xfId="3540"/>
    <cellStyle name="_4.13E Montana Energy Tax_Book9 3 2" xfId="19614"/>
    <cellStyle name="_4.13E Montana Energy Tax_Book9 4" xfId="15792"/>
    <cellStyle name="_4.13E Montana Energy Tax_Book9_DEM-WP(C) ENERG10C--ctn Mid-C_042010 2010GRC" xfId="11946"/>
    <cellStyle name="_4.13E Montana Energy Tax_Chelan PUD Power Costs (8-10)" xfId="11947"/>
    <cellStyle name="_4.13E Montana Energy Tax_Chelan PUD Power Costs (8-10) 2" xfId="22717"/>
    <cellStyle name="_4.13E Montana Energy Tax_DEM-WP(C) Chelan Power Costs" xfId="11948"/>
    <cellStyle name="_4.13E Montana Energy Tax_DEM-WP(C) Chelan Power Costs 2" xfId="22718"/>
    <cellStyle name="_4.13E Montana Energy Tax_DEM-WP(C) ENERG10C--ctn Mid-C_042010 2010GRC" xfId="11949"/>
    <cellStyle name="_4.13E Montana Energy Tax_DEM-WP(C) Gas Transport 2010GRC" xfId="11950"/>
    <cellStyle name="_4.13E Montana Energy Tax_DEM-WP(C) Gas Transport 2010GRC 2" xfId="22719"/>
    <cellStyle name="_4.13E Montana Energy Tax_Exh A-1 resulting from UE-112050 effective Jan 1 2012" xfId="14410"/>
    <cellStyle name="_4.13E Montana Energy Tax_Exh G - Klamath Peaker PPA fr C Locke 2-12" xfId="14411"/>
    <cellStyle name="_4.13E Montana Energy Tax_Exhibit A-1 effective 4-1-11 fr S Free 12-11" xfId="14412"/>
    <cellStyle name="_4.13E Montana Energy Tax_INPUTS" xfId="6532"/>
    <cellStyle name="_4.13E Montana Energy Tax_INPUTS 2" xfId="6533"/>
    <cellStyle name="_4.13E Montana Energy Tax_INPUTS 2 2" xfId="6534"/>
    <cellStyle name="_4.13E Montana Energy Tax_INPUTS 2 2 2" xfId="19615"/>
    <cellStyle name="_4.13E Montana Energy Tax_INPUTS 2 3" xfId="18127"/>
    <cellStyle name="_4.13E Montana Energy Tax_INPUTS 3" xfId="6535"/>
    <cellStyle name="_4.13E Montana Energy Tax_INPUTS 3 2" xfId="19616"/>
    <cellStyle name="_4.13E Montana Energy Tax_INPUTS 4" xfId="18126"/>
    <cellStyle name="_4.13E Montana Energy Tax_Mint Farm Generation BPA" xfId="22720"/>
    <cellStyle name="_4.13E Montana Energy Tax_NIM Summary" xfId="155"/>
    <cellStyle name="_4.13E Montana Energy Tax_NIM Summary 09GRC" xfId="156"/>
    <cellStyle name="_4.13E Montana Energy Tax_NIM Summary 09GRC 2" xfId="157"/>
    <cellStyle name="_4.13E Montana Energy Tax_NIM Summary 09GRC 2 2" xfId="3544"/>
    <cellStyle name="_4.13E Montana Energy Tax_NIM Summary 09GRC 3" xfId="3543"/>
    <cellStyle name="_4.13E Montana Energy Tax_NIM Summary 09GRC_DEM-WP(C) ENERG10C--ctn Mid-C_042010 2010GRC" xfId="11951"/>
    <cellStyle name="_4.13E Montana Energy Tax_NIM Summary 10" xfId="3542"/>
    <cellStyle name="_4.13E Montana Energy Tax_NIM Summary 11" xfId="6071"/>
    <cellStyle name="_4.13E Montana Energy Tax_NIM Summary 12" xfId="6282"/>
    <cellStyle name="_4.13E Montana Energy Tax_NIM Summary 13" xfId="6072"/>
    <cellStyle name="_4.13E Montana Energy Tax_NIM Summary 14" xfId="6291"/>
    <cellStyle name="_4.13E Montana Energy Tax_NIM Summary 15" xfId="14413"/>
    <cellStyle name="_4.13E Montana Energy Tax_NIM Summary 16" xfId="14414"/>
    <cellStyle name="_4.13E Montana Energy Tax_NIM Summary 17" xfId="14415"/>
    <cellStyle name="_4.13E Montana Energy Tax_NIM Summary 18" xfId="14416"/>
    <cellStyle name="_4.13E Montana Energy Tax_NIM Summary 19" xfId="14417"/>
    <cellStyle name="_4.13E Montana Energy Tax_NIM Summary 2" xfId="158"/>
    <cellStyle name="_4.13E Montana Energy Tax_NIM Summary 2 2" xfId="3545"/>
    <cellStyle name="_4.13E Montana Energy Tax_NIM Summary 20" xfId="14418"/>
    <cellStyle name="_4.13E Montana Energy Tax_NIM Summary 21" xfId="14419"/>
    <cellStyle name="_4.13E Montana Energy Tax_NIM Summary 22" xfId="14420"/>
    <cellStyle name="_4.13E Montana Energy Tax_NIM Summary 23" xfId="14421"/>
    <cellStyle name="_4.13E Montana Energy Tax_NIM Summary 24" xfId="14422"/>
    <cellStyle name="_4.13E Montana Energy Tax_NIM Summary 25" xfId="14423"/>
    <cellStyle name="_4.13E Montana Energy Tax_NIM Summary 26" xfId="14424"/>
    <cellStyle name="_4.13E Montana Energy Tax_NIM Summary 27" xfId="14425"/>
    <cellStyle name="_4.13E Montana Energy Tax_NIM Summary 28" xfId="14426"/>
    <cellStyle name="_4.13E Montana Energy Tax_NIM Summary 29" xfId="14427"/>
    <cellStyle name="_4.13E Montana Energy Tax_NIM Summary 3" xfId="159"/>
    <cellStyle name="_4.13E Montana Energy Tax_NIM Summary 3 2" xfId="3546"/>
    <cellStyle name="_4.13E Montana Energy Tax_NIM Summary 30" xfId="14428"/>
    <cellStyle name="_4.13E Montana Energy Tax_NIM Summary 31" xfId="14429"/>
    <cellStyle name="_4.13E Montana Energy Tax_NIM Summary 32" xfId="14430"/>
    <cellStyle name="_4.13E Montana Energy Tax_NIM Summary 33" xfId="14431"/>
    <cellStyle name="_4.13E Montana Energy Tax_NIM Summary 34" xfId="14432"/>
    <cellStyle name="_4.13E Montana Energy Tax_NIM Summary 35" xfId="14433"/>
    <cellStyle name="_4.13E Montana Energy Tax_NIM Summary 36" xfId="14434"/>
    <cellStyle name="_4.13E Montana Energy Tax_NIM Summary 37" xfId="14435"/>
    <cellStyle name="_4.13E Montana Energy Tax_NIM Summary 38" xfId="14436"/>
    <cellStyle name="_4.13E Montana Energy Tax_NIM Summary 39" xfId="14437"/>
    <cellStyle name="_4.13E Montana Energy Tax_NIM Summary 4" xfId="160"/>
    <cellStyle name="_4.13E Montana Energy Tax_NIM Summary 4 2" xfId="3547"/>
    <cellStyle name="_4.13E Montana Energy Tax_NIM Summary 40" xfId="14438"/>
    <cellStyle name="_4.13E Montana Energy Tax_NIM Summary 41" xfId="14439"/>
    <cellStyle name="_4.13E Montana Energy Tax_NIM Summary 42" xfId="15794"/>
    <cellStyle name="_4.13E Montana Energy Tax_NIM Summary 43" xfId="17312"/>
    <cellStyle name="_4.13E Montana Energy Tax_NIM Summary 44" xfId="22721"/>
    <cellStyle name="_4.13E Montana Energy Tax_NIM Summary 45" xfId="22722"/>
    <cellStyle name="_4.13E Montana Energy Tax_NIM Summary 46" xfId="22723"/>
    <cellStyle name="_4.13E Montana Energy Tax_NIM Summary 47" xfId="22724"/>
    <cellStyle name="_4.13E Montana Energy Tax_NIM Summary 48" xfId="22725"/>
    <cellStyle name="_4.13E Montana Energy Tax_NIM Summary 49" xfId="22726"/>
    <cellStyle name="_4.13E Montana Energy Tax_NIM Summary 5" xfId="161"/>
    <cellStyle name="_4.13E Montana Energy Tax_NIM Summary 5 2" xfId="3548"/>
    <cellStyle name="_4.13E Montana Energy Tax_NIM Summary 50" xfId="22727"/>
    <cellStyle name="_4.13E Montana Energy Tax_NIM Summary 51" xfId="41122"/>
    <cellStyle name="_4.13E Montana Energy Tax_NIM Summary 52" xfId="6536"/>
    <cellStyle name="_4.13E Montana Energy Tax_NIM Summary 6" xfId="162"/>
    <cellStyle name="_4.13E Montana Energy Tax_NIM Summary 6 2" xfId="3549"/>
    <cellStyle name="_4.13E Montana Energy Tax_NIM Summary 7" xfId="163"/>
    <cellStyle name="_4.13E Montana Energy Tax_NIM Summary 7 2" xfId="3550"/>
    <cellStyle name="_4.13E Montana Energy Tax_NIM Summary 8" xfId="164"/>
    <cellStyle name="_4.13E Montana Energy Tax_NIM Summary 8 2" xfId="3551"/>
    <cellStyle name="_4.13E Montana Energy Tax_NIM Summary 9" xfId="165"/>
    <cellStyle name="_4.13E Montana Energy Tax_NIM Summary 9 2" xfId="3552"/>
    <cellStyle name="_4.13E Montana Energy Tax_NIM Summary_DEM-WP(C) ENERG10C--ctn Mid-C_042010 2010GRC" xfId="11952"/>
    <cellStyle name="_4.13E Montana Energy Tax_PCA 10 -  Exhibit D Dec 2011" xfId="14440"/>
    <cellStyle name="_4.13E Montana Energy Tax_PCA 10 -  Exhibit D from A Kellogg Jan 2011" xfId="14012"/>
    <cellStyle name="_4.13E Montana Energy Tax_PCA 10 -  Exhibit D from A Kellogg July 2011" xfId="14013"/>
    <cellStyle name="_4.13E Montana Energy Tax_PCA 10 -  Exhibit D from S Free Rcv'd 12-11" xfId="14014"/>
    <cellStyle name="_4.13E Montana Energy Tax_PCA 11 -  Exhibit D Jan 2012 fr A Kellogg" xfId="14441"/>
    <cellStyle name="_4.13E Montana Energy Tax_PCA 11 -  Exhibit D Jan 2012 WF" xfId="14442"/>
    <cellStyle name="_4.13E Montana Energy Tax_PCA 9 -  Exhibit D April 2010" xfId="14015"/>
    <cellStyle name="_4.13E Montana Energy Tax_PCA 9 -  Exhibit D April 2010 (3)" xfId="166"/>
    <cellStyle name="_4.13E Montana Energy Tax_PCA 9 -  Exhibit D April 2010 (3) 2" xfId="167"/>
    <cellStyle name="_4.13E Montana Energy Tax_PCA 9 -  Exhibit D April 2010 (3) 2 2" xfId="3554"/>
    <cellStyle name="_4.13E Montana Energy Tax_PCA 9 -  Exhibit D April 2010 (3) 3" xfId="3553"/>
    <cellStyle name="_4.13E Montana Energy Tax_PCA 9 -  Exhibit D April 2010 (3)_DEM-WP(C) ENERG10C--ctn Mid-C_042010 2010GRC" xfId="11953"/>
    <cellStyle name="_4.13E Montana Energy Tax_PCA 9 -  Exhibit D April 2010 2" xfId="14443"/>
    <cellStyle name="_4.13E Montana Energy Tax_PCA 9 -  Exhibit D April 2010 3" xfId="14444"/>
    <cellStyle name="_4.13E Montana Energy Tax_PCA 9 -  Exhibit D April 2010 4" xfId="14445"/>
    <cellStyle name="_4.13E Montana Energy Tax_PCA 9 -  Exhibit D April 2010 5" xfId="14446"/>
    <cellStyle name="_4.13E Montana Energy Tax_PCA 9 -  Exhibit D April 2010 6" xfId="14447"/>
    <cellStyle name="_4.13E Montana Energy Tax_PCA 9 -  Exhibit D Nov 2010" xfId="14016"/>
    <cellStyle name="_4.13E Montana Energy Tax_PCA 9 -  Exhibit D Nov 2010 2" xfId="14448"/>
    <cellStyle name="_4.13E Montana Energy Tax_PCA 9 - Exhibit D at August 2010" xfId="14017"/>
    <cellStyle name="_4.13E Montana Energy Tax_PCA 9 - Exhibit D at August 2010 2" xfId="14449"/>
    <cellStyle name="_4.13E Montana Energy Tax_PCA 9 - Exhibit D June 2010 GRC" xfId="14018"/>
    <cellStyle name="_4.13E Montana Energy Tax_PCA 9 - Exhibit D June 2010 GRC 2" xfId="14450"/>
    <cellStyle name="_4.13E Montana Energy Tax_Power Costs - Comparison bx Rbtl-Staff-Jt-PC" xfId="168"/>
    <cellStyle name="_4.13E Montana Energy Tax_Power Costs - Comparison bx Rbtl-Staff-Jt-PC 2" xfId="169"/>
    <cellStyle name="_4.13E Montana Energy Tax_Power Costs - Comparison bx Rbtl-Staff-Jt-PC 2 2" xfId="3556"/>
    <cellStyle name="_4.13E Montana Energy Tax_Power Costs - Comparison bx Rbtl-Staff-Jt-PC 2 2 2" xfId="19617"/>
    <cellStyle name="_4.13E Montana Energy Tax_Power Costs - Comparison bx Rbtl-Staff-Jt-PC 2 3" xfId="15796"/>
    <cellStyle name="_4.13E Montana Energy Tax_Power Costs - Comparison bx Rbtl-Staff-Jt-PC 3" xfId="3555"/>
    <cellStyle name="_4.13E Montana Energy Tax_Power Costs - Comparison bx Rbtl-Staff-Jt-PC 3 2" xfId="19618"/>
    <cellStyle name="_4.13E Montana Energy Tax_Power Costs - Comparison bx Rbtl-Staff-Jt-PC 4" xfId="15795"/>
    <cellStyle name="_4.13E Montana Energy Tax_Power Costs - Comparison bx Rbtl-Staff-Jt-PC_Adj Bench DR 3 for Initial Briefs (Electric)" xfId="170"/>
    <cellStyle name="_4.13E Montana Energy Tax_Power Costs - Comparison bx Rbtl-Staff-Jt-PC_Adj Bench DR 3 for Initial Briefs (Electric) 2" xfId="171"/>
    <cellStyle name="_4.13E Montana Energy Tax_Power Costs - Comparison bx Rbtl-Staff-Jt-PC_Adj Bench DR 3 for Initial Briefs (Electric) 2 2" xfId="3558"/>
    <cellStyle name="_4.13E Montana Energy Tax_Power Costs - Comparison bx Rbtl-Staff-Jt-PC_Adj Bench DR 3 for Initial Briefs (Electric) 2 2 2" xfId="19619"/>
    <cellStyle name="_4.13E Montana Energy Tax_Power Costs - Comparison bx Rbtl-Staff-Jt-PC_Adj Bench DR 3 for Initial Briefs (Electric) 2 3" xfId="15798"/>
    <cellStyle name="_4.13E Montana Energy Tax_Power Costs - Comparison bx Rbtl-Staff-Jt-PC_Adj Bench DR 3 for Initial Briefs (Electric) 3" xfId="3557"/>
    <cellStyle name="_4.13E Montana Energy Tax_Power Costs - Comparison bx Rbtl-Staff-Jt-PC_Adj Bench DR 3 for Initial Briefs (Electric) 3 2" xfId="19620"/>
    <cellStyle name="_4.13E Montana Energy Tax_Power Costs - Comparison bx Rbtl-Staff-Jt-PC_Adj Bench DR 3 for Initial Briefs (Electric) 4" xfId="15797"/>
    <cellStyle name="_4.13E Montana Energy Tax_Power Costs - Comparison bx Rbtl-Staff-Jt-PC_Adj Bench DR 3 for Initial Briefs (Electric)_DEM-WP(C) ENERG10C--ctn Mid-C_042010 2010GRC" xfId="11954"/>
    <cellStyle name="_4.13E Montana Energy Tax_Power Costs - Comparison bx Rbtl-Staff-Jt-PC_DEM-WP(C) ENERG10C--ctn Mid-C_042010 2010GRC" xfId="11955"/>
    <cellStyle name="_4.13E Montana Energy Tax_Power Costs - Comparison bx Rbtl-Staff-Jt-PC_Electric Rev Req Model (2009 GRC) Rebuttal" xfId="172"/>
    <cellStyle name="_4.13E Montana Energy Tax_Power Costs - Comparison bx Rbtl-Staff-Jt-PC_Electric Rev Req Model (2009 GRC) Rebuttal 2" xfId="3559"/>
    <cellStyle name="_4.13E Montana Energy Tax_Power Costs - Comparison bx Rbtl-Staff-Jt-PC_Electric Rev Req Model (2009 GRC) Rebuttal 2 2" xfId="6537"/>
    <cellStyle name="_4.13E Montana Energy Tax_Power Costs - Comparison bx Rbtl-Staff-Jt-PC_Electric Rev Req Model (2009 GRC) Rebuttal 2 2 2" xfId="19621"/>
    <cellStyle name="_4.13E Montana Energy Tax_Power Costs - Comparison bx Rbtl-Staff-Jt-PC_Electric Rev Req Model (2009 GRC) Rebuttal 2 3" xfId="18128"/>
    <cellStyle name="_4.13E Montana Energy Tax_Power Costs - Comparison bx Rbtl-Staff-Jt-PC_Electric Rev Req Model (2009 GRC) Rebuttal 3" xfId="6538"/>
    <cellStyle name="_4.13E Montana Energy Tax_Power Costs - Comparison bx Rbtl-Staff-Jt-PC_Electric Rev Req Model (2009 GRC) Rebuttal 3 2" xfId="19622"/>
    <cellStyle name="_4.13E Montana Energy Tax_Power Costs - Comparison bx Rbtl-Staff-Jt-PC_Electric Rev Req Model (2009 GRC) Rebuttal 4" xfId="15799"/>
    <cellStyle name="_4.13E Montana Energy Tax_Power Costs - Comparison bx Rbtl-Staff-Jt-PC_Electric Rev Req Model (2009 GRC) Rebuttal REmoval of New  WH Solar AdjustMI" xfId="173"/>
    <cellStyle name="_4.13E Montana Energy Tax_Power Costs - Comparison bx Rbtl-Staff-Jt-PC_Electric Rev Req Model (2009 GRC) Rebuttal REmoval of New  WH Solar AdjustMI 2" xfId="174"/>
    <cellStyle name="_4.13E Montana Energy Tax_Power Costs - Comparison bx Rbtl-Staff-Jt-PC_Electric Rev Req Model (2009 GRC) Rebuttal REmoval of New  WH Solar AdjustMI 2 2" xfId="3561"/>
    <cellStyle name="_4.13E Montana Energy Tax_Power Costs - Comparison bx Rbtl-Staff-Jt-PC_Electric Rev Req Model (2009 GRC) Rebuttal REmoval of New  WH Solar AdjustMI 2 2 2" xfId="19623"/>
    <cellStyle name="_4.13E Montana Energy Tax_Power Costs - Comparison bx Rbtl-Staff-Jt-PC_Electric Rev Req Model (2009 GRC) Rebuttal REmoval of New  WH Solar AdjustMI 2 3" xfId="15801"/>
    <cellStyle name="_4.13E Montana Energy Tax_Power Costs - Comparison bx Rbtl-Staff-Jt-PC_Electric Rev Req Model (2009 GRC) Rebuttal REmoval of New  WH Solar AdjustMI 3" xfId="3560"/>
    <cellStyle name="_4.13E Montana Energy Tax_Power Costs - Comparison bx Rbtl-Staff-Jt-PC_Electric Rev Req Model (2009 GRC) Rebuttal REmoval of New  WH Solar AdjustMI 3 2" xfId="19624"/>
    <cellStyle name="_4.13E Montana Energy Tax_Power Costs - Comparison bx Rbtl-Staff-Jt-PC_Electric Rev Req Model (2009 GRC) Rebuttal REmoval of New  WH Solar AdjustMI 4" xfId="15800"/>
    <cellStyle name="_4.13E Montana Energy Tax_Power Costs - Comparison bx Rbtl-Staff-Jt-PC_Electric Rev Req Model (2009 GRC) Rebuttal REmoval of New  WH Solar AdjustMI_DEM-WP(C) ENERG10C--ctn Mid-C_042010 2010GRC" xfId="11956"/>
    <cellStyle name="_4.13E Montana Energy Tax_Power Costs - Comparison bx Rbtl-Staff-Jt-PC_Electric Rev Req Model (2009 GRC) Revised 01-18-2010" xfId="175"/>
    <cellStyle name="_4.13E Montana Energy Tax_Power Costs - Comparison bx Rbtl-Staff-Jt-PC_Electric Rev Req Model (2009 GRC) Revised 01-18-2010 2" xfId="176"/>
    <cellStyle name="_4.13E Montana Energy Tax_Power Costs - Comparison bx Rbtl-Staff-Jt-PC_Electric Rev Req Model (2009 GRC) Revised 01-18-2010 2 2" xfId="3563"/>
    <cellStyle name="_4.13E Montana Energy Tax_Power Costs - Comparison bx Rbtl-Staff-Jt-PC_Electric Rev Req Model (2009 GRC) Revised 01-18-2010 2 2 2" xfId="19625"/>
    <cellStyle name="_4.13E Montana Energy Tax_Power Costs - Comparison bx Rbtl-Staff-Jt-PC_Electric Rev Req Model (2009 GRC) Revised 01-18-2010 2 3" xfId="15803"/>
    <cellStyle name="_4.13E Montana Energy Tax_Power Costs - Comparison bx Rbtl-Staff-Jt-PC_Electric Rev Req Model (2009 GRC) Revised 01-18-2010 3" xfId="3562"/>
    <cellStyle name="_4.13E Montana Energy Tax_Power Costs - Comparison bx Rbtl-Staff-Jt-PC_Electric Rev Req Model (2009 GRC) Revised 01-18-2010 3 2" xfId="19626"/>
    <cellStyle name="_4.13E Montana Energy Tax_Power Costs - Comparison bx Rbtl-Staff-Jt-PC_Electric Rev Req Model (2009 GRC) Revised 01-18-2010 4" xfId="15802"/>
    <cellStyle name="_4.13E Montana Energy Tax_Power Costs - Comparison bx Rbtl-Staff-Jt-PC_Electric Rev Req Model (2009 GRC) Revised 01-18-2010_DEM-WP(C) ENERG10C--ctn Mid-C_042010 2010GRC" xfId="11957"/>
    <cellStyle name="_4.13E Montana Energy Tax_Power Costs - Comparison bx Rbtl-Staff-Jt-PC_Final Order Electric EXHIBIT A-1" xfId="177"/>
    <cellStyle name="_4.13E Montana Energy Tax_Power Costs - Comparison bx Rbtl-Staff-Jt-PC_Final Order Electric EXHIBIT A-1 2" xfId="3564"/>
    <cellStyle name="_4.13E Montana Energy Tax_Power Costs - Comparison bx Rbtl-Staff-Jt-PC_Final Order Electric EXHIBIT A-1 2 2" xfId="6539"/>
    <cellStyle name="_4.13E Montana Energy Tax_Power Costs - Comparison bx Rbtl-Staff-Jt-PC_Final Order Electric EXHIBIT A-1 2 2 2" xfId="19627"/>
    <cellStyle name="_4.13E Montana Energy Tax_Power Costs - Comparison bx Rbtl-Staff-Jt-PC_Final Order Electric EXHIBIT A-1 2 3" xfId="18129"/>
    <cellStyle name="_4.13E Montana Energy Tax_Power Costs - Comparison bx Rbtl-Staff-Jt-PC_Final Order Electric EXHIBIT A-1 3" xfId="6540"/>
    <cellStyle name="_4.13E Montana Energy Tax_Power Costs - Comparison bx Rbtl-Staff-Jt-PC_Final Order Electric EXHIBIT A-1 3 2" xfId="19628"/>
    <cellStyle name="_4.13E Montana Energy Tax_Power Costs - Comparison bx Rbtl-Staff-Jt-PC_Final Order Electric EXHIBIT A-1 4" xfId="15804"/>
    <cellStyle name="_4.13E Montana Energy Tax_Production Adj 4.37" xfId="6541"/>
    <cellStyle name="_4.13E Montana Energy Tax_Production Adj 4.37 2" xfId="6542"/>
    <cellStyle name="_4.13E Montana Energy Tax_Production Adj 4.37 2 2" xfId="6543"/>
    <cellStyle name="_4.13E Montana Energy Tax_Production Adj 4.37 2 2 2" xfId="19629"/>
    <cellStyle name="_4.13E Montana Energy Tax_Production Adj 4.37 2 3" xfId="18131"/>
    <cellStyle name="_4.13E Montana Energy Tax_Production Adj 4.37 3" xfId="6544"/>
    <cellStyle name="_4.13E Montana Energy Tax_Production Adj 4.37 3 2" xfId="19630"/>
    <cellStyle name="_4.13E Montana Energy Tax_Production Adj 4.37 4" xfId="18130"/>
    <cellStyle name="_4.13E Montana Energy Tax_Purchased Power Adj 4.03" xfId="6545"/>
    <cellStyle name="_4.13E Montana Energy Tax_Purchased Power Adj 4.03 2" xfId="6546"/>
    <cellStyle name="_4.13E Montana Energy Tax_Purchased Power Adj 4.03 2 2" xfId="6547"/>
    <cellStyle name="_4.13E Montana Energy Tax_Purchased Power Adj 4.03 2 2 2" xfId="19631"/>
    <cellStyle name="_4.13E Montana Energy Tax_Purchased Power Adj 4.03 2 3" xfId="18133"/>
    <cellStyle name="_4.13E Montana Energy Tax_Purchased Power Adj 4.03 3" xfId="6548"/>
    <cellStyle name="_4.13E Montana Energy Tax_Purchased Power Adj 4.03 3 2" xfId="19632"/>
    <cellStyle name="_4.13E Montana Energy Tax_Purchased Power Adj 4.03 4" xfId="18132"/>
    <cellStyle name="_4.13E Montana Energy Tax_Rebuttal Power Costs" xfId="178"/>
    <cellStyle name="_4.13E Montana Energy Tax_Rebuttal Power Costs 2" xfId="179"/>
    <cellStyle name="_4.13E Montana Energy Tax_Rebuttal Power Costs 2 2" xfId="3566"/>
    <cellStyle name="_4.13E Montana Energy Tax_Rebuttal Power Costs 2 2 2" xfId="19633"/>
    <cellStyle name="_4.13E Montana Energy Tax_Rebuttal Power Costs 2 3" xfId="15806"/>
    <cellStyle name="_4.13E Montana Energy Tax_Rebuttal Power Costs 3" xfId="3565"/>
    <cellStyle name="_4.13E Montana Energy Tax_Rebuttal Power Costs 3 2" xfId="19634"/>
    <cellStyle name="_4.13E Montana Energy Tax_Rebuttal Power Costs 4" xfId="15805"/>
    <cellStyle name="_4.13E Montana Energy Tax_Rebuttal Power Costs_Adj Bench DR 3 for Initial Briefs (Electric)" xfId="180"/>
    <cellStyle name="_4.13E Montana Energy Tax_Rebuttal Power Costs_Adj Bench DR 3 for Initial Briefs (Electric) 2" xfId="181"/>
    <cellStyle name="_4.13E Montana Energy Tax_Rebuttal Power Costs_Adj Bench DR 3 for Initial Briefs (Electric) 2 2" xfId="3568"/>
    <cellStyle name="_4.13E Montana Energy Tax_Rebuttal Power Costs_Adj Bench DR 3 for Initial Briefs (Electric) 2 2 2" xfId="19635"/>
    <cellStyle name="_4.13E Montana Energy Tax_Rebuttal Power Costs_Adj Bench DR 3 for Initial Briefs (Electric) 2 3" xfId="15808"/>
    <cellStyle name="_4.13E Montana Energy Tax_Rebuttal Power Costs_Adj Bench DR 3 for Initial Briefs (Electric) 3" xfId="3567"/>
    <cellStyle name="_4.13E Montana Energy Tax_Rebuttal Power Costs_Adj Bench DR 3 for Initial Briefs (Electric) 3 2" xfId="19636"/>
    <cellStyle name="_4.13E Montana Energy Tax_Rebuttal Power Costs_Adj Bench DR 3 for Initial Briefs (Electric) 4" xfId="15807"/>
    <cellStyle name="_4.13E Montana Energy Tax_Rebuttal Power Costs_Adj Bench DR 3 for Initial Briefs (Electric)_DEM-WP(C) ENERG10C--ctn Mid-C_042010 2010GRC" xfId="11958"/>
    <cellStyle name="_4.13E Montana Energy Tax_Rebuttal Power Costs_DEM-WP(C) ENERG10C--ctn Mid-C_042010 2010GRC" xfId="11959"/>
    <cellStyle name="_4.13E Montana Energy Tax_Rebuttal Power Costs_Electric Rev Req Model (2009 GRC) Rebuttal" xfId="182"/>
    <cellStyle name="_4.13E Montana Energy Tax_Rebuttal Power Costs_Electric Rev Req Model (2009 GRC) Rebuttal 2" xfId="3569"/>
    <cellStyle name="_4.13E Montana Energy Tax_Rebuttal Power Costs_Electric Rev Req Model (2009 GRC) Rebuttal 2 2" xfId="6549"/>
    <cellStyle name="_4.13E Montana Energy Tax_Rebuttal Power Costs_Electric Rev Req Model (2009 GRC) Rebuttal 2 2 2" xfId="19637"/>
    <cellStyle name="_4.13E Montana Energy Tax_Rebuttal Power Costs_Electric Rev Req Model (2009 GRC) Rebuttal 2 3" xfId="18134"/>
    <cellStyle name="_4.13E Montana Energy Tax_Rebuttal Power Costs_Electric Rev Req Model (2009 GRC) Rebuttal 3" xfId="6550"/>
    <cellStyle name="_4.13E Montana Energy Tax_Rebuttal Power Costs_Electric Rev Req Model (2009 GRC) Rebuttal 3 2" xfId="19638"/>
    <cellStyle name="_4.13E Montana Energy Tax_Rebuttal Power Costs_Electric Rev Req Model (2009 GRC) Rebuttal 4" xfId="15809"/>
    <cellStyle name="_4.13E Montana Energy Tax_Rebuttal Power Costs_Electric Rev Req Model (2009 GRC) Rebuttal REmoval of New  WH Solar AdjustMI" xfId="183"/>
    <cellStyle name="_4.13E Montana Energy Tax_Rebuttal Power Costs_Electric Rev Req Model (2009 GRC) Rebuttal REmoval of New  WH Solar AdjustMI 2" xfId="184"/>
    <cellStyle name="_4.13E Montana Energy Tax_Rebuttal Power Costs_Electric Rev Req Model (2009 GRC) Rebuttal REmoval of New  WH Solar AdjustMI 2 2" xfId="3571"/>
    <cellStyle name="_4.13E Montana Energy Tax_Rebuttal Power Costs_Electric Rev Req Model (2009 GRC) Rebuttal REmoval of New  WH Solar AdjustMI 2 2 2" xfId="19639"/>
    <cellStyle name="_4.13E Montana Energy Tax_Rebuttal Power Costs_Electric Rev Req Model (2009 GRC) Rebuttal REmoval of New  WH Solar AdjustMI 2 3" xfId="15811"/>
    <cellStyle name="_4.13E Montana Energy Tax_Rebuttal Power Costs_Electric Rev Req Model (2009 GRC) Rebuttal REmoval of New  WH Solar AdjustMI 3" xfId="3570"/>
    <cellStyle name="_4.13E Montana Energy Tax_Rebuttal Power Costs_Electric Rev Req Model (2009 GRC) Rebuttal REmoval of New  WH Solar AdjustMI 3 2" xfId="19640"/>
    <cellStyle name="_4.13E Montana Energy Tax_Rebuttal Power Costs_Electric Rev Req Model (2009 GRC) Rebuttal REmoval of New  WH Solar AdjustMI 4" xfId="15810"/>
    <cellStyle name="_4.13E Montana Energy Tax_Rebuttal Power Costs_Electric Rev Req Model (2009 GRC) Rebuttal REmoval of New  WH Solar AdjustMI_DEM-WP(C) ENERG10C--ctn Mid-C_042010 2010GRC" xfId="11960"/>
    <cellStyle name="_4.13E Montana Energy Tax_Rebuttal Power Costs_Electric Rev Req Model (2009 GRC) Revised 01-18-2010" xfId="185"/>
    <cellStyle name="_4.13E Montana Energy Tax_Rebuttal Power Costs_Electric Rev Req Model (2009 GRC) Revised 01-18-2010 2" xfId="186"/>
    <cellStyle name="_4.13E Montana Energy Tax_Rebuttal Power Costs_Electric Rev Req Model (2009 GRC) Revised 01-18-2010 2 2" xfId="3573"/>
    <cellStyle name="_4.13E Montana Energy Tax_Rebuttal Power Costs_Electric Rev Req Model (2009 GRC) Revised 01-18-2010 2 2 2" xfId="19641"/>
    <cellStyle name="_4.13E Montana Energy Tax_Rebuttal Power Costs_Electric Rev Req Model (2009 GRC) Revised 01-18-2010 2 3" xfId="15813"/>
    <cellStyle name="_4.13E Montana Energy Tax_Rebuttal Power Costs_Electric Rev Req Model (2009 GRC) Revised 01-18-2010 3" xfId="3572"/>
    <cellStyle name="_4.13E Montana Energy Tax_Rebuttal Power Costs_Electric Rev Req Model (2009 GRC) Revised 01-18-2010 3 2" xfId="19642"/>
    <cellStyle name="_4.13E Montana Energy Tax_Rebuttal Power Costs_Electric Rev Req Model (2009 GRC) Revised 01-18-2010 4" xfId="15812"/>
    <cellStyle name="_4.13E Montana Energy Tax_Rebuttal Power Costs_Electric Rev Req Model (2009 GRC) Revised 01-18-2010_DEM-WP(C) ENERG10C--ctn Mid-C_042010 2010GRC" xfId="11961"/>
    <cellStyle name="_4.13E Montana Energy Tax_Rebuttal Power Costs_Final Order Electric EXHIBIT A-1" xfId="187"/>
    <cellStyle name="_4.13E Montana Energy Tax_Rebuttal Power Costs_Final Order Electric EXHIBIT A-1 2" xfId="3574"/>
    <cellStyle name="_4.13E Montana Energy Tax_Rebuttal Power Costs_Final Order Electric EXHIBIT A-1 2 2" xfId="6551"/>
    <cellStyle name="_4.13E Montana Energy Tax_Rebuttal Power Costs_Final Order Electric EXHIBIT A-1 2 2 2" xfId="19643"/>
    <cellStyle name="_4.13E Montana Energy Tax_Rebuttal Power Costs_Final Order Electric EXHIBIT A-1 2 3" xfId="18135"/>
    <cellStyle name="_4.13E Montana Energy Tax_Rebuttal Power Costs_Final Order Electric EXHIBIT A-1 3" xfId="6552"/>
    <cellStyle name="_4.13E Montana Energy Tax_Rebuttal Power Costs_Final Order Electric EXHIBIT A-1 3 2" xfId="19644"/>
    <cellStyle name="_4.13E Montana Energy Tax_Rebuttal Power Costs_Final Order Electric EXHIBIT A-1 4" xfId="15814"/>
    <cellStyle name="_4.13E Montana Energy Tax_ROR &amp; CONV FACTOR" xfId="6553"/>
    <cellStyle name="_4.13E Montana Energy Tax_ROR &amp; CONV FACTOR 2" xfId="6554"/>
    <cellStyle name="_4.13E Montana Energy Tax_ROR &amp; CONV FACTOR 2 2" xfId="6555"/>
    <cellStyle name="_4.13E Montana Energy Tax_ROR &amp; CONV FACTOR 2 2 2" xfId="19645"/>
    <cellStyle name="_4.13E Montana Energy Tax_ROR &amp; CONV FACTOR 2 3" xfId="18137"/>
    <cellStyle name="_4.13E Montana Energy Tax_ROR &amp; CONV FACTOR 3" xfId="6556"/>
    <cellStyle name="_4.13E Montana Energy Tax_ROR &amp; CONV FACTOR 3 2" xfId="19646"/>
    <cellStyle name="_4.13E Montana Energy Tax_ROR &amp; CONV FACTOR 4" xfId="18136"/>
    <cellStyle name="_4.13E Montana Energy Tax_ROR 5.02" xfId="6557"/>
    <cellStyle name="_4.13E Montana Energy Tax_ROR 5.02 2" xfId="6558"/>
    <cellStyle name="_4.13E Montana Energy Tax_ROR 5.02 2 2" xfId="6559"/>
    <cellStyle name="_4.13E Montana Energy Tax_ROR 5.02 2 2 2" xfId="19647"/>
    <cellStyle name="_4.13E Montana Energy Tax_ROR 5.02 2 3" xfId="18139"/>
    <cellStyle name="_4.13E Montana Energy Tax_ROR 5.02 3" xfId="6560"/>
    <cellStyle name="_4.13E Montana Energy Tax_ROR 5.02 3 2" xfId="19648"/>
    <cellStyle name="_4.13E Montana Energy Tax_ROR 5.02 4" xfId="18138"/>
    <cellStyle name="_4.13E Montana Energy Tax_Wind Integration 10GRC" xfId="188"/>
    <cellStyle name="_4.13E Montana Energy Tax_Wind Integration 10GRC 2" xfId="189"/>
    <cellStyle name="_4.13E Montana Energy Tax_Wind Integration 10GRC 2 2" xfId="3576"/>
    <cellStyle name="_4.13E Montana Energy Tax_Wind Integration 10GRC 3" xfId="3575"/>
    <cellStyle name="_4.13E Montana Energy Tax_Wind Integration 10GRC_DEM-WP(C) ENERG10C--ctn Mid-C_042010 2010GRC" xfId="11962"/>
    <cellStyle name="_4.17E Montana Energy Tax Working File" xfId="14019"/>
    <cellStyle name="_5 year summary (9-25-09)" xfId="11963"/>
    <cellStyle name="_5 year summary (9-25-09) 2" xfId="22728"/>
    <cellStyle name="_x0013__Adj Bench DR 3 for Initial Briefs (Electric)" xfId="190"/>
    <cellStyle name="_x0013__Adj Bench DR 3 for Initial Briefs (Electric) 2" xfId="191"/>
    <cellStyle name="_x0013__Adj Bench DR 3 for Initial Briefs (Electric) 2 2" xfId="3578"/>
    <cellStyle name="_x0013__Adj Bench DR 3 for Initial Briefs (Electric) 2 2 2" xfId="19649"/>
    <cellStyle name="_x0013__Adj Bench DR 3 for Initial Briefs (Electric) 2 3" xfId="15816"/>
    <cellStyle name="_x0013__Adj Bench DR 3 for Initial Briefs (Electric) 3" xfId="3577"/>
    <cellStyle name="_x0013__Adj Bench DR 3 for Initial Briefs (Electric) 3 2" xfId="19650"/>
    <cellStyle name="_x0013__Adj Bench DR 3 for Initial Briefs (Electric) 4" xfId="15815"/>
    <cellStyle name="_x0013__Adj Bench DR 3 for Initial Briefs (Electric)_DEM-WP(C) ENERG10C--ctn Mid-C_042010 2010GRC" xfId="11964"/>
    <cellStyle name="_AURORA WIP" xfId="192"/>
    <cellStyle name="_AURORA WIP 2" xfId="193"/>
    <cellStyle name="_AURORA WIP 2 2" xfId="3580"/>
    <cellStyle name="_AURORA WIP 2 2 2" xfId="14451"/>
    <cellStyle name="_AURORA WIP 2 2 2 2" xfId="22729"/>
    <cellStyle name="_AURORA WIP 2 3" xfId="22730"/>
    <cellStyle name="_AURORA WIP 3" xfId="3579"/>
    <cellStyle name="_AURORA WIP 3 2" xfId="19651"/>
    <cellStyle name="_AURORA WIP 3 2 2" xfId="22731"/>
    <cellStyle name="_AURORA WIP 3 3" xfId="22732"/>
    <cellStyle name="_AURORA WIP 4" xfId="11965"/>
    <cellStyle name="_AURORA WIP 4 2" xfId="11966"/>
    <cellStyle name="_AURORA WIP 5" xfId="11967"/>
    <cellStyle name="_AURORA WIP 5 2" xfId="11968"/>
    <cellStyle name="_AURORA WIP 6" xfId="22733"/>
    <cellStyle name="_AURORA WIP 6 2" xfId="22734"/>
    <cellStyle name="_AURORA WIP 7" xfId="22735"/>
    <cellStyle name="_AURORA WIP 7 2" xfId="22736"/>
    <cellStyle name="_AURORA WIP 8" xfId="22737"/>
    <cellStyle name="_AURORA WIP 8 2" xfId="22738"/>
    <cellStyle name="_AURORA WIP_4 31E Reg Asset  Liab and EXH D" xfId="11969"/>
    <cellStyle name="_AURORA WIP_4 31E Reg Asset  Liab and EXH D _ Aug 10 Filing (2)" xfId="11970"/>
    <cellStyle name="_AURORA WIP_4 31E Reg Asset  Liab and EXH D _ Aug 10 Filing (2) 2" xfId="22739"/>
    <cellStyle name="_AURORA WIP_4 31E Reg Asset  Liab and EXH D 10" xfId="22740"/>
    <cellStyle name="_AURORA WIP_4 31E Reg Asset  Liab and EXH D 11" xfId="22741"/>
    <cellStyle name="_AURORA WIP_4 31E Reg Asset  Liab and EXH D 12" xfId="22742"/>
    <cellStyle name="_AURORA WIP_4 31E Reg Asset  Liab and EXH D 13" xfId="22743"/>
    <cellStyle name="_AURORA WIP_4 31E Reg Asset  Liab and EXH D 14" xfId="22744"/>
    <cellStyle name="_AURORA WIP_4 31E Reg Asset  Liab and EXH D 15" xfId="22745"/>
    <cellStyle name="_AURORA WIP_4 31E Reg Asset  Liab and EXH D 16" xfId="22746"/>
    <cellStyle name="_AURORA WIP_4 31E Reg Asset  Liab and EXH D 17" xfId="22747"/>
    <cellStyle name="_AURORA WIP_4 31E Reg Asset  Liab and EXH D 18" xfId="22748"/>
    <cellStyle name="_AURORA WIP_4 31E Reg Asset  Liab and EXH D 19" xfId="22749"/>
    <cellStyle name="_AURORA WIP_4 31E Reg Asset  Liab and EXH D 2" xfId="22750"/>
    <cellStyle name="_AURORA WIP_4 31E Reg Asset  Liab and EXH D 20" xfId="22751"/>
    <cellStyle name="_AURORA WIP_4 31E Reg Asset  Liab and EXH D 21" xfId="22752"/>
    <cellStyle name="_AURORA WIP_4 31E Reg Asset  Liab and EXH D 22" xfId="22753"/>
    <cellStyle name="_AURORA WIP_4 31E Reg Asset  Liab and EXH D 23" xfId="22754"/>
    <cellStyle name="_AURORA WIP_4 31E Reg Asset  Liab and EXH D 24" xfId="22755"/>
    <cellStyle name="_AURORA WIP_4 31E Reg Asset  Liab and EXH D 25" xfId="22756"/>
    <cellStyle name="_AURORA WIP_4 31E Reg Asset  Liab and EXH D 26" xfId="22757"/>
    <cellStyle name="_AURORA WIP_4 31E Reg Asset  Liab and EXH D 27" xfId="22758"/>
    <cellStyle name="_AURORA WIP_4 31E Reg Asset  Liab and EXH D 28" xfId="22759"/>
    <cellStyle name="_AURORA WIP_4 31E Reg Asset  Liab and EXH D 29" xfId="22760"/>
    <cellStyle name="_AURORA WIP_4 31E Reg Asset  Liab and EXH D 3" xfId="22761"/>
    <cellStyle name="_AURORA WIP_4 31E Reg Asset  Liab and EXH D 30" xfId="22762"/>
    <cellStyle name="_AURORA WIP_4 31E Reg Asset  Liab and EXH D 31" xfId="22763"/>
    <cellStyle name="_AURORA WIP_4 31E Reg Asset  Liab and EXH D 32" xfId="22764"/>
    <cellStyle name="_AURORA WIP_4 31E Reg Asset  Liab and EXH D 33" xfId="22765"/>
    <cellStyle name="_AURORA WIP_4 31E Reg Asset  Liab and EXH D 34" xfId="22766"/>
    <cellStyle name="_AURORA WIP_4 31E Reg Asset  Liab and EXH D 35" xfId="22767"/>
    <cellStyle name="_AURORA WIP_4 31E Reg Asset  Liab and EXH D 36" xfId="22768"/>
    <cellStyle name="_AURORA WIP_4 31E Reg Asset  Liab and EXH D 4" xfId="22769"/>
    <cellStyle name="_AURORA WIP_4 31E Reg Asset  Liab and EXH D 5" xfId="22770"/>
    <cellStyle name="_AURORA WIP_4 31E Reg Asset  Liab and EXH D 6" xfId="22771"/>
    <cellStyle name="_AURORA WIP_4 31E Reg Asset  Liab and EXH D 7" xfId="22772"/>
    <cellStyle name="_AURORA WIP_4 31E Reg Asset  Liab and EXH D 8" xfId="22773"/>
    <cellStyle name="_AURORA WIP_4 31E Reg Asset  Liab and EXH D 9" xfId="22774"/>
    <cellStyle name="_AURORA WIP_Chelan PUD Power Costs (8-10)" xfId="11971"/>
    <cellStyle name="_AURORA WIP_Chelan PUD Power Costs (8-10) 2" xfId="22775"/>
    <cellStyle name="_AURORA WIP_compare wind integration" xfId="22776"/>
    <cellStyle name="_AURORA WIP_DEM-WP(C) Chelan Power Costs" xfId="11972"/>
    <cellStyle name="_AURORA WIP_DEM-WP(C) Chelan Power Costs 2" xfId="22777"/>
    <cellStyle name="_AURORA WIP_DEM-WP(C) Costs Not In AURORA 2010GRC As Filed" xfId="194"/>
    <cellStyle name="_AURORA WIP_DEM-WP(C) Costs Not In AURORA 2010GRC As Filed 2" xfId="3581"/>
    <cellStyle name="_AURORA WIP_DEM-WP(C) Costs Not In AURORA 2010GRC As Filed 2 2" xfId="22778"/>
    <cellStyle name="_AURORA WIP_DEM-WP(C) Costs Not In AURORA 2010GRC As Filed 3" xfId="11973"/>
    <cellStyle name="_AURORA WIP_DEM-WP(C) Costs Not In AURORA 2010GRC As Filed 3 2" xfId="22779"/>
    <cellStyle name="_AURORA WIP_DEM-WP(C) Costs Not In AURORA 2010GRC As Filed 4" xfId="22780"/>
    <cellStyle name="_AURORA WIP_DEM-WP(C) Costs Not In AURORA 2010GRC As Filed 4 2" xfId="22781"/>
    <cellStyle name="_AURORA WIP_DEM-WP(C) Costs Not In AURORA 2010GRC As Filed 5" xfId="22782"/>
    <cellStyle name="_AURORA WIP_DEM-WP(C) Costs Not In AURORA 2010GRC As Filed 5 2" xfId="22783"/>
    <cellStyle name="_AURORA WIP_DEM-WP(C) Costs Not In AURORA 2010GRC As Filed 6" xfId="22784"/>
    <cellStyle name="_AURORA WIP_DEM-WP(C) Costs Not In AURORA 2010GRC As Filed 6 2" xfId="22785"/>
    <cellStyle name="_AURORA WIP_DEM-WP(C) Costs Not In AURORA 2010GRC As Filed_DEM-WP(C) ENERG10C--ctn Mid-C_042010 2010GRC" xfId="11974"/>
    <cellStyle name="_AURORA WIP_DEM-WP(C) ENERG10C--ctn Mid-C_042010 2010GRC" xfId="11975"/>
    <cellStyle name="_AURORA WIP_DEM-WP(C) Gas Transport 2010GRC" xfId="11976"/>
    <cellStyle name="_AURORA WIP_DEM-WP(C) Gas Transport 2010GRC 2" xfId="22786"/>
    <cellStyle name="_AURORA WIP_NIM Summary" xfId="195"/>
    <cellStyle name="_AURORA WIP_NIM Summary 09GRC" xfId="196"/>
    <cellStyle name="_AURORA WIP_NIM Summary 09GRC 2" xfId="197"/>
    <cellStyle name="_AURORA WIP_NIM Summary 09GRC 2 2" xfId="3584"/>
    <cellStyle name="_AURORA WIP_NIM Summary 09GRC 3" xfId="3583"/>
    <cellStyle name="_AURORA WIP_NIM Summary 09GRC_DEM-WP(C) ENERG10C--ctn Mid-C_042010 2010GRC" xfId="11977"/>
    <cellStyle name="_AURORA WIP_NIM Summary 10" xfId="3582"/>
    <cellStyle name="_AURORA WIP_NIM Summary 11" xfId="5970"/>
    <cellStyle name="_AURORA WIP_NIM Summary 12" xfId="6281"/>
    <cellStyle name="_AURORA WIP_NIM Summary 13" xfId="5971"/>
    <cellStyle name="_AURORA WIP_NIM Summary 14" xfId="6292"/>
    <cellStyle name="_AURORA WIP_NIM Summary 15" xfId="14452"/>
    <cellStyle name="_AURORA WIP_NIM Summary 16" xfId="14453"/>
    <cellStyle name="_AURORA WIP_NIM Summary 17" xfId="14454"/>
    <cellStyle name="_AURORA WIP_NIM Summary 18" xfId="14455"/>
    <cellStyle name="_AURORA WIP_NIM Summary 19" xfId="14456"/>
    <cellStyle name="_AURORA WIP_NIM Summary 2" xfId="198"/>
    <cellStyle name="_AURORA WIP_NIM Summary 2 2" xfId="3585"/>
    <cellStyle name="_AURORA WIP_NIM Summary 20" xfId="14457"/>
    <cellStyle name="_AURORA WIP_NIM Summary 21" xfId="14458"/>
    <cellStyle name="_AURORA WIP_NIM Summary 22" xfId="14459"/>
    <cellStyle name="_AURORA WIP_NIM Summary 23" xfId="14460"/>
    <cellStyle name="_AURORA WIP_NIM Summary 24" xfId="14461"/>
    <cellStyle name="_AURORA WIP_NIM Summary 25" xfId="14462"/>
    <cellStyle name="_AURORA WIP_NIM Summary 26" xfId="14463"/>
    <cellStyle name="_AURORA WIP_NIM Summary 27" xfId="14464"/>
    <cellStyle name="_AURORA WIP_NIM Summary 28" xfId="14465"/>
    <cellStyle name="_AURORA WIP_NIM Summary 29" xfId="14466"/>
    <cellStyle name="_AURORA WIP_NIM Summary 3" xfId="199"/>
    <cellStyle name="_AURORA WIP_NIM Summary 3 2" xfId="3586"/>
    <cellStyle name="_AURORA WIP_NIM Summary 30" xfId="14467"/>
    <cellStyle name="_AURORA WIP_NIM Summary 31" xfId="14468"/>
    <cellStyle name="_AURORA WIP_NIM Summary 32" xfId="14469"/>
    <cellStyle name="_AURORA WIP_NIM Summary 33" xfId="14470"/>
    <cellStyle name="_AURORA WIP_NIM Summary 34" xfId="14471"/>
    <cellStyle name="_AURORA WIP_NIM Summary 35" xfId="14472"/>
    <cellStyle name="_AURORA WIP_NIM Summary 36" xfId="14473"/>
    <cellStyle name="_AURORA WIP_NIM Summary 37" xfId="14474"/>
    <cellStyle name="_AURORA WIP_NIM Summary 38" xfId="14475"/>
    <cellStyle name="_AURORA WIP_NIM Summary 39" xfId="14476"/>
    <cellStyle name="_AURORA WIP_NIM Summary 4" xfId="200"/>
    <cellStyle name="_AURORA WIP_NIM Summary 4 2" xfId="3587"/>
    <cellStyle name="_AURORA WIP_NIM Summary 40" xfId="14477"/>
    <cellStyle name="_AURORA WIP_NIM Summary 41" xfId="14478"/>
    <cellStyle name="_AURORA WIP_NIM Summary 42" xfId="15817"/>
    <cellStyle name="_AURORA WIP_NIM Summary 43" xfId="17301"/>
    <cellStyle name="_AURORA WIP_NIM Summary 44" xfId="22787"/>
    <cellStyle name="_AURORA WIP_NIM Summary 45" xfId="22788"/>
    <cellStyle name="_AURORA WIP_NIM Summary 46" xfId="22789"/>
    <cellStyle name="_AURORA WIP_NIM Summary 47" xfId="22790"/>
    <cellStyle name="_AURORA WIP_NIM Summary 48" xfId="22791"/>
    <cellStyle name="_AURORA WIP_NIM Summary 49" xfId="22792"/>
    <cellStyle name="_AURORA WIP_NIM Summary 5" xfId="201"/>
    <cellStyle name="_AURORA WIP_NIM Summary 5 2" xfId="3588"/>
    <cellStyle name="_AURORA WIP_NIM Summary 50" xfId="22793"/>
    <cellStyle name="_AURORA WIP_NIM Summary 51" xfId="41123"/>
    <cellStyle name="_AURORA WIP_NIM Summary 52" xfId="6561"/>
    <cellStyle name="_AURORA WIP_NIM Summary 6" xfId="202"/>
    <cellStyle name="_AURORA WIP_NIM Summary 6 2" xfId="3589"/>
    <cellStyle name="_AURORA WIP_NIM Summary 7" xfId="203"/>
    <cellStyle name="_AURORA WIP_NIM Summary 7 2" xfId="3590"/>
    <cellStyle name="_AURORA WIP_NIM Summary 8" xfId="204"/>
    <cellStyle name="_AURORA WIP_NIM Summary 8 2" xfId="3591"/>
    <cellStyle name="_AURORA WIP_NIM Summary 9" xfId="205"/>
    <cellStyle name="_AURORA WIP_NIM Summary 9 2" xfId="3592"/>
    <cellStyle name="_AURORA WIP_NIM Summary_DEM-WP(C) ENERG10C--ctn Mid-C_042010 2010GRC" xfId="11978"/>
    <cellStyle name="_AURORA WIP_NIM+O&amp;M" xfId="11979"/>
    <cellStyle name="_AURORA WIP_NIM+O&amp;M 2" xfId="11980"/>
    <cellStyle name="_AURORA WIP_NIM+O&amp;M 2 2" xfId="22794"/>
    <cellStyle name="_AURORA WIP_NIM+O&amp;M 3" xfId="22795"/>
    <cellStyle name="_AURORA WIP_NIM+O&amp;M Monthly" xfId="11981"/>
    <cellStyle name="_AURORA WIP_NIM+O&amp;M Monthly 2" xfId="11982"/>
    <cellStyle name="_AURORA WIP_NIM+O&amp;M Monthly 2 2" xfId="22796"/>
    <cellStyle name="_AURORA WIP_NIM+O&amp;M Monthly 3" xfId="22797"/>
    <cellStyle name="_AURORA WIP_PCA 9 -  Exhibit D April 2010 (3)" xfId="206"/>
    <cellStyle name="_AURORA WIP_PCA 9 -  Exhibit D April 2010 (3) 2" xfId="207"/>
    <cellStyle name="_AURORA WIP_PCA 9 -  Exhibit D April 2010 (3) 2 2" xfId="3594"/>
    <cellStyle name="_AURORA WIP_PCA 9 -  Exhibit D April 2010 (3) 3" xfId="3593"/>
    <cellStyle name="_AURORA WIP_PCA 9 -  Exhibit D April 2010 (3)_DEM-WP(C) ENERG10C--ctn Mid-C_042010 2010GRC" xfId="11983"/>
    <cellStyle name="_AURORA WIP_Reconciliation" xfId="208"/>
    <cellStyle name="_AURORA WIP_Reconciliation 2" xfId="3595"/>
    <cellStyle name="_AURORA WIP_Reconciliation 2 2" xfId="22798"/>
    <cellStyle name="_AURORA WIP_Reconciliation 3" xfId="11984"/>
    <cellStyle name="_AURORA WIP_Reconciliation 3 2" xfId="22799"/>
    <cellStyle name="_AURORA WIP_Reconciliation 4" xfId="22800"/>
    <cellStyle name="_AURORA WIP_Reconciliation 4 2" xfId="22801"/>
    <cellStyle name="_AURORA WIP_Reconciliation 5" xfId="22802"/>
    <cellStyle name="_AURORA WIP_Reconciliation 5 2" xfId="22803"/>
    <cellStyle name="_AURORA WIP_Reconciliation 6" xfId="22804"/>
    <cellStyle name="_AURORA WIP_Reconciliation 6 2" xfId="22805"/>
    <cellStyle name="_AURORA WIP_Reconciliation_DEM-WP(C) ENERG10C--ctn Mid-C_042010 2010GRC" xfId="11985"/>
    <cellStyle name="_AURORA WIP_Wind Integration 10GRC" xfId="209"/>
    <cellStyle name="_AURORA WIP_Wind Integration 10GRC 2" xfId="210"/>
    <cellStyle name="_AURORA WIP_Wind Integration 10GRC 2 2" xfId="3597"/>
    <cellStyle name="_AURORA WIP_Wind Integration 10GRC 3" xfId="3596"/>
    <cellStyle name="_AURORA WIP_Wind Integration 10GRC_DEM-WP(C) ENERG10C--ctn Mid-C_042010 2010GRC" xfId="11986"/>
    <cellStyle name="_Book1" xfId="211"/>
    <cellStyle name="_x0013__Book1" xfId="14237"/>
    <cellStyle name="_Book1 (2)" xfId="212"/>
    <cellStyle name="_Book1 (2) 2" xfId="213"/>
    <cellStyle name="_Book1 (2) 2 2" xfId="214"/>
    <cellStyle name="_Book1 (2) 2 2 2" xfId="3601"/>
    <cellStyle name="_Book1 (2) 2 2 2 2" xfId="19652"/>
    <cellStyle name="_Book1 (2) 2 2 3" xfId="15820"/>
    <cellStyle name="_Book1 (2) 2 3" xfId="3600"/>
    <cellStyle name="_Book1 (2) 2 3 2" xfId="19653"/>
    <cellStyle name="_Book1 (2) 2 4" xfId="15819"/>
    <cellStyle name="_Book1 (2) 3" xfId="215"/>
    <cellStyle name="_Book1 (2) 3 2" xfId="3602"/>
    <cellStyle name="_Book1 (2) 3 2 2" xfId="6562"/>
    <cellStyle name="_Book1 (2) 3 2 2 2" xfId="19654"/>
    <cellStyle name="_Book1 (2) 3 2 3" xfId="18140"/>
    <cellStyle name="_Book1 (2) 3 3" xfId="6563"/>
    <cellStyle name="_Book1 (2) 3 3 2" xfId="6564"/>
    <cellStyle name="_Book1 (2) 3 3 2 2" xfId="19655"/>
    <cellStyle name="_Book1 (2) 3 3 3" xfId="18141"/>
    <cellStyle name="_Book1 (2) 3 4" xfId="6565"/>
    <cellStyle name="_Book1 (2) 3 4 2" xfId="6566"/>
    <cellStyle name="_Book1 (2) 3 4 2 2" xfId="19656"/>
    <cellStyle name="_Book1 (2) 3 4 3" xfId="18142"/>
    <cellStyle name="_Book1 (2) 3 5" xfId="15821"/>
    <cellStyle name="_Book1 (2) 4" xfId="216"/>
    <cellStyle name="_Book1 (2) 4 2" xfId="217"/>
    <cellStyle name="_Book1 (2) 4 2 2" xfId="3604"/>
    <cellStyle name="_Book1 (2) 4 3" xfId="3603"/>
    <cellStyle name="_Book1 (2) 5" xfId="3599"/>
    <cellStyle name="_Book1 (2) 5 2" xfId="19657"/>
    <cellStyle name="_Book1 (2) 5 2 2" xfId="22806"/>
    <cellStyle name="_Book1 (2) 5 3" xfId="22807"/>
    <cellStyle name="_Book1 (2) 6" xfId="6567"/>
    <cellStyle name="_Book1 (2) 6 2" xfId="11987"/>
    <cellStyle name="_Book1 (2) 7" xfId="11988"/>
    <cellStyle name="_Book1 (2) 7 2" xfId="11989"/>
    <cellStyle name="_Book1 (2) 8" xfId="22808"/>
    <cellStyle name="_Book1 (2) 8 2" xfId="22809"/>
    <cellStyle name="_Book1 (2) 9" xfId="22810"/>
    <cellStyle name="_Book1 (2) 9 2" xfId="22811"/>
    <cellStyle name="_Book1 (2)_04 07E Wild Horse Wind Expansion (C) (2)" xfId="218"/>
    <cellStyle name="_Book1 (2)_04 07E Wild Horse Wind Expansion (C) (2) 2" xfId="219"/>
    <cellStyle name="_Book1 (2)_04 07E Wild Horse Wind Expansion (C) (2) 2 2" xfId="3606"/>
    <cellStyle name="_Book1 (2)_04 07E Wild Horse Wind Expansion (C) (2) 2 2 2" xfId="19658"/>
    <cellStyle name="_Book1 (2)_04 07E Wild Horse Wind Expansion (C) (2) 2 3" xfId="15823"/>
    <cellStyle name="_Book1 (2)_04 07E Wild Horse Wind Expansion (C) (2) 3" xfId="3605"/>
    <cellStyle name="_Book1 (2)_04 07E Wild Horse Wind Expansion (C) (2) 3 2" xfId="19659"/>
    <cellStyle name="_Book1 (2)_04 07E Wild Horse Wind Expansion (C) (2) 4" xfId="15822"/>
    <cellStyle name="_Book1 (2)_04 07E Wild Horse Wind Expansion (C) (2)_Adj Bench DR 3 for Initial Briefs (Electric)" xfId="220"/>
    <cellStyle name="_Book1 (2)_04 07E Wild Horse Wind Expansion (C) (2)_Adj Bench DR 3 for Initial Briefs (Electric) 2" xfId="221"/>
    <cellStyle name="_Book1 (2)_04 07E Wild Horse Wind Expansion (C) (2)_Adj Bench DR 3 for Initial Briefs (Electric) 2 2" xfId="3608"/>
    <cellStyle name="_Book1 (2)_04 07E Wild Horse Wind Expansion (C) (2)_Adj Bench DR 3 for Initial Briefs (Electric) 2 2 2" xfId="19660"/>
    <cellStyle name="_Book1 (2)_04 07E Wild Horse Wind Expansion (C) (2)_Adj Bench DR 3 for Initial Briefs (Electric) 2 3" xfId="15825"/>
    <cellStyle name="_Book1 (2)_04 07E Wild Horse Wind Expansion (C) (2)_Adj Bench DR 3 for Initial Briefs (Electric) 3" xfId="3607"/>
    <cellStyle name="_Book1 (2)_04 07E Wild Horse Wind Expansion (C) (2)_Adj Bench DR 3 for Initial Briefs (Electric) 3 2" xfId="19661"/>
    <cellStyle name="_Book1 (2)_04 07E Wild Horse Wind Expansion (C) (2)_Adj Bench DR 3 for Initial Briefs (Electric) 4" xfId="15824"/>
    <cellStyle name="_Book1 (2)_04 07E Wild Horse Wind Expansion (C) (2)_Adj Bench DR 3 for Initial Briefs (Electric)_DEM-WP(C) ENERG10C--ctn Mid-C_042010 2010GRC" xfId="11990"/>
    <cellStyle name="_Book1 (2)_04 07E Wild Horse Wind Expansion (C) (2)_Book1" xfId="14238"/>
    <cellStyle name="_Book1 (2)_04 07E Wild Horse Wind Expansion (C) (2)_DEM-WP(C) ENERG10C--ctn Mid-C_042010 2010GRC" xfId="11991"/>
    <cellStyle name="_Book1 (2)_04 07E Wild Horse Wind Expansion (C) (2)_Electric Rev Req Model (2009 GRC) " xfId="222"/>
    <cellStyle name="_Book1 (2)_04 07E Wild Horse Wind Expansion (C) (2)_Electric Rev Req Model (2009 GRC)  2" xfId="223"/>
    <cellStyle name="_Book1 (2)_04 07E Wild Horse Wind Expansion (C) (2)_Electric Rev Req Model (2009 GRC)  2 2" xfId="3610"/>
    <cellStyle name="_Book1 (2)_04 07E Wild Horse Wind Expansion (C) (2)_Electric Rev Req Model (2009 GRC)  2 2 2" xfId="19662"/>
    <cellStyle name="_Book1 (2)_04 07E Wild Horse Wind Expansion (C) (2)_Electric Rev Req Model (2009 GRC)  2 3" xfId="15827"/>
    <cellStyle name="_Book1 (2)_04 07E Wild Horse Wind Expansion (C) (2)_Electric Rev Req Model (2009 GRC)  3" xfId="3609"/>
    <cellStyle name="_Book1 (2)_04 07E Wild Horse Wind Expansion (C) (2)_Electric Rev Req Model (2009 GRC)  3 2" xfId="19663"/>
    <cellStyle name="_Book1 (2)_04 07E Wild Horse Wind Expansion (C) (2)_Electric Rev Req Model (2009 GRC)  4" xfId="15826"/>
    <cellStyle name="_Book1 (2)_04 07E Wild Horse Wind Expansion (C) (2)_Electric Rev Req Model (2009 GRC) _DEM-WP(C) ENERG10C--ctn Mid-C_042010 2010GRC" xfId="11992"/>
    <cellStyle name="_Book1 (2)_04 07E Wild Horse Wind Expansion (C) (2)_Electric Rev Req Model (2009 GRC) Rebuttal" xfId="224"/>
    <cellStyle name="_Book1 (2)_04 07E Wild Horse Wind Expansion (C) (2)_Electric Rev Req Model (2009 GRC) Rebuttal 2" xfId="3611"/>
    <cellStyle name="_Book1 (2)_04 07E Wild Horse Wind Expansion (C) (2)_Electric Rev Req Model (2009 GRC) Rebuttal 2 2" xfId="6568"/>
    <cellStyle name="_Book1 (2)_04 07E Wild Horse Wind Expansion (C) (2)_Electric Rev Req Model (2009 GRC) Rebuttal 2 2 2" xfId="19664"/>
    <cellStyle name="_Book1 (2)_04 07E Wild Horse Wind Expansion (C) (2)_Electric Rev Req Model (2009 GRC) Rebuttal 2 3" xfId="18143"/>
    <cellStyle name="_Book1 (2)_04 07E Wild Horse Wind Expansion (C) (2)_Electric Rev Req Model (2009 GRC) Rebuttal 3" xfId="6569"/>
    <cellStyle name="_Book1 (2)_04 07E Wild Horse Wind Expansion (C) (2)_Electric Rev Req Model (2009 GRC) Rebuttal 3 2" xfId="19665"/>
    <cellStyle name="_Book1 (2)_04 07E Wild Horse Wind Expansion (C) (2)_Electric Rev Req Model (2009 GRC) Rebuttal 4" xfId="15828"/>
    <cellStyle name="_Book1 (2)_04 07E Wild Horse Wind Expansion (C) (2)_Electric Rev Req Model (2009 GRC) Rebuttal REmoval of New  WH Solar AdjustMI" xfId="225"/>
    <cellStyle name="_Book1 (2)_04 07E Wild Horse Wind Expansion (C) (2)_Electric Rev Req Model (2009 GRC) Rebuttal REmoval of New  WH Solar AdjustMI 2" xfId="226"/>
    <cellStyle name="_Book1 (2)_04 07E Wild Horse Wind Expansion (C) (2)_Electric Rev Req Model (2009 GRC) Rebuttal REmoval of New  WH Solar AdjustMI 2 2" xfId="3613"/>
    <cellStyle name="_Book1 (2)_04 07E Wild Horse Wind Expansion (C) (2)_Electric Rev Req Model (2009 GRC) Rebuttal REmoval of New  WH Solar AdjustMI 2 2 2" xfId="19666"/>
    <cellStyle name="_Book1 (2)_04 07E Wild Horse Wind Expansion (C) (2)_Electric Rev Req Model (2009 GRC) Rebuttal REmoval of New  WH Solar AdjustMI 2 3" xfId="15830"/>
    <cellStyle name="_Book1 (2)_04 07E Wild Horse Wind Expansion (C) (2)_Electric Rev Req Model (2009 GRC) Rebuttal REmoval of New  WH Solar AdjustMI 3" xfId="3612"/>
    <cellStyle name="_Book1 (2)_04 07E Wild Horse Wind Expansion (C) (2)_Electric Rev Req Model (2009 GRC) Rebuttal REmoval of New  WH Solar AdjustMI 3 2" xfId="19667"/>
    <cellStyle name="_Book1 (2)_04 07E Wild Horse Wind Expansion (C) (2)_Electric Rev Req Model (2009 GRC) Rebuttal REmoval of New  WH Solar AdjustMI 4" xfId="15829"/>
    <cellStyle name="_Book1 (2)_04 07E Wild Horse Wind Expansion (C) (2)_Electric Rev Req Model (2009 GRC) Rebuttal REmoval of New  WH Solar AdjustMI_DEM-WP(C) ENERG10C--ctn Mid-C_042010 2010GRC" xfId="11993"/>
    <cellStyle name="_Book1 (2)_04 07E Wild Horse Wind Expansion (C) (2)_Electric Rev Req Model (2009 GRC) Revised 01-18-2010" xfId="227"/>
    <cellStyle name="_Book1 (2)_04 07E Wild Horse Wind Expansion (C) (2)_Electric Rev Req Model (2009 GRC) Revised 01-18-2010 2" xfId="228"/>
    <cellStyle name="_Book1 (2)_04 07E Wild Horse Wind Expansion (C) (2)_Electric Rev Req Model (2009 GRC) Revised 01-18-2010 2 2" xfId="3615"/>
    <cellStyle name="_Book1 (2)_04 07E Wild Horse Wind Expansion (C) (2)_Electric Rev Req Model (2009 GRC) Revised 01-18-2010 2 2 2" xfId="19668"/>
    <cellStyle name="_Book1 (2)_04 07E Wild Horse Wind Expansion (C) (2)_Electric Rev Req Model (2009 GRC) Revised 01-18-2010 2 3" xfId="15832"/>
    <cellStyle name="_Book1 (2)_04 07E Wild Horse Wind Expansion (C) (2)_Electric Rev Req Model (2009 GRC) Revised 01-18-2010 3" xfId="3614"/>
    <cellStyle name="_Book1 (2)_04 07E Wild Horse Wind Expansion (C) (2)_Electric Rev Req Model (2009 GRC) Revised 01-18-2010 3 2" xfId="19669"/>
    <cellStyle name="_Book1 (2)_04 07E Wild Horse Wind Expansion (C) (2)_Electric Rev Req Model (2009 GRC) Revised 01-18-2010 4" xfId="15831"/>
    <cellStyle name="_Book1 (2)_04 07E Wild Horse Wind Expansion (C) (2)_Electric Rev Req Model (2009 GRC) Revised 01-18-2010_DEM-WP(C) ENERG10C--ctn Mid-C_042010 2010GRC" xfId="11994"/>
    <cellStyle name="_Book1 (2)_04 07E Wild Horse Wind Expansion (C) (2)_Electric Rev Req Model (2010 GRC)" xfId="14239"/>
    <cellStyle name="_Book1 (2)_04 07E Wild Horse Wind Expansion (C) (2)_Electric Rev Req Model (2010 GRC) SF" xfId="14240"/>
    <cellStyle name="_Book1 (2)_04 07E Wild Horse Wind Expansion (C) (2)_Final Order Electric EXHIBIT A-1" xfId="229"/>
    <cellStyle name="_Book1 (2)_04 07E Wild Horse Wind Expansion (C) (2)_Final Order Electric EXHIBIT A-1 2" xfId="3616"/>
    <cellStyle name="_Book1 (2)_04 07E Wild Horse Wind Expansion (C) (2)_Final Order Electric EXHIBIT A-1 2 2" xfId="6570"/>
    <cellStyle name="_Book1 (2)_04 07E Wild Horse Wind Expansion (C) (2)_Final Order Electric EXHIBIT A-1 2 2 2" xfId="19670"/>
    <cellStyle name="_Book1 (2)_04 07E Wild Horse Wind Expansion (C) (2)_Final Order Electric EXHIBIT A-1 2 3" xfId="18144"/>
    <cellStyle name="_Book1 (2)_04 07E Wild Horse Wind Expansion (C) (2)_Final Order Electric EXHIBIT A-1 3" xfId="6571"/>
    <cellStyle name="_Book1 (2)_04 07E Wild Horse Wind Expansion (C) (2)_Final Order Electric EXHIBIT A-1 3 2" xfId="19671"/>
    <cellStyle name="_Book1 (2)_04 07E Wild Horse Wind Expansion (C) (2)_Final Order Electric EXHIBIT A-1 4" xfId="15833"/>
    <cellStyle name="_Book1 (2)_04 07E Wild Horse Wind Expansion (C) (2)_TENASKA REGULATORY ASSET" xfId="230"/>
    <cellStyle name="_Book1 (2)_04 07E Wild Horse Wind Expansion (C) (2)_TENASKA REGULATORY ASSET 2" xfId="3617"/>
    <cellStyle name="_Book1 (2)_04 07E Wild Horse Wind Expansion (C) (2)_TENASKA REGULATORY ASSET 2 2" xfId="6572"/>
    <cellStyle name="_Book1 (2)_04 07E Wild Horse Wind Expansion (C) (2)_TENASKA REGULATORY ASSET 2 2 2" xfId="19672"/>
    <cellStyle name="_Book1 (2)_04 07E Wild Horse Wind Expansion (C) (2)_TENASKA REGULATORY ASSET 2 3" xfId="18145"/>
    <cellStyle name="_Book1 (2)_04 07E Wild Horse Wind Expansion (C) (2)_TENASKA REGULATORY ASSET 3" xfId="6573"/>
    <cellStyle name="_Book1 (2)_04 07E Wild Horse Wind Expansion (C) (2)_TENASKA REGULATORY ASSET 3 2" xfId="19673"/>
    <cellStyle name="_Book1 (2)_04 07E Wild Horse Wind Expansion (C) (2)_TENASKA REGULATORY ASSET 4" xfId="15834"/>
    <cellStyle name="_Book1 (2)_16.37E Wild Horse Expansion DeferralRevwrkingfile SF" xfId="231"/>
    <cellStyle name="_Book1 (2)_16.37E Wild Horse Expansion DeferralRevwrkingfile SF 2" xfId="232"/>
    <cellStyle name="_Book1 (2)_16.37E Wild Horse Expansion DeferralRevwrkingfile SF 2 2" xfId="3619"/>
    <cellStyle name="_Book1 (2)_16.37E Wild Horse Expansion DeferralRevwrkingfile SF 2 2 2" xfId="19674"/>
    <cellStyle name="_Book1 (2)_16.37E Wild Horse Expansion DeferralRevwrkingfile SF 2 3" xfId="15836"/>
    <cellStyle name="_Book1 (2)_16.37E Wild Horse Expansion DeferralRevwrkingfile SF 3" xfId="3618"/>
    <cellStyle name="_Book1 (2)_16.37E Wild Horse Expansion DeferralRevwrkingfile SF 3 2" xfId="19675"/>
    <cellStyle name="_Book1 (2)_16.37E Wild Horse Expansion DeferralRevwrkingfile SF 4" xfId="15835"/>
    <cellStyle name="_Book1 (2)_16.37E Wild Horse Expansion DeferralRevwrkingfile SF_DEM-WP(C) ENERG10C--ctn Mid-C_042010 2010GRC" xfId="11995"/>
    <cellStyle name="_Book1 (2)_2009 Compliance Filing PCA Exhibits for GRC" xfId="14020"/>
    <cellStyle name="_Book1 (2)_2009 Compliance Filing PCA Exhibits for GRC 2" xfId="14479"/>
    <cellStyle name="_Book1 (2)_2009 GRC Compl Filing - Exhibit D" xfId="233"/>
    <cellStyle name="_Book1 (2)_2009 GRC Compl Filing - Exhibit D 2" xfId="234"/>
    <cellStyle name="_Book1 (2)_2009 GRC Compl Filing - Exhibit D 2 2" xfId="3621"/>
    <cellStyle name="_Book1 (2)_2009 GRC Compl Filing - Exhibit D 3" xfId="3620"/>
    <cellStyle name="_Book1 (2)_2009 GRC Compl Filing - Exhibit D_DEM-WP(C) ENERG10C--ctn Mid-C_042010 2010GRC" xfId="11996"/>
    <cellStyle name="_Book1 (2)_3.01 Income Statement" xfId="14021"/>
    <cellStyle name="_Book1 (2)_4 31 Regulatory Assets and Liabilities  7 06- Exhibit D" xfId="235"/>
    <cellStyle name="_Book1 (2)_4 31 Regulatory Assets and Liabilities  7 06- Exhibit D 2" xfId="236"/>
    <cellStyle name="_Book1 (2)_4 31 Regulatory Assets and Liabilities  7 06- Exhibit D 2 2" xfId="3623"/>
    <cellStyle name="_Book1 (2)_4 31 Regulatory Assets and Liabilities  7 06- Exhibit D 2 2 2" xfId="19676"/>
    <cellStyle name="_Book1 (2)_4 31 Regulatory Assets and Liabilities  7 06- Exhibit D 2 3" xfId="15838"/>
    <cellStyle name="_Book1 (2)_4 31 Regulatory Assets and Liabilities  7 06- Exhibit D 3" xfId="3622"/>
    <cellStyle name="_Book1 (2)_4 31 Regulatory Assets and Liabilities  7 06- Exhibit D 3 2" xfId="19677"/>
    <cellStyle name="_Book1 (2)_4 31 Regulatory Assets and Liabilities  7 06- Exhibit D 4" xfId="15837"/>
    <cellStyle name="_Book1 (2)_4 31 Regulatory Assets and Liabilities  7 06- Exhibit D_DEM-WP(C) ENERG10C--ctn Mid-C_042010 2010GRC" xfId="11997"/>
    <cellStyle name="_Book1 (2)_4 31 Regulatory Assets and Liabilities  7 06- Exhibit D_NIM Summary" xfId="237"/>
    <cellStyle name="_Book1 (2)_4 31 Regulatory Assets and Liabilities  7 06- Exhibit D_NIM Summary 2" xfId="238"/>
    <cellStyle name="_Book1 (2)_4 31 Regulatory Assets and Liabilities  7 06- Exhibit D_NIM Summary 2 2" xfId="3625"/>
    <cellStyle name="_Book1 (2)_4 31 Regulatory Assets and Liabilities  7 06- Exhibit D_NIM Summary 3" xfId="3624"/>
    <cellStyle name="_Book1 (2)_4 31 Regulatory Assets and Liabilities  7 06- Exhibit D_NIM Summary_DEM-WP(C) ENERG10C--ctn Mid-C_042010 2010GRC" xfId="11998"/>
    <cellStyle name="_Book1 (2)_4 31E Reg Asset  Liab and EXH D" xfId="11999"/>
    <cellStyle name="_Book1 (2)_4 31E Reg Asset  Liab and EXH D _ Aug 10 Filing (2)" xfId="12000"/>
    <cellStyle name="_Book1 (2)_4 31E Reg Asset  Liab and EXH D _ Aug 10 Filing (2) 2" xfId="22812"/>
    <cellStyle name="_Book1 (2)_4 31E Reg Asset  Liab and EXH D 10" xfId="22813"/>
    <cellStyle name="_Book1 (2)_4 31E Reg Asset  Liab and EXH D 11" xfId="22814"/>
    <cellStyle name="_Book1 (2)_4 31E Reg Asset  Liab and EXH D 12" xfId="22815"/>
    <cellStyle name="_Book1 (2)_4 31E Reg Asset  Liab and EXH D 13" xfId="22816"/>
    <cellStyle name="_Book1 (2)_4 31E Reg Asset  Liab and EXH D 14" xfId="22817"/>
    <cellStyle name="_Book1 (2)_4 31E Reg Asset  Liab and EXH D 15" xfId="22818"/>
    <cellStyle name="_Book1 (2)_4 31E Reg Asset  Liab and EXH D 16" xfId="22819"/>
    <cellStyle name="_Book1 (2)_4 31E Reg Asset  Liab and EXH D 17" xfId="22820"/>
    <cellStyle name="_Book1 (2)_4 31E Reg Asset  Liab and EXH D 18" xfId="22821"/>
    <cellStyle name="_Book1 (2)_4 31E Reg Asset  Liab and EXH D 19" xfId="22822"/>
    <cellStyle name="_Book1 (2)_4 31E Reg Asset  Liab and EXH D 2" xfId="22823"/>
    <cellStyle name="_Book1 (2)_4 31E Reg Asset  Liab and EXH D 20" xfId="22824"/>
    <cellStyle name="_Book1 (2)_4 31E Reg Asset  Liab and EXH D 21" xfId="22825"/>
    <cellStyle name="_Book1 (2)_4 31E Reg Asset  Liab and EXH D 22" xfId="22826"/>
    <cellStyle name="_Book1 (2)_4 31E Reg Asset  Liab and EXH D 23" xfId="22827"/>
    <cellStyle name="_Book1 (2)_4 31E Reg Asset  Liab and EXH D 24" xfId="22828"/>
    <cellStyle name="_Book1 (2)_4 31E Reg Asset  Liab and EXH D 25" xfId="22829"/>
    <cellStyle name="_Book1 (2)_4 31E Reg Asset  Liab and EXH D 26" xfId="22830"/>
    <cellStyle name="_Book1 (2)_4 31E Reg Asset  Liab and EXH D 27" xfId="22831"/>
    <cellStyle name="_Book1 (2)_4 31E Reg Asset  Liab and EXH D 28" xfId="22832"/>
    <cellStyle name="_Book1 (2)_4 31E Reg Asset  Liab and EXH D 29" xfId="22833"/>
    <cellStyle name="_Book1 (2)_4 31E Reg Asset  Liab and EXH D 3" xfId="22834"/>
    <cellStyle name="_Book1 (2)_4 31E Reg Asset  Liab and EXH D 30" xfId="22835"/>
    <cellStyle name="_Book1 (2)_4 31E Reg Asset  Liab and EXH D 31" xfId="22836"/>
    <cellStyle name="_Book1 (2)_4 31E Reg Asset  Liab and EXH D 32" xfId="22837"/>
    <cellStyle name="_Book1 (2)_4 31E Reg Asset  Liab and EXH D 33" xfId="22838"/>
    <cellStyle name="_Book1 (2)_4 31E Reg Asset  Liab and EXH D 34" xfId="22839"/>
    <cellStyle name="_Book1 (2)_4 31E Reg Asset  Liab and EXH D 35" xfId="22840"/>
    <cellStyle name="_Book1 (2)_4 31E Reg Asset  Liab and EXH D 36" xfId="22841"/>
    <cellStyle name="_Book1 (2)_4 31E Reg Asset  Liab and EXH D 4" xfId="22842"/>
    <cellStyle name="_Book1 (2)_4 31E Reg Asset  Liab and EXH D 5" xfId="22843"/>
    <cellStyle name="_Book1 (2)_4 31E Reg Asset  Liab and EXH D 6" xfId="22844"/>
    <cellStyle name="_Book1 (2)_4 31E Reg Asset  Liab and EXH D 7" xfId="22845"/>
    <cellStyle name="_Book1 (2)_4 31E Reg Asset  Liab and EXH D 8" xfId="22846"/>
    <cellStyle name="_Book1 (2)_4 31E Reg Asset  Liab and EXH D 9" xfId="22847"/>
    <cellStyle name="_Book1 (2)_4 32 Regulatory Assets and Liabilities  7 06- Exhibit D" xfId="239"/>
    <cellStyle name="_Book1 (2)_4 32 Regulatory Assets and Liabilities  7 06- Exhibit D 2" xfId="240"/>
    <cellStyle name="_Book1 (2)_4 32 Regulatory Assets and Liabilities  7 06- Exhibit D 2 2" xfId="3627"/>
    <cellStyle name="_Book1 (2)_4 32 Regulatory Assets and Liabilities  7 06- Exhibit D 2 2 2" xfId="19678"/>
    <cellStyle name="_Book1 (2)_4 32 Regulatory Assets and Liabilities  7 06- Exhibit D 2 3" xfId="15840"/>
    <cellStyle name="_Book1 (2)_4 32 Regulatory Assets and Liabilities  7 06- Exhibit D 3" xfId="3626"/>
    <cellStyle name="_Book1 (2)_4 32 Regulatory Assets and Liabilities  7 06- Exhibit D 3 2" xfId="19679"/>
    <cellStyle name="_Book1 (2)_4 32 Regulatory Assets and Liabilities  7 06- Exhibit D 4" xfId="15839"/>
    <cellStyle name="_Book1 (2)_4 32 Regulatory Assets and Liabilities  7 06- Exhibit D_DEM-WP(C) ENERG10C--ctn Mid-C_042010 2010GRC" xfId="12001"/>
    <cellStyle name="_Book1 (2)_4 32 Regulatory Assets and Liabilities  7 06- Exhibit D_NIM Summary" xfId="241"/>
    <cellStyle name="_Book1 (2)_4 32 Regulatory Assets and Liabilities  7 06- Exhibit D_NIM Summary 2" xfId="242"/>
    <cellStyle name="_Book1 (2)_4 32 Regulatory Assets and Liabilities  7 06- Exhibit D_NIM Summary 2 2" xfId="3629"/>
    <cellStyle name="_Book1 (2)_4 32 Regulatory Assets and Liabilities  7 06- Exhibit D_NIM Summary 3" xfId="3628"/>
    <cellStyle name="_Book1 (2)_4 32 Regulatory Assets and Liabilities  7 06- Exhibit D_NIM Summary_DEM-WP(C) ENERG10C--ctn Mid-C_042010 2010GRC" xfId="12002"/>
    <cellStyle name="_Book1 (2)_AURORA Total New" xfId="243"/>
    <cellStyle name="_Book1 (2)_AURORA Total New 2" xfId="244"/>
    <cellStyle name="_Book1 (2)_AURORA Total New 2 2" xfId="3631"/>
    <cellStyle name="_Book1 (2)_AURORA Total New 3" xfId="3630"/>
    <cellStyle name="_Book1 (2)_Book2" xfId="245"/>
    <cellStyle name="_Book1 (2)_Book2 2" xfId="246"/>
    <cellStyle name="_Book1 (2)_Book2 2 2" xfId="3633"/>
    <cellStyle name="_Book1 (2)_Book2 2 2 2" xfId="19680"/>
    <cellStyle name="_Book1 (2)_Book2 2 3" xfId="15842"/>
    <cellStyle name="_Book1 (2)_Book2 3" xfId="3632"/>
    <cellStyle name="_Book1 (2)_Book2 3 2" xfId="19681"/>
    <cellStyle name="_Book1 (2)_Book2 4" xfId="15841"/>
    <cellStyle name="_Book1 (2)_Book2_Adj Bench DR 3 for Initial Briefs (Electric)" xfId="247"/>
    <cellStyle name="_Book1 (2)_Book2_Adj Bench DR 3 for Initial Briefs (Electric) 2" xfId="248"/>
    <cellStyle name="_Book1 (2)_Book2_Adj Bench DR 3 for Initial Briefs (Electric) 2 2" xfId="3635"/>
    <cellStyle name="_Book1 (2)_Book2_Adj Bench DR 3 for Initial Briefs (Electric) 2 2 2" xfId="19682"/>
    <cellStyle name="_Book1 (2)_Book2_Adj Bench DR 3 for Initial Briefs (Electric) 2 3" xfId="15844"/>
    <cellStyle name="_Book1 (2)_Book2_Adj Bench DR 3 for Initial Briefs (Electric) 3" xfId="3634"/>
    <cellStyle name="_Book1 (2)_Book2_Adj Bench DR 3 for Initial Briefs (Electric) 3 2" xfId="19683"/>
    <cellStyle name="_Book1 (2)_Book2_Adj Bench DR 3 for Initial Briefs (Electric) 4" xfId="15843"/>
    <cellStyle name="_Book1 (2)_Book2_Adj Bench DR 3 for Initial Briefs (Electric)_DEM-WP(C) ENERG10C--ctn Mid-C_042010 2010GRC" xfId="12003"/>
    <cellStyle name="_Book1 (2)_Book2_DEM-WP(C) ENERG10C--ctn Mid-C_042010 2010GRC" xfId="12004"/>
    <cellStyle name="_Book1 (2)_Book2_Electric Rev Req Model (2009 GRC) Rebuttal" xfId="249"/>
    <cellStyle name="_Book1 (2)_Book2_Electric Rev Req Model (2009 GRC) Rebuttal 2" xfId="3636"/>
    <cellStyle name="_Book1 (2)_Book2_Electric Rev Req Model (2009 GRC) Rebuttal 2 2" xfId="6574"/>
    <cellStyle name="_Book1 (2)_Book2_Electric Rev Req Model (2009 GRC) Rebuttal 2 2 2" xfId="19684"/>
    <cellStyle name="_Book1 (2)_Book2_Electric Rev Req Model (2009 GRC) Rebuttal 2 3" xfId="18146"/>
    <cellStyle name="_Book1 (2)_Book2_Electric Rev Req Model (2009 GRC) Rebuttal 3" xfId="6575"/>
    <cellStyle name="_Book1 (2)_Book2_Electric Rev Req Model (2009 GRC) Rebuttal 3 2" xfId="19685"/>
    <cellStyle name="_Book1 (2)_Book2_Electric Rev Req Model (2009 GRC) Rebuttal 4" xfId="15845"/>
    <cellStyle name="_Book1 (2)_Book2_Electric Rev Req Model (2009 GRC) Rebuttal REmoval of New  WH Solar AdjustMI" xfId="250"/>
    <cellStyle name="_Book1 (2)_Book2_Electric Rev Req Model (2009 GRC) Rebuttal REmoval of New  WH Solar AdjustMI 2" xfId="251"/>
    <cellStyle name="_Book1 (2)_Book2_Electric Rev Req Model (2009 GRC) Rebuttal REmoval of New  WH Solar AdjustMI 2 2" xfId="3638"/>
    <cellStyle name="_Book1 (2)_Book2_Electric Rev Req Model (2009 GRC) Rebuttal REmoval of New  WH Solar AdjustMI 2 2 2" xfId="19686"/>
    <cellStyle name="_Book1 (2)_Book2_Electric Rev Req Model (2009 GRC) Rebuttal REmoval of New  WH Solar AdjustMI 2 3" xfId="15847"/>
    <cellStyle name="_Book1 (2)_Book2_Electric Rev Req Model (2009 GRC) Rebuttal REmoval of New  WH Solar AdjustMI 3" xfId="3637"/>
    <cellStyle name="_Book1 (2)_Book2_Electric Rev Req Model (2009 GRC) Rebuttal REmoval of New  WH Solar AdjustMI 3 2" xfId="19687"/>
    <cellStyle name="_Book1 (2)_Book2_Electric Rev Req Model (2009 GRC) Rebuttal REmoval of New  WH Solar AdjustMI 4" xfId="15846"/>
    <cellStyle name="_Book1 (2)_Book2_Electric Rev Req Model (2009 GRC) Rebuttal REmoval of New  WH Solar AdjustMI_DEM-WP(C) ENERG10C--ctn Mid-C_042010 2010GRC" xfId="12005"/>
    <cellStyle name="_Book1 (2)_Book2_Electric Rev Req Model (2009 GRC) Revised 01-18-2010" xfId="252"/>
    <cellStyle name="_Book1 (2)_Book2_Electric Rev Req Model (2009 GRC) Revised 01-18-2010 2" xfId="253"/>
    <cellStyle name="_Book1 (2)_Book2_Electric Rev Req Model (2009 GRC) Revised 01-18-2010 2 2" xfId="3640"/>
    <cellStyle name="_Book1 (2)_Book2_Electric Rev Req Model (2009 GRC) Revised 01-18-2010 2 2 2" xfId="19688"/>
    <cellStyle name="_Book1 (2)_Book2_Electric Rev Req Model (2009 GRC) Revised 01-18-2010 2 3" xfId="15849"/>
    <cellStyle name="_Book1 (2)_Book2_Electric Rev Req Model (2009 GRC) Revised 01-18-2010 3" xfId="3639"/>
    <cellStyle name="_Book1 (2)_Book2_Electric Rev Req Model (2009 GRC) Revised 01-18-2010 3 2" xfId="19689"/>
    <cellStyle name="_Book1 (2)_Book2_Electric Rev Req Model (2009 GRC) Revised 01-18-2010 4" xfId="15848"/>
    <cellStyle name="_Book1 (2)_Book2_Electric Rev Req Model (2009 GRC) Revised 01-18-2010_DEM-WP(C) ENERG10C--ctn Mid-C_042010 2010GRC" xfId="12006"/>
    <cellStyle name="_Book1 (2)_Book2_Final Order Electric EXHIBIT A-1" xfId="254"/>
    <cellStyle name="_Book1 (2)_Book2_Final Order Electric EXHIBIT A-1 2" xfId="3641"/>
    <cellStyle name="_Book1 (2)_Book2_Final Order Electric EXHIBIT A-1 2 2" xfId="6576"/>
    <cellStyle name="_Book1 (2)_Book2_Final Order Electric EXHIBIT A-1 2 2 2" xfId="19690"/>
    <cellStyle name="_Book1 (2)_Book2_Final Order Electric EXHIBIT A-1 2 3" xfId="18147"/>
    <cellStyle name="_Book1 (2)_Book2_Final Order Electric EXHIBIT A-1 3" xfId="6577"/>
    <cellStyle name="_Book1 (2)_Book2_Final Order Electric EXHIBIT A-1 3 2" xfId="19691"/>
    <cellStyle name="_Book1 (2)_Book2_Final Order Electric EXHIBIT A-1 4" xfId="15850"/>
    <cellStyle name="_Book1 (2)_Book4" xfId="255"/>
    <cellStyle name="_Book1 (2)_Book4 2" xfId="256"/>
    <cellStyle name="_Book1 (2)_Book4 2 2" xfId="3643"/>
    <cellStyle name="_Book1 (2)_Book4 2 2 2" xfId="19692"/>
    <cellStyle name="_Book1 (2)_Book4 2 3" xfId="15852"/>
    <cellStyle name="_Book1 (2)_Book4 3" xfId="3642"/>
    <cellStyle name="_Book1 (2)_Book4 3 2" xfId="19693"/>
    <cellStyle name="_Book1 (2)_Book4 4" xfId="15851"/>
    <cellStyle name="_Book1 (2)_Book4_DEM-WP(C) ENERG10C--ctn Mid-C_042010 2010GRC" xfId="12007"/>
    <cellStyle name="_Book1 (2)_Book9" xfId="257"/>
    <cellStyle name="_Book1 (2)_Book9 2" xfId="258"/>
    <cellStyle name="_Book1 (2)_Book9 2 2" xfId="3645"/>
    <cellStyle name="_Book1 (2)_Book9 2 2 2" xfId="19694"/>
    <cellStyle name="_Book1 (2)_Book9 2 3" xfId="15854"/>
    <cellStyle name="_Book1 (2)_Book9 3" xfId="3644"/>
    <cellStyle name="_Book1 (2)_Book9 3 2" xfId="19695"/>
    <cellStyle name="_Book1 (2)_Book9 4" xfId="15853"/>
    <cellStyle name="_Book1 (2)_Book9_DEM-WP(C) ENERG10C--ctn Mid-C_042010 2010GRC" xfId="12008"/>
    <cellStyle name="_Book1 (2)_Chelan PUD Power Costs (8-10)" xfId="12009"/>
    <cellStyle name="_Book1 (2)_Chelan PUD Power Costs (8-10) 2" xfId="22848"/>
    <cellStyle name="_Book1 (2)_DEM-WP(C) Chelan Power Costs" xfId="12010"/>
    <cellStyle name="_Book1 (2)_DEM-WP(C) Chelan Power Costs 2" xfId="22849"/>
    <cellStyle name="_Book1 (2)_DEM-WP(C) ENERG10C--ctn Mid-C_042010 2010GRC" xfId="12011"/>
    <cellStyle name="_Book1 (2)_DEM-WP(C) Gas Transport 2010GRC" xfId="12012"/>
    <cellStyle name="_Book1 (2)_DEM-WP(C) Gas Transport 2010GRC 2" xfId="22850"/>
    <cellStyle name="_Book1 (2)_Exh A-1 resulting from UE-112050 effective Jan 1 2012" xfId="14480"/>
    <cellStyle name="_Book1 (2)_Exh G - Klamath Peaker PPA fr C Locke 2-12" xfId="14481"/>
    <cellStyle name="_Book1 (2)_Exhibit A-1 effective 4-1-11 fr S Free 12-11" xfId="14482"/>
    <cellStyle name="_Book1 (2)_INPUTS" xfId="6578"/>
    <cellStyle name="_Book1 (2)_INPUTS 2" xfId="6579"/>
    <cellStyle name="_Book1 (2)_INPUTS 2 2" xfId="6580"/>
    <cellStyle name="_Book1 (2)_INPUTS 2 2 2" xfId="19696"/>
    <cellStyle name="_Book1 (2)_INPUTS 2 3" xfId="18149"/>
    <cellStyle name="_Book1 (2)_INPUTS 3" xfId="6581"/>
    <cellStyle name="_Book1 (2)_INPUTS 3 2" xfId="19697"/>
    <cellStyle name="_Book1 (2)_INPUTS 4" xfId="18148"/>
    <cellStyle name="_Book1 (2)_Mint Farm Generation BPA" xfId="22851"/>
    <cellStyle name="_Book1 (2)_NIM Summary" xfId="259"/>
    <cellStyle name="_Book1 (2)_NIM Summary 09GRC" xfId="260"/>
    <cellStyle name="_Book1 (2)_NIM Summary 09GRC 2" xfId="261"/>
    <cellStyle name="_Book1 (2)_NIM Summary 09GRC 2 2" xfId="3648"/>
    <cellStyle name="_Book1 (2)_NIM Summary 09GRC 3" xfId="3647"/>
    <cellStyle name="_Book1 (2)_NIM Summary 09GRC_DEM-WP(C) ENERG10C--ctn Mid-C_042010 2010GRC" xfId="12013"/>
    <cellStyle name="_Book1 (2)_NIM Summary 10" xfId="3646"/>
    <cellStyle name="_Book1 (2)_NIM Summary 11" xfId="5965"/>
    <cellStyle name="_Book1 (2)_NIM Summary 12" xfId="6280"/>
    <cellStyle name="_Book1 (2)_NIM Summary 13" xfId="5966"/>
    <cellStyle name="_Book1 (2)_NIM Summary 14" xfId="6293"/>
    <cellStyle name="_Book1 (2)_NIM Summary 15" xfId="14483"/>
    <cellStyle name="_Book1 (2)_NIM Summary 16" xfId="14484"/>
    <cellStyle name="_Book1 (2)_NIM Summary 17" xfId="14485"/>
    <cellStyle name="_Book1 (2)_NIM Summary 18" xfId="14486"/>
    <cellStyle name="_Book1 (2)_NIM Summary 19" xfId="14487"/>
    <cellStyle name="_Book1 (2)_NIM Summary 2" xfId="262"/>
    <cellStyle name="_Book1 (2)_NIM Summary 2 2" xfId="3649"/>
    <cellStyle name="_Book1 (2)_NIM Summary 20" xfId="14488"/>
    <cellStyle name="_Book1 (2)_NIM Summary 21" xfId="14489"/>
    <cellStyle name="_Book1 (2)_NIM Summary 22" xfId="14490"/>
    <cellStyle name="_Book1 (2)_NIM Summary 23" xfId="14491"/>
    <cellStyle name="_Book1 (2)_NIM Summary 24" xfId="14492"/>
    <cellStyle name="_Book1 (2)_NIM Summary 25" xfId="14493"/>
    <cellStyle name="_Book1 (2)_NIM Summary 26" xfId="14494"/>
    <cellStyle name="_Book1 (2)_NIM Summary 27" xfId="14495"/>
    <cellStyle name="_Book1 (2)_NIM Summary 28" xfId="14496"/>
    <cellStyle name="_Book1 (2)_NIM Summary 29" xfId="14497"/>
    <cellStyle name="_Book1 (2)_NIM Summary 3" xfId="263"/>
    <cellStyle name="_Book1 (2)_NIM Summary 3 2" xfId="3650"/>
    <cellStyle name="_Book1 (2)_NIM Summary 30" xfId="14498"/>
    <cellStyle name="_Book1 (2)_NIM Summary 31" xfId="14499"/>
    <cellStyle name="_Book1 (2)_NIM Summary 32" xfId="14500"/>
    <cellStyle name="_Book1 (2)_NIM Summary 33" xfId="14501"/>
    <cellStyle name="_Book1 (2)_NIM Summary 34" xfId="14502"/>
    <cellStyle name="_Book1 (2)_NIM Summary 35" xfId="14503"/>
    <cellStyle name="_Book1 (2)_NIM Summary 36" xfId="14504"/>
    <cellStyle name="_Book1 (2)_NIM Summary 37" xfId="14505"/>
    <cellStyle name="_Book1 (2)_NIM Summary 38" xfId="14506"/>
    <cellStyle name="_Book1 (2)_NIM Summary 39" xfId="14507"/>
    <cellStyle name="_Book1 (2)_NIM Summary 4" xfId="264"/>
    <cellStyle name="_Book1 (2)_NIM Summary 4 2" xfId="3651"/>
    <cellStyle name="_Book1 (2)_NIM Summary 40" xfId="14508"/>
    <cellStyle name="_Book1 (2)_NIM Summary 41" xfId="14509"/>
    <cellStyle name="_Book1 (2)_NIM Summary 42" xfId="15855"/>
    <cellStyle name="_Book1 (2)_NIM Summary 43" xfId="17099"/>
    <cellStyle name="_Book1 (2)_NIM Summary 44" xfId="22852"/>
    <cellStyle name="_Book1 (2)_NIM Summary 45" xfId="22853"/>
    <cellStyle name="_Book1 (2)_NIM Summary 46" xfId="22854"/>
    <cellStyle name="_Book1 (2)_NIM Summary 47" xfId="22855"/>
    <cellStyle name="_Book1 (2)_NIM Summary 48" xfId="22856"/>
    <cellStyle name="_Book1 (2)_NIM Summary 49" xfId="22857"/>
    <cellStyle name="_Book1 (2)_NIM Summary 5" xfId="265"/>
    <cellStyle name="_Book1 (2)_NIM Summary 5 2" xfId="3652"/>
    <cellStyle name="_Book1 (2)_NIM Summary 50" xfId="22858"/>
    <cellStyle name="_Book1 (2)_NIM Summary 51" xfId="41124"/>
    <cellStyle name="_Book1 (2)_NIM Summary 52" xfId="6582"/>
    <cellStyle name="_Book1 (2)_NIM Summary 6" xfId="266"/>
    <cellStyle name="_Book1 (2)_NIM Summary 6 2" xfId="3653"/>
    <cellStyle name="_Book1 (2)_NIM Summary 7" xfId="267"/>
    <cellStyle name="_Book1 (2)_NIM Summary 7 2" xfId="3654"/>
    <cellStyle name="_Book1 (2)_NIM Summary 8" xfId="268"/>
    <cellStyle name="_Book1 (2)_NIM Summary 8 2" xfId="3655"/>
    <cellStyle name="_Book1 (2)_NIM Summary 9" xfId="269"/>
    <cellStyle name="_Book1 (2)_NIM Summary 9 2" xfId="3656"/>
    <cellStyle name="_Book1 (2)_NIM Summary_DEM-WP(C) ENERG10C--ctn Mid-C_042010 2010GRC" xfId="12014"/>
    <cellStyle name="_Book1 (2)_PCA 10 -  Exhibit D Dec 2011" xfId="14510"/>
    <cellStyle name="_Book1 (2)_PCA 10 -  Exhibit D from A Kellogg Jan 2011" xfId="14022"/>
    <cellStyle name="_Book1 (2)_PCA 10 -  Exhibit D from A Kellogg July 2011" xfId="14023"/>
    <cellStyle name="_Book1 (2)_PCA 10 -  Exhibit D from S Free Rcv'd 12-11" xfId="14024"/>
    <cellStyle name="_Book1 (2)_PCA 11 -  Exhibit D Jan 2012 fr A Kellogg" xfId="14511"/>
    <cellStyle name="_Book1 (2)_PCA 11 -  Exhibit D Jan 2012 WF" xfId="14512"/>
    <cellStyle name="_Book1 (2)_PCA 9 -  Exhibit D April 2010" xfId="14025"/>
    <cellStyle name="_Book1 (2)_PCA 9 -  Exhibit D April 2010 (3)" xfId="270"/>
    <cellStyle name="_Book1 (2)_PCA 9 -  Exhibit D April 2010 (3) 2" xfId="271"/>
    <cellStyle name="_Book1 (2)_PCA 9 -  Exhibit D April 2010 (3) 2 2" xfId="3658"/>
    <cellStyle name="_Book1 (2)_PCA 9 -  Exhibit D April 2010 (3) 3" xfId="3657"/>
    <cellStyle name="_Book1 (2)_PCA 9 -  Exhibit D April 2010 (3)_DEM-WP(C) ENERG10C--ctn Mid-C_042010 2010GRC" xfId="12015"/>
    <cellStyle name="_Book1 (2)_PCA 9 -  Exhibit D April 2010 2" xfId="14513"/>
    <cellStyle name="_Book1 (2)_PCA 9 -  Exhibit D April 2010 3" xfId="14514"/>
    <cellStyle name="_Book1 (2)_PCA 9 -  Exhibit D April 2010 4" xfId="14515"/>
    <cellStyle name="_Book1 (2)_PCA 9 -  Exhibit D April 2010 5" xfId="14516"/>
    <cellStyle name="_Book1 (2)_PCA 9 -  Exhibit D April 2010 6" xfId="14517"/>
    <cellStyle name="_Book1 (2)_PCA 9 -  Exhibit D Nov 2010" xfId="14026"/>
    <cellStyle name="_Book1 (2)_PCA 9 -  Exhibit D Nov 2010 2" xfId="14518"/>
    <cellStyle name="_Book1 (2)_PCA 9 - Exhibit D at August 2010" xfId="14027"/>
    <cellStyle name="_Book1 (2)_PCA 9 - Exhibit D at August 2010 2" xfId="14519"/>
    <cellStyle name="_Book1 (2)_PCA 9 - Exhibit D June 2010 GRC" xfId="14028"/>
    <cellStyle name="_Book1 (2)_PCA 9 - Exhibit D June 2010 GRC 2" xfId="14520"/>
    <cellStyle name="_Book1 (2)_Power Costs - Comparison bx Rbtl-Staff-Jt-PC" xfId="272"/>
    <cellStyle name="_Book1 (2)_Power Costs - Comparison bx Rbtl-Staff-Jt-PC 2" xfId="273"/>
    <cellStyle name="_Book1 (2)_Power Costs - Comparison bx Rbtl-Staff-Jt-PC 2 2" xfId="3660"/>
    <cellStyle name="_Book1 (2)_Power Costs - Comparison bx Rbtl-Staff-Jt-PC 2 2 2" xfId="19698"/>
    <cellStyle name="_Book1 (2)_Power Costs - Comparison bx Rbtl-Staff-Jt-PC 2 3" xfId="15857"/>
    <cellStyle name="_Book1 (2)_Power Costs - Comparison bx Rbtl-Staff-Jt-PC 3" xfId="3659"/>
    <cellStyle name="_Book1 (2)_Power Costs - Comparison bx Rbtl-Staff-Jt-PC 3 2" xfId="19699"/>
    <cellStyle name="_Book1 (2)_Power Costs - Comparison bx Rbtl-Staff-Jt-PC 4" xfId="15856"/>
    <cellStyle name="_Book1 (2)_Power Costs - Comparison bx Rbtl-Staff-Jt-PC_Adj Bench DR 3 for Initial Briefs (Electric)" xfId="274"/>
    <cellStyle name="_Book1 (2)_Power Costs - Comparison bx Rbtl-Staff-Jt-PC_Adj Bench DR 3 for Initial Briefs (Electric) 2" xfId="275"/>
    <cellStyle name="_Book1 (2)_Power Costs - Comparison bx Rbtl-Staff-Jt-PC_Adj Bench DR 3 for Initial Briefs (Electric) 2 2" xfId="3662"/>
    <cellStyle name="_Book1 (2)_Power Costs - Comparison bx Rbtl-Staff-Jt-PC_Adj Bench DR 3 for Initial Briefs (Electric) 2 2 2" xfId="19700"/>
    <cellStyle name="_Book1 (2)_Power Costs - Comparison bx Rbtl-Staff-Jt-PC_Adj Bench DR 3 for Initial Briefs (Electric) 2 3" xfId="15859"/>
    <cellStyle name="_Book1 (2)_Power Costs - Comparison bx Rbtl-Staff-Jt-PC_Adj Bench DR 3 for Initial Briefs (Electric) 3" xfId="3661"/>
    <cellStyle name="_Book1 (2)_Power Costs - Comparison bx Rbtl-Staff-Jt-PC_Adj Bench DR 3 for Initial Briefs (Electric) 3 2" xfId="19701"/>
    <cellStyle name="_Book1 (2)_Power Costs - Comparison bx Rbtl-Staff-Jt-PC_Adj Bench DR 3 for Initial Briefs (Electric) 4" xfId="15858"/>
    <cellStyle name="_Book1 (2)_Power Costs - Comparison bx Rbtl-Staff-Jt-PC_Adj Bench DR 3 for Initial Briefs (Electric)_DEM-WP(C) ENERG10C--ctn Mid-C_042010 2010GRC" xfId="12016"/>
    <cellStyle name="_Book1 (2)_Power Costs - Comparison bx Rbtl-Staff-Jt-PC_DEM-WP(C) ENERG10C--ctn Mid-C_042010 2010GRC" xfId="12017"/>
    <cellStyle name="_Book1 (2)_Power Costs - Comparison bx Rbtl-Staff-Jt-PC_Electric Rev Req Model (2009 GRC) Rebuttal" xfId="276"/>
    <cellStyle name="_Book1 (2)_Power Costs - Comparison bx Rbtl-Staff-Jt-PC_Electric Rev Req Model (2009 GRC) Rebuttal 2" xfId="3663"/>
    <cellStyle name="_Book1 (2)_Power Costs - Comparison bx Rbtl-Staff-Jt-PC_Electric Rev Req Model (2009 GRC) Rebuttal 2 2" xfId="6583"/>
    <cellStyle name="_Book1 (2)_Power Costs - Comparison bx Rbtl-Staff-Jt-PC_Electric Rev Req Model (2009 GRC) Rebuttal 2 2 2" xfId="19702"/>
    <cellStyle name="_Book1 (2)_Power Costs - Comparison bx Rbtl-Staff-Jt-PC_Electric Rev Req Model (2009 GRC) Rebuttal 2 3" xfId="18150"/>
    <cellStyle name="_Book1 (2)_Power Costs - Comparison bx Rbtl-Staff-Jt-PC_Electric Rev Req Model (2009 GRC) Rebuttal 3" xfId="6584"/>
    <cellStyle name="_Book1 (2)_Power Costs - Comparison bx Rbtl-Staff-Jt-PC_Electric Rev Req Model (2009 GRC) Rebuttal 3 2" xfId="19703"/>
    <cellStyle name="_Book1 (2)_Power Costs - Comparison bx Rbtl-Staff-Jt-PC_Electric Rev Req Model (2009 GRC) Rebuttal 4" xfId="15860"/>
    <cellStyle name="_Book1 (2)_Power Costs - Comparison bx Rbtl-Staff-Jt-PC_Electric Rev Req Model (2009 GRC) Rebuttal REmoval of New  WH Solar AdjustMI" xfId="277"/>
    <cellStyle name="_Book1 (2)_Power Costs - Comparison bx Rbtl-Staff-Jt-PC_Electric Rev Req Model (2009 GRC) Rebuttal REmoval of New  WH Solar AdjustMI 2" xfId="278"/>
    <cellStyle name="_Book1 (2)_Power Costs - Comparison bx Rbtl-Staff-Jt-PC_Electric Rev Req Model (2009 GRC) Rebuttal REmoval of New  WH Solar AdjustMI 2 2" xfId="3665"/>
    <cellStyle name="_Book1 (2)_Power Costs - Comparison bx Rbtl-Staff-Jt-PC_Electric Rev Req Model (2009 GRC) Rebuttal REmoval of New  WH Solar AdjustMI 2 2 2" xfId="19704"/>
    <cellStyle name="_Book1 (2)_Power Costs - Comparison bx Rbtl-Staff-Jt-PC_Electric Rev Req Model (2009 GRC) Rebuttal REmoval of New  WH Solar AdjustMI 2 3" xfId="15862"/>
    <cellStyle name="_Book1 (2)_Power Costs - Comparison bx Rbtl-Staff-Jt-PC_Electric Rev Req Model (2009 GRC) Rebuttal REmoval of New  WH Solar AdjustMI 3" xfId="3664"/>
    <cellStyle name="_Book1 (2)_Power Costs - Comparison bx Rbtl-Staff-Jt-PC_Electric Rev Req Model (2009 GRC) Rebuttal REmoval of New  WH Solar AdjustMI 3 2" xfId="19705"/>
    <cellStyle name="_Book1 (2)_Power Costs - Comparison bx Rbtl-Staff-Jt-PC_Electric Rev Req Model (2009 GRC) Rebuttal REmoval of New  WH Solar AdjustMI 4" xfId="15861"/>
    <cellStyle name="_Book1 (2)_Power Costs - Comparison bx Rbtl-Staff-Jt-PC_Electric Rev Req Model (2009 GRC) Rebuttal REmoval of New  WH Solar AdjustMI_DEM-WP(C) ENERG10C--ctn Mid-C_042010 2010GRC" xfId="12018"/>
    <cellStyle name="_Book1 (2)_Power Costs - Comparison bx Rbtl-Staff-Jt-PC_Electric Rev Req Model (2009 GRC) Revised 01-18-2010" xfId="279"/>
    <cellStyle name="_Book1 (2)_Power Costs - Comparison bx Rbtl-Staff-Jt-PC_Electric Rev Req Model (2009 GRC) Revised 01-18-2010 2" xfId="280"/>
    <cellStyle name="_Book1 (2)_Power Costs - Comparison bx Rbtl-Staff-Jt-PC_Electric Rev Req Model (2009 GRC) Revised 01-18-2010 2 2" xfId="3667"/>
    <cellStyle name="_Book1 (2)_Power Costs - Comparison bx Rbtl-Staff-Jt-PC_Electric Rev Req Model (2009 GRC) Revised 01-18-2010 2 2 2" xfId="19706"/>
    <cellStyle name="_Book1 (2)_Power Costs - Comparison bx Rbtl-Staff-Jt-PC_Electric Rev Req Model (2009 GRC) Revised 01-18-2010 2 3" xfId="15864"/>
    <cellStyle name="_Book1 (2)_Power Costs - Comparison bx Rbtl-Staff-Jt-PC_Electric Rev Req Model (2009 GRC) Revised 01-18-2010 3" xfId="3666"/>
    <cellStyle name="_Book1 (2)_Power Costs - Comparison bx Rbtl-Staff-Jt-PC_Electric Rev Req Model (2009 GRC) Revised 01-18-2010 3 2" xfId="19707"/>
    <cellStyle name="_Book1 (2)_Power Costs - Comparison bx Rbtl-Staff-Jt-PC_Electric Rev Req Model (2009 GRC) Revised 01-18-2010 4" xfId="15863"/>
    <cellStyle name="_Book1 (2)_Power Costs - Comparison bx Rbtl-Staff-Jt-PC_Electric Rev Req Model (2009 GRC) Revised 01-18-2010_DEM-WP(C) ENERG10C--ctn Mid-C_042010 2010GRC" xfId="12019"/>
    <cellStyle name="_Book1 (2)_Power Costs - Comparison bx Rbtl-Staff-Jt-PC_Final Order Electric EXHIBIT A-1" xfId="281"/>
    <cellStyle name="_Book1 (2)_Power Costs - Comparison bx Rbtl-Staff-Jt-PC_Final Order Electric EXHIBIT A-1 2" xfId="3668"/>
    <cellStyle name="_Book1 (2)_Power Costs - Comparison bx Rbtl-Staff-Jt-PC_Final Order Electric EXHIBIT A-1 2 2" xfId="6585"/>
    <cellStyle name="_Book1 (2)_Power Costs - Comparison bx Rbtl-Staff-Jt-PC_Final Order Electric EXHIBIT A-1 2 2 2" xfId="19708"/>
    <cellStyle name="_Book1 (2)_Power Costs - Comparison bx Rbtl-Staff-Jt-PC_Final Order Electric EXHIBIT A-1 2 3" xfId="18151"/>
    <cellStyle name="_Book1 (2)_Power Costs - Comparison bx Rbtl-Staff-Jt-PC_Final Order Electric EXHIBIT A-1 3" xfId="6586"/>
    <cellStyle name="_Book1 (2)_Power Costs - Comparison bx Rbtl-Staff-Jt-PC_Final Order Electric EXHIBIT A-1 3 2" xfId="19709"/>
    <cellStyle name="_Book1 (2)_Power Costs - Comparison bx Rbtl-Staff-Jt-PC_Final Order Electric EXHIBIT A-1 4" xfId="15865"/>
    <cellStyle name="_Book1 (2)_Production Adj 4.37" xfId="6587"/>
    <cellStyle name="_Book1 (2)_Production Adj 4.37 2" xfId="6588"/>
    <cellStyle name="_Book1 (2)_Production Adj 4.37 2 2" xfId="6589"/>
    <cellStyle name="_Book1 (2)_Production Adj 4.37 2 2 2" xfId="19710"/>
    <cellStyle name="_Book1 (2)_Production Adj 4.37 2 3" xfId="18153"/>
    <cellStyle name="_Book1 (2)_Production Adj 4.37 3" xfId="6590"/>
    <cellStyle name="_Book1 (2)_Production Adj 4.37 3 2" xfId="19711"/>
    <cellStyle name="_Book1 (2)_Production Adj 4.37 4" xfId="18152"/>
    <cellStyle name="_Book1 (2)_Purchased Power Adj 4.03" xfId="6591"/>
    <cellStyle name="_Book1 (2)_Purchased Power Adj 4.03 2" xfId="6592"/>
    <cellStyle name="_Book1 (2)_Purchased Power Adj 4.03 2 2" xfId="6593"/>
    <cellStyle name="_Book1 (2)_Purchased Power Adj 4.03 2 2 2" xfId="19712"/>
    <cellStyle name="_Book1 (2)_Purchased Power Adj 4.03 2 3" xfId="18155"/>
    <cellStyle name="_Book1 (2)_Purchased Power Adj 4.03 3" xfId="6594"/>
    <cellStyle name="_Book1 (2)_Purchased Power Adj 4.03 3 2" xfId="19713"/>
    <cellStyle name="_Book1 (2)_Purchased Power Adj 4.03 4" xfId="18154"/>
    <cellStyle name="_Book1 (2)_Rebuttal Power Costs" xfId="282"/>
    <cellStyle name="_Book1 (2)_Rebuttal Power Costs 2" xfId="283"/>
    <cellStyle name="_Book1 (2)_Rebuttal Power Costs 2 2" xfId="3670"/>
    <cellStyle name="_Book1 (2)_Rebuttal Power Costs 2 2 2" xfId="19714"/>
    <cellStyle name="_Book1 (2)_Rebuttal Power Costs 2 3" xfId="15867"/>
    <cellStyle name="_Book1 (2)_Rebuttal Power Costs 3" xfId="3669"/>
    <cellStyle name="_Book1 (2)_Rebuttal Power Costs 3 2" xfId="19715"/>
    <cellStyle name="_Book1 (2)_Rebuttal Power Costs 4" xfId="15866"/>
    <cellStyle name="_Book1 (2)_Rebuttal Power Costs_Adj Bench DR 3 for Initial Briefs (Electric)" xfId="284"/>
    <cellStyle name="_Book1 (2)_Rebuttal Power Costs_Adj Bench DR 3 for Initial Briefs (Electric) 2" xfId="285"/>
    <cellStyle name="_Book1 (2)_Rebuttal Power Costs_Adj Bench DR 3 for Initial Briefs (Electric) 2 2" xfId="3672"/>
    <cellStyle name="_Book1 (2)_Rebuttal Power Costs_Adj Bench DR 3 for Initial Briefs (Electric) 2 2 2" xfId="19716"/>
    <cellStyle name="_Book1 (2)_Rebuttal Power Costs_Adj Bench DR 3 for Initial Briefs (Electric) 2 3" xfId="15869"/>
    <cellStyle name="_Book1 (2)_Rebuttal Power Costs_Adj Bench DR 3 for Initial Briefs (Electric) 3" xfId="3671"/>
    <cellStyle name="_Book1 (2)_Rebuttal Power Costs_Adj Bench DR 3 for Initial Briefs (Electric) 3 2" xfId="19717"/>
    <cellStyle name="_Book1 (2)_Rebuttal Power Costs_Adj Bench DR 3 for Initial Briefs (Electric) 4" xfId="15868"/>
    <cellStyle name="_Book1 (2)_Rebuttal Power Costs_Adj Bench DR 3 for Initial Briefs (Electric)_DEM-WP(C) ENERG10C--ctn Mid-C_042010 2010GRC" xfId="12020"/>
    <cellStyle name="_Book1 (2)_Rebuttal Power Costs_DEM-WP(C) ENERG10C--ctn Mid-C_042010 2010GRC" xfId="12021"/>
    <cellStyle name="_Book1 (2)_Rebuttal Power Costs_Electric Rev Req Model (2009 GRC) Rebuttal" xfId="286"/>
    <cellStyle name="_Book1 (2)_Rebuttal Power Costs_Electric Rev Req Model (2009 GRC) Rebuttal 2" xfId="3673"/>
    <cellStyle name="_Book1 (2)_Rebuttal Power Costs_Electric Rev Req Model (2009 GRC) Rebuttal 2 2" xfId="6595"/>
    <cellStyle name="_Book1 (2)_Rebuttal Power Costs_Electric Rev Req Model (2009 GRC) Rebuttal 2 2 2" xfId="19718"/>
    <cellStyle name="_Book1 (2)_Rebuttal Power Costs_Electric Rev Req Model (2009 GRC) Rebuttal 2 3" xfId="18156"/>
    <cellStyle name="_Book1 (2)_Rebuttal Power Costs_Electric Rev Req Model (2009 GRC) Rebuttal 3" xfId="6596"/>
    <cellStyle name="_Book1 (2)_Rebuttal Power Costs_Electric Rev Req Model (2009 GRC) Rebuttal 3 2" xfId="19719"/>
    <cellStyle name="_Book1 (2)_Rebuttal Power Costs_Electric Rev Req Model (2009 GRC) Rebuttal 4" xfId="15870"/>
    <cellStyle name="_Book1 (2)_Rebuttal Power Costs_Electric Rev Req Model (2009 GRC) Rebuttal REmoval of New  WH Solar AdjustMI" xfId="287"/>
    <cellStyle name="_Book1 (2)_Rebuttal Power Costs_Electric Rev Req Model (2009 GRC) Rebuttal REmoval of New  WH Solar AdjustMI 2" xfId="288"/>
    <cellStyle name="_Book1 (2)_Rebuttal Power Costs_Electric Rev Req Model (2009 GRC) Rebuttal REmoval of New  WH Solar AdjustMI 2 2" xfId="3675"/>
    <cellStyle name="_Book1 (2)_Rebuttal Power Costs_Electric Rev Req Model (2009 GRC) Rebuttal REmoval of New  WH Solar AdjustMI 2 2 2" xfId="19720"/>
    <cellStyle name="_Book1 (2)_Rebuttal Power Costs_Electric Rev Req Model (2009 GRC) Rebuttal REmoval of New  WH Solar AdjustMI 2 3" xfId="15872"/>
    <cellStyle name="_Book1 (2)_Rebuttal Power Costs_Electric Rev Req Model (2009 GRC) Rebuttal REmoval of New  WH Solar AdjustMI 3" xfId="3674"/>
    <cellStyle name="_Book1 (2)_Rebuttal Power Costs_Electric Rev Req Model (2009 GRC) Rebuttal REmoval of New  WH Solar AdjustMI 3 2" xfId="19721"/>
    <cellStyle name="_Book1 (2)_Rebuttal Power Costs_Electric Rev Req Model (2009 GRC) Rebuttal REmoval of New  WH Solar AdjustMI 4" xfId="15871"/>
    <cellStyle name="_Book1 (2)_Rebuttal Power Costs_Electric Rev Req Model (2009 GRC) Rebuttal REmoval of New  WH Solar AdjustMI_DEM-WP(C) ENERG10C--ctn Mid-C_042010 2010GRC" xfId="12022"/>
    <cellStyle name="_Book1 (2)_Rebuttal Power Costs_Electric Rev Req Model (2009 GRC) Revised 01-18-2010" xfId="289"/>
    <cellStyle name="_Book1 (2)_Rebuttal Power Costs_Electric Rev Req Model (2009 GRC) Revised 01-18-2010 2" xfId="290"/>
    <cellStyle name="_Book1 (2)_Rebuttal Power Costs_Electric Rev Req Model (2009 GRC) Revised 01-18-2010 2 2" xfId="3677"/>
    <cellStyle name="_Book1 (2)_Rebuttal Power Costs_Electric Rev Req Model (2009 GRC) Revised 01-18-2010 2 2 2" xfId="19722"/>
    <cellStyle name="_Book1 (2)_Rebuttal Power Costs_Electric Rev Req Model (2009 GRC) Revised 01-18-2010 2 3" xfId="15874"/>
    <cellStyle name="_Book1 (2)_Rebuttal Power Costs_Electric Rev Req Model (2009 GRC) Revised 01-18-2010 3" xfId="3676"/>
    <cellStyle name="_Book1 (2)_Rebuttal Power Costs_Electric Rev Req Model (2009 GRC) Revised 01-18-2010 3 2" xfId="19723"/>
    <cellStyle name="_Book1 (2)_Rebuttal Power Costs_Electric Rev Req Model (2009 GRC) Revised 01-18-2010 4" xfId="15873"/>
    <cellStyle name="_Book1 (2)_Rebuttal Power Costs_Electric Rev Req Model (2009 GRC) Revised 01-18-2010_DEM-WP(C) ENERG10C--ctn Mid-C_042010 2010GRC" xfId="12023"/>
    <cellStyle name="_Book1 (2)_Rebuttal Power Costs_Final Order Electric EXHIBIT A-1" xfId="291"/>
    <cellStyle name="_Book1 (2)_Rebuttal Power Costs_Final Order Electric EXHIBIT A-1 2" xfId="3678"/>
    <cellStyle name="_Book1 (2)_Rebuttal Power Costs_Final Order Electric EXHIBIT A-1 2 2" xfId="6597"/>
    <cellStyle name="_Book1 (2)_Rebuttal Power Costs_Final Order Electric EXHIBIT A-1 2 2 2" xfId="19724"/>
    <cellStyle name="_Book1 (2)_Rebuttal Power Costs_Final Order Electric EXHIBIT A-1 2 3" xfId="18157"/>
    <cellStyle name="_Book1 (2)_Rebuttal Power Costs_Final Order Electric EXHIBIT A-1 3" xfId="6598"/>
    <cellStyle name="_Book1 (2)_Rebuttal Power Costs_Final Order Electric EXHIBIT A-1 3 2" xfId="19725"/>
    <cellStyle name="_Book1 (2)_Rebuttal Power Costs_Final Order Electric EXHIBIT A-1 4" xfId="15875"/>
    <cellStyle name="_Book1 (2)_ROR &amp; CONV FACTOR" xfId="6599"/>
    <cellStyle name="_Book1 (2)_ROR &amp; CONV FACTOR 2" xfId="6600"/>
    <cellStyle name="_Book1 (2)_ROR &amp; CONV FACTOR 2 2" xfId="6601"/>
    <cellStyle name="_Book1 (2)_ROR &amp; CONV FACTOR 2 2 2" xfId="19726"/>
    <cellStyle name="_Book1 (2)_ROR &amp; CONV FACTOR 2 3" xfId="18159"/>
    <cellStyle name="_Book1 (2)_ROR &amp; CONV FACTOR 3" xfId="6602"/>
    <cellStyle name="_Book1 (2)_ROR &amp; CONV FACTOR 3 2" xfId="19727"/>
    <cellStyle name="_Book1 (2)_ROR &amp; CONV FACTOR 4" xfId="18158"/>
    <cellStyle name="_Book1 (2)_ROR 5.02" xfId="6603"/>
    <cellStyle name="_Book1 (2)_ROR 5.02 2" xfId="6604"/>
    <cellStyle name="_Book1 (2)_ROR 5.02 2 2" xfId="6605"/>
    <cellStyle name="_Book1 (2)_ROR 5.02 2 2 2" xfId="19728"/>
    <cellStyle name="_Book1 (2)_ROR 5.02 2 3" xfId="18161"/>
    <cellStyle name="_Book1 (2)_ROR 5.02 3" xfId="6606"/>
    <cellStyle name="_Book1 (2)_ROR 5.02 3 2" xfId="19729"/>
    <cellStyle name="_Book1 (2)_ROR 5.02 4" xfId="18160"/>
    <cellStyle name="_Book1 (2)_Wind Integration 10GRC" xfId="292"/>
    <cellStyle name="_Book1 (2)_Wind Integration 10GRC 2" xfId="293"/>
    <cellStyle name="_Book1 (2)_Wind Integration 10GRC 2 2" xfId="3680"/>
    <cellStyle name="_Book1 (2)_Wind Integration 10GRC 3" xfId="3679"/>
    <cellStyle name="_Book1 (2)_Wind Integration 10GRC_DEM-WP(C) ENERG10C--ctn Mid-C_042010 2010GRC" xfId="12024"/>
    <cellStyle name="_Book1 10" xfId="6607"/>
    <cellStyle name="_Book1 10 2" xfId="6608"/>
    <cellStyle name="_Book1 10 2 2" xfId="19730"/>
    <cellStyle name="_Book1 10 3" xfId="18162"/>
    <cellStyle name="_Book1 11" xfId="6609"/>
    <cellStyle name="_Book1 11 2" xfId="12025"/>
    <cellStyle name="_Book1 11 2 2" xfId="22859"/>
    <cellStyle name="_Book1 11 3" xfId="22860"/>
    <cellStyle name="_Book1 12" xfId="12026"/>
    <cellStyle name="_Book1 12 2" xfId="12027"/>
    <cellStyle name="_Book1 12 2 2" xfId="22861"/>
    <cellStyle name="_Book1 12 2 3" xfId="22862"/>
    <cellStyle name="_Book1 12 3" xfId="22863"/>
    <cellStyle name="_Book1 12 3 2" xfId="22864"/>
    <cellStyle name="_Book1 13" xfId="12028"/>
    <cellStyle name="_Book1 13 2" xfId="12029"/>
    <cellStyle name="_Book1 13 2 2" xfId="22865"/>
    <cellStyle name="_Book1 13 2 3" xfId="22866"/>
    <cellStyle name="_Book1 13 3" xfId="22867"/>
    <cellStyle name="_Book1 13 3 2" xfId="22868"/>
    <cellStyle name="_Book1 14" xfId="12030"/>
    <cellStyle name="_Book1 14 2" xfId="12031"/>
    <cellStyle name="_Book1 14 2 2" xfId="22869"/>
    <cellStyle name="_Book1 14 2 3" xfId="22870"/>
    <cellStyle name="_Book1 14 3" xfId="22871"/>
    <cellStyle name="_Book1 14 3 2" xfId="22872"/>
    <cellStyle name="_Book1 15" xfId="12032"/>
    <cellStyle name="_Book1 15 2" xfId="22873"/>
    <cellStyle name="_Book1 15 2 2" xfId="22874"/>
    <cellStyle name="_Book1 15 3" xfId="22875"/>
    <cellStyle name="_Book1 16" xfId="12033"/>
    <cellStyle name="_Book1 16 2" xfId="22876"/>
    <cellStyle name="_Book1 16 2 2" xfId="22877"/>
    <cellStyle name="_Book1 16 3" xfId="22878"/>
    <cellStyle name="_Book1 17" xfId="12034"/>
    <cellStyle name="_Book1 17 2" xfId="12035"/>
    <cellStyle name="_Book1 18" xfId="12036"/>
    <cellStyle name="_Book1 18 2" xfId="12037"/>
    <cellStyle name="_Book1 19" xfId="12038"/>
    <cellStyle name="_Book1 19 2" xfId="12039"/>
    <cellStyle name="_Book1 2" xfId="294"/>
    <cellStyle name="_Book1 2 2" xfId="295"/>
    <cellStyle name="_Book1 2 2 2" xfId="3682"/>
    <cellStyle name="_Book1 2 2 2 2" xfId="19731"/>
    <cellStyle name="_Book1 2 2 3" xfId="15877"/>
    <cellStyle name="_Book1 2 3" xfId="3681"/>
    <cellStyle name="_Book1 2 3 2" xfId="19732"/>
    <cellStyle name="_Book1 2 4" xfId="15876"/>
    <cellStyle name="_Book1 20" xfId="12040"/>
    <cellStyle name="_Book1 20 2" xfId="12041"/>
    <cellStyle name="_Book1 21" xfId="12042"/>
    <cellStyle name="_Book1 21 2" xfId="12043"/>
    <cellStyle name="_Book1 22" xfId="15818"/>
    <cellStyle name="_Book1 22 2" xfId="22879"/>
    <cellStyle name="_Book1 23" xfId="17298"/>
    <cellStyle name="_Book1 23 2" xfId="22880"/>
    <cellStyle name="_Book1 24" xfId="22881"/>
    <cellStyle name="_Book1 24 2" xfId="22882"/>
    <cellStyle name="_Book1 25" xfId="22883"/>
    <cellStyle name="_Book1 25 2" xfId="22884"/>
    <cellStyle name="_Book1 26" xfId="22885"/>
    <cellStyle name="_Book1 26 2" xfId="22886"/>
    <cellStyle name="_Book1 27" xfId="22887"/>
    <cellStyle name="_Book1 27 2" xfId="22888"/>
    <cellStyle name="_Book1 28" xfId="22889"/>
    <cellStyle name="_Book1 28 2" xfId="22890"/>
    <cellStyle name="_Book1 29" xfId="22891"/>
    <cellStyle name="_Book1 29 2" xfId="22892"/>
    <cellStyle name="_Book1 3" xfId="296"/>
    <cellStyle name="_Book1 3 2" xfId="297"/>
    <cellStyle name="_Book1 3 2 2" xfId="3684"/>
    <cellStyle name="_Book1 3 3" xfId="3683"/>
    <cellStyle name="_Book1 30" xfId="22893"/>
    <cellStyle name="_Book1 30 2" xfId="22894"/>
    <cellStyle name="_Book1 31" xfId="22895"/>
    <cellStyle name="_Book1 32" xfId="22896"/>
    <cellStyle name="_Book1 33" xfId="22897"/>
    <cellStyle name="_Book1 33 2" xfId="22898"/>
    <cellStyle name="_Book1 34" xfId="22899"/>
    <cellStyle name="_Book1 34 2" xfId="22900"/>
    <cellStyle name="_Book1 35" xfId="22901"/>
    <cellStyle name="_Book1 35 2" xfId="22902"/>
    <cellStyle name="_Book1 36" xfId="22903"/>
    <cellStyle name="_Book1 4" xfId="298"/>
    <cellStyle name="_Book1 4 2" xfId="299"/>
    <cellStyle name="_Book1 4 2 2" xfId="3686"/>
    <cellStyle name="_Book1 4 3" xfId="3685"/>
    <cellStyle name="_Book1 5" xfId="300"/>
    <cellStyle name="_Book1 5 2" xfId="301"/>
    <cellStyle name="_Book1 5 2 2" xfId="3688"/>
    <cellStyle name="_Book1 5 3" xfId="3687"/>
    <cellStyle name="_Book1 6" xfId="302"/>
    <cellStyle name="_Book1 6 2" xfId="3689"/>
    <cellStyle name="_Book1 6 2 2" xfId="19733"/>
    <cellStyle name="_Book1 6 3" xfId="15878"/>
    <cellStyle name="_Book1 7" xfId="303"/>
    <cellStyle name="_Book1 7 2" xfId="3690"/>
    <cellStyle name="_Book1 7 2 2" xfId="19734"/>
    <cellStyle name="_Book1 7 3" xfId="15879"/>
    <cellStyle name="_Book1 8" xfId="304"/>
    <cellStyle name="_Book1 8 2" xfId="305"/>
    <cellStyle name="_Book1 8 2 2" xfId="3692"/>
    <cellStyle name="_Book1 8 3" xfId="3691"/>
    <cellStyle name="_Book1 9" xfId="6610"/>
    <cellStyle name="_Book1 9 2" xfId="6611"/>
    <cellStyle name="_Book1 9 2 2" xfId="19735"/>
    <cellStyle name="_Book1 9 3" xfId="18163"/>
    <cellStyle name="_Book1_(C) WHE Proforma with ITC cash grant 10 Yr Amort_for deferral_102809" xfId="306"/>
    <cellStyle name="_Book1_(C) WHE Proforma with ITC cash grant 10 Yr Amort_for deferral_102809 2" xfId="307"/>
    <cellStyle name="_Book1_(C) WHE Proforma with ITC cash grant 10 Yr Amort_for deferral_102809 2 2" xfId="3694"/>
    <cellStyle name="_Book1_(C) WHE Proforma with ITC cash grant 10 Yr Amort_for deferral_102809 2 2 2" xfId="19736"/>
    <cellStyle name="_Book1_(C) WHE Proforma with ITC cash grant 10 Yr Amort_for deferral_102809 2 3" xfId="15881"/>
    <cellStyle name="_Book1_(C) WHE Proforma with ITC cash grant 10 Yr Amort_for deferral_102809 3" xfId="3693"/>
    <cellStyle name="_Book1_(C) WHE Proforma with ITC cash grant 10 Yr Amort_for deferral_102809 3 2" xfId="19737"/>
    <cellStyle name="_Book1_(C) WHE Proforma with ITC cash grant 10 Yr Amort_for deferral_102809 4" xfId="15880"/>
    <cellStyle name="_Book1_(C) WHE Proforma with ITC cash grant 10 Yr Amort_for deferral_102809_16.07E Wild Horse Wind Expansionwrkingfile" xfId="308"/>
    <cellStyle name="_Book1_(C) WHE Proforma with ITC cash grant 10 Yr Amort_for deferral_102809_16.07E Wild Horse Wind Expansionwrkingfile 2" xfId="309"/>
    <cellStyle name="_Book1_(C) WHE Proforma with ITC cash grant 10 Yr Amort_for deferral_102809_16.07E Wild Horse Wind Expansionwrkingfile 2 2" xfId="3696"/>
    <cellStyle name="_Book1_(C) WHE Proforma with ITC cash grant 10 Yr Amort_for deferral_102809_16.07E Wild Horse Wind Expansionwrkingfile 2 2 2" xfId="19738"/>
    <cellStyle name="_Book1_(C) WHE Proforma with ITC cash grant 10 Yr Amort_for deferral_102809_16.07E Wild Horse Wind Expansionwrkingfile 2 3" xfId="15883"/>
    <cellStyle name="_Book1_(C) WHE Proforma with ITC cash grant 10 Yr Amort_for deferral_102809_16.07E Wild Horse Wind Expansionwrkingfile 3" xfId="3695"/>
    <cellStyle name="_Book1_(C) WHE Proforma with ITC cash grant 10 Yr Amort_for deferral_102809_16.07E Wild Horse Wind Expansionwrkingfile 3 2" xfId="19739"/>
    <cellStyle name="_Book1_(C) WHE Proforma with ITC cash grant 10 Yr Amort_for deferral_102809_16.07E Wild Horse Wind Expansionwrkingfile 4" xfId="15882"/>
    <cellStyle name="_Book1_(C) WHE Proforma with ITC cash grant 10 Yr Amort_for deferral_102809_16.07E Wild Horse Wind Expansionwrkingfile SF" xfId="310"/>
    <cellStyle name="_Book1_(C) WHE Proforma with ITC cash grant 10 Yr Amort_for deferral_102809_16.07E Wild Horse Wind Expansionwrkingfile SF 2" xfId="311"/>
    <cellStyle name="_Book1_(C) WHE Proforma with ITC cash grant 10 Yr Amort_for deferral_102809_16.07E Wild Horse Wind Expansionwrkingfile SF 2 2" xfId="3698"/>
    <cellStyle name="_Book1_(C) WHE Proforma with ITC cash grant 10 Yr Amort_for deferral_102809_16.07E Wild Horse Wind Expansionwrkingfile SF 2 2 2" xfId="19740"/>
    <cellStyle name="_Book1_(C) WHE Proforma with ITC cash grant 10 Yr Amort_for deferral_102809_16.07E Wild Horse Wind Expansionwrkingfile SF 2 3" xfId="15885"/>
    <cellStyle name="_Book1_(C) WHE Proforma with ITC cash grant 10 Yr Amort_for deferral_102809_16.07E Wild Horse Wind Expansionwrkingfile SF 3" xfId="3697"/>
    <cellStyle name="_Book1_(C) WHE Proforma with ITC cash grant 10 Yr Amort_for deferral_102809_16.07E Wild Horse Wind Expansionwrkingfile SF 3 2" xfId="19741"/>
    <cellStyle name="_Book1_(C) WHE Proforma with ITC cash grant 10 Yr Amort_for deferral_102809_16.07E Wild Horse Wind Expansionwrkingfile SF 4" xfId="15884"/>
    <cellStyle name="_Book1_(C) WHE Proforma with ITC cash grant 10 Yr Amort_for deferral_102809_16.07E Wild Horse Wind Expansionwrkingfile SF_DEM-WP(C) ENERG10C--ctn Mid-C_042010 2010GRC" xfId="12044"/>
    <cellStyle name="_Book1_(C) WHE Proforma with ITC cash grant 10 Yr Amort_for deferral_102809_16.07E Wild Horse Wind Expansionwrkingfile_DEM-WP(C) ENERG10C--ctn Mid-C_042010 2010GRC" xfId="12045"/>
    <cellStyle name="_Book1_(C) WHE Proforma with ITC cash grant 10 Yr Amort_for deferral_102809_16.37E Wild Horse Expansion DeferralRevwrkingfile SF" xfId="312"/>
    <cellStyle name="_Book1_(C) WHE Proforma with ITC cash grant 10 Yr Amort_for deferral_102809_16.37E Wild Horse Expansion DeferralRevwrkingfile SF 2" xfId="313"/>
    <cellStyle name="_Book1_(C) WHE Proforma with ITC cash grant 10 Yr Amort_for deferral_102809_16.37E Wild Horse Expansion DeferralRevwrkingfile SF 2 2" xfId="3700"/>
    <cellStyle name="_Book1_(C) WHE Proforma with ITC cash grant 10 Yr Amort_for deferral_102809_16.37E Wild Horse Expansion DeferralRevwrkingfile SF 2 2 2" xfId="19742"/>
    <cellStyle name="_Book1_(C) WHE Proforma with ITC cash grant 10 Yr Amort_for deferral_102809_16.37E Wild Horse Expansion DeferralRevwrkingfile SF 2 3" xfId="15887"/>
    <cellStyle name="_Book1_(C) WHE Proforma with ITC cash grant 10 Yr Amort_for deferral_102809_16.37E Wild Horse Expansion DeferralRevwrkingfile SF 3" xfId="3699"/>
    <cellStyle name="_Book1_(C) WHE Proforma with ITC cash grant 10 Yr Amort_for deferral_102809_16.37E Wild Horse Expansion DeferralRevwrkingfile SF 3 2" xfId="19743"/>
    <cellStyle name="_Book1_(C) WHE Proforma with ITC cash grant 10 Yr Amort_for deferral_102809_16.37E Wild Horse Expansion DeferralRevwrkingfile SF 4" xfId="15886"/>
    <cellStyle name="_Book1_(C) WHE Proforma with ITC cash grant 10 Yr Amort_for deferral_102809_16.37E Wild Horse Expansion DeferralRevwrkingfile SF_DEM-WP(C) ENERG10C--ctn Mid-C_042010 2010GRC" xfId="12046"/>
    <cellStyle name="_Book1_(C) WHE Proforma with ITC cash grant 10 Yr Amort_for deferral_102809_DEM-WP(C) ENERG10C--ctn Mid-C_042010 2010GRC" xfId="12047"/>
    <cellStyle name="_Book1_(C) WHE Proforma with ITC cash grant 10 Yr Amort_for rebuttal_120709" xfId="314"/>
    <cellStyle name="_Book1_(C) WHE Proforma with ITC cash grant 10 Yr Amort_for rebuttal_120709 2" xfId="315"/>
    <cellStyle name="_Book1_(C) WHE Proforma with ITC cash grant 10 Yr Amort_for rebuttal_120709 2 2" xfId="3701"/>
    <cellStyle name="_Book1_(C) WHE Proforma with ITC cash grant 10 Yr Amort_for rebuttal_120709 2 2 2" xfId="19744"/>
    <cellStyle name="_Book1_(C) WHE Proforma with ITC cash grant 10 Yr Amort_for rebuttal_120709 2 3" xfId="15889"/>
    <cellStyle name="_Book1_(C) WHE Proforma with ITC cash grant 10 Yr Amort_for rebuttal_120709 3" xfId="6612"/>
    <cellStyle name="_Book1_(C) WHE Proforma with ITC cash grant 10 Yr Amort_for rebuttal_120709 3 2" xfId="19745"/>
    <cellStyle name="_Book1_(C) WHE Proforma with ITC cash grant 10 Yr Amort_for rebuttal_120709 4" xfId="15888"/>
    <cellStyle name="_Book1_(C) WHE Proforma with ITC cash grant 10 Yr Amort_for rebuttal_120709_DEM-WP(C) ENERG10C--ctn Mid-C_042010 2010GRC" xfId="12048"/>
    <cellStyle name="_Book1_04.07E Wild Horse Wind Expansion" xfId="316"/>
    <cellStyle name="_Book1_04.07E Wild Horse Wind Expansion 2" xfId="317"/>
    <cellStyle name="_Book1_04.07E Wild Horse Wind Expansion 2 2" xfId="3703"/>
    <cellStyle name="_Book1_04.07E Wild Horse Wind Expansion 2 2 2" xfId="19746"/>
    <cellStyle name="_Book1_04.07E Wild Horse Wind Expansion 2 3" xfId="15891"/>
    <cellStyle name="_Book1_04.07E Wild Horse Wind Expansion 3" xfId="3702"/>
    <cellStyle name="_Book1_04.07E Wild Horse Wind Expansion 3 2" xfId="19747"/>
    <cellStyle name="_Book1_04.07E Wild Horse Wind Expansion 4" xfId="15890"/>
    <cellStyle name="_Book1_04.07E Wild Horse Wind Expansion_16.07E Wild Horse Wind Expansionwrkingfile" xfId="318"/>
    <cellStyle name="_Book1_04.07E Wild Horse Wind Expansion_16.07E Wild Horse Wind Expansionwrkingfile 2" xfId="319"/>
    <cellStyle name="_Book1_04.07E Wild Horse Wind Expansion_16.07E Wild Horse Wind Expansionwrkingfile 2 2" xfId="3705"/>
    <cellStyle name="_Book1_04.07E Wild Horse Wind Expansion_16.07E Wild Horse Wind Expansionwrkingfile 2 2 2" xfId="19748"/>
    <cellStyle name="_Book1_04.07E Wild Horse Wind Expansion_16.07E Wild Horse Wind Expansionwrkingfile 2 3" xfId="15893"/>
    <cellStyle name="_Book1_04.07E Wild Horse Wind Expansion_16.07E Wild Horse Wind Expansionwrkingfile 3" xfId="3704"/>
    <cellStyle name="_Book1_04.07E Wild Horse Wind Expansion_16.07E Wild Horse Wind Expansionwrkingfile 3 2" xfId="19749"/>
    <cellStyle name="_Book1_04.07E Wild Horse Wind Expansion_16.07E Wild Horse Wind Expansionwrkingfile 4" xfId="15892"/>
    <cellStyle name="_Book1_04.07E Wild Horse Wind Expansion_16.07E Wild Horse Wind Expansionwrkingfile SF" xfId="320"/>
    <cellStyle name="_Book1_04.07E Wild Horse Wind Expansion_16.07E Wild Horse Wind Expansionwrkingfile SF 2" xfId="321"/>
    <cellStyle name="_Book1_04.07E Wild Horse Wind Expansion_16.07E Wild Horse Wind Expansionwrkingfile SF 2 2" xfId="3707"/>
    <cellStyle name="_Book1_04.07E Wild Horse Wind Expansion_16.07E Wild Horse Wind Expansionwrkingfile SF 2 2 2" xfId="19750"/>
    <cellStyle name="_Book1_04.07E Wild Horse Wind Expansion_16.07E Wild Horse Wind Expansionwrkingfile SF 2 3" xfId="15895"/>
    <cellStyle name="_Book1_04.07E Wild Horse Wind Expansion_16.07E Wild Horse Wind Expansionwrkingfile SF 3" xfId="3706"/>
    <cellStyle name="_Book1_04.07E Wild Horse Wind Expansion_16.07E Wild Horse Wind Expansionwrkingfile SF 3 2" xfId="19751"/>
    <cellStyle name="_Book1_04.07E Wild Horse Wind Expansion_16.07E Wild Horse Wind Expansionwrkingfile SF 4" xfId="15894"/>
    <cellStyle name="_Book1_04.07E Wild Horse Wind Expansion_16.07E Wild Horse Wind Expansionwrkingfile SF_DEM-WP(C) ENERG10C--ctn Mid-C_042010 2010GRC" xfId="12049"/>
    <cellStyle name="_Book1_04.07E Wild Horse Wind Expansion_16.07E Wild Horse Wind Expansionwrkingfile_DEM-WP(C) ENERG10C--ctn Mid-C_042010 2010GRC" xfId="12050"/>
    <cellStyle name="_Book1_04.07E Wild Horse Wind Expansion_16.37E Wild Horse Expansion DeferralRevwrkingfile SF" xfId="322"/>
    <cellStyle name="_Book1_04.07E Wild Horse Wind Expansion_16.37E Wild Horse Expansion DeferralRevwrkingfile SF 2" xfId="323"/>
    <cellStyle name="_Book1_04.07E Wild Horse Wind Expansion_16.37E Wild Horse Expansion DeferralRevwrkingfile SF 2 2" xfId="3709"/>
    <cellStyle name="_Book1_04.07E Wild Horse Wind Expansion_16.37E Wild Horse Expansion DeferralRevwrkingfile SF 2 2 2" xfId="19752"/>
    <cellStyle name="_Book1_04.07E Wild Horse Wind Expansion_16.37E Wild Horse Expansion DeferralRevwrkingfile SF 2 3" xfId="15897"/>
    <cellStyle name="_Book1_04.07E Wild Horse Wind Expansion_16.37E Wild Horse Expansion DeferralRevwrkingfile SF 3" xfId="3708"/>
    <cellStyle name="_Book1_04.07E Wild Horse Wind Expansion_16.37E Wild Horse Expansion DeferralRevwrkingfile SF 3 2" xfId="19753"/>
    <cellStyle name="_Book1_04.07E Wild Horse Wind Expansion_16.37E Wild Horse Expansion DeferralRevwrkingfile SF 4" xfId="15896"/>
    <cellStyle name="_Book1_04.07E Wild Horse Wind Expansion_16.37E Wild Horse Expansion DeferralRevwrkingfile SF_DEM-WP(C) ENERG10C--ctn Mid-C_042010 2010GRC" xfId="12051"/>
    <cellStyle name="_Book1_04.07E Wild Horse Wind Expansion_DEM-WP(C) ENERG10C--ctn Mid-C_042010 2010GRC" xfId="12052"/>
    <cellStyle name="_Book1_16.07E Wild Horse Wind Expansionwrkingfile" xfId="324"/>
    <cellStyle name="_Book1_16.07E Wild Horse Wind Expansionwrkingfile 2" xfId="325"/>
    <cellStyle name="_Book1_16.07E Wild Horse Wind Expansionwrkingfile 2 2" xfId="3711"/>
    <cellStyle name="_Book1_16.07E Wild Horse Wind Expansionwrkingfile 2 2 2" xfId="19754"/>
    <cellStyle name="_Book1_16.07E Wild Horse Wind Expansionwrkingfile 2 3" xfId="15899"/>
    <cellStyle name="_Book1_16.07E Wild Horse Wind Expansionwrkingfile 3" xfId="3710"/>
    <cellStyle name="_Book1_16.07E Wild Horse Wind Expansionwrkingfile 3 2" xfId="19755"/>
    <cellStyle name="_Book1_16.07E Wild Horse Wind Expansionwrkingfile 4" xfId="15898"/>
    <cellStyle name="_Book1_16.07E Wild Horse Wind Expansionwrkingfile SF" xfId="326"/>
    <cellStyle name="_Book1_16.07E Wild Horse Wind Expansionwrkingfile SF 2" xfId="327"/>
    <cellStyle name="_Book1_16.07E Wild Horse Wind Expansionwrkingfile SF 2 2" xfId="3713"/>
    <cellStyle name="_Book1_16.07E Wild Horse Wind Expansionwrkingfile SF 2 2 2" xfId="19756"/>
    <cellStyle name="_Book1_16.07E Wild Horse Wind Expansionwrkingfile SF 2 3" xfId="15901"/>
    <cellStyle name="_Book1_16.07E Wild Horse Wind Expansionwrkingfile SF 3" xfId="3712"/>
    <cellStyle name="_Book1_16.07E Wild Horse Wind Expansionwrkingfile SF 3 2" xfId="19757"/>
    <cellStyle name="_Book1_16.07E Wild Horse Wind Expansionwrkingfile SF 4" xfId="15900"/>
    <cellStyle name="_Book1_16.07E Wild Horse Wind Expansionwrkingfile SF_DEM-WP(C) ENERG10C--ctn Mid-C_042010 2010GRC" xfId="12053"/>
    <cellStyle name="_Book1_16.07E Wild Horse Wind Expansionwrkingfile_DEM-WP(C) ENERG10C--ctn Mid-C_042010 2010GRC" xfId="12054"/>
    <cellStyle name="_Book1_16.37E Wild Horse Expansion DeferralRevwrkingfile SF" xfId="328"/>
    <cellStyle name="_Book1_16.37E Wild Horse Expansion DeferralRevwrkingfile SF 2" xfId="329"/>
    <cellStyle name="_Book1_16.37E Wild Horse Expansion DeferralRevwrkingfile SF 2 2" xfId="3715"/>
    <cellStyle name="_Book1_16.37E Wild Horse Expansion DeferralRevwrkingfile SF 2 2 2" xfId="19758"/>
    <cellStyle name="_Book1_16.37E Wild Horse Expansion DeferralRevwrkingfile SF 2 3" xfId="15903"/>
    <cellStyle name="_Book1_16.37E Wild Horse Expansion DeferralRevwrkingfile SF 3" xfId="3714"/>
    <cellStyle name="_Book1_16.37E Wild Horse Expansion DeferralRevwrkingfile SF 3 2" xfId="19759"/>
    <cellStyle name="_Book1_16.37E Wild Horse Expansion DeferralRevwrkingfile SF 4" xfId="15902"/>
    <cellStyle name="_Book1_16.37E Wild Horse Expansion DeferralRevwrkingfile SF_DEM-WP(C) ENERG10C--ctn Mid-C_042010 2010GRC" xfId="12055"/>
    <cellStyle name="_Book1_2009 Compliance Filing PCA Exhibits for GRC" xfId="14029"/>
    <cellStyle name="_Book1_2009 Compliance Filing PCA Exhibits for GRC 2" xfId="14521"/>
    <cellStyle name="_Book1_2009 GRC Compl Filing - Exhibit D" xfId="330"/>
    <cellStyle name="_Book1_2009 GRC Compl Filing - Exhibit D 2" xfId="331"/>
    <cellStyle name="_Book1_2009 GRC Compl Filing - Exhibit D 2 2" xfId="3717"/>
    <cellStyle name="_Book1_2009 GRC Compl Filing - Exhibit D 3" xfId="3716"/>
    <cellStyle name="_Book1_2009 GRC Compl Filing - Exhibit D_DEM-WP(C) ENERG10C--ctn Mid-C_042010 2010GRC" xfId="12056"/>
    <cellStyle name="_Book1_3.01 Income Statement" xfId="14030"/>
    <cellStyle name="_Book1_4 31 Regulatory Assets and Liabilities  7 06- Exhibit D" xfId="332"/>
    <cellStyle name="_Book1_4 31 Regulatory Assets and Liabilities  7 06- Exhibit D 2" xfId="333"/>
    <cellStyle name="_Book1_4 31 Regulatory Assets and Liabilities  7 06- Exhibit D 2 2" xfId="3719"/>
    <cellStyle name="_Book1_4 31 Regulatory Assets and Liabilities  7 06- Exhibit D 2 2 2" xfId="14522"/>
    <cellStyle name="_Book1_4 31 Regulatory Assets and Liabilities  7 06- Exhibit D 3" xfId="3718"/>
    <cellStyle name="_Book1_4 31 Regulatory Assets and Liabilities  7 06- Exhibit D 3 2" xfId="19760"/>
    <cellStyle name="_Book1_4 31 Regulatory Assets and Liabilities  7 06- Exhibit D_DEM-WP(C) ENERG10C--ctn Mid-C_042010 2010GRC" xfId="12057"/>
    <cellStyle name="_Book1_4 31 Regulatory Assets and Liabilities  7 06- Exhibit D_NIM Summary" xfId="334"/>
    <cellStyle name="_Book1_4 31 Regulatory Assets and Liabilities  7 06- Exhibit D_NIM Summary 2" xfId="335"/>
    <cellStyle name="_Book1_4 31 Regulatory Assets and Liabilities  7 06- Exhibit D_NIM Summary 2 2" xfId="3721"/>
    <cellStyle name="_Book1_4 31 Regulatory Assets and Liabilities  7 06- Exhibit D_NIM Summary 3" xfId="3720"/>
    <cellStyle name="_Book1_4 31 Regulatory Assets and Liabilities  7 06- Exhibit D_NIM Summary_DEM-WP(C) ENERG10C--ctn Mid-C_042010 2010GRC" xfId="12058"/>
    <cellStyle name="_Book1_4 31 Regulatory Assets and Liabilities  7 06- Exhibit D_NIM+O&amp;M" xfId="12059"/>
    <cellStyle name="_Book1_4 31 Regulatory Assets and Liabilities  7 06- Exhibit D_NIM+O&amp;M 2" xfId="22904"/>
    <cellStyle name="_Book1_4 31 Regulatory Assets and Liabilities  7 06- Exhibit D_NIM+O&amp;M Monthly" xfId="12060"/>
    <cellStyle name="_Book1_4 31 Regulatory Assets and Liabilities  7 06- Exhibit D_NIM+O&amp;M Monthly 2" xfId="22905"/>
    <cellStyle name="_Book1_4 31E Reg Asset  Liab and EXH D" xfId="12061"/>
    <cellStyle name="_Book1_4 31E Reg Asset  Liab and EXH D _ Aug 10 Filing (2)" xfId="12062"/>
    <cellStyle name="_Book1_4 31E Reg Asset  Liab and EXH D _ Aug 10 Filing (2) 2" xfId="22906"/>
    <cellStyle name="_Book1_4 31E Reg Asset  Liab and EXH D 10" xfId="22907"/>
    <cellStyle name="_Book1_4 31E Reg Asset  Liab and EXH D 11" xfId="22908"/>
    <cellStyle name="_Book1_4 31E Reg Asset  Liab and EXH D 12" xfId="22909"/>
    <cellStyle name="_Book1_4 31E Reg Asset  Liab and EXH D 13" xfId="22910"/>
    <cellStyle name="_Book1_4 31E Reg Asset  Liab and EXH D 14" xfId="22911"/>
    <cellStyle name="_Book1_4 31E Reg Asset  Liab and EXH D 15" xfId="22912"/>
    <cellStyle name="_Book1_4 31E Reg Asset  Liab and EXH D 16" xfId="22913"/>
    <cellStyle name="_Book1_4 31E Reg Asset  Liab and EXH D 17" xfId="22914"/>
    <cellStyle name="_Book1_4 31E Reg Asset  Liab and EXH D 18" xfId="22915"/>
    <cellStyle name="_Book1_4 31E Reg Asset  Liab and EXH D 19" xfId="22916"/>
    <cellStyle name="_Book1_4 31E Reg Asset  Liab and EXH D 2" xfId="22917"/>
    <cellStyle name="_Book1_4 31E Reg Asset  Liab and EXH D 20" xfId="22918"/>
    <cellStyle name="_Book1_4 31E Reg Asset  Liab and EXH D 21" xfId="22919"/>
    <cellStyle name="_Book1_4 31E Reg Asset  Liab and EXH D 22" xfId="22920"/>
    <cellStyle name="_Book1_4 31E Reg Asset  Liab and EXH D 23" xfId="22921"/>
    <cellStyle name="_Book1_4 31E Reg Asset  Liab and EXH D 24" xfId="22922"/>
    <cellStyle name="_Book1_4 31E Reg Asset  Liab and EXH D 25" xfId="22923"/>
    <cellStyle name="_Book1_4 31E Reg Asset  Liab and EXH D 26" xfId="22924"/>
    <cellStyle name="_Book1_4 31E Reg Asset  Liab and EXH D 27" xfId="22925"/>
    <cellStyle name="_Book1_4 31E Reg Asset  Liab and EXH D 28" xfId="22926"/>
    <cellStyle name="_Book1_4 31E Reg Asset  Liab and EXH D 29" xfId="22927"/>
    <cellStyle name="_Book1_4 31E Reg Asset  Liab and EXH D 3" xfId="22928"/>
    <cellStyle name="_Book1_4 31E Reg Asset  Liab and EXH D 30" xfId="22929"/>
    <cellStyle name="_Book1_4 31E Reg Asset  Liab and EXH D 31" xfId="22930"/>
    <cellStyle name="_Book1_4 31E Reg Asset  Liab and EXH D 32" xfId="22931"/>
    <cellStyle name="_Book1_4 31E Reg Asset  Liab and EXH D 33" xfId="22932"/>
    <cellStyle name="_Book1_4 31E Reg Asset  Liab and EXH D 34" xfId="22933"/>
    <cellStyle name="_Book1_4 31E Reg Asset  Liab and EXH D 35" xfId="22934"/>
    <cellStyle name="_Book1_4 31E Reg Asset  Liab and EXH D 36" xfId="22935"/>
    <cellStyle name="_Book1_4 31E Reg Asset  Liab and EXH D 4" xfId="22936"/>
    <cellStyle name="_Book1_4 31E Reg Asset  Liab and EXH D 5" xfId="22937"/>
    <cellStyle name="_Book1_4 31E Reg Asset  Liab and EXH D 6" xfId="22938"/>
    <cellStyle name="_Book1_4 31E Reg Asset  Liab and EXH D 7" xfId="22939"/>
    <cellStyle name="_Book1_4 31E Reg Asset  Liab and EXH D 8" xfId="22940"/>
    <cellStyle name="_Book1_4 31E Reg Asset  Liab and EXH D 9" xfId="22941"/>
    <cellStyle name="_Book1_4 32 Regulatory Assets and Liabilities  7 06- Exhibit D" xfId="336"/>
    <cellStyle name="_Book1_4 32 Regulatory Assets and Liabilities  7 06- Exhibit D 2" xfId="337"/>
    <cellStyle name="_Book1_4 32 Regulatory Assets and Liabilities  7 06- Exhibit D 2 2" xfId="3723"/>
    <cellStyle name="_Book1_4 32 Regulatory Assets and Liabilities  7 06- Exhibit D 2 2 2" xfId="14523"/>
    <cellStyle name="_Book1_4 32 Regulatory Assets and Liabilities  7 06- Exhibit D 3" xfId="3722"/>
    <cellStyle name="_Book1_4 32 Regulatory Assets and Liabilities  7 06- Exhibit D 3 2" xfId="19761"/>
    <cellStyle name="_Book1_4 32 Regulatory Assets and Liabilities  7 06- Exhibit D_DEM-WP(C) ENERG10C--ctn Mid-C_042010 2010GRC" xfId="12063"/>
    <cellStyle name="_Book1_4 32 Regulatory Assets and Liabilities  7 06- Exhibit D_NIM Summary" xfId="338"/>
    <cellStyle name="_Book1_4 32 Regulatory Assets and Liabilities  7 06- Exhibit D_NIM Summary 2" xfId="339"/>
    <cellStyle name="_Book1_4 32 Regulatory Assets and Liabilities  7 06- Exhibit D_NIM Summary 2 2" xfId="3725"/>
    <cellStyle name="_Book1_4 32 Regulatory Assets and Liabilities  7 06- Exhibit D_NIM Summary 3" xfId="3724"/>
    <cellStyle name="_Book1_4 32 Regulatory Assets and Liabilities  7 06- Exhibit D_NIM Summary_DEM-WP(C) ENERG10C--ctn Mid-C_042010 2010GRC" xfId="12064"/>
    <cellStyle name="_Book1_4 32 Regulatory Assets and Liabilities  7 06- Exhibit D_NIM+O&amp;M" xfId="12065"/>
    <cellStyle name="_Book1_4 32 Regulatory Assets and Liabilities  7 06- Exhibit D_NIM+O&amp;M 2" xfId="22942"/>
    <cellStyle name="_Book1_4 32 Regulatory Assets and Liabilities  7 06- Exhibit D_NIM+O&amp;M Monthly" xfId="12066"/>
    <cellStyle name="_Book1_4 32 Regulatory Assets and Liabilities  7 06- Exhibit D_NIM+O&amp;M Monthly 2" xfId="22943"/>
    <cellStyle name="_Book1_AURORA Total New" xfId="340"/>
    <cellStyle name="_Book1_AURORA Total New 2" xfId="341"/>
    <cellStyle name="_Book1_AURORA Total New 2 2" xfId="3727"/>
    <cellStyle name="_Book1_AURORA Total New 3" xfId="3726"/>
    <cellStyle name="_Book1_Book2" xfId="342"/>
    <cellStyle name="_Book1_Book2 2" xfId="343"/>
    <cellStyle name="_Book1_Book2 2 2" xfId="3729"/>
    <cellStyle name="_Book1_Book2 2 2 2" xfId="19762"/>
    <cellStyle name="_Book1_Book2 2 3" xfId="15905"/>
    <cellStyle name="_Book1_Book2 3" xfId="3728"/>
    <cellStyle name="_Book1_Book2 3 2" xfId="19763"/>
    <cellStyle name="_Book1_Book2 4" xfId="15904"/>
    <cellStyle name="_Book1_Book2_Adj Bench DR 3 for Initial Briefs (Electric)" xfId="344"/>
    <cellStyle name="_Book1_Book2_Adj Bench DR 3 for Initial Briefs (Electric) 2" xfId="345"/>
    <cellStyle name="_Book1_Book2_Adj Bench DR 3 for Initial Briefs (Electric) 2 2" xfId="3731"/>
    <cellStyle name="_Book1_Book2_Adj Bench DR 3 for Initial Briefs (Electric) 2 2 2" xfId="19764"/>
    <cellStyle name="_Book1_Book2_Adj Bench DR 3 for Initial Briefs (Electric) 2 3" xfId="15907"/>
    <cellStyle name="_Book1_Book2_Adj Bench DR 3 for Initial Briefs (Electric) 3" xfId="3730"/>
    <cellStyle name="_Book1_Book2_Adj Bench DR 3 for Initial Briefs (Electric) 3 2" xfId="19765"/>
    <cellStyle name="_Book1_Book2_Adj Bench DR 3 for Initial Briefs (Electric) 4" xfId="15906"/>
    <cellStyle name="_Book1_Book2_Adj Bench DR 3 for Initial Briefs (Electric)_DEM-WP(C) ENERG10C--ctn Mid-C_042010 2010GRC" xfId="12067"/>
    <cellStyle name="_Book1_Book2_DEM-WP(C) ENERG10C--ctn Mid-C_042010 2010GRC" xfId="12068"/>
    <cellStyle name="_Book1_Book2_Electric Rev Req Model (2009 GRC) Rebuttal" xfId="346"/>
    <cellStyle name="_Book1_Book2_Electric Rev Req Model (2009 GRC) Rebuttal 2" xfId="3732"/>
    <cellStyle name="_Book1_Book2_Electric Rev Req Model (2009 GRC) Rebuttal 2 2" xfId="6613"/>
    <cellStyle name="_Book1_Book2_Electric Rev Req Model (2009 GRC) Rebuttal 2 2 2" xfId="19766"/>
    <cellStyle name="_Book1_Book2_Electric Rev Req Model (2009 GRC) Rebuttal 2 3" xfId="18164"/>
    <cellStyle name="_Book1_Book2_Electric Rev Req Model (2009 GRC) Rebuttal 3" xfId="6614"/>
    <cellStyle name="_Book1_Book2_Electric Rev Req Model (2009 GRC) Rebuttal 3 2" xfId="19767"/>
    <cellStyle name="_Book1_Book2_Electric Rev Req Model (2009 GRC) Rebuttal 4" xfId="15908"/>
    <cellStyle name="_Book1_Book2_Electric Rev Req Model (2009 GRC) Rebuttal REmoval of New  WH Solar AdjustMI" xfId="347"/>
    <cellStyle name="_Book1_Book2_Electric Rev Req Model (2009 GRC) Rebuttal REmoval of New  WH Solar AdjustMI 2" xfId="348"/>
    <cellStyle name="_Book1_Book2_Electric Rev Req Model (2009 GRC) Rebuttal REmoval of New  WH Solar AdjustMI 2 2" xfId="3734"/>
    <cellStyle name="_Book1_Book2_Electric Rev Req Model (2009 GRC) Rebuttal REmoval of New  WH Solar AdjustMI 2 2 2" xfId="19768"/>
    <cellStyle name="_Book1_Book2_Electric Rev Req Model (2009 GRC) Rebuttal REmoval of New  WH Solar AdjustMI 2 3" xfId="15910"/>
    <cellStyle name="_Book1_Book2_Electric Rev Req Model (2009 GRC) Rebuttal REmoval of New  WH Solar AdjustMI 3" xfId="3733"/>
    <cellStyle name="_Book1_Book2_Electric Rev Req Model (2009 GRC) Rebuttal REmoval of New  WH Solar AdjustMI 3 2" xfId="19769"/>
    <cellStyle name="_Book1_Book2_Electric Rev Req Model (2009 GRC) Rebuttal REmoval of New  WH Solar AdjustMI 4" xfId="15909"/>
    <cellStyle name="_Book1_Book2_Electric Rev Req Model (2009 GRC) Rebuttal REmoval of New  WH Solar AdjustMI_DEM-WP(C) ENERG10C--ctn Mid-C_042010 2010GRC" xfId="12069"/>
    <cellStyle name="_Book1_Book2_Electric Rev Req Model (2009 GRC) Revised 01-18-2010" xfId="349"/>
    <cellStyle name="_Book1_Book2_Electric Rev Req Model (2009 GRC) Revised 01-18-2010 2" xfId="350"/>
    <cellStyle name="_Book1_Book2_Electric Rev Req Model (2009 GRC) Revised 01-18-2010 2 2" xfId="3736"/>
    <cellStyle name="_Book1_Book2_Electric Rev Req Model (2009 GRC) Revised 01-18-2010 2 2 2" xfId="19770"/>
    <cellStyle name="_Book1_Book2_Electric Rev Req Model (2009 GRC) Revised 01-18-2010 2 3" xfId="15912"/>
    <cellStyle name="_Book1_Book2_Electric Rev Req Model (2009 GRC) Revised 01-18-2010 3" xfId="3735"/>
    <cellStyle name="_Book1_Book2_Electric Rev Req Model (2009 GRC) Revised 01-18-2010 3 2" xfId="19771"/>
    <cellStyle name="_Book1_Book2_Electric Rev Req Model (2009 GRC) Revised 01-18-2010 4" xfId="15911"/>
    <cellStyle name="_Book1_Book2_Electric Rev Req Model (2009 GRC) Revised 01-18-2010_DEM-WP(C) ENERG10C--ctn Mid-C_042010 2010GRC" xfId="12070"/>
    <cellStyle name="_Book1_Book2_Final Order Electric EXHIBIT A-1" xfId="351"/>
    <cellStyle name="_Book1_Book2_Final Order Electric EXHIBIT A-1 2" xfId="3737"/>
    <cellStyle name="_Book1_Book2_Final Order Electric EXHIBIT A-1 2 2" xfId="6615"/>
    <cellStyle name="_Book1_Book2_Final Order Electric EXHIBIT A-1 2 2 2" xfId="19772"/>
    <cellStyle name="_Book1_Book2_Final Order Electric EXHIBIT A-1 2 3" xfId="18165"/>
    <cellStyle name="_Book1_Book2_Final Order Electric EXHIBIT A-1 3" xfId="6616"/>
    <cellStyle name="_Book1_Book2_Final Order Electric EXHIBIT A-1 3 2" xfId="19773"/>
    <cellStyle name="_Book1_Book2_Final Order Electric EXHIBIT A-1 4" xfId="15913"/>
    <cellStyle name="_Book1_Book4" xfId="352"/>
    <cellStyle name="_Book1_Book4 2" xfId="353"/>
    <cellStyle name="_Book1_Book4 2 2" xfId="3739"/>
    <cellStyle name="_Book1_Book4 2 2 2" xfId="19774"/>
    <cellStyle name="_Book1_Book4 2 3" xfId="15915"/>
    <cellStyle name="_Book1_Book4 3" xfId="3738"/>
    <cellStyle name="_Book1_Book4 3 2" xfId="19775"/>
    <cellStyle name="_Book1_Book4 4" xfId="15914"/>
    <cellStyle name="_Book1_Book4_DEM-WP(C) ENERG10C--ctn Mid-C_042010 2010GRC" xfId="12071"/>
    <cellStyle name="_Book1_Book9" xfId="354"/>
    <cellStyle name="_Book1_Book9 2" xfId="355"/>
    <cellStyle name="_Book1_Book9 2 2" xfId="3741"/>
    <cellStyle name="_Book1_Book9 2 2 2" xfId="19776"/>
    <cellStyle name="_Book1_Book9 2 3" xfId="15917"/>
    <cellStyle name="_Book1_Book9 3" xfId="3740"/>
    <cellStyle name="_Book1_Book9 3 2" xfId="19777"/>
    <cellStyle name="_Book1_Book9 4" xfId="15916"/>
    <cellStyle name="_Book1_Book9_DEM-WP(C) ENERG10C--ctn Mid-C_042010 2010GRC" xfId="12072"/>
    <cellStyle name="_Book1_Chelan PUD Power Costs (8-10)" xfId="12073"/>
    <cellStyle name="_Book1_Chelan PUD Power Costs (8-10) 2" xfId="22944"/>
    <cellStyle name="_Book1_DEM-WP(C) Chelan Power Costs" xfId="12074"/>
    <cellStyle name="_Book1_DEM-WP(C) Chelan Power Costs 2" xfId="22945"/>
    <cellStyle name="_Book1_DEM-WP(C) ENERG10C--ctn Mid-C_042010 2010GRC" xfId="12075"/>
    <cellStyle name="_Book1_DEM-WP(C) Gas Transport 2010GRC" xfId="12076"/>
    <cellStyle name="_Book1_DEM-WP(C) Gas Transport 2010GRC 2" xfId="22946"/>
    <cellStyle name="_Book1_Electric COS Inputs" xfId="6617"/>
    <cellStyle name="_Book1_Electric COS Inputs 2" xfId="6618"/>
    <cellStyle name="_Book1_Electric COS Inputs 2 2" xfId="6619"/>
    <cellStyle name="_Book1_Electric COS Inputs 2 2 2" xfId="6620"/>
    <cellStyle name="_Book1_Electric COS Inputs 2 2 2 2" xfId="19778"/>
    <cellStyle name="_Book1_Electric COS Inputs 2 2 3" xfId="18168"/>
    <cellStyle name="_Book1_Electric COS Inputs 2 3" xfId="6621"/>
    <cellStyle name="_Book1_Electric COS Inputs 2 3 2" xfId="6622"/>
    <cellStyle name="_Book1_Electric COS Inputs 2 3 2 2" xfId="19779"/>
    <cellStyle name="_Book1_Electric COS Inputs 2 3 3" xfId="18169"/>
    <cellStyle name="_Book1_Electric COS Inputs 2 4" xfId="6623"/>
    <cellStyle name="_Book1_Electric COS Inputs 2 4 2" xfId="6624"/>
    <cellStyle name="_Book1_Electric COS Inputs 2 4 2 2" xfId="19780"/>
    <cellStyle name="_Book1_Electric COS Inputs 2 4 3" xfId="18170"/>
    <cellStyle name="_Book1_Electric COS Inputs 2 5" xfId="18167"/>
    <cellStyle name="_Book1_Electric COS Inputs 3" xfId="6625"/>
    <cellStyle name="_Book1_Electric COS Inputs 3 2" xfId="6626"/>
    <cellStyle name="_Book1_Electric COS Inputs 3 2 2" xfId="19781"/>
    <cellStyle name="_Book1_Electric COS Inputs 3 3" xfId="18171"/>
    <cellStyle name="_Book1_Electric COS Inputs 4" xfId="6627"/>
    <cellStyle name="_Book1_Electric COS Inputs 4 2" xfId="6628"/>
    <cellStyle name="_Book1_Electric COS Inputs 4 2 2" xfId="19782"/>
    <cellStyle name="_Book1_Electric COS Inputs 4 3" xfId="18172"/>
    <cellStyle name="_Book1_Electric COS Inputs 5" xfId="6629"/>
    <cellStyle name="_Book1_Electric COS Inputs 5 2" xfId="19783"/>
    <cellStyle name="_Book1_Electric COS Inputs 6" xfId="18166"/>
    <cellStyle name="_Book1_Exh A-1 resulting from UE-112050 effective Jan 1 2012" xfId="14524"/>
    <cellStyle name="_Book1_Exh G - Klamath Peaker PPA fr C Locke 2-12" xfId="14525"/>
    <cellStyle name="_Book1_Exhibit A-1 effective 4-1-11 fr S Free 12-11" xfId="14526"/>
    <cellStyle name="_Book1_LSRWEP LGIA like Acctg Petition Aug 2010" xfId="12077"/>
    <cellStyle name="_Book1_LSRWEP LGIA like Acctg Petition Aug 2010 2" xfId="22947"/>
    <cellStyle name="_Book1_Mint Farm Generation BPA" xfId="22948"/>
    <cellStyle name="_Book1_NIM Summary" xfId="356"/>
    <cellStyle name="_Book1_NIM Summary 09GRC" xfId="357"/>
    <cellStyle name="_Book1_NIM Summary 09GRC 2" xfId="358"/>
    <cellStyle name="_Book1_NIM Summary 09GRC 2 2" xfId="3744"/>
    <cellStyle name="_Book1_NIM Summary 09GRC 3" xfId="3743"/>
    <cellStyle name="_Book1_NIM Summary 09GRC_DEM-WP(C) ENERG10C--ctn Mid-C_042010 2010GRC" xfId="12078"/>
    <cellStyle name="_Book1_NIM Summary 10" xfId="3742"/>
    <cellStyle name="_Book1_NIM Summary 11" xfId="5917"/>
    <cellStyle name="_Book1_NIM Summary 12" xfId="6279"/>
    <cellStyle name="_Book1_NIM Summary 13" xfId="5918"/>
    <cellStyle name="_Book1_NIM Summary 14" xfId="6294"/>
    <cellStyle name="_Book1_NIM Summary 15" xfId="14527"/>
    <cellStyle name="_Book1_NIM Summary 16" xfId="14528"/>
    <cellStyle name="_Book1_NIM Summary 17" xfId="14529"/>
    <cellStyle name="_Book1_NIM Summary 18" xfId="14530"/>
    <cellStyle name="_Book1_NIM Summary 19" xfId="14531"/>
    <cellStyle name="_Book1_NIM Summary 2" xfId="359"/>
    <cellStyle name="_Book1_NIM Summary 2 2" xfId="3745"/>
    <cellStyle name="_Book1_NIM Summary 20" xfId="14532"/>
    <cellStyle name="_Book1_NIM Summary 21" xfId="14533"/>
    <cellStyle name="_Book1_NIM Summary 22" xfId="14534"/>
    <cellStyle name="_Book1_NIM Summary 23" xfId="14535"/>
    <cellStyle name="_Book1_NIM Summary 24" xfId="14536"/>
    <cellStyle name="_Book1_NIM Summary 25" xfId="14537"/>
    <cellStyle name="_Book1_NIM Summary 26" xfId="14538"/>
    <cellStyle name="_Book1_NIM Summary 27" xfId="14539"/>
    <cellStyle name="_Book1_NIM Summary 28" xfId="14540"/>
    <cellStyle name="_Book1_NIM Summary 29" xfId="14541"/>
    <cellStyle name="_Book1_NIM Summary 3" xfId="360"/>
    <cellStyle name="_Book1_NIM Summary 3 2" xfId="3746"/>
    <cellStyle name="_Book1_NIM Summary 30" xfId="14542"/>
    <cellStyle name="_Book1_NIM Summary 31" xfId="14543"/>
    <cellStyle name="_Book1_NIM Summary 32" xfId="14544"/>
    <cellStyle name="_Book1_NIM Summary 33" xfId="14545"/>
    <cellStyle name="_Book1_NIM Summary 34" xfId="14546"/>
    <cellStyle name="_Book1_NIM Summary 35" xfId="14547"/>
    <cellStyle name="_Book1_NIM Summary 36" xfId="14548"/>
    <cellStyle name="_Book1_NIM Summary 37" xfId="14549"/>
    <cellStyle name="_Book1_NIM Summary 38" xfId="14550"/>
    <cellStyle name="_Book1_NIM Summary 39" xfId="14551"/>
    <cellStyle name="_Book1_NIM Summary 4" xfId="361"/>
    <cellStyle name="_Book1_NIM Summary 4 2" xfId="3747"/>
    <cellStyle name="_Book1_NIM Summary 40" xfId="14552"/>
    <cellStyle name="_Book1_NIM Summary 41" xfId="14553"/>
    <cellStyle name="_Book1_NIM Summary 42" xfId="15918"/>
    <cellStyle name="_Book1_NIM Summary 43" xfId="16730"/>
    <cellStyle name="_Book1_NIM Summary 44" xfId="22949"/>
    <cellStyle name="_Book1_NIM Summary 45" xfId="22950"/>
    <cellStyle name="_Book1_NIM Summary 46" xfId="22951"/>
    <cellStyle name="_Book1_NIM Summary 47" xfId="22952"/>
    <cellStyle name="_Book1_NIM Summary 48" xfId="22953"/>
    <cellStyle name="_Book1_NIM Summary 49" xfId="22954"/>
    <cellStyle name="_Book1_NIM Summary 5" xfId="362"/>
    <cellStyle name="_Book1_NIM Summary 5 2" xfId="3748"/>
    <cellStyle name="_Book1_NIM Summary 50" xfId="22955"/>
    <cellStyle name="_Book1_NIM Summary 51" xfId="41125"/>
    <cellStyle name="_Book1_NIM Summary 52" xfId="6630"/>
    <cellStyle name="_Book1_NIM Summary 6" xfId="363"/>
    <cellStyle name="_Book1_NIM Summary 6 2" xfId="3749"/>
    <cellStyle name="_Book1_NIM Summary 7" xfId="364"/>
    <cellStyle name="_Book1_NIM Summary 7 2" xfId="3750"/>
    <cellStyle name="_Book1_NIM Summary 8" xfId="365"/>
    <cellStyle name="_Book1_NIM Summary 8 2" xfId="3751"/>
    <cellStyle name="_Book1_NIM Summary 9" xfId="366"/>
    <cellStyle name="_Book1_NIM Summary 9 2" xfId="3752"/>
    <cellStyle name="_Book1_NIM Summary_DEM-WP(C) ENERG10C--ctn Mid-C_042010 2010GRC" xfId="12079"/>
    <cellStyle name="_Book1_NIM+O&amp;M" xfId="12080"/>
    <cellStyle name="_Book1_NIM+O&amp;M 2" xfId="12081"/>
    <cellStyle name="_Book1_NIM+O&amp;M 2 2" xfId="22956"/>
    <cellStyle name="_Book1_NIM+O&amp;M 3" xfId="22957"/>
    <cellStyle name="_Book1_NIM+O&amp;M Monthly" xfId="12082"/>
    <cellStyle name="_Book1_NIM+O&amp;M Monthly 2" xfId="12083"/>
    <cellStyle name="_Book1_NIM+O&amp;M Monthly 2 2" xfId="22958"/>
    <cellStyle name="_Book1_NIM+O&amp;M Monthly 3" xfId="22959"/>
    <cellStyle name="_Book1_PCA 10 -  Exhibit D Dec 2011" xfId="14554"/>
    <cellStyle name="_Book1_PCA 10 -  Exhibit D from A Kellogg Jan 2011" xfId="14031"/>
    <cellStyle name="_Book1_PCA 10 -  Exhibit D from A Kellogg July 2011" xfId="14032"/>
    <cellStyle name="_Book1_PCA 10 -  Exhibit D from S Free Rcv'd 12-11" xfId="14033"/>
    <cellStyle name="_Book1_PCA 11 -  Exhibit D Jan 2012 fr A Kellogg" xfId="14555"/>
    <cellStyle name="_Book1_PCA 11 -  Exhibit D Jan 2012 WF" xfId="14556"/>
    <cellStyle name="_Book1_PCA 9 -  Exhibit D April 2010" xfId="14034"/>
    <cellStyle name="_Book1_PCA 9 -  Exhibit D April 2010 (3)" xfId="367"/>
    <cellStyle name="_Book1_PCA 9 -  Exhibit D April 2010 (3) 2" xfId="368"/>
    <cellStyle name="_Book1_PCA 9 -  Exhibit D April 2010 (3) 2 2" xfId="3754"/>
    <cellStyle name="_Book1_PCA 9 -  Exhibit D April 2010 (3) 3" xfId="3753"/>
    <cellStyle name="_Book1_PCA 9 -  Exhibit D April 2010 (3)_DEM-WP(C) ENERG10C--ctn Mid-C_042010 2010GRC" xfId="12084"/>
    <cellStyle name="_Book1_PCA 9 -  Exhibit D April 2010 2" xfId="14557"/>
    <cellStyle name="_Book1_PCA 9 -  Exhibit D April 2010 3" xfId="14558"/>
    <cellStyle name="_Book1_PCA 9 -  Exhibit D April 2010 4" xfId="14559"/>
    <cellStyle name="_Book1_PCA 9 -  Exhibit D April 2010 5" xfId="14560"/>
    <cellStyle name="_Book1_PCA 9 -  Exhibit D April 2010 6" xfId="14561"/>
    <cellStyle name="_Book1_PCA 9 -  Exhibit D Nov 2010" xfId="14035"/>
    <cellStyle name="_Book1_PCA 9 -  Exhibit D Nov 2010 2" xfId="14562"/>
    <cellStyle name="_Book1_PCA 9 - Exhibit D at August 2010" xfId="14036"/>
    <cellStyle name="_Book1_PCA 9 - Exhibit D at August 2010 2" xfId="14563"/>
    <cellStyle name="_Book1_PCA 9 - Exhibit D June 2010 GRC" xfId="14037"/>
    <cellStyle name="_Book1_PCA 9 - Exhibit D June 2010 GRC 2" xfId="14564"/>
    <cellStyle name="_Book1_Power Costs - Comparison bx Rbtl-Staff-Jt-PC" xfId="369"/>
    <cellStyle name="_Book1_Power Costs - Comparison bx Rbtl-Staff-Jt-PC 2" xfId="370"/>
    <cellStyle name="_Book1_Power Costs - Comparison bx Rbtl-Staff-Jt-PC 2 2" xfId="3756"/>
    <cellStyle name="_Book1_Power Costs - Comparison bx Rbtl-Staff-Jt-PC 2 2 2" xfId="19784"/>
    <cellStyle name="_Book1_Power Costs - Comparison bx Rbtl-Staff-Jt-PC 2 3" xfId="15920"/>
    <cellStyle name="_Book1_Power Costs - Comparison bx Rbtl-Staff-Jt-PC 3" xfId="3755"/>
    <cellStyle name="_Book1_Power Costs - Comparison bx Rbtl-Staff-Jt-PC 3 2" xfId="19785"/>
    <cellStyle name="_Book1_Power Costs - Comparison bx Rbtl-Staff-Jt-PC 4" xfId="15919"/>
    <cellStyle name="_Book1_Power Costs - Comparison bx Rbtl-Staff-Jt-PC_Adj Bench DR 3 for Initial Briefs (Electric)" xfId="371"/>
    <cellStyle name="_Book1_Power Costs - Comparison bx Rbtl-Staff-Jt-PC_Adj Bench DR 3 for Initial Briefs (Electric) 2" xfId="372"/>
    <cellStyle name="_Book1_Power Costs - Comparison bx Rbtl-Staff-Jt-PC_Adj Bench DR 3 for Initial Briefs (Electric) 2 2" xfId="3758"/>
    <cellStyle name="_Book1_Power Costs - Comparison bx Rbtl-Staff-Jt-PC_Adj Bench DR 3 for Initial Briefs (Electric) 2 2 2" xfId="19786"/>
    <cellStyle name="_Book1_Power Costs - Comparison bx Rbtl-Staff-Jt-PC_Adj Bench DR 3 for Initial Briefs (Electric) 2 3" xfId="15922"/>
    <cellStyle name="_Book1_Power Costs - Comparison bx Rbtl-Staff-Jt-PC_Adj Bench DR 3 for Initial Briefs (Electric) 3" xfId="3757"/>
    <cellStyle name="_Book1_Power Costs - Comparison bx Rbtl-Staff-Jt-PC_Adj Bench DR 3 for Initial Briefs (Electric) 3 2" xfId="19787"/>
    <cellStyle name="_Book1_Power Costs - Comparison bx Rbtl-Staff-Jt-PC_Adj Bench DR 3 for Initial Briefs (Electric) 4" xfId="15921"/>
    <cellStyle name="_Book1_Power Costs - Comparison bx Rbtl-Staff-Jt-PC_Adj Bench DR 3 for Initial Briefs (Electric)_DEM-WP(C) ENERG10C--ctn Mid-C_042010 2010GRC" xfId="12085"/>
    <cellStyle name="_Book1_Power Costs - Comparison bx Rbtl-Staff-Jt-PC_DEM-WP(C) ENERG10C--ctn Mid-C_042010 2010GRC" xfId="12086"/>
    <cellStyle name="_Book1_Power Costs - Comparison bx Rbtl-Staff-Jt-PC_Electric Rev Req Model (2009 GRC) Rebuttal" xfId="373"/>
    <cellStyle name="_Book1_Power Costs - Comparison bx Rbtl-Staff-Jt-PC_Electric Rev Req Model (2009 GRC) Rebuttal 2" xfId="3759"/>
    <cellStyle name="_Book1_Power Costs - Comparison bx Rbtl-Staff-Jt-PC_Electric Rev Req Model (2009 GRC) Rebuttal 2 2" xfId="6631"/>
    <cellStyle name="_Book1_Power Costs - Comparison bx Rbtl-Staff-Jt-PC_Electric Rev Req Model (2009 GRC) Rebuttal 2 2 2" xfId="19788"/>
    <cellStyle name="_Book1_Power Costs - Comparison bx Rbtl-Staff-Jt-PC_Electric Rev Req Model (2009 GRC) Rebuttal 2 3" xfId="18173"/>
    <cellStyle name="_Book1_Power Costs - Comparison bx Rbtl-Staff-Jt-PC_Electric Rev Req Model (2009 GRC) Rebuttal 3" xfId="6632"/>
    <cellStyle name="_Book1_Power Costs - Comparison bx Rbtl-Staff-Jt-PC_Electric Rev Req Model (2009 GRC) Rebuttal 3 2" xfId="19789"/>
    <cellStyle name="_Book1_Power Costs - Comparison bx Rbtl-Staff-Jt-PC_Electric Rev Req Model (2009 GRC) Rebuttal 4" xfId="15923"/>
    <cellStyle name="_Book1_Power Costs - Comparison bx Rbtl-Staff-Jt-PC_Electric Rev Req Model (2009 GRC) Rebuttal REmoval of New  WH Solar AdjustMI" xfId="374"/>
    <cellStyle name="_Book1_Power Costs - Comparison bx Rbtl-Staff-Jt-PC_Electric Rev Req Model (2009 GRC) Rebuttal REmoval of New  WH Solar AdjustMI 2" xfId="375"/>
    <cellStyle name="_Book1_Power Costs - Comparison bx Rbtl-Staff-Jt-PC_Electric Rev Req Model (2009 GRC) Rebuttal REmoval of New  WH Solar AdjustMI 2 2" xfId="3761"/>
    <cellStyle name="_Book1_Power Costs - Comparison bx Rbtl-Staff-Jt-PC_Electric Rev Req Model (2009 GRC) Rebuttal REmoval of New  WH Solar AdjustMI 2 2 2" xfId="19790"/>
    <cellStyle name="_Book1_Power Costs - Comparison bx Rbtl-Staff-Jt-PC_Electric Rev Req Model (2009 GRC) Rebuttal REmoval of New  WH Solar AdjustMI 2 3" xfId="15925"/>
    <cellStyle name="_Book1_Power Costs - Comparison bx Rbtl-Staff-Jt-PC_Electric Rev Req Model (2009 GRC) Rebuttal REmoval of New  WH Solar AdjustMI 3" xfId="3760"/>
    <cellStyle name="_Book1_Power Costs - Comparison bx Rbtl-Staff-Jt-PC_Electric Rev Req Model (2009 GRC) Rebuttal REmoval of New  WH Solar AdjustMI 3 2" xfId="19791"/>
    <cellStyle name="_Book1_Power Costs - Comparison bx Rbtl-Staff-Jt-PC_Electric Rev Req Model (2009 GRC) Rebuttal REmoval of New  WH Solar AdjustMI 4" xfId="15924"/>
    <cellStyle name="_Book1_Power Costs - Comparison bx Rbtl-Staff-Jt-PC_Electric Rev Req Model (2009 GRC) Rebuttal REmoval of New  WH Solar AdjustMI_DEM-WP(C) ENERG10C--ctn Mid-C_042010 2010GRC" xfId="12087"/>
    <cellStyle name="_Book1_Power Costs - Comparison bx Rbtl-Staff-Jt-PC_Electric Rev Req Model (2009 GRC) Revised 01-18-2010" xfId="376"/>
    <cellStyle name="_Book1_Power Costs - Comparison bx Rbtl-Staff-Jt-PC_Electric Rev Req Model (2009 GRC) Revised 01-18-2010 2" xfId="377"/>
    <cellStyle name="_Book1_Power Costs - Comparison bx Rbtl-Staff-Jt-PC_Electric Rev Req Model (2009 GRC) Revised 01-18-2010 2 2" xfId="3763"/>
    <cellStyle name="_Book1_Power Costs - Comparison bx Rbtl-Staff-Jt-PC_Electric Rev Req Model (2009 GRC) Revised 01-18-2010 2 2 2" xfId="19792"/>
    <cellStyle name="_Book1_Power Costs - Comparison bx Rbtl-Staff-Jt-PC_Electric Rev Req Model (2009 GRC) Revised 01-18-2010 2 3" xfId="15927"/>
    <cellStyle name="_Book1_Power Costs - Comparison bx Rbtl-Staff-Jt-PC_Electric Rev Req Model (2009 GRC) Revised 01-18-2010 3" xfId="3762"/>
    <cellStyle name="_Book1_Power Costs - Comparison bx Rbtl-Staff-Jt-PC_Electric Rev Req Model (2009 GRC) Revised 01-18-2010 3 2" xfId="19793"/>
    <cellStyle name="_Book1_Power Costs - Comparison bx Rbtl-Staff-Jt-PC_Electric Rev Req Model (2009 GRC) Revised 01-18-2010 4" xfId="15926"/>
    <cellStyle name="_Book1_Power Costs - Comparison bx Rbtl-Staff-Jt-PC_Electric Rev Req Model (2009 GRC) Revised 01-18-2010_DEM-WP(C) ENERG10C--ctn Mid-C_042010 2010GRC" xfId="12088"/>
    <cellStyle name="_Book1_Power Costs - Comparison bx Rbtl-Staff-Jt-PC_Final Order Electric EXHIBIT A-1" xfId="378"/>
    <cellStyle name="_Book1_Power Costs - Comparison bx Rbtl-Staff-Jt-PC_Final Order Electric EXHIBIT A-1 2" xfId="3764"/>
    <cellStyle name="_Book1_Power Costs - Comparison bx Rbtl-Staff-Jt-PC_Final Order Electric EXHIBIT A-1 2 2" xfId="6633"/>
    <cellStyle name="_Book1_Power Costs - Comparison bx Rbtl-Staff-Jt-PC_Final Order Electric EXHIBIT A-1 2 2 2" xfId="19794"/>
    <cellStyle name="_Book1_Power Costs - Comparison bx Rbtl-Staff-Jt-PC_Final Order Electric EXHIBIT A-1 2 3" xfId="18174"/>
    <cellStyle name="_Book1_Power Costs - Comparison bx Rbtl-Staff-Jt-PC_Final Order Electric EXHIBIT A-1 3" xfId="6634"/>
    <cellStyle name="_Book1_Power Costs - Comparison bx Rbtl-Staff-Jt-PC_Final Order Electric EXHIBIT A-1 3 2" xfId="19795"/>
    <cellStyle name="_Book1_Power Costs - Comparison bx Rbtl-Staff-Jt-PC_Final Order Electric EXHIBIT A-1 4" xfId="15928"/>
    <cellStyle name="_Book1_Production Adj 4.37" xfId="6635"/>
    <cellStyle name="_Book1_Production Adj 4.37 2" xfId="6636"/>
    <cellStyle name="_Book1_Production Adj 4.37 2 2" xfId="6637"/>
    <cellStyle name="_Book1_Production Adj 4.37 2 2 2" xfId="19796"/>
    <cellStyle name="_Book1_Production Adj 4.37 2 3" xfId="18176"/>
    <cellStyle name="_Book1_Production Adj 4.37 3" xfId="6638"/>
    <cellStyle name="_Book1_Production Adj 4.37 3 2" xfId="19797"/>
    <cellStyle name="_Book1_Production Adj 4.37 4" xfId="18175"/>
    <cellStyle name="_Book1_Purchased Power Adj 4.03" xfId="6639"/>
    <cellStyle name="_Book1_Purchased Power Adj 4.03 2" xfId="6640"/>
    <cellStyle name="_Book1_Purchased Power Adj 4.03 2 2" xfId="6641"/>
    <cellStyle name="_Book1_Purchased Power Adj 4.03 2 2 2" xfId="19798"/>
    <cellStyle name="_Book1_Purchased Power Adj 4.03 2 3" xfId="18178"/>
    <cellStyle name="_Book1_Purchased Power Adj 4.03 3" xfId="6642"/>
    <cellStyle name="_Book1_Purchased Power Adj 4.03 3 2" xfId="19799"/>
    <cellStyle name="_Book1_Purchased Power Adj 4.03 4" xfId="18177"/>
    <cellStyle name="_Book1_Rebuttal Power Costs" xfId="379"/>
    <cellStyle name="_Book1_Rebuttal Power Costs 2" xfId="380"/>
    <cellStyle name="_Book1_Rebuttal Power Costs 2 2" xfId="3766"/>
    <cellStyle name="_Book1_Rebuttal Power Costs 2 2 2" xfId="19800"/>
    <cellStyle name="_Book1_Rebuttal Power Costs 2 3" xfId="15930"/>
    <cellStyle name="_Book1_Rebuttal Power Costs 3" xfId="3765"/>
    <cellStyle name="_Book1_Rebuttal Power Costs 3 2" xfId="19801"/>
    <cellStyle name="_Book1_Rebuttal Power Costs 4" xfId="15929"/>
    <cellStyle name="_Book1_Rebuttal Power Costs_Adj Bench DR 3 for Initial Briefs (Electric)" xfId="381"/>
    <cellStyle name="_Book1_Rebuttal Power Costs_Adj Bench DR 3 for Initial Briefs (Electric) 2" xfId="382"/>
    <cellStyle name="_Book1_Rebuttal Power Costs_Adj Bench DR 3 for Initial Briefs (Electric) 2 2" xfId="3768"/>
    <cellStyle name="_Book1_Rebuttal Power Costs_Adj Bench DR 3 for Initial Briefs (Electric) 2 2 2" xfId="19802"/>
    <cellStyle name="_Book1_Rebuttal Power Costs_Adj Bench DR 3 for Initial Briefs (Electric) 2 3" xfId="15932"/>
    <cellStyle name="_Book1_Rebuttal Power Costs_Adj Bench DR 3 for Initial Briefs (Electric) 3" xfId="3767"/>
    <cellStyle name="_Book1_Rebuttal Power Costs_Adj Bench DR 3 for Initial Briefs (Electric) 3 2" xfId="19803"/>
    <cellStyle name="_Book1_Rebuttal Power Costs_Adj Bench DR 3 for Initial Briefs (Electric) 4" xfId="15931"/>
    <cellStyle name="_Book1_Rebuttal Power Costs_Adj Bench DR 3 for Initial Briefs (Electric)_DEM-WP(C) ENERG10C--ctn Mid-C_042010 2010GRC" xfId="12089"/>
    <cellStyle name="_Book1_Rebuttal Power Costs_DEM-WP(C) ENERG10C--ctn Mid-C_042010 2010GRC" xfId="12090"/>
    <cellStyle name="_Book1_Rebuttal Power Costs_Electric Rev Req Model (2009 GRC) Rebuttal" xfId="383"/>
    <cellStyle name="_Book1_Rebuttal Power Costs_Electric Rev Req Model (2009 GRC) Rebuttal 2" xfId="3769"/>
    <cellStyle name="_Book1_Rebuttal Power Costs_Electric Rev Req Model (2009 GRC) Rebuttal 2 2" xfId="6643"/>
    <cellStyle name="_Book1_Rebuttal Power Costs_Electric Rev Req Model (2009 GRC) Rebuttal 2 2 2" xfId="19804"/>
    <cellStyle name="_Book1_Rebuttal Power Costs_Electric Rev Req Model (2009 GRC) Rebuttal 2 3" xfId="18179"/>
    <cellStyle name="_Book1_Rebuttal Power Costs_Electric Rev Req Model (2009 GRC) Rebuttal 3" xfId="6644"/>
    <cellStyle name="_Book1_Rebuttal Power Costs_Electric Rev Req Model (2009 GRC) Rebuttal 3 2" xfId="19805"/>
    <cellStyle name="_Book1_Rebuttal Power Costs_Electric Rev Req Model (2009 GRC) Rebuttal 4" xfId="15933"/>
    <cellStyle name="_Book1_Rebuttal Power Costs_Electric Rev Req Model (2009 GRC) Rebuttal REmoval of New  WH Solar AdjustMI" xfId="384"/>
    <cellStyle name="_Book1_Rebuttal Power Costs_Electric Rev Req Model (2009 GRC) Rebuttal REmoval of New  WH Solar AdjustMI 2" xfId="385"/>
    <cellStyle name="_Book1_Rebuttal Power Costs_Electric Rev Req Model (2009 GRC) Rebuttal REmoval of New  WH Solar AdjustMI 2 2" xfId="3771"/>
    <cellStyle name="_Book1_Rebuttal Power Costs_Electric Rev Req Model (2009 GRC) Rebuttal REmoval of New  WH Solar AdjustMI 2 2 2" xfId="19806"/>
    <cellStyle name="_Book1_Rebuttal Power Costs_Electric Rev Req Model (2009 GRC) Rebuttal REmoval of New  WH Solar AdjustMI 2 3" xfId="15935"/>
    <cellStyle name="_Book1_Rebuttal Power Costs_Electric Rev Req Model (2009 GRC) Rebuttal REmoval of New  WH Solar AdjustMI 3" xfId="3770"/>
    <cellStyle name="_Book1_Rebuttal Power Costs_Electric Rev Req Model (2009 GRC) Rebuttal REmoval of New  WH Solar AdjustMI 3 2" xfId="19807"/>
    <cellStyle name="_Book1_Rebuttal Power Costs_Electric Rev Req Model (2009 GRC) Rebuttal REmoval of New  WH Solar AdjustMI 4" xfId="15934"/>
    <cellStyle name="_Book1_Rebuttal Power Costs_Electric Rev Req Model (2009 GRC) Rebuttal REmoval of New  WH Solar AdjustMI_DEM-WP(C) ENERG10C--ctn Mid-C_042010 2010GRC" xfId="12091"/>
    <cellStyle name="_Book1_Rebuttal Power Costs_Electric Rev Req Model (2009 GRC) Revised 01-18-2010" xfId="386"/>
    <cellStyle name="_Book1_Rebuttal Power Costs_Electric Rev Req Model (2009 GRC) Revised 01-18-2010 2" xfId="387"/>
    <cellStyle name="_Book1_Rebuttal Power Costs_Electric Rev Req Model (2009 GRC) Revised 01-18-2010 2 2" xfId="3773"/>
    <cellStyle name="_Book1_Rebuttal Power Costs_Electric Rev Req Model (2009 GRC) Revised 01-18-2010 2 2 2" xfId="19808"/>
    <cellStyle name="_Book1_Rebuttal Power Costs_Electric Rev Req Model (2009 GRC) Revised 01-18-2010 2 3" xfId="15937"/>
    <cellStyle name="_Book1_Rebuttal Power Costs_Electric Rev Req Model (2009 GRC) Revised 01-18-2010 3" xfId="3772"/>
    <cellStyle name="_Book1_Rebuttal Power Costs_Electric Rev Req Model (2009 GRC) Revised 01-18-2010 3 2" xfId="19809"/>
    <cellStyle name="_Book1_Rebuttal Power Costs_Electric Rev Req Model (2009 GRC) Revised 01-18-2010 4" xfId="15936"/>
    <cellStyle name="_Book1_Rebuttal Power Costs_Electric Rev Req Model (2009 GRC) Revised 01-18-2010_DEM-WP(C) ENERG10C--ctn Mid-C_042010 2010GRC" xfId="12092"/>
    <cellStyle name="_Book1_Rebuttal Power Costs_Final Order Electric EXHIBIT A-1" xfId="388"/>
    <cellStyle name="_Book1_Rebuttal Power Costs_Final Order Electric EXHIBIT A-1 2" xfId="3774"/>
    <cellStyle name="_Book1_Rebuttal Power Costs_Final Order Electric EXHIBIT A-1 2 2" xfId="6645"/>
    <cellStyle name="_Book1_Rebuttal Power Costs_Final Order Electric EXHIBIT A-1 2 2 2" xfId="19810"/>
    <cellStyle name="_Book1_Rebuttal Power Costs_Final Order Electric EXHIBIT A-1 2 3" xfId="18180"/>
    <cellStyle name="_Book1_Rebuttal Power Costs_Final Order Electric EXHIBIT A-1 3" xfId="6646"/>
    <cellStyle name="_Book1_Rebuttal Power Costs_Final Order Electric EXHIBIT A-1 3 2" xfId="19811"/>
    <cellStyle name="_Book1_Rebuttal Power Costs_Final Order Electric EXHIBIT A-1 4" xfId="15938"/>
    <cellStyle name="_Book1_ROR 5.02" xfId="6647"/>
    <cellStyle name="_Book1_ROR 5.02 2" xfId="6648"/>
    <cellStyle name="_Book1_ROR 5.02 2 2" xfId="6649"/>
    <cellStyle name="_Book1_ROR 5.02 2 2 2" xfId="19812"/>
    <cellStyle name="_Book1_ROR 5.02 2 3" xfId="18182"/>
    <cellStyle name="_Book1_ROR 5.02 3" xfId="6650"/>
    <cellStyle name="_Book1_ROR 5.02 3 2" xfId="19813"/>
    <cellStyle name="_Book1_ROR 5.02 4" xfId="18181"/>
    <cellStyle name="_Book1_Transmission Workbook for May BOD" xfId="389"/>
    <cellStyle name="_Book1_Transmission Workbook for May BOD 2" xfId="390"/>
    <cellStyle name="_Book1_Transmission Workbook for May BOD 2 2" xfId="3776"/>
    <cellStyle name="_Book1_Transmission Workbook for May BOD 3" xfId="3775"/>
    <cellStyle name="_Book1_Transmission Workbook for May BOD_DEM-WP(C) ENERG10C--ctn Mid-C_042010 2010GRC" xfId="12093"/>
    <cellStyle name="_Book1_Wind Integration 10GRC" xfId="391"/>
    <cellStyle name="_Book1_Wind Integration 10GRC 2" xfId="392"/>
    <cellStyle name="_Book1_Wind Integration 10GRC 2 2" xfId="3778"/>
    <cellStyle name="_Book1_Wind Integration 10GRC 3" xfId="3777"/>
    <cellStyle name="_Book1_Wind Integration 10GRC_DEM-WP(C) ENERG10C--ctn Mid-C_042010 2010GRC" xfId="12094"/>
    <cellStyle name="_Book2" xfId="393"/>
    <cellStyle name="_x0013__Book2" xfId="394"/>
    <cellStyle name="_Book2 10" xfId="6652"/>
    <cellStyle name="_x0013__Book2 10" xfId="3780"/>
    <cellStyle name="_Book2 10 10" xfId="22960"/>
    <cellStyle name="_Book2 10 11" xfId="22961"/>
    <cellStyle name="_Book2 10 12" xfId="22962"/>
    <cellStyle name="_Book2 10 13" xfId="22963"/>
    <cellStyle name="_Book2 10 14" xfId="22964"/>
    <cellStyle name="_Book2 10 15" xfId="22965"/>
    <cellStyle name="_Book2 10 16" xfId="22966"/>
    <cellStyle name="_Book2 10 17" xfId="22967"/>
    <cellStyle name="_Book2 10 18" xfId="22968"/>
    <cellStyle name="_Book2 10 19" xfId="22969"/>
    <cellStyle name="_Book2 10 2" xfId="6653"/>
    <cellStyle name="_x0013__Book2 10 2" xfId="19814"/>
    <cellStyle name="_Book2 10 2 2" xfId="19815"/>
    <cellStyle name="_Book2 10 2 3" xfId="22496"/>
    <cellStyle name="_Book2 10 20" xfId="22970"/>
    <cellStyle name="_Book2 10 21" xfId="22971"/>
    <cellStyle name="_Book2 10 22" xfId="22972"/>
    <cellStyle name="_Book2 10 23" xfId="22973"/>
    <cellStyle name="_Book2 10 24" xfId="22974"/>
    <cellStyle name="_Book2 10 3" xfId="18183"/>
    <cellStyle name="_x0013__Book2 10 3" xfId="22495"/>
    <cellStyle name="_Book2 10 4" xfId="22447"/>
    <cellStyle name="_Book2 10 5" xfId="22975"/>
    <cellStyle name="_Book2 10 6" xfId="22976"/>
    <cellStyle name="_Book2 10 7" xfId="22977"/>
    <cellStyle name="_Book2 10 8" xfId="22978"/>
    <cellStyle name="_Book2 10 9" xfId="22979"/>
    <cellStyle name="_Book2 11" xfId="6654"/>
    <cellStyle name="_x0013__Book2 11" xfId="14565"/>
    <cellStyle name="_Book2 11 10" xfId="22980"/>
    <cellStyle name="_Book2 11 11" xfId="22981"/>
    <cellStyle name="_Book2 11 12" xfId="22982"/>
    <cellStyle name="_Book2 11 13" xfId="22983"/>
    <cellStyle name="_Book2 11 14" xfId="22984"/>
    <cellStyle name="_Book2 11 15" xfId="22985"/>
    <cellStyle name="_Book2 11 16" xfId="22986"/>
    <cellStyle name="_Book2 11 17" xfId="22987"/>
    <cellStyle name="_Book2 11 18" xfId="22988"/>
    <cellStyle name="_Book2 11 19" xfId="22989"/>
    <cellStyle name="_Book2 11 2" xfId="6655"/>
    <cellStyle name="_Book2 11 2 2" xfId="19816"/>
    <cellStyle name="_Book2 11 20" xfId="22990"/>
    <cellStyle name="_Book2 11 21" xfId="22991"/>
    <cellStyle name="_Book2 11 22" xfId="22992"/>
    <cellStyle name="_Book2 11 3" xfId="18184"/>
    <cellStyle name="_Book2 11 4" xfId="22448"/>
    <cellStyle name="_Book2 11 5" xfId="22993"/>
    <cellStyle name="_Book2 11 6" xfId="22994"/>
    <cellStyle name="_Book2 11 7" xfId="22995"/>
    <cellStyle name="_Book2 11 8" xfId="22996"/>
    <cellStyle name="_Book2 11 9" xfId="22997"/>
    <cellStyle name="_Book2 12" xfId="6656"/>
    <cellStyle name="_x0013__Book2 12" xfId="14566"/>
    <cellStyle name="_Book2 12 10" xfId="22998"/>
    <cellStyle name="_Book2 12 11" xfId="22999"/>
    <cellStyle name="_Book2 12 12" xfId="23000"/>
    <cellStyle name="_Book2 12 13" xfId="23001"/>
    <cellStyle name="_Book2 12 14" xfId="23002"/>
    <cellStyle name="_Book2 12 15" xfId="23003"/>
    <cellStyle name="_Book2 12 16" xfId="23004"/>
    <cellStyle name="_Book2 12 17" xfId="23005"/>
    <cellStyle name="_Book2 12 18" xfId="23006"/>
    <cellStyle name="_Book2 12 19" xfId="23007"/>
    <cellStyle name="_Book2 12 2" xfId="6657"/>
    <cellStyle name="_Book2 12 2 2" xfId="19817"/>
    <cellStyle name="_Book2 12 20" xfId="23008"/>
    <cellStyle name="_Book2 12 21" xfId="23009"/>
    <cellStyle name="_Book2 12 22" xfId="23010"/>
    <cellStyle name="_Book2 12 23" xfId="23011"/>
    <cellStyle name="_Book2 12 24" xfId="23012"/>
    <cellStyle name="_Book2 12 3" xfId="18185"/>
    <cellStyle name="_Book2 12 4" xfId="22449"/>
    <cellStyle name="_Book2 12 5" xfId="23013"/>
    <cellStyle name="_Book2 12 6" xfId="23014"/>
    <cellStyle name="_Book2 12 7" xfId="23015"/>
    <cellStyle name="_Book2 12 8" xfId="23016"/>
    <cellStyle name="_Book2 12 9" xfId="23017"/>
    <cellStyle name="_Book2 13" xfId="6658"/>
    <cellStyle name="_x0013__Book2 13" xfId="14567"/>
    <cellStyle name="_Book2 13 10" xfId="23018"/>
    <cellStyle name="_Book2 13 11" xfId="23019"/>
    <cellStyle name="_Book2 13 12" xfId="23020"/>
    <cellStyle name="_Book2 13 13" xfId="23021"/>
    <cellStyle name="_Book2 13 14" xfId="23022"/>
    <cellStyle name="_Book2 13 15" xfId="23023"/>
    <cellStyle name="_Book2 13 16" xfId="23024"/>
    <cellStyle name="_Book2 13 17" xfId="23025"/>
    <cellStyle name="_Book2 13 18" xfId="23026"/>
    <cellStyle name="_Book2 13 19" xfId="23027"/>
    <cellStyle name="_Book2 13 2" xfId="6659"/>
    <cellStyle name="_Book2 13 2 2" xfId="19818"/>
    <cellStyle name="_Book2 13 20" xfId="23028"/>
    <cellStyle name="_Book2 13 21" xfId="23029"/>
    <cellStyle name="_Book2 13 22" xfId="23030"/>
    <cellStyle name="_Book2 13 23" xfId="23031"/>
    <cellStyle name="_Book2 13 24" xfId="23032"/>
    <cellStyle name="_Book2 13 3" xfId="18186"/>
    <cellStyle name="_Book2 13 4" xfId="22450"/>
    <cellStyle name="_Book2 13 5" xfId="23033"/>
    <cellStyle name="_Book2 13 6" xfId="23034"/>
    <cellStyle name="_Book2 13 7" xfId="23035"/>
    <cellStyle name="_Book2 13 8" xfId="23036"/>
    <cellStyle name="_Book2 13 9" xfId="23037"/>
    <cellStyle name="_Book2 14" xfId="6660"/>
    <cellStyle name="_x0013__Book2 14" xfId="14568"/>
    <cellStyle name="_Book2 14 10" xfId="23038"/>
    <cellStyle name="_Book2 14 11" xfId="23039"/>
    <cellStyle name="_Book2 14 12" xfId="23040"/>
    <cellStyle name="_Book2 14 13" xfId="23041"/>
    <cellStyle name="_Book2 14 14" xfId="23042"/>
    <cellStyle name="_Book2 14 15" xfId="23043"/>
    <cellStyle name="_Book2 14 16" xfId="23044"/>
    <cellStyle name="_Book2 14 17" xfId="23045"/>
    <cellStyle name="_Book2 14 18" xfId="23046"/>
    <cellStyle name="_Book2 14 19" xfId="23047"/>
    <cellStyle name="_Book2 14 2" xfId="6661"/>
    <cellStyle name="_Book2 14 2 2" xfId="19819"/>
    <cellStyle name="_Book2 14 20" xfId="23048"/>
    <cellStyle name="_Book2 14 21" xfId="23049"/>
    <cellStyle name="_Book2 14 22" xfId="23050"/>
    <cellStyle name="_Book2 14 23" xfId="23051"/>
    <cellStyle name="_Book2 14 24" xfId="23052"/>
    <cellStyle name="_Book2 14 3" xfId="18187"/>
    <cellStyle name="_Book2 14 4" xfId="22451"/>
    <cellStyle name="_Book2 14 5" xfId="23053"/>
    <cellStyle name="_Book2 14 6" xfId="23054"/>
    <cellStyle name="_Book2 14 7" xfId="23055"/>
    <cellStyle name="_Book2 14 8" xfId="23056"/>
    <cellStyle name="_Book2 14 9" xfId="23057"/>
    <cellStyle name="_Book2 15" xfId="6662"/>
    <cellStyle name="_x0013__Book2 15" xfId="14569"/>
    <cellStyle name="_Book2 15 10" xfId="23058"/>
    <cellStyle name="_Book2 15 11" xfId="23059"/>
    <cellStyle name="_Book2 15 12" xfId="23060"/>
    <cellStyle name="_Book2 15 13" xfId="23061"/>
    <cellStyle name="_Book2 15 14" xfId="23062"/>
    <cellStyle name="_Book2 15 15" xfId="23063"/>
    <cellStyle name="_Book2 15 16" xfId="23064"/>
    <cellStyle name="_Book2 15 17" xfId="23065"/>
    <cellStyle name="_Book2 15 18" xfId="23066"/>
    <cellStyle name="_Book2 15 19" xfId="23067"/>
    <cellStyle name="_Book2 15 2" xfId="6663"/>
    <cellStyle name="_Book2 15 2 2" xfId="19820"/>
    <cellStyle name="_Book2 15 20" xfId="23068"/>
    <cellStyle name="_Book2 15 21" xfId="23069"/>
    <cellStyle name="_Book2 15 22" xfId="23070"/>
    <cellStyle name="_Book2 15 23" xfId="23071"/>
    <cellStyle name="_Book2 15 24" xfId="23072"/>
    <cellStyle name="_Book2 15 3" xfId="18188"/>
    <cellStyle name="_Book2 15 4" xfId="22452"/>
    <cellStyle name="_Book2 15 5" xfId="23073"/>
    <cellStyle name="_Book2 15 6" xfId="23074"/>
    <cellStyle name="_Book2 15 7" xfId="23075"/>
    <cellStyle name="_Book2 15 8" xfId="23076"/>
    <cellStyle name="_Book2 15 9" xfId="23077"/>
    <cellStyle name="_Book2 16" xfId="6664"/>
    <cellStyle name="_x0013__Book2 16" xfId="14570"/>
    <cellStyle name="_Book2 16 10" xfId="23078"/>
    <cellStyle name="_Book2 16 11" xfId="23079"/>
    <cellStyle name="_Book2 16 12" xfId="23080"/>
    <cellStyle name="_Book2 16 13" xfId="23081"/>
    <cellStyle name="_Book2 16 14" xfId="23082"/>
    <cellStyle name="_Book2 16 15" xfId="23083"/>
    <cellStyle name="_Book2 16 16" xfId="23084"/>
    <cellStyle name="_Book2 16 17" xfId="23085"/>
    <cellStyle name="_Book2 16 18" xfId="23086"/>
    <cellStyle name="_Book2 16 19" xfId="23087"/>
    <cellStyle name="_Book2 16 2" xfId="6665"/>
    <cellStyle name="_Book2 16 2 2" xfId="19821"/>
    <cellStyle name="_Book2 16 20" xfId="23088"/>
    <cellStyle name="_Book2 16 21" xfId="23089"/>
    <cellStyle name="_Book2 16 22" xfId="23090"/>
    <cellStyle name="_Book2 16 23" xfId="23091"/>
    <cellStyle name="_Book2 16 3" xfId="18189"/>
    <cellStyle name="_Book2 16 4" xfId="22453"/>
    <cellStyle name="_Book2 16 5" xfId="23092"/>
    <cellStyle name="_Book2 16 6" xfId="23093"/>
    <cellStyle name="_Book2 16 7" xfId="23094"/>
    <cellStyle name="_Book2 16 8" xfId="23095"/>
    <cellStyle name="_Book2 16 9" xfId="23096"/>
    <cellStyle name="_Book2 17" xfId="6666"/>
    <cellStyle name="_x0013__Book2 17" xfId="14571"/>
    <cellStyle name="_Book2 17 10" xfId="23097"/>
    <cellStyle name="_Book2 17 11" xfId="23098"/>
    <cellStyle name="_Book2 17 12" xfId="23099"/>
    <cellStyle name="_Book2 17 13" xfId="23100"/>
    <cellStyle name="_Book2 17 14" xfId="23101"/>
    <cellStyle name="_Book2 17 15" xfId="23102"/>
    <cellStyle name="_Book2 17 16" xfId="23103"/>
    <cellStyle name="_Book2 17 17" xfId="23104"/>
    <cellStyle name="_Book2 17 18" xfId="23105"/>
    <cellStyle name="_Book2 17 19" xfId="23106"/>
    <cellStyle name="_Book2 17 2" xfId="6667"/>
    <cellStyle name="_Book2 17 2 2" xfId="19822"/>
    <cellStyle name="_Book2 17 20" xfId="23107"/>
    <cellStyle name="_Book2 17 21" xfId="23108"/>
    <cellStyle name="_Book2 17 3" xfId="18190"/>
    <cellStyle name="_Book2 17 4" xfId="22454"/>
    <cellStyle name="_Book2 17 5" xfId="23109"/>
    <cellStyle name="_Book2 17 6" xfId="23110"/>
    <cellStyle name="_Book2 17 7" xfId="23111"/>
    <cellStyle name="_Book2 17 8" xfId="23112"/>
    <cellStyle name="_Book2 17 9" xfId="23113"/>
    <cellStyle name="_Book2 18" xfId="6668"/>
    <cellStyle name="_x0013__Book2 18" xfId="14572"/>
    <cellStyle name="_Book2 18 10" xfId="23114"/>
    <cellStyle name="_Book2 18 11" xfId="23115"/>
    <cellStyle name="_Book2 18 12" xfId="23116"/>
    <cellStyle name="_Book2 18 13" xfId="23117"/>
    <cellStyle name="_Book2 18 14" xfId="23118"/>
    <cellStyle name="_Book2 18 15" xfId="23119"/>
    <cellStyle name="_Book2 18 16" xfId="23120"/>
    <cellStyle name="_Book2 18 17" xfId="23121"/>
    <cellStyle name="_Book2 18 18" xfId="23122"/>
    <cellStyle name="_Book2 18 19" xfId="23123"/>
    <cellStyle name="_Book2 18 2" xfId="6669"/>
    <cellStyle name="_Book2 18 2 2" xfId="19823"/>
    <cellStyle name="_Book2 18 20" xfId="23124"/>
    <cellStyle name="_Book2 18 21" xfId="23125"/>
    <cellStyle name="_Book2 18 3" xfId="18191"/>
    <cellStyle name="_Book2 18 4" xfId="22455"/>
    <cellStyle name="_Book2 18 5" xfId="23126"/>
    <cellStyle name="_Book2 18 6" xfId="23127"/>
    <cellStyle name="_Book2 18 7" xfId="23128"/>
    <cellStyle name="_Book2 18 8" xfId="23129"/>
    <cellStyle name="_Book2 18 9" xfId="23130"/>
    <cellStyle name="_Book2 19" xfId="6670"/>
    <cellStyle name="_x0013__Book2 19" xfId="14573"/>
    <cellStyle name="_Book2 19 10" xfId="23131"/>
    <cellStyle name="_Book2 19 11" xfId="23132"/>
    <cellStyle name="_Book2 19 12" xfId="23133"/>
    <cellStyle name="_Book2 19 13" xfId="23134"/>
    <cellStyle name="_Book2 19 14" xfId="23135"/>
    <cellStyle name="_Book2 19 15" xfId="23136"/>
    <cellStyle name="_Book2 19 16" xfId="23137"/>
    <cellStyle name="_Book2 19 17" xfId="23138"/>
    <cellStyle name="_Book2 19 18" xfId="23139"/>
    <cellStyle name="_Book2 19 19" xfId="23140"/>
    <cellStyle name="_Book2 19 2" xfId="19824"/>
    <cellStyle name="_Book2 19 20" xfId="23141"/>
    <cellStyle name="_Book2 19 3" xfId="22497"/>
    <cellStyle name="_Book2 19 4" xfId="23142"/>
    <cellStyle name="_Book2 19 5" xfId="23143"/>
    <cellStyle name="_Book2 19 6" xfId="23144"/>
    <cellStyle name="_Book2 19 7" xfId="23145"/>
    <cellStyle name="_Book2 19 8" xfId="23146"/>
    <cellStyle name="_Book2 19 9" xfId="23147"/>
    <cellStyle name="_Book2 2" xfId="395"/>
    <cellStyle name="_x0013__Book2 2" xfId="396"/>
    <cellStyle name="_Book2 2 10" xfId="3781"/>
    <cellStyle name="_x0013__Book2 2 10" xfId="23148"/>
    <cellStyle name="_Book2 2 10 2" xfId="19825"/>
    <cellStyle name="_Book2 2 11" xfId="6206"/>
    <cellStyle name="_x0013__Book2 2 11" xfId="23149"/>
    <cellStyle name="_Book2 2 12" xfId="6278"/>
    <cellStyle name="_x0013__Book2 2 12" xfId="23150"/>
    <cellStyle name="_Book2 2 13" xfId="5866"/>
    <cellStyle name="_x0013__Book2 2 13" xfId="23151"/>
    <cellStyle name="_Book2 2 14" xfId="6296"/>
    <cellStyle name="_x0013__Book2 2 14" xfId="23152"/>
    <cellStyle name="_Book2 2 15" xfId="14574"/>
    <cellStyle name="_x0013__Book2 2 15" xfId="23153"/>
    <cellStyle name="_Book2 2 16" xfId="14575"/>
    <cellStyle name="_x0013__Book2 2 16" xfId="23154"/>
    <cellStyle name="_Book2 2 17" xfId="14576"/>
    <cellStyle name="_x0013__Book2 2 17" xfId="23155"/>
    <cellStyle name="_Book2 2 18" xfId="14577"/>
    <cellStyle name="_x0013__Book2 2 18" xfId="23156"/>
    <cellStyle name="_Book2 2 19" xfId="14578"/>
    <cellStyle name="_x0013__Book2 2 19" xfId="23157"/>
    <cellStyle name="_Book2 2 2" xfId="397"/>
    <cellStyle name="_x0013__Book2 2 2" xfId="3782"/>
    <cellStyle name="_Book2 2 2 10" xfId="23158"/>
    <cellStyle name="_Book2 2 2 11" xfId="23159"/>
    <cellStyle name="_Book2 2 2 12" xfId="23160"/>
    <cellStyle name="_Book2 2 2 13" xfId="23161"/>
    <cellStyle name="_Book2 2 2 14" xfId="23162"/>
    <cellStyle name="_Book2 2 2 15" xfId="23163"/>
    <cellStyle name="_Book2 2 2 16" xfId="23164"/>
    <cellStyle name="_Book2 2 2 17" xfId="23165"/>
    <cellStyle name="_Book2 2 2 18" xfId="23166"/>
    <cellStyle name="_Book2 2 2 19" xfId="23167"/>
    <cellStyle name="_Book2 2 2 2" xfId="3783"/>
    <cellStyle name="_x0013__Book2 2 2 2" xfId="19826"/>
    <cellStyle name="_Book2 2 2 2 2" xfId="19827"/>
    <cellStyle name="_Book2 2 2 2 3" xfId="22499"/>
    <cellStyle name="_Book2 2 2 20" xfId="23168"/>
    <cellStyle name="_Book2 2 2 21" xfId="23169"/>
    <cellStyle name="_Book2 2 2 22" xfId="23170"/>
    <cellStyle name="_Book2 2 2 23" xfId="23171"/>
    <cellStyle name="_Book2 2 2 24" xfId="6673"/>
    <cellStyle name="_Book2 2 2 3" xfId="6205"/>
    <cellStyle name="_x0013__Book2 2 2 3" xfId="22498"/>
    <cellStyle name="_Book2 2 2 4" xfId="6276"/>
    <cellStyle name="_Book2 2 2 5" xfId="5864"/>
    <cellStyle name="_Book2 2 2 6" xfId="6298"/>
    <cellStyle name="_Book2 2 2 7" xfId="15942"/>
    <cellStyle name="_Book2 2 2 8" xfId="16662"/>
    <cellStyle name="_Book2 2 2 9" xfId="23172"/>
    <cellStyle name="_Book2 2 20" xfId="14579"/>
    <cellStyle name="_x0013__Book2 2 20" xfId="23173"/>
    <cellStyle name="_Book2 2 21" xfId="14580"/>
    <cellStyle name="_x0013__Book2 2 21" xfId="23174"/>
    <cellStyle name="_Book2 2 22" xfId="14581"/>
    <cellStyle name="_x0013__Book2 2 22" xfId="23175"/>
    <cellStyle name="_Book2 2 23" xfId="14582"/>
    <cellStyle name="_x0013__Book2 2 23" xfId="23176"/>
    <cellStyle name="_Book2 2 24" xfId="14583"/>
    <cellStyle name="_x0013__Book2 2 24" xfId="6672"/>
    <cellStyle name="_Book2 2 25" xfId="14584"/>
    <cellStyle name="_Book2 2 26" xfId="14585"/>
    <cellStyle name="_Book2 2 27" xfId="14586"/>
    <cellStyle name="_Book2 2 28" xfId="14587"/>
    <cellStyle name="_Book2 2 29" xfId="14588"/>
    <cellStyle name="_Book2 2 3" xfId="398"/>
    <cellStyle name="_x0013__Book2 2 3" xfId="5856"/>
    <cellStyle name="_Book2 2 3 2" xfId="3784"/>
    <cellStyle name="_Book2 2 3 2 2" xfId="19828"/>
    <cellStyle name="_Book2 2 3 3" xfId="6275"/>
    <cellStyle name="_Book2 2 3 4" xfId="5863"/>
    <cellStyle name="_Book2 2 3 5" xfId="6299"/>
    <cellStyle name="_Book2 2 3 6" xfId="6674"/>
    <cellStyle name="_Book2 2 30" xfId="14589"/>
    <cellStyle name="_Book2 2 31" xfId="14590"/>
    <cellStyle name="_Book2 2 32" xfId="14591"/>
    <cellStyle name="_Book2 2 33" xfId="14592"/>
    <cellStyle name="_Book2 2 34" xfId="14593"/>
    <cellStyle name="_Book2 2 35" xfId="14594"/>
    <cellStyle name="_Book2 2 36" xfId="14595"/>
    <cellStyle name="_Book2 2 37" xfId="14596"/>
    <cellStyle name="_Book2 2 38" xfId="14597"/>
    <cellStyle name="_Book2 2 39" xfId="14598"/>
    <cellStyle name="_Book2 2 4" xfId="399"/>
    <cellStyle name="_x0013__Book2 2 4" xfId="6277"/>
    <cellStyle name="_Book2 2 4 2" xfId="3785"/>
    <cellStyle name="_Book2 2 4 2 2" xfId="19829"/>
    <cellStyle name="_Book2 2 4 3" xfId="5862"/>
    <cellStyle name="_Book2 2 4 4" xfId="6300"/>
    <cellStyle name="_Book2 2 4 5" xfId="6675"/>
    <cellStyle name="_Book2 2 40" xfId="14599"/>
    <cellStyle name="_Book2 2 41" xfId="14600"/>
    <cellStyle name="_Book2 2 42" xfId="14601"/>
    <cellStyle name="_Book2 2 43" xfId="15940"/>
    <cellStyle name="_Book2 2 44" xfId="16671"/>
    <cellStyle name="_Book2 2 45" xfId="23177"/>
    <cellStyle name="_Book2 2 46" xfId="41126"/>
    <cellStyle name="_Book2 2 47" xfId="41127"/>
    <cellStyle name="_Book2 2 48" xfId="41128"/>
    <cellStyle name="_Book2 2 49" xfId="41129"/>
    <cellStyle name="_Book2 2 5" xfId="400"/>
    <cellStyle name="_x0013__Book2 2 5" xfId="5865"/>
    <cellStyle name="_Book2 2 5 2" xfId="3786"/>
    <cellStyle name="_Book2 2 5 2 2" xfId="19830"/>
    <cellStyle name="_Book2 2 5 3" xfId="6301"/>
    <cellStyle name="_Book2 2 5 4" xfId="22434"/>
    <cellStyle name="_Book2 2 5 5" xfId="6676"/>
    <cellStyle name="_Book2 2 50" xfId="41130"/>
    <cellStyle name="_Book2 2 51" xfId="41131"/>
    <cellStyle name="_Book2 2 52" xfId="41132"/>
    <cellStyle name="_Book2 2 53" xfId="6671"/>
    <cellStyle name="_Book2 2 6" xfId="401"/>
    <cellStyle name="_x0013__Book2 2 6" xfId="6297"/>
    <cellStyle name="_Book2 2 6 2" xfId="3787"/>
    <cellStyle name="_Book2 2 6 2 2" xfId="19831"/>
    <cellStyle name="_Book2 2 6 3" xfId="17987"/>
    <cellStyle name="_Book2 2 6 4" xfId="22435"/>
    <cellStyle name="_Book2 2 6 5" xfId="6677"/>
    <cellStyle name="_Book2 2 7" xfId="402"/>
    <cellStyle name="_x0013__Book2 2 7" xfId="15941"/>
    <cellStyle name="_Book2 2 7 2" xfId="3788"/>
    <cellStyle name="_Book2 2 7 2 2" xfId="19832"/>
    <cellStyle name="_Book2 2 7 3" xfId="17988"/>
    <cellStyle name="_Book2 2 7 4" xfId="22436"/>
    <cellStyle name="_Book2 2 8" xfId="403"/>
    <cellStyle name="_x0013__Book2 2 8" xfId="16663"/>
    <cellStyle name="_Book2 2 8 2" xfId="3789"/>
    <cellStyle name="_Book2 2 8 2 2" xfId="19833"/>
    <cellStyle name="_Book2 2 8 3" xfId="17989"/>
    <cellStyle name="_Book2 2 9" xfId="404"/>
    <cellStyle name="_x0013__Book2 2 9" xfId="23178"/>
    <cellStyle name="_Book2 2 9 2" xfId="3790"/>
    <cellStyle name="_Book2 2 9 2 2" xfId="19834"/>
    <cellStyle name="_Book2 2 9 3" xfId="17990"/>
    <cellStyle name="_Book2 20" xfId="6678"/>
    <cellStyle name="_x0013__Book2 20" xfId="14602"/>
    <cellStyle name="_Book2 20 10" xfId="23179"/>
    <cellStyle name="_Book2 20 11" xfId="23180"/>
    <cellStyle name="_Book2 20 12" xfId="23181"/>
    <cellStyle name="_Book2 20 13" xfId="23182"/>
    <cellStyle name="_Book2 20 14" xfId="23183"/>
    <cellStyle name="_Book2 20 15" xfId="23184"/>
    <cellStyle name="_Book2 20 16" xfId="23185"/>
    <cellStyle name="_Book2 20 17" xfId="23186"/>
    <cellStyle name="_Book2 20 18" xfId="23187"/>
    <cellStyle name="_Book2 20 19" xfId="23188"/>
    <cellStyle name="_Book2 20 2" xfId="19835"/>
    <cellStyle name="_Book2 20 20" xfId="23189"/>
    <cellStyle name="_Book2 20 3" xfId="22500"/>
    <cellStyle name="_Book2 20 4" xfId="23190"/>
    <cellStyle name="_Book2 20 5" xfId="23191"/>
    <cellStyle name="_Book2 20 6" xfId="23192"/>
    <cellStyle name="_Book2 20 7" xfId="23193"/>
    <cellStyle name="_Book2 20 8" xfId="23194"/>
    <cellStyle name="_Book2 20 9" xfId="23195"/>
    <cellStyle name="_Book2 21" xfId="6679"/>
    <cellStyle name="_x0013__Book2 21" xfId="14603"/>
    <cellStyle name="_Book2 21 10" xfId="23196"/>
    <cellStyle name="_Book2 21 11" xfId="23197"/>
    <cellStyle name="_Book2 21 12" xfId="23198"/>
    <cellStyle name="_Book2 21 13" xfId="23199"/>
    <cellStyle name="_Book2 21 14" xfId="23200"/>
    <cellStyle name="_Book2 21 15" xfId="23201"/>
    <cellStyle name="_Book2 21 16" xfId="23202"/>
    <cellStyle name="_Book2 21 17" xfId="23203"/>
    <cellStyle name="_Book2 21 18" xfId="23204"/>
    <cellStyle name="_Book2 21 19" xfId="23205"/>
    <cellStyle name="_Book2 21 2" xfId="19836"/>
    <cellStyle name="_Book2 21 3" xfId="22501"/>
    <cellStyle name="_Book2 21 4" xfId="23206"/>
    <cellStyle name="_Book2 21 5" xfId="23207"/>
    <cellStyle name="_Book2 21 6" xfId="23208"/>
    <cellStyle name="_Book2 21 7" xfId="23209"/>
    <cellStyle name="_Book2 21 8" xfId="23210"/>
    <cellStyle name="_Book2 21 9" xfId="23211"/>
    <cellStyle name="_Book2 22" xfId="6680"/>
    <cellStyle name="_x0013__Book2 22" xfId="14604"/>
    <cellStyle name="_Book2 22 10" xfId="23212"/>
    <cellStyle name="_Book2 22 11" xfId="23213"/>
    <cellStyle name="_Book2 22 12" xfId="23214"/>
    <cellStyle name="_Book2 22 13" xfId="23215"/>
    <cellStyle name="_Book2 22 14" xfId="23216"/>
    <cellStyle name="_Book2 22 15" xfId="23217"/>
    <cellStyle name="_Book2 22 16" xfId="23218"/>
    <cellStyle name="_Book2 22 17" xfId="23219"/>
    <cellStyle name="_Book2 22 18" xfId="23220"/>
    <cellStyle name="_Book2 22 2" xfId="19837"/>
    <cellStyle name="_Book2 22 3" xfId="22502"/>
    <cellStyle name="_Book2 22 4" xfId="23221"/>
    <cellStyle name="_Book2 22 5" xfId="23222"/>
    <cellStyle name="_Book2 22 6" xfId="23223"/>
    <cellStyle name="_Book2 22 7" xfId="23224"/>
    <cellStyle name="_Book2 22 8" xfId="23225"/>
    <cellStyle name="_Book2 22 9" xfId="23226"/>
    <cellStyle name="_Book2 23" xfId="6681"/>
    <cellStyle name="_x0013__Book2 23" xfId="14605"/>
    <cellStyle name="_Book2 23 10" xfId="23227"/>
    <cellStyle name="_Book2 23 11" xfId="23228"/>
    <cellStyle name="_Book2 23 12" xfId="23229"/>
    <cellStyle name="_Book2 23 13" xfId="23230"/>
    <cellStyle name="_Book2 23 14" xfId="23231"/>
    <cellStyle name="_Book2 23 15" xfId="23232"/>
    <cellStyle name="_Book2 23 16" xfId="23233"/>
    <cellStyle name="_Book2 23 17" xfId="23234"/>
    <cellStyle name="_Book2 23 2" xfId="19838"/>
    <cellStyle name="_Book2 23 3" xfId="22503"/>
    <cellStyle name="_Book2 23 4" xfId="23235"/>
    <cellStyle name="_Book2 23 5" xfId="23236"/>
    <cellStyle name="_Book2 23 6" xfId="23237"/>
    <cellStyle name="_Book2 23 7" xfId="23238"/>
    <cellStyle name="_Book2 23 8" xfId="23239"/>
    <cellStyle name="_Book2 23 9" xfId="23240"/>
    <cellStyle name="_Book2 24" xfId="6682"/>
    <cellStyle name="_x0013__Book2 24" xfId="14606"/>
    <cellStyle name="_Book2 24 10" xfId="23241"/>
    <cellStyle name="_Book2 24 11" xfId="23242"/>
    <cellStyle name="_Book2 24 12" xfId="23243"/>
    <cellStyle name="_Book2 24 13" xfId="23244"/>
    <cellStyle name="_Book2 24 14" xfId="23245"/>
    <cellStyle name="_Book2 24 15" xfId="23246"/>
    <cellStyle name="_Book2 24 16" xfId="23247"/>
    <cellStyle name="_Book2 24 2" xfId="19839"/>
    <cellStyle name="_Book2 24 3" xfId="22504"/>
    <cellStyle name="_Book2 24 4" xfId="23248"/>
    <cellStyle name="_Book2 24 5" xfId="23249"/>
    <cellStyle name="_Book2 24 6" xfId="23250"/>
    <cellStyle name="_Book2 24 7" xfId="23251"/>
    <cellStyle name="_Book2 24 8" xfId="23252"/>
    <cellStyle name="_Book2 24 9" xfId="23253"/>
    <cellStyle name="_Book2 25" xfId="6683"/>
    <cellStyle name="_x0013__Book2 25" xfId="14607"/>
    <cellStyle name="_Book2 25 2" xfId="19840"/>
    <cellStyle name="_Book2 25 3" xfId="22505"/>
    <cellStyle name="_Book2 26" xfId="6684"/>
    <cellStyle name="_x0013__Book2 26" xfId="14608"/>
    <cellStyle name="_Book2 26 2" xfId="19841"/>
    <cellStyle name="_Book2 26 3" xfId="22506"/>
    <cellStyle name="_Book2 27" xfId="6685"/>
    <cellStyle name="_x0013__Book2 27" xfId="14609"/>
    <cellStyle name="_Book2 27 2" xfId="19842"/>
    <cellStyle name="_Book2 27 3" xfId="22507"/>
    <cellStyle name="_Book2 28" xfId="6686"/>
    <cellStyle name="_x0013__Book2 28" xfId="14610"/>
    <cellStyle name="_Book2 28 2" xfId="19843"/>
    <cellStyle name="_Book2 28 3" xfId="22508"/>
    <cellStyle name="_Book2 29" xfId="6687"/>
    <cellStyle name="_x0013__Book2 29" xfId="14611"/>
    <cellStyle name="_Book2 29 2" xfId="19844"/>
    <cellStyle name="_Book2 29 3" xfId="22509"/>
    <cellStyle name="_Book2 3" xfId="405"/>
    <cellStyle name="_x0013__Book2 3" xfId="406"/>
    <cellStyle name="_Book2 3 10" xfId="6690"/>
    <cellStyle name="_Book2 3 10 2" xfId="6691"/>
    <cellStyle name="_Book2 3 10 2 2" xfId="19845"/>
    <cellStyle name="_Book2 3 10 3" xfId="18192"/>
    <cellStyle name="_Book2 3 11" xfId="6692"/>
    <cellStyle name="_Book2 3 11 2" xfId="6693"/>
    <cellStyle name="_Book2 3 11 2 2" xfId="19846"/>
    <cellStyle name="_Book2 3 11 3" xfId="18193"/>
    <cellStyle name="_Book2 3 12" xfId="6694"/>
    <cellStyle name="_Book2 3 12 2" xfId="6695"/>
    <cellStyle name="_Book2 3 12 2 2" xfId="19847"/>
    <cellStyle name="_Book2 3 12 3" xfId="18194"/>
    <cellStyle name="_Book2 3 13" xfId="6696"/>
    <cellStyle name="_Book2 3 13 2" xfId="6697"/>
    <cellStyle name="_Book2 3 13 2 2" xfId="19848"/>
    <cellStyle name="_Book2 3 13 3" xfId="18195"/>
    <cellStyle name="_Book2 3 14" xfId="6698"/>
    <cellStyle name="_Book2 3 14 2" xfId="6699"/>
    <cellStyle name="_Book2 3 14 2 2" xfId="19849"/>
    <cellStyle name="_Book2 3 14 3" xfId="18196"/>
    <cellStyle name="_Book2 3 15" xfId="6700"/>
    <cellStyle name="_Book2 3 15 2" xfId="6701"/>
    <cellStyle name="_Book2 3 15 2 2" xfId="19850"/>
    <cellStyle name="_Book2 3 15 3" xfId="18197"/>
    <cellStyle name="_Book2 3 16" xfId="6702"/>
    <cellStyle name="_Book2 3 16 2" xfId="6703"/>
    <cellStyle name="_Book2 3 16 2 2" xfId="19851"/>
    <cellStyle name="_Book2 3 16 3" xfId="18198"/>
    <cellStyle name="_Book2 3 17" xfId="6704"/>
    <cellStyle name="_Book2 3 17 2" xfId="6705"/>
    <cellStyle name="_Book2 3 17 2 2" xfId="19852"/>
    <cellStyle name="_Book2 3 17 3" xfId="18199"/>
    <cellStyle name="_Book2 3 18" xfId="6706"/>
    <cellStyle name="_Book2 3 18 2" xfId="6707"/>
    <cellStyle name="_Book2 3 18 2 2" xfId="19853"/>
    <cellStyle name="_Book2 3 18 3" xfId="18200"/>
    <cellStyle name="_Book2 3 19" xfId="6708"/>
    <cellStyle name="_Book2 3 19 2" xfId="6709"/>
    <cellStyle name="_Book2 3 19 2 2" xfId="19854"/>
    <cellStyle name="_Book2 3 19 3" xfId="18201"/>
    <cellStyle name="_Book2 3 2" xfId="3791"/>
    <cellStyle name="_x0013__Book2 3 2" xfId="3792"/>
    <cellStyle name="_Book2 3 2 2" xfId="6710"/>
    <cellStyle name="_x0013__Book2 3 2 2" xfId="19855"/>
    <cellStyle name="_Book2 3 2 2 2" xfId="19856"/>
    <cellStyle name="_Book2 3 2 2 3" xfId="22511"/>
    <cellStyle name="_Book2 3 2 3" xfId="18202"/>
    <cellStyle name="_x0013__Book2 3 2 3" xfId="22510"/>
    <cellStyle name="_Book2 3 2 4" xfId="22456"/>
    <cellStyle name="_Book2 3 20" xfId="6711"/>
    <cellStyle name="_Book2 3 20 2" xfId="6712"/>
    <cellStyle name="_Book2 3 20 2 2" xfId="19857"/>
    <cellStyle name="_Book2 3 20 3" xfId="18203"/>
    <cellStyle name="_Book2 3 21" xfId="6713"/>
    <cellStyle name="_Book2 3 21 2" xfId="6714"/>
    <cellStyle name="_Book2 3 21 2 2" xfId="19858"/>
    <cellStyle name="_Book2 3 21 3" xfId="18204"/>
    <cellStyle name="_Book2 3 22" xfId="6715"/>
    <cellStyle name="_Book2 3 22 2" xfId="18205"/>
    <cellStyle name="_Book2 3 23" xfId="6716"/>
    <cellStyle name="_Book2 3 23 2" xfId="18206"/>
    <cellStyle name="_Book2 3 24" xfId="6717"/>
    <cellStyle name="_Book2 3 24 2" xfId="18207"/>
    <cellStyle name="_Book2 3 25" xfId="6718"/>
    <cellStyle name="_Book2 3 25 2" xfId="18208"/>
    <cellStyle name="_Book2 3 26" xfId="6719"/>
    <cellStyle name="_Book2 3 26 2" xfId="18209"/>
    <cellStyle name="_Book2 3 27" xfId="6720"/>
    <cellStyle name="_Book2 3 27 2" xfId="18210"/>
    <cellStyle name="_Book2 3 28" xfId="6721"/>
    <cellStyle name="_Book2 3 28 2" xfId="18211"/>
    <cellStyle name="_Book2 3 29" xfId="6722"/>
    <cellStyle name="_Book2 3 29 2" xfId="18212"/>
    <cellStyle name="_Book2 3 3" xfId="6204"/>
    <cellStyle name="_x0013__Book2 3 3" xfId="5853"/>
    <cellStyle name="_Book2 3 3 2" xfId="6723"/>
    <cellStyle name="_Book2 3 3 2 2" xfId="19859"/>
    <cellStyle name="_Book2 3 3 3" xfId="18213"/>
    <cellStyle name="_Book2 3 3 4" xfId="22457"/>
    <cellStyle name="_Book2 3 30" xfId="6724"/>
    <cellStyle name="_Book2 3 30 2" xfId="18214"/>
    <cellStyle name="_Book2 3 31" xfId="6725"/>
    <cellStyle name="_Book2 3 31 2" xfId="18215"/>
    <cellStyle name="_Book2 3 32" xfId="6726"/>
    <cellStyle name="_Book2 3 32 2" xfId="19860"/>
    <cellStyle name="_Book2 3 33" xfId="6727"/>
    <cellStyle name="_Book2 3 33 2" xfId="19861"/>
    <cellStyle name="_Book2 3 34" xfId="6728"/>
    <cellStyle name="_Book2 3 34 2" xfId="19862"/>
    <cellStyle name="_Book2 3 35" xfId="6729"/>
    <cellStyle name="_Book2 3 35 2" xfId="19863"/>
    <cellStyle name="_Book2 3 36" xfId="6730"/>
    <cellStyle name="_Book2 3 36 2" xfId="19864"/>
    <cellStyle name="_Book2 3 37" xfId="6731"/>
    <cellStyle name="_Book2 3 37 2" xfId="19865"/>
    <cellStyle name="_Book2 3 38" xfId="6732"/>
    <cellStyle name="_Book2 3 38 2" xfId="19866"/>
    <cellStyle name="_Book2 3 39" xfId="6733"/>
    <cellStyle name="_Book2 3 39 2" xfId="19867"/>
    <cellStyle name="_Book2 3 4" xfId="6274"/>
    <cellStyle name="_x0013__Book2 3 4" xfId="6273"/>
    <cellStyle name="_Book2 3 4 2" xfId="6734"/>
    <cellStyle name="_Book2 3 4 2 2" xfId="19868"/>
    <cellStyle name="_Book2 3 4 3" xfId="18216"/>
    <cellStyle name="_Book2 3 40" xfId="6735"/>
    <cellStyle name="_Book2 3 40 2" xfId="19869"/>
    <cellStyle name="_Book2 3 41" xfId="6736"/>
    <cellStyle name="_Book2 3 41 2" xfId="19870"/>
    <cellStyle name="_Book2 3 42" xfId="6737"/>
    <cellStyle name="_Book2 3 42 2" xfId="19871"/>
    <cellStyle name="_Book2 3 43" xfId="6738"/>
    <cellStyle name="_Book2 3 43 2" xfId="19872"/>
    <cellStyle name="_Book2 3 44" xfId="6739"/>
    <cellStyle name="_Book2 3 44 2" xfId="19873"/>
    <cellStyle name="_Book2 3 45" xfId="6740"/>
    <cellStyle name="_Book2 3 45 2" xfId="19874"/>
    <cellStyle name="_Book2 3 46" xfId="15943"/>
    <cellStyle name="_Book2 3 47" xfId="16661"/>
    <cellStyle name="_Book2 3 48" xfId="6688"/>
    <cellStyle name="_Book2 3 5" xfId="6286"/>
    <cellStyle name="_x0013__Book2 3 5" xfId="5861"/>
    <cellStyle name="_Book2 3 5 2" xfId="6741"/>
    <cellStyle name="_Book2 3 5 2 2" xfId="19875"/>
    <cellStyle name="_Book2 3 5 3" xfId="18217"/>
    <cellStyle name="_Book2 3 6" xfId="6302"/>
    <cellStyle name="_x0013__Book2 3 6" xfId="6303"/>
    <cellStyle name="_Book2 3 6 2" xfId="6742"/>
    <cellStyle name="_Book2 3 6 2 2" xfId="19876"/>
    <cellStyle name="_Book2 3 6 3" xfId="18218"/>
    <cellStyle name="_Book2 3 7" xfId="6743"/>
    <cellStyle name="_x0013__Book2 3 7" xfId="6689"/>
    <cellStyle name="_Book2 3 7 2" xfId="6744"/>
    <cellStyle name="_Book2 3 7 2 2" xfId="19877"/>
    <cellStyle name="_Book2 3 7 3" xfId="18219"/>
    <cellStyle name="_Book2 3 8" xfId="6745"/>
    <cellStyle name="_Book2 3 8 2" xfId="6746"/>
    <cellStyle name="_Book2 3 8 2 2" xfId="19878"/>
    <cellStyle name="_Book2 3 8 3" xfId="18220"/>
    <cellStyle name="_Book2 3 9" xfId="6747"/>
    <cellStyle name="_Book2 3 9 2" xfId="6748"/>
    <cellStyle name="_Book2 3 9 2 2" xfId="19879"/>
    <cellStyle name="_Book2 3 9 3" xfId="18221"/>
    <cellStyle name="_Book2 30" xfId="6749"/>
    <cellStyle name="_x0013__Book2 30" xfId="14612"/>
    <cellStyle name="_Book2 30 2" xfId="19880"/>
    <cellStyle name="_Book2 30 3" xfId="22512"/>
    <cellStyle name="_Book2 31" xfId="6750"/>
    <cellStyle name="_x0013__Book2 31" xfId="14613"/>
    <cellStyle name="_Book2 31 2" xfId="19881"/>
    <cellStyle name="_Book2 31 3" xfId="22513"/>
    <cellStyle name="_Book2 32" xfId="6751"/>
    <cellStyle name="_x0013__Book2 32" xfId="14614"/>
    <cellStyle name="_Book2 32 2" xfId="19882"/>
    <cellStyle name="_Book2 32 3" xfId="22514"/>
    <cellStyle name="_Book2 33" xfId="6752"/>
    <cellStyle name="_x0013__Book2 33" xfId="14615"/>
    <cellStyle name="_Book2 33 2" xfId="19883"/>
    <cellStyle name="_Book2 33 3" xfId="22515"/>
    <cellStyle name="_Book2 34" xfId="6753"/>
    <cellStyle name="_x0013__Book2 34" xfId="14616"/>
    <cellStyle name="_Book2 35" xfId="6754"/>
    <cellStyle name="_x0013__Book2 35" xfId="14617"/>
    <cellStyle name="_Book2 36" xfId="6755"/>
    <cellStyle name="_x0013__Book2 36" xfId="14618"/>
    <cellStyle name="_Book2 37" xfId="6756"/>
    <cellStyle name="_x0013__Book2 37" xfId="14619"/>
    <cellStyle name="_Book2 38" xfId="6757"/>
    <cellStyle name="_x0013__Book2 38" xfId="14620"/>
    <cellStyle name="_Book2 39" xfId="6758"/>
    <cellStyle name="_x0013__Book2 39" xfId="14621"/>
    <cellStyle name="_Book2 4" xfId="407"/>
    <cellStyle name="_x0013__Book2 4" xfId="408"/>
    <cellStyle name="_Book2 4 10" xfId="6272"/>
    <cellStyle name="_Book2 4 10 2" xfId="6761"/>
    <cellStyle name="_Book2 4 10 2 2" xfId="19884"/>
    <cellStyle name="_Book2 4 10 3" xfId="18222"/>
    <cellStyle name="_Book2 4 11" xfId="5860"/>
    <cellStyle name="_Book2 4 11 2" xfId="6762"/>
    <cellStyle name="_Book2 4 11 2 2" xfId="19885"/>
    <cellStyle name="_Book2 4 11 3" xfId="18223"/>
    <cellStyle name="_Book2 4 12" xfId="6304"/>
    <cellStyle name="_Book2 4 12 2" xfId="6763"/>
    <cellStyle name="_Book2 4 12 2 2" xfId="19886"/>
    <cellStyle name="_Book2 4 12 3" xfId="18224"/>
    <cellStyle name="_Book2 4 13" xfId="6764"/>
    <cellStyle name="_Book2 4 13 2" xfId="6765"/>
    <cellStyle name="_Book2 4 13 2 2" xfId="19887"/>
    <cellStyle name="_Book2 4 13 3" xfId="18225"/>
    <cellStyle name="_Book2 4 14" xfId="6766"/>
    <cellStyle name="_Book2 4 14 2" xfId="6767"/>
    <cellStyle name="_Book2 4 14 2 2" xfId="19888"/>
    <cellStyle name="_Book2 4 14 3" xfId="18226"/>
    <cellStyle name="_Book2 4 15" xfId="6768"/>
    <cellStyle name="_Book2 4 15 2" xfId="6769"/>
    <cellStyle name="_Book2 4 15 2 2" xfId="19889"/>
    <cellStyle name="_Book2 4 15 3" xfId="18227"/>
    <cellStyle name="_Book2 4 16" xfId="6770"/>
    <cellStyle name="_Book2 4 16 2" xfId="6771"/>
    <cellStyle name="_Book2 4 16 2 2" xfId="19890"/>
    <cellStyle name="_Book2 4 16 3" xfId="18228"/>
    <cellStyle name="_Book2 4 17" xfId="6772"/>
    <cellStyle name="_Book2 4 17 2" xfId="6773"/>
    <cellStyle name="_Book2 4 17 2 2" xfId="19891"/>
    <cellStyle name="_Book2 4 17 3" xfId="18229"/>
    <cellStyle name="_Book2 4 18" xfId="6774"/>
    <cellStyle name="_Book2 4 18 2" xfId="6775"/>
    <cellStyle name="_Book2 4 18 2 2" xfId="19892"/>
    <cellStyle name="_Book2 4 18 3" xfId="18230"/>
    <cellStyle name="_Book2 4 19" xfId="6776"/>
    <cellStyle name="_Book2 4 19 2" xfId="6777"/>
    <cellStyle name="_Book2 4 19 2 2" xfId="19893"/>
    <cellStyle name="_Book2 4 19 3" xfId="18231"/>
    <cellStyle name="_Book2 4 2" xfId="409"/>
    <cellStyle name="_x0013__Book2 4 2" xfId="3794"/>
    <cellStyle name="_Book2 4 2 2" xfId="3795"/>
    <cellStyle name="_x0013__Book2 4 2 2" xfId="19894"/>
    <cellStyle name="_Book2 4 2 2 2" xfId="19895"/>
    <cellStyle name="_Book2 4 2 2 3" xfId="22517"/>
    <cellStyle name="_Book2 4 2 3" xfId="5851"/>
    <cellStyle name="_x0013__Book2 4 2 3" xfId="22516"/>
    <cellStyle name="_Book2 4 2 4" xfId="6270"/>
    <cellStyle name="_Book2 4 2 5" xfId="5857"/>
    <cellStyle name="_Book2 4 2 6" xfId="6306"/>
    <cellStyle name="_Book2 4 2 7" xfId="6778"/>
    <cellStyle name="_Book2 4 20" xfId="6779"/>
    <cellStyle name="_Book2 4 20 2" xfId="6780"/>
    <cellStyle name="_Book2 4 20 2 2" xfId="19896"/>
    <cellStyle name="_Book2 4 20 3" xfId="18232"/>
    <cellStyle name="_Book2 4 21" xfId="6781"/>
    <cellStyle name="_Book2 4 21 2" xfId="18233"/>
    <cellStyle name="_Book2 4 22" xfId="6782"/>
    <cellStyle name="_Book2 4 22 2" xfId="18234"/>
    <cellStyle name="_Book2 4 23" xfId="6783"/>
    <cellStyle name="_Book2 4 23 2" xfId="18235"/>
    <cellStyle name="_Book2 4 24" xfId="6784"/>
    <cellStyle name="_Book2 4 24 2" xfId="18236"/>
    <cellStyle name="_Book2 4 25" xfId="6785"/>
    <cellStyle name="_Book2 4 25 2" xfId="18237"/>
    <cellStyle name="_Book2 4 26" xfId="6786"/>
    <cellStyle name="_Book2 4 26 2" xfId="18238"/>
    <cellStyle name="_Book2 4 27" xfId="6787"/>
    <cellStyle name="_Book2 4 27 2" xfId="18239"/>
    <cellStyle name="_Book2 4 28" xfId="6788"/>
    <cellStyle name="_Book2 4 28 2" xfId="18240"/>
    <cellStyle name="_Book2 4 29" xfId="6789"/>
    <cellStyle name="_Book2 4 29 2" xfId="18241"/>
    <cellStyle name="_Book2 4 3" xfId="410"/>
    <cellStyle name="_x0013__Book2 4 3" xfId="5852"/>
    <cellStyle name="_Book2 4 3 2" xfId="3796"/>
    <cellStyle name="_Book2 4 3 2 2" xfId="19897"/>
    <cellStyle name="_Book2 4 3 3" xfId="6269"/>
    <cellStyle name="_Book2 4 3 4" xfId="5855"/>
    <cellStyle name="_Book2 4 3 5" xfId="6307"/>
    <cellStyle name="_Book2 4 3 6" xfId="6790"/>
    <cellStyle name="_Book2 4 30" xfId="6791"/>
    <cellStyle name="_Book2 4 30 2" xfId="18242"/>
    <cellStyle name="_Book2 4 31" xfId="6792"/>
    <cellStyle name="_Book2 4 31 2" xfId="19898"/>
    <cellStyle name="_Book2 4 32" xfId="6793"/>
    <cellStyle name="_Book2 4 32 2" xfId="19899"/>
    <cellStyle name="_Book2 4 33" xfId="6794"/>
    <cellStyle name="_Book2 4 33 2" xfId="19900"/>
    <cellStyle name="_Book2 4 34" xfId="6795"/>
    <cellStyle name="_Book2 4 34 2" xfId="19901"/>
    <cellStyle name="_Book2 4 35" xfId="6796"/>
    <cellStyle name="_Book2 4 35 2" xfId="19902"/>
    <cellStyle name="_Book2 4 36" xfId="6797"/>
    <cellStyle name="_Book2 4 36 2" xfId="19903"/>
    <cellStyle name="_Book2 4 37" xfId="6798"/>
    <cellStyle name="_Book2 4 37 2" xfId="19904"/>
    <cellStyle name="_Book2 4 38" xfId="6799"/>
    <cellStyle name="_Book2 4 38 2" xfId="19905"/>
    <cellStyle name="_Book2 4 39" xfId="6800"/>
    <cellStyle name="_Book2 4 39 2" xfId="19906"/>
    <cellStyle name="_Book2 4 4" xfId="411"/>
    <cellStyle name="_x0013__Book2 4 4" xfId="6271"/>
    <cellStyle name="_Book2 4 4 2" xfId="3797"/>
    <cellStyle name="_Book2 4 4 2 2" xfId="19907"/>
    <cellStyle name="_Book2 4 4 3" xfId="5854"/>
    <cellStyle name="_Book2 4 4 4" xfId="6308"/>
    <cellStyle name="_Book2 4 4 5" xfId="6801"/>
    <cellStyle name="_Book2 4 40" xfId="6802"/>
    <cellStyle name="_Book2 4 40 2" xfId="19908"/>
    <cellStyle name="_Book2 4 41" xfId="6803"/>
    <cellStyle name="_Book2 4 41 2" xfId="19909"/>
    <cellStyle name="_Book2 4 42" xfId="6804"/>
    <cellStyle name="_Book2 4 42 2" xfId="19910"/>
    <cellStyle name="_Book2 4 43" xfId="6805"/>
    <cellStyle name="_Book2 4 43 2" xfId="19911"/>
    <cellStyle name="_Book2 4 44" xfId="6806"/>
    <cellStyle name="_Book2 4 44 2" xfId="19912"/>
    <cellStyle name="_Book2 4 45" xfId="6807"/>
    <cellStyle name="_Book2 4 45 2" xfId="19913"/>
    <cellStyle name="_Book2 4 46" xfId="15944"/>
    <cellStyle name="_Book2 4 47" xfId="16660"/>
    <cellStyle name="_Book2 4 48" xfId="6759"/>
    <cellStyle name="_Book2 4 5" xfId="412"/>
    <cellStyle name="_x0013__Book2 4 5" xfId="5859"/>
    <cellStyle name="_Book2 4 5 2" xfId="3798"/>
    <cellStyle name="_Book2 4 5 2 2" xfId="19914"/>
    <cellStyle name="_Book2 4 5 3" xfId="6309"/>
    <cellStyle name="_Book2 4 5 4" xfId="6808"/>
    <cellStyle name="_Book2 4 6" xfId="413"/>
    <cellStyle name="_x0013__Book2 4 6" xfId="6305"/>
    <cellStyle name="_Book2 4 6 2" xfId="3799"/>
    <cellStyle name="_Book2 4 6 2 2" xfId="19915"/>
    <cellStyle name="_Book2 4 6 3" xfId="17991"/>
    <cellStyle name="_Book2 4 6 4" xfId="6809"/>
    <cellStyle name="_Book2 4 7" xfId="414"/>
    <cellStyle name="_x0013__Book2 4 7" xfId="6760"/>
    <cellStyle name="_Book2 4 7 2" xfId="3800"/>
    <cellStyle name="_Book2 4 7 2 2" xfId="19916"/>
    <cellStyle name="_Book2 4 7 3" xfId="17992"/>
    <cellStyle name="_Book2 4 8" xfId="3793"/>
    <cellStyle name="_Book2 4 8 2" xfId="6810"/>
    <cellStyle name="_Book2 4 8 2 2" xfId="19917"/>
    <cellStyle name="_Book2 4 8 3" xfId="18243"/>
    <cellStyle name="_Book2 4 9" xfId="6203"/>
    <cellStyle name="_Book2 4 9 2" xfId="6811"/>
    <cellStyle name="_Book2 4 9 2 2" xfId="19918"/>
    <cellStyle name="_Book2 4 9 3" xfId="18244"/>
    <cellStyle name="_Book2 40" xfId="6812"/>
    <cellStyle name="_x0013__Book2 40" xfId="14622"/>
    <cellStyle name="_Book2 41" xfId="6813"/>
    <cellStyle name="_x0013__Book2 41" xfId="14623"/>
    <cellStyle name="_Book2 42" xfId="6814"/>
    <cellStyle name="_x0013__Book2 42" xfId="15939"/>
    <cellStyle name="_Book2 43" xfId="6651"/>
    <cellStyle name="_x0013__Book2 43" xfId="16672"/>
    <cellStyle name="_x0013__Book2 44" xfId="23254"/>
    <cellStyle name="_x0013__Book2 45" xfId="23255"/>
    <cellStyle name="_x0013__Book2 46" xfId="23256"/>
    <cellStyle name="_x0013__Book2 47" xfId="23257"/>
    <cellStyle name="_x0013__Book2 48" xfId="23258"/>
    <cellStyle name="_x0013__Book2 49" xfId="23259"/>
    <cellStyle name="_Book2 5" xfId="3779"/>
    <cellStyle name="_x0013__Book2 5" xfId="415"/>
    <cellStyle name="_Book2 5 10" xfId="23260"/>
    <cellStyle name="_Book2 5 11" xfId="23261"/>
    <cellStyle name="_Book2 5 12" xfId="23262"/>
    <cellStyle name="_Book2 5 13" xfId="23263"/>
    <cellStyle name="_Book2 5 14" xfId="23264"/>
    <cellStyle name="_Book2 5 15" xfId="23265"/>
    <cellStyle name="_Book2 5 16" xfId="23266"/>
    <cellStyle name="_Book2 5 17" xfId="23267"/>
    <cellStyle name="_Book2 5 18" xfId="23268"/>
    <cellStyle name="_Book2 5 19" xfId="23269"/>
    <cellStyle name="_Book2 5 2" xfId="6815"/>
    <cellStyle name="_x0013__Book2 5 2" xfId="3801"/>
    <cellStyle name="_Book2 5 2 2" xfId="6816"/>
    <cellStyle name="_x0013__Book2 5 2 2" xfId="19919"/>
    <cellStyle name="_Book2 5 2 2 2" xfId="19920"/>
    <cellStyle name="_Book2 5 2 2 3" xfId="22519"/>
    <cellStyle name="_Book2 5 2 3" xfId="18246"/>
    <cellStyle name="_x0013__Book2 5 2 3" xfId="22518"/>
    <cellStyle name="_Book2 5 2 4" xfId="22459"/>
    <cellStyle name="_Book2 5 20" xfId="23270"/>
    <cellStyle name="_Book2 5 21" xfId="23271"/>
    <cellStyle name="_Book2 5 22" xfId="23272"/>
    <cellStyle name="_Book2 5 23" xfId="23273"/>
    <cellStyle name="_Book2 5 24" xfId="23274"/>
    <cellStyle name="_Book2 5 25" xfId="23275"/>
    <cellStyle name="_Book2 5 26" xfId="23276"/>
    <cellStyle name="_Book2 5 27" xfId="23277"/>
    <cellStyle name="_Book2 5 28" xfId="23278"/>
    <cellStyle name="_Book2 5 29" xfId="23279"/>
    <cellStyle name="_Book2 5 3" xfId="6817"/>
    <cellStyle name="_x0013__Book2 5 3" xfId="17993"/>
    <cellStyle name="_Book2 5 3 2" xfId="6818"/>
    <cellStyle name="_Book2 5 3 2 2" xfId="19921"/>
    <cellStyle name="_Book2 5 3 3" xfId="18247"/>
    <cellStyle name="_Book2 5 3 4" xfId="22460"/>
    <cellStyle name="_Book2 5 30" xfId="23280"/>
    <cellStyle name="_Book2 5 31" xfId="23281"/>
    <cellStyle name="_Book2 5 32" xfId="23282"/>
    <cellStyle name="_Book2 5 33" xfId="23283"/>
    <cellStyle name="_Book2 5 34" xfId="23284"/>
    <cellStyle name="_Book2 5 35" xfId="23285"/>
    <cellStyle name="_Book2 5 36" xfId="23286"/>
    <cellStyle name="_Book2 5 4" xfId="6819"/>
    <cellStyle name="_x0013__Book2 5 4" xfId="22437"/>
    <cellStyle name="_Book2 5 4 2" xfId="6820"/>
    <cellStyle name="_Book2 5 4 2 2" xfId="19922"/>
    <cellStyle name="_Book2 5 4 3" xfId="18248"/>
    <cellStyle name="_Book2 5 5" xfId="6821"/>
    <cellStyle name="_Book2 5 5 2" xfId="6822"/>
    <cellStyle name="_Book2 5 5 2 2" xfId="19923"/>
    <cellStyle name="_Book2 5 5 3" xfId="18249"/>
    <cellStyle name="_Book2 5 6" xfId="6823"/>
    <cellStyle name="_Book2 5 6 2" xfId="6824"/>
    <cellStyle name="_Book2 5 6 2 2" xfId="19924"/>
    <cellStyle name="_Book2 5 6 3" xfId="18250"/>
    <cellStyle name="_Book2 5 7" xfId="6825"/>
    <cellStyle name="_Book2 5 7 2" xfId="19925"/>
    <cellStyle name="_Book2 5 8" xfId="18245"/>
    <cellStyle name="_Book2 5 9" xfId="22458"/>
    <cellStyle name="_x0013__Book2 50" xfId="23287"/>
    <cellStyle name="_x0013__Book2 51" xfId="41133"/>
    <cellStyle name="_Book2 6" xfId="5858"/>
    <cellStyle name="_x0013__Book2 6" xfId="416"/>
    <cellStyle name="_Book2 6 10" xfId="23288"/>
    <cellStyle name="_Book2 6 11" xfId="23289"/>
    <cellStyle name="_Book2 6 12" xfId="23290"/>
    <cellStyle name="_Book2 6 13" xfId="23291"/>
    <cellStyle name="_Book2 6 14" xfId="23292"/>
    <cellStyle name="_Book2 6 15" xfId="23293"/>
    <cellStyle name="_Book2 6 16" xfId="23294"/>
    <cellStyle name="_Book2 6 17" xfId="23295"/>
    <cellStyle name="_Book2 6 18" xfId="23296"/>
    <cellStyle name="_Book2 6 19" xfId="23297"/>
    <cellStyle name="_Book2 6 2" xfId="6826"/>
    <cellStyle name="_x0013__Book2 6 2" xfId="3802"/>
    <cellStyle name="_Book2 6 2 2" xfId="19926"/>
    <cellStyle name="_x0013__Book2 6 2 2" xfId="19927"/>
    <cellStyle name="_Book2 6 2 3" xfId="22520"/>
    <cellStyle name="_x0013__Book2 6 2 3" xfId="22521"/>
    <cellStyle name="_Book2 6 20" xfId="23298"/>
    <cellStyle name="_Book2 6 21" xfId="23299"/>
    <cellStyle name="_Book2 6 22" xfId="23300"/>
    <cellStyle name="_Book2 6 23" xfId="23301"/>
    <cellStyle name="_Book2 6 24" xfId="23302"/>
    <cellStyle name="_Book2 6 25" xfId="23303"/>
    <cellStyle name="_Book2 6 26" xfId="23304"/>
    <cellStyle name="_Book2 6 27" xfId="23305"/>
    <cellStyle name="_Book2 6 28" xfId="23306"/>
    <cellStyle name="_Book2 6 29" xfId="23307"/>
    <cellStyle name="_Book2 6 3" xfId="18251"/>
    <cellStyle name="_x0013__Book2 6 3" xfId="17994"/>
    <cellStyle name="_Book2 6 30" xfId="23308"/>
    <cellStyle name="_Book2 6 31" xfId="23309"/>
    <cellStyle name="_Book2 6 32" xfId="23310"/>
    <cellStyle name="_Book2 6 33" xfId="23311"/>
    <cellStyle name="_Book2 6 34" xfId="23312"/>
    <cellStyle name="_Book2 6 35" xfId="23313"/>
    <cellStyle name="_Book2 6 4" xfId="22461"/>
    <cellStyle name="_x0013__Book2 6 4" xfId="22438"/>
    <cellStyle name="_Book2 6 5" xfId="23314"/>
    <cellStyle name="_Book2 6 6" xfId="23315"/>
    <cellStyle name="_Book2 6 7" xfId="23316"/>
    <cellStyle name="_Book2 6 8" xfId="23317"/>
    <cellStyle name="_Book2 6 9" xfId="23318"/>
    <cellStyle name="_Book2 7" xfId="6284"/>
    <cellStyle name="_x0013__Book2 7" xfId="417"/>
    <cellStyle name="_Book2 7 10" xfId="23319"/>
    <cellStyle name="_Book2 7 11" xfId="23320"/>
    <cellStyle name="_Book2 7 12" xfId="23321"/>
    <cellStyle name="_Book2 7 13" xfId="23322"/>
    <cellStyle name="_Book2 7 14" xfId="23323"/>
    <cellStyle name="_Book2 7 15" xfId="23324"/>
    <cellStyle name="_Book2 7 16" xfId="23325"/>
    <cellStyle name="_Book2 7 17" xfId="23326"/>
    <cellStyle name="_Book2 7 18" xfId="23327"/>
    <cellStyle name="_Book2 7 19" xfId="23328"/>
    <cellStyle name="_Book2 7 2" xfId="6827"/>
    <cellStyle name="_x0013__Book2 7 2" xfId="3803"/>
    <cellStyle name="_Book2 7 2 2" xfId="19928"/>
    <cellStyle name="_x0013__Book2 7 2 2" xfId="19929"/>
    <cellStyle name="_Book2 7 2 3" xfId="22522"/>
    <cellStyle name="_x0013__Book2 7 2 3" xfId="22523"/>
    <cellStyle name="_Book2 7 20" xfId="23329"/>
    <cellStyle name="_Book2 7 21" xfId="23330"/>
    <cellStyle name="_Book2 7 22" xfId="23331"/>
    <cellStyle name="_Book2 7 23" xfId="23332"/>
    <cellStyle name="_Book2 7 24" xfId="23333"/>
    <cellStyle name="_Book2 7 25" xfId="23334"/>
    <cellStyle name="_Book2 7 26" xfId="23335"/>
    <cellStyle name="_Book2 7 27" xfId="23336"/>
    <cellStyle name="_Book2 7 28" xfId="23337"/>
    <cellStyle name="_Book2 7 29" xfId="23338"/>
    <cellStyle name="_Book2 7 3" xfId="18252"/>
    <cellStyle name="_x0013__Book2 7 3" xfId="17995"/>
    <cellStyle name="_Book2 7 30" xfId="23339"/>
    <cellStyle name="_Book2 7 31" xfId="23340"/>
    <cellStyle name="_Book2 7 32" xfId="23341"/>
    <cellStyle name="_Book2 7 33" xfId="23342"/>
    <cellStyle name="_Book2 7 34" xfId="23343"/>
    <cellStyle name="_Book2 7 4" xfId="22462"/>
    <cellStyle name="_x0013__Book2 7 4" xfId="22439"/>
    <cellStyle name="_Book2 7 5" xfId="23344"/>
    <cellStyle name="_Book2 7 6" xfId="23345"/>
    <cellStyle name="_Book2 7 7" xfId="23346"/>
    <cellStyle name="_Book2 7 8" xfId="23347"/>
    <cellStyle name="_Book2 7 9" xfId="23348"/>
    <cellStyle name="_Book2 8" xfId="5867"/>
    <cellStyle name="_x0013__Book2 8" xfId="418"/>
    <cellStyle name="_Book2 8 10" xfId="23349"/>
    <cellStyle name="_Book2 8 11" xfId="23350"/>
    <cellStyle name="_Book2 8 12" xfId="23351"/>
    <cellStyle name="_Book2 8 13" xfId="23352"/>
    <cellStyle name="_Book2 8 14" xfId="23353"/>
    <cellStyle name="_Book2 8 15" xfId="23354"/>
    <cellStyle name="_Book2 8 16" xfId="23355"/>
    <cellStyle name="_Book2 8 17" xfId="23356"/>
    <cellStyle name="_Book2 8 18" xfId="23357"/>
    <cellStyle name="_Book2 8 19" xfId="23358"/>
    <cellStyle name="_Book2 8 2" xfId="6828"/>
    <cellStyle name="_x0013__Book2 8 2" xfId="3804"/>
    <cellStyle name="_Book2 8 2 2" xfId="19930"/>
    <cellStyle name="_x0013__Book2 8 2 2" xfId="19931"/>
    <cellStyle name="_Book2 8 2 3" xfId="22524"/>
    <cellStyle name="_x0013__Book2 8 2 3" xfId="22525"/>
    <cellStyle name="_Book2 8 20" xfId="23359"/>
    <cellStyle name="_Book2 8 21" xfId="23360"/>
    <cellStyle name="_Book2 8 22" xfId="23361"/>
    <cellStyle name="_Book2 8 23" xfId="23362"/>
    <cellStyle name="_Book2 8 24" xfId="23363"/>
    <cellStyle name="_Book2 8 25" xfId="23364"/>
    <cellStyle name="_Book2 8 26" xfId="23365"/>
    <cellStyle name="_Book2 8 27" xfId="23366"/>
    <cellStyle name="_Book2 8 28" xfId="23367"/>
    <cellStyle name="_Book2 8 29" xfId="23368"/>
    <cellStyle name="_Book2 8 3" xfId="18253"/>
    <cellStyle name="_x0013__Book2 8 3" xfId="17996"/>
    <cellStyle name="_Book2 8 30" xfId="23369"/>
    <cellStyle name="_Book2 8 31" xfId="23370"/>
    <cellStyle name="_Book2 8 32" xfId="23371"/>
    <cellStyle name="_Book2 8 33" xfId="23372"/>
    <cellStyle name="_Book2 8 4" xfId="22463"/>
    <cellStyle name="_x0013__Book2 8 4" xfId="22440"/>
    <cellStyle name="_Book2 8 5" xfId="23373"/>
    <cellStyle name="_Book2 8 6" xfId="23374"/>
    <cellStyle name="_Book2 8 7" xfId="23375"/>
    <cellStyle name="_Book2 8 8" xfId="23376"/>
    <cellStyle name="_Book2 8 9" xfId="23377"/>
    <cellStyle name="_Book2 9" xfId="6295"/>
    <cellStyle name="_x0013__Book2 9" xfId="419"/>
    <cellStyle name="_Book2 9 10" xfId="23378"/>
    <cellStyle name="_Book2 9 11" xfId="23379"/>
    <cellStyle name="_Book2 9 12" xfId="23380"/>
    <cellStyle name="_Book2 9 13" xfId="23381"/>
    <cellStyle name="_Book2 9 14" xfId="23382"/>
    <cellStyle name="_Book2 9 15" xfId="23383"/>
    <cellStyle name="_Book2 9 16" xfId="23384"/>
    <cellStyle name="_Book2 9 17" xfId="23385"/>
    <cellStyle name="_Book2 9 18" xfId="23386"/>
    <cellStyle name="_Book2 9 19" xfId="23387"/>
    <cellStyle name="_Book2 9 2" xfId="6829"/>
    <cellStyle name="_x0013__Book2 9 2" xfId="3805"/>
    <cellStyle name="_Book2 9 2 2" xfId="19932"/>
    <cellStyle name="_x0013__Book2 9 2 2" xfId="19933"/>
    <cellStyle name="_Book2 9 2 3" xfId="22526"/>
    <cellStyle name="_x0013__Book2 9 2 3" xfId="22527"/>
    <cellStyle name="_Book2 9 20" xfId="23388"/>
    <cellStyle name="_Book2 9 21" xfId="23389"/>
    <cellStyle name="_Book2 9 22" xfId="23390"/>
    <cellStyle name="_Book2 9 23" xfId="23391"/>
    <cellStyle name="_Book2 9 24" xfId="23392"/>
    <cellStyle name="_Book2 9 3" xfId="18254"/>
    <cellStyle name="_x0013__Book2 9 3" xfId="17997"/>
    <cellStyle name="_Book2 9 4" xfId="22464"/>
    <cellStyle name="_x0013__Book2 9 4" xfId="22441"/>
    <cellStyle name="_Book2 9 5" xfId="23393"/>
    <cellStyle name="_Book2 9 6" xfId="23394"/>
    <cellStyle name="_Book2 9 7" xfId="23395"/>
    <cellStyle name="_Book2 9 8" xfId="23396"/>
    <cellStyle name="_Book2 9 9" xfId="23397"/>
    <cellStyle name="_Book2_04 07E Wild Horse Wind Expansion (C) (2)" xfId="420"/>
    <cellStyle name="_Book2_04 07E Wild Horse Wind Expansion (C) (2) 2" xfId="421"/>
    <cellStyle name="_Book2_04 07E Wild Horse Wind Expansion (C) (2) 2 2" xfId="3807"/>
    <cellStyle name="_Book2_04 07E Wild Horse Wind Expansion (C) (2) 2 2 2" xfId="19934"/>
    <cellStyle name="_Book2_04 07E Wild Horse Wind Expansion (C) (2) 2 3" xfId="15946"/>
    <cellStyle name="_Book2_04 07E Wild Horse Wind Expansion (C) (2) 3" xfId="3806"/>
    <cellStyle name="_Book2_04 07E Wild Horse Wind Expansion (C) (2) 3 2" xfId="19935"/>
    <cellStyle name="_Book2_04 07E Wild Horse Wind Expansion (C) (2) 4" xfId="15945"/>
    <cellStyle name="_Book2_04 07E Wild Horse Wind Expansion (C) (2)_Adj Bench DR 3 for Initial Briefs (Electric)" xfId="422"/>
    <cellStyle name="_Book2_04 07E Wild Horse Wind Expansion (C) (2)_Adj Bench DR 3 for Initial Briefs (Electric) 2" xfId="423"/>
    <cellStyle name="_Book2_04 07E Wild Horse Wind Expansion (C) (2)_Adj Bench DR 3 for Initial Briefs (Electric) 2 2" xfId="3809"/>
    <cellStyle name="_Book2_04 07E Wild Horse Wind Expansion (C) (2)_Adj Bench DR 3 for Initial Briefs (Electric) 2 2 2" xfId="19936"/>
    <cellStyle name="_Book2_04 07E Wild Horse Wind Expansion (C) (2)_Adj Bench DR 3 for Initial Briefs (Electric) 2 3" xfId="15948"/>
    <cellStyle name="_Book2_04 07E Wild Horse Wind Expansion (C) (2)_Adj Bench DR 3 for Initial Briefs (Electric) 3" xfId="3808"/>
    <cellStyle name="_Book2_04 07E Wild Horse Wind Expansion (C) (2)_Adj Bench DR 3 for Initial Briefs (Electric) 3 2" xfId="19937"/>
    <cellStyle name="_Book2_04 07E Wild Horse Wind Expansion (C) (2)_Adj Bench DR 3 for Initial Briefs (Electric) 4" xfId="15947"/>
    <cellStyle name="_Book2_04 07E Wild Horse Wind Expansion (C) (2)_Adj Bench DR 3 for Initial Briefs (Electric)_DEM-WP(C) ENERG10C--ctn Mid-C_042010 2010GRC" xfId="12095"/>
    <cellStyle name="_Book2_04 07E Wild Horse Wind Expansion (C) (2)_Book1" xfId="14241"/>
    <cellStyle name="_Book2_04 07E Wild Horse Wind Expansion (C) (2)_DEM-WP(C) ENERG10C--ctn Mid-C_042010 2010GRC" xfId="12096"/>
    <cellStyle name="_Book2_04 07E Wild Horse Wind Expansion (C) (2)_Electric Rev Req Model (2009 GRC) " xfId="424"/>
    <cellStyle name="_Book2_04 07E Wild Horse Wind Expansion (C) (2)_Electric Rev Req Model (2009 GRC)  2" xfId="425"/>
    <cellStyle name="_Book2_04 07E Wild Horse Wind Expansion (C) (2)_Electric Rev Req Model (2009 GRC)  2 2" xfId="3811"/>
    <cellStyle name="_Book2_04 07E Wild Horse Wind Expansion (C) (2)_Electric Rev Req Model (2009 GRC)  2 2 2" xfId="19938"/>
    <cellStyle name="_Book2_04 07E Wild Horse Wind Expansion (C) (2)_Electric Rev Req Model (2009 GRC)  2 3" xfId="15950"/>
    <cellStyle name="_Book2_04 07E Wild Horse Wind Expansion (C) (2)_Electric Rev Req Model (2009 GRC)  3" xfId="3810"/>
    <cellStyle name="_Book2_04 07E Wild Horse Wind Expansion (C) (2)_Electric Rev Req Model (2009 GRC)  3 2" xfId="19939"/>
    <cellStyle name="_Book2_04 07E Wild Horse Wind Expansion (C) (2)_Electric Rev Req Model (2009 GRC)  4" xfId="15949"/>
    <cellStyle name="_Book2_04 07E Wild Horse Wind Expansion (C) (2)_Electric Rev Req Model (2009 GRC) _DEM-WP(C) ENERG10C--ctn Mid-C_042010 2010GRC" xfId="12097"/>
    <cellStyle name="_Book2_04 07E Wild Horse Wind Expansion (C) (2)_Electric Rev Req Model (2009 GRC) Rebuttal" xfId="426"/>
    <cellStyle name="_Book2_04 07E Wild Horse Wind Expansion (C) (2)_Electric Rev Req Model (2009 GRC) Rebuttal 2" xfId="3812"/>
    <cellStyle name="_Book2_04 07E Wild Horse Wind Expansion (C) (2)_Electric Rev Req Model (2009 GRC) Rebuttal 2 2" xfId="6830"/>
    <cellStyle name="_Book2_04 07E Wild Horse Wind Expansion (C) (2)_Electric Rev Req Model (2009 GRC) Rebuttal 2 2 2" xfId="19940"/>
    <cellStyle name="_Book2_04 07E Wild Horse Wind Expansion (C) (2)_Electric Rev Req Model (2009 GRC) Rebuttal 2 3" xfId="18255"/>
    <cellStyle name="_Book2_04 07E Wild Horse Wind Expansion (C) (2)_Electric Rev Req Model (2009 GRC) Rebuttal 3" xfId="6831"/>
    <cellStyle name="_Book2_04 07E Wild Horse Wind Expansion (C) (2)_Electric Rev Req Model (2009 GRC) Rebuttal 3 2" xfId="19941"/>
    <cellStyle name="_Book2_04 07E Wild Horse Wind Expansion (C) (2)_Electric Rev Req Model (2009 GRC) Rebuttal 4" xfId="15951"/>
    <cellStyle name="_Book2_04 07E Wild Horse Wind Expansion (C) (2)_Electric Rev Req Model (2009 GRC) Rebuttal REmoval of New  WH Solar AdjustMI" xfId="427"/>
    <cellStyle name="_Book2_04 07E Wild Horse Wind Expansion (C) (2)_Electric Rev Req Model (2009 GRC) Rebuttal REmoval of New  WH Solar AdjustMI 2" xfId="428"/>
    <cellStyle name="_Book2_04 07E Wild Horse Wind Expansion (C) (2)_Electric Rev Req Model (2009 GRC) Rebuttal REmoval of New  WH Solar AdjustMI 2 2" xfId="3814"/>
    <cellStyle name="_Book2_04 07E Wild Horse Wind Expansion (C) (2)_Electric Rev Req Model (2009 GRC) Rebuttal REmoval of New  WH Solar AdjustMI 2 2 2" xfId="19942"/>
    <cellStyle name="_Book2_04 07E Wild Horse Wind Expansion (C) (2)_Electric Rev Req Model (2009 GRC) Rebuttal REmoval of New  WH Solar AdjustMI 2 3" xfId="15953"/>
    <cellStyle name="_Book2_04 07E Wild Horse Wind Expansion (C) (2)_Electric Rev Req Model (2009 GRC) Rebuttal REmoval of New  WH Solar AdjustMI 3" xfId="3813"/>
    <cellStyle name="_Book2_04 07E Wild Horse Wind Expansion (C) (2)_Electric Rev Req Model (2009 GRC) Rebuttal REmoval of New  WH Solar AdjustMI 3 2" xfId="19943"/>
    <cellStyle name="_Book2_04 07E Wild Horse Wind Expansion (C) (2)_Electric Rev Req Model (2009 GRC) Rebuttal REmoval of New  WH Solar AdjustMI 4" xfId="15952"/>
    <cellStyle name="_Book2_04 07E Wild Horse Wind Expansion (C) (2)_Electric Rev Req Model (2009 GRC) Rebuttal REmoval of New  WH Solar AdjustMI_DEM-WP(C) ENERG10C--ctn Mid-C_042010 2010GRC" xfId="12098"/>
    <cellStyle name="_Book2_04 07E Wild Horse Wind Expansion (C) (2)_Electric Rev Req Model (2009 GRC) Revised 01-18-2010" xfId="429"/>
    <cellStyle name="_Book2_04 07E Wild Horse Wind Expansion (C) (2)_Electric Rev Req Model (2009 GRC) Revised 01-18-2010 2" xfId="430"/>
    <cellStyle name="_Book2_04 07E Wild Horse Wind Expansion (C) (2)_Electric Rev Req Model (2009 GRC) Revised 01-18-2010 2 2" xfId="3816"/>
    <cellStyle name="_Book2_04 07E Wild Horse Wind Expansion (C) (2)_Electric Rev Req Model (2009 GRC) Revised 01-18-2010 2 2 2" xfId="19944"/>
    <cellStyle name="_Book2_04 07E Wild Horse Wind Expansion (C) (2)_Electric Rev Req Model (2009 GRC) Revised 01-18-2010 2 3" xfId="15955"/>
    <cellStyle name="_Book2_04 07E Wild Horse Wind Expansion (C) (2)_Electric Rev Req Model (2009 GRC) Revised 01-18-2010 3" xfId="3815"/>
    <cellStyle name="_Book2_04 07E Wild Horse Wind Expansion (C) (2)_Electric Rev Req Model (2009 GRC) Revised 01-18-2010 3 2" xfId="19945"/>
    <cellStyle name="_Book2_04 07E Wild Horse Wind Expansion (C) (2)_Electric Rev Req Model (2009 GRC) Revised 01-18-2010 4" xfId="15954"/>
    <cellStyle name="_Book2_04 07E Wild Horse Wind Expansion (C) (2)_Electric Rev Req Model (2009 GRC) Revised 01-18-2010_DEM-WP(C) ENERG10C--ctn Mid-C_042010 2010GRC" xfId="12099"/>
    <cellStyle name="_Book2_04 07E Wild Horse Wind Expansion (C) (2)_Electric Rev Req Model (2010 GRC)" xfId="14242"/>
    <cellStyle name="_Book2_04 07E Wild Horse Wind Expansion (C) (2)_Electric Rev Req Model (2010 GRC) SF" xfId="14243"/>
    <cellStyle name="_Book2_04 07E Wild Horse Wind Expansion (C) (2)_Final Order Electric EXHIBIT A-1" xfId="431"/>
    <cellStyle name="_Book2_04 07E Wild Horse Wind Expansion (C) (2)_Final Order Electric EXHIBIT A-1 2" xfId="3817"/>
    <cellStyle name="_Book2_04 07E Wild Horse Wind Expansion (C) (2)_Final Order Electric EXHIBIT A-1 2 2" xfId="6832"/>
    <cellStyle name="_Book2_04 07E Wild Horse Wind Expansion (C) (2)_Final Order Electric EXHIBIT A-1 2 2 2" xfId="19946"/>
    <cellStyle name="_Book2_04 07E Wild Horse Wind Expansion (C) (2)_Final Order Electric EXHIBIT A-1 2 3" xfId="18256"/>
    <cellStyle name="_Book2_04 07E Wild Horse Wind Expansion (C) (2)_Final Order Electric EXHIBIT A-1 3" xfId="6833"/>
    <cellStyle name="_Book2_04 07E Wild Horse Wind Expansion (C) (2)_Final Order Electric EXHIBIT A-1 3 2" xfId="19947"/>
    <cellStyle name="_Book2_04 07E Wild Horse Wind Expansion (C) (2)_Final Order Electric EXHIBIT A-1 4" xfId="15956"/>
    <cellStyle name="_Book2_04 07E Wild Horse Wind Expansion (C) (2)_TENASKA REGULATORY ASSET" xfId="432"/>
    <cellStyle name="_Book2_04 07E Wild Horse Wind Expansion (C) (2)_TENASKA REGULATORY ASSET 2" xfId="3818"/>
    <cellStyle name="_Book2_04 07E Wild Horse Wind Expansion (C) (2)_TENASKA REGULATORY ASSET 2 2" xfId="6834"/>
    <cellStyle name="_Book2_04 07E Wild Horse Wind Expansion (C) (2)_TENASKA REGULATORY ASSET 2 2 2" xfId="19948"/>
    <cellStyle name="_Book2_04 07E Wild Horse Wind Expansion (C) (2)_TENASKA REGULATORY ASSET 2 3" xfId="18257"/>
    <cellStyle name="_Book2_04 07E Wild Horse Wind Expansion (C) (2)_TENASKA REGULATORY ASSET 3" xfId="6835"/>
    <cellStyle name="_Book2_04 07E Wild Horse Wind Expansion (C) (2)_TENASKA REGULATORY ASSET 3 2" xfId="19949"/>
    <cellStyle name="_Book2_04 07E Wild Horse Wind Expansion (C) (2)_TENASKA REGULATORY ASSET 4" xfId="15957"/>
    <cellStyle name="_Book2_16.37E Wild Horse Expansion DeferralRevwrkingfile SF" xfId="433"/>
    <cellStyle name="_Book2_16.37E Wild Horse Expansion DeferralRevwrkingfile SF 2" xfId="434"/>
    <cellStyle name="_Book2_16.37E Wild Horse Expansion DeferralRevwrkingfile SF 2 2" xfId="3820"/>
    <cellStyle name="_Book2_16.37E Wild Horse Expansion DeferralRevwrkingfile SF 2 2 2" xfId="19950"/>
    <cellStyle name="_Book2_16.37E Wild Horse Expansion DeferralRevwrkingfile SF 2 3" xfId="15959"/>
    <cellStyle name="_Book2_16.37E Wild Horse Expansion DeferralRevwrkingfile SF 3" xfId="3819"/>
    <cellStyle name="_Book2_16.37E Wild Horse Expansion DeferralRevwrkingfile SF 3 2" xfId="19951"/>
    <cellStyle name="_Book2_16.37E Wild Horse Expansion DeferralRevwrkingfile SF 4" xfId="15958"/>
    <cellStyle name="_Book2_16.37E Wild Horse Expansion DeferralRevwrkingfile SF_DEM-WP(C) ENERG10C--ctn Mid-C_042010 2010GRC" xfId="12100"/>
    <cellStyle name="_Book2_2009 Compliance Filing PCA Exhibits for GRC" xfId="14038"/>
    <cellStyle name="_Book2_2009 Compliance Filing PCA Exhibits for GRC 2" xfId="14624"/>
    <cellStyle name="_Book2_2009 GRC Compl Filing - Exhibit D" xfId="435"/>
    <cellStyle name="_Book2_2009 GRC Compl Filing - Exhibit D 2" xfId="436"/>
    <cellStyle name="_Book2_2009 GRC Compl Filing - Exhibit D 2 2" xfId="3822"/>
    <cellStyle name="_Book2_2009 GRC Compl Filing - Exhibit D 3" xfId="3821"/>
    <cellStyle name="_Book2_2009 GRC Compl Filing - Exhibit D_DEM-WP(C) ENERG10C--ctn Mid-C_042010 2010GRC" xfId="12101"/>
    <cellStyle name="_Book2_3.01 Income Statement" xfId="14039"/>
    <cellStyle name="_Book2_4 31 Regulatory Assets and Liabilities  7 06- Exhibit D" xfId="437"/>
    <cellStyle name="_Book2_4 31 Regulatory Assets and Liabilities  7 06- Exhibit D 2" xfId="438"/>
    <cellStyle name="_Book2_4 31 Regulatory Assets and Liabilities  7 06- Exhibit D 2 2" xfId="3824"/>
    <cellStyle name="_Book2_4 31 Regulatory Assets and Liabilities  7 06- Exhibit D 2 2 2" xfId="19952"/>
    <cellStyle name="_Book2_4 31 Regulatory Assets and Liabilities  7 06- Exhibit D 2 3" xfId="15961"/>
    <cellStyle name="_Book2_4 31 Regulatory Assets and Liabilities  7 06- Exhibit D 3" xfId="3823"/>
    <cellStyle name="_Book2_4 31 Regulatory Assets and Liabilities  7 06- Exhibit D 3 2" xfId="19953"/>
    <cellStyle name="_Book2_4 31 Regulatory Assets and Liabilities  7 06- Exhibit D 4" xfId="15960"/>
    <cellStyle name="_Book2_4 31 Regulatory Assets and Liabilities  7 06- Exhibit D_DEM-WP(C) ENERG10C--ctn Mid-C_042010 2010GRC" xfId="12102"/>
    <cellStyle name="_Book2_4 31 Regulatory Assets and Liabilities  7 06- Exhibit D_NIM Summary" xfId="439"/>
    <cellStyle name="_Book2_4 31 Regulatory Assets and Liabilities  7 06- Exhibit D_NIM Summary 2" xfId="440"/>
    <cellStyle name="_Book2_4 31 Regulatory Assets and Liabilities  7 06- Exhibit D_NIM Summary 2 2" xfId="3826"/>
    <cellStyle name="_Book2_4 31 Regulatory Assets and Liabilities  7 06- Exhibit D_NIM Summary 3" xfId="3825"/>
    <cellStyle name="_Book2_4 31 Regulatory Assets and Liabilities  7 06- Exhibit D_NIM Summary_DEM-WP(C) ENERG10C--ctn Mid-C_042010 2010GRC" xfId="12103"/>
    <cellStyle name="_Book2_4 31E Reg Asset  Liab and EXH D" xfId="12104"/>
    <cellStyle name="_Book2_4 31E Reg Asset  Liab and EXH D _ Aug 10 Filing (2)" xfId="12105"/>
    <cellStyle name="_Book2_4 31E Reg Asset  Liab and EXH D _ Aug 10 Filing (2) 2" xfId="23398"/>
    <cellStyle name="_Book2_4 31E Reg Asset  Liab and EXH D 10" xfId="23399"/>
    <cellStyle name="_Book2_4 31E Reg Asset  Liab and EXH D 11" xfId="23400"/>
    <cellStyle name="_Book2_4 31E Reg Asset  Liab and EXH D 12" xfId="23401"/>
    <cellStyle name="_Book2_4 31E Reg Asset  Liab and EXH D 13" xfId="23402"/>
    <cellStyle name="_Book2_4 31E Reg Asset  Liab and EXH D 14" xfId="23403"/>
    <cellStyle name="_Book2_4 31E Reg Asset  Liab and EXH D 15" xfId="23404"/>
    <cellStyle name="_Book2_4 31E Reg Asset  Liab and EXH D 16" xfId="23405"/>
    <cellStyle name="_Book2_4 31E Reg Asset  Liab and EXH D 17" xfId="23406"/>
    <cellStyle name="_Book2_4 31E Reg Asset  Liab and EXH D 18" xfId="23407"/>
    <cellStyle name="_Book2_4 31E Reg Asset  Liab and EXH D 19" xfId="23408"/>
    <cellStyle name="_Book2_4 31E Reg Asset  Liab and EXH D 2" xfId="23409"/>
    <cellStyle name="_Book2_4 31E Reg Asset  Liab and EXH D 20" xfId="23410"/>
    <cellStyle name="_Book2_4 31E Reg Asset  Liab and EXH D 21" xfId="23411"/>
    <cellStyle name="_Book2_4 31E Reg Asset  Liab and EXH D 22" xfId="23412"/>
    <cellStyle name="_Book2_4 31E Reg Asset  Liab and EXH D 23" xfId="23413"/>
    <cellStyle name="_Book2_4 31E Reg Asset  Liab and EXH D 24" xfId="23414"/>
    <cellStyle name="_Book2_4 31E Reg Asset  Liab and EXH D 25" xfId="23415"/>
    <cellStyle name="_Book2_4 31E Reg Asset  Liab and EXH D 26" xfId="23416"/>
    <cellStyle name="_Book2_4 31E Reg Asset  Liab and EXH D 27" xfId="23417"/>
    <cellStyle name="_Book2_4 31E Reg Asset  Liab and EXH D 28" xfId="23418"/>
    <cellStyle name="_Book2_4 31E Reg Asset  Liab and EXH D 29" xfId="23419"/>
    <cellStyle name="_Book2_4 31E Reg Asset  Liab and EXH D 3" xfId="23420"/>
    <cellStyle name="_Book2_4 31E Reg Asset  Liab and EXH D 30" xfId="23421"/>
    <cellStyle name="_Book2_4 31E Reg Asset  Liab and EXH D 31" xfId="23422"/>
    <cellStyle name="_Book2_4 31E Reg Asset  Liab and EXH D 32" xfId="23423"/>
    <cellStyle name="_Book2_4 31E Reg Asset  Liab and EXH D 33" xfId="23424"/>
    <cellStyle name="_Book2_4 31E Reg Asset  Liab and EXH D 34" xfId="23425"/>
    <cellStyle name="_Book2_4 31E Reg Asset  Liab and EXH D 35" xfId="23426"/>
    <cellStyle name="_Book2_4 31E Reg Asset  Liab and EXH D 36" xfId="23427"/>
    <cellStyle name="_Book2_4 31E Reg Asset  Liab and EXH D 4" xfId="23428"/>
    <cellStyle name="_Book2_4 31E Reg Asset  Liab and EXH D 5" xfId="23429"/>
    <cellStyle name="_Book2_4 31E Reg Asset  Liab and EXH D 6" xfId="23430"/>
    <cellStyle name="_Book2_4 31E Reg Asset  Liab and EXH D 7" xfId="23431"/>
    <cellStyle name="_Book2_4 31E Reg Asset  Liab and EXH D 8" xfId="23432"/>
    <cellStyle name="_Book2_4 31E Reg Asset  Liab and EXH D 9" xfId="23433"/>
    <cellStyle name="_Book2_4 32 Regulatory Assets and Liabilities  7 06- Exhibit D" xfId="441"/>
    <cellStyle name="_Book2_4 32 Regulatory Assets and Liabilities  7 06- Exhibit D 2" xfId="442"/>
    <cellStyle name="_Book2_4 32 Regulatory Assets and Liabilities  7 06- Exhibit D 2 2" xfId="3828"/>
    <cellStyle name="_Book2_4 32 Regulatory Assets and Liabilities  7 06- Exhibit D 2 2 2" xfId="19954"/>
    <cellStyle name="_Book2_4 32 Regulatory Assets and Liabilities  7 06- Exhibit D 2 3" xfId="15963"/>
    <cellStyle name="_Book2_4 32 Regulatory Assets and Liabilities  7 06- Exhibit D 3" xfId="3827"/>
    <cellStyle name="_Book2_4 32 Regulatory Assets and Liabilities  7 06- Exhibit D 3 2" xfId="19955"/>
    <cellStyle name="_Book2_4 32 Regulatory Assets and Liabilities  7 06- Exhibit D 4" xfId="15962"/>
    <cellStyle name="_Book2_4 32 Regulatory Assets and Liabilities  7 06- Exhibit D_DEM-WP(C) ENERG10C--ctn Mid-C_042010 2010GRC" xfId="12106"/>
    <cellStyle name="_Book2_4 32 Regulatory Assets and Liabilities  7 06- Exhibit D_NIM Summary" xfId="443"/>
    <cellStyle name="_Book2_4 32 Regulatory Assets and Liabilities  7 06- Exhibit D_NIM Summary 2" xfId="444"/>
    <cellStyle name="_Book2_4 32 Regulatory Assets and Liabilities  7 06- Exhibit D_NIM Summary 2 2" xfId="3830"/>
    <cellStyle name="_Book2_4 32 Regulatory Assets and Liabilities  7 06- Exhibit D_NIM Summary 3" xfId="3829"/>
    <cellStyle name="_Book2_4 32 Regulatory Assets and Liabilities  7 06- Exhibit D_NIM Summary_DEM-WP(C) ENERG10C--ctn Mid-C_042010 2010GRC" xfId="12107"/>
    <cellStyle name="_x0013__Book2_Adj Bench DR 3 for Initial Briefs (Electric)" xfId="445"/>
    <cellStyle name="_x0013__Book2_Adj Bench DR 3 for Initial Briefs (Electric) 2" xfId="446"/>
    <cellStyle name="_x0013__Book2_Adj Bench DR 3 for Initial Briefs (Electric) 2 2" xfId="3832"/>
    <cellStyle name="_x0013__Book2_Adj Bench DR 3 for Initial Briefs (Electric) 2 2 2" xfId="19956"/>
    <cellStyle name="_x0013__Book2_Adj Bench DR 3 for Initial Briefs (Electric) 2 3" xfId="15965"/>
    <cellStyle name="_x0013__Book2_Adj Bench DR 3 for Initial Briefs (Electric) 3" xfId="3831"/>
    <cellStyle name="_x0013__Book2_Adj Bench DR 3 for Initial Briefs (Electric) 3 2" xfId="19957"/>
    <cellStyle name="_x0013__Book2_Adj Bench DR 3 for Initial Briefs (Electric) 4" xfId="15964"/>
    <cellStyle name="_x0013__Book2_Adj Bench DR 3 for Initial Briefs (Electric)_DEM-WP(C) ENERG10C--ctn Mid-C_042010 2010GRC" xfId="12108"/>
    <cellStyle name="_Book2_AURORA Total New" xfId="447"/>
    <cellStyle name="_Book2_AURORA Total New 2" xfId="448"/>
    <cellStyle name="_Book2_AURORA Total New 2 2" xfId="3834"/>
    <cellStyle name="_Book2_AURORA Total New 3" xfId="3833"/>
    <cellStyle name="_Book2_Book2" xfId="449"/>
    <cellStyle name="_Book2_Book2 2" xfId="450"/>
    <cellStyle name="_Book2_Book2 2 2" xfId="3836"/>
    <cellStyle name="_Book2_Book2 2 2 2" xfId="19958"/>
    <cellStyle name="_Book2_Book2 2 3" xfId="15967"/>
    <cellStyle name="_Book2_Book2 3" xfId="3835"/>
    <cellStyle name="_Book2_Book2 3 2" xfId="19959"/>
    <cellStyle name="_Book2_Book2 4" xfId="15966"/>
    <cellStyle name="_Book2_Book2_Adj Bench DR 3 for Initial Briefs (Electric)" xfId="451"/>
    <cellStyle name="_Book2_Book2_Adj Bench DR 3 for Initial Briefs (Electric) 2" xfId="452"/>
    <cellStyle name="_Book2_Book2_Adj Bench DR 3 for Initial Briefs (Electric) 2 2" xfId="3838"/>
    <cellStyle name="_Book2_Book2_Adj Bench DR 3 for Initial Briefs (Electric) 2 2 2" xfId="19960"/>
    <cellStyle name="_Book2_Book2_Adj Bench DR 3 for Initial Briefs (Electric) 2 3" xfId="15969"/>
    <cellStyle name="_Book2_Book2_Adj Bench DR 3 for Initial Briefs (Electric) 3" xfId="3837"/>
    <cellStyle name="_Book2_Book2_Adj Bench DR 3 for Initial Briefs (Electric) 3 2" xfId="19961"/>
    <cellStyle name="_Book2_Book2_Adj Bench DR 3 for Initial Briefs (Electric) 4" xfId="15968"/>
    <cellStyle name="_Book2_Book2_Adj Bench DR 3 for Initial Briefs (Electric)_DEM-WP(C) ENERG10C--ctn Mid-C_042010 2010GRC" xfId="12109"/>
    <cellStyle name="_Book2_Book2_DEM-WP(C) ENERG10C--ctn Mid-C_042010 2010GRC" xfId="12110"/>
    <cellStyle name="_Book2_Book2_Electric Rev Req Model (2009 GRC) Rebuttal" xfId="453"/>
    <cellStyle name="_Book2_Book2_Electric Rev Req Model (2009 GRC) Rebuttal 2" xfId="3839"/>
    <cellStyle name="_Book2_Book2_Electric Rev Req Model (2009 GRC) Rebuttal 2 2" xfId="6836"/>
    <cellStyle name="_Book2_Book2_Electric Rev Req Model (2009 GRC) Rebuttal 2 2 2" xfId="19962"/>
    <cellStyle name="_Book2_Book2_Electric Rev Req Model (2009 GRC) Rebuttal 2 3" xfId="18258"/>
    <cellStyle name="_Book2_Book2_Electric Rev Req Model (2009 GRC) Rebuttal 3" xfId="6837"/>
    <cellStyle name="_Book2_Book2_Electric Rev Req Model (2009 GRC) Rebuttal 3 2" xfId="19963"/>
    <cellStyle name="_Book2_Book2_Electric Rev Req Model (2009 GRC) Rebuttal 4" xfId="15970"/>
    <cellStyle name="_Book2_Book2_Electric Rev Req Model (2009 GRC) Rebuttal REmoval of New  WH Solar AdjustMI" xfId="454"/>
    <cellStyle name="_Book2_Book2_Electric Rev Req Model (2009 GRC) Rebuttal REmoval of New  WH Solar AdjustMI 2" xfId="455"/>
    <cellStyle name="_Book2_Book2_Electric Rev Req Model (2009 GRC) Rebuttal REmoval of New  WH Solar AdjustMI 2 2" xfId="3841"/>
    <cellStyle name="_Book2_Book2_Electric Rev Req Model (2009 GRC) Rebuttal REmoval of New  WH Solar AdjustMI 2 2 2" xfId="19964"/>
    <cellStyle name="_Book2_Book2_Electric Rev Req Model (2009 GRC) Rebuttal REmoval of New  WH Solar AdjustMI 2 3" xfId="15972"/>
    <cellStyle name="_Book2_Book2_Electric Rev Req Model (2009 GRC) Rebuttal REmoval of New  WH Solar AdjustMI 3" xfId="3840"/>
    <cellStyle name="_Book2_Book2_Electric Rev Req Model (2009 GRC) Rebuttal REmoval of New  WH Solar AdjustMI 3 2" xfId="19965"/>
    <cellStyle name="_Book2_Book2_Electric Rev Req Model (2009 GRC) Rebuttal REmoval of New  WH Solar AdjustMI 4" xfId="15971"/>
    <cellStyle name="_Book2_Book2_Electric Rev Req Model (2009 GRC) Rebuttal REmoval of New  WH Solar AdjustMI_DEM-WP(C) ENERG10C--ctn Mid-C_042010 2010GRC" xfId="12111"/>
    <cellStyle name="_Book2_Book2_Electric Rev Req Model (2009 GRC) Revised 01-18-2010" xfId="456"/>
    <cellStyle name="_Book2_Book2_Electric Rev Req Model (2009 GRC) Revised 01-18-2010 2" xfId="457"/>
    <cellStyle name="_Book2_Book2_Electric Rev Req Model (2009 GRC) Revised 01-18-2010 2 2" xfId="3843"/>
    <cellStyle name="_Book2_Book2_Electric Rev Req Model (2009 GRC) Revised 01-18-2010 2 2 2" xfId="19966"/>
    <cellStyle name="_Book2_Book2_Electric Rev Req Model (2009 GRC) Revised 01-18-2010 2 3" xfId="15974"/>
    <cellStyle name="_Book2_Book2_Electric Rev Req Model (2009 GRC) Revised 01-18-2010 3" xfId="3842"/>
    <cellStyle name="_Book2_Book2_Electric Rev Req Model (2009 GRC) Revised 01-18-2010 3 2" xfId="19967"/>
    <cellStyle name="_Book2_Book2_Electric Rev Req Model (2009 GRC) Revised 01-18-2010 4" xfId="15973"/>
    <cellStyle name="_Book2_Book2_Electric Rev Req Model (2009 GRC) Revised 01-18-2010_DEM-WP(C) ENERG10C--ctn Mid-C_042010 2010GRC" xfId="12112"/>
    <cellStyle name="_Book2_Book2_Final Order Electric EXHIBIT A-1" xfId="458"/>
    <cellStyle name="_Book2_Book2_Final Order Electric EXHIBIT A-1 2" xfId="3844"/>
    <cellStyle name="_Book2_Book2_Final Order Electric EXHIBIT A-1 2 2" xfId="6838"/>
    <cellStyle name="_Book2_Book2_Final Order Electric EXHIBIT A-1 2 2 2" xfId="19968"/>
    <cellStyle name="_Book2_Book2_Final Order Electric EXHIBIT A-1 2 3" xfId="18259"/>
    <cellStyle name="_Book2_Book2_Final Order Electric EXHIBIT A-1 3" xfId="6839"/>
    <cellStyle name="_Book2_Book2_Final Order Electric EXHIBIT A-1 3 2" xfId="19969"/>
    <cellStyle name="_Book2_Book2_Final Order Electric EXHIBIT A-1 4" xfId="15975"/>
    <cellStyle name="_Book2_Book4" xfId="459"/>
    <cellStyle name="_Book2_Book4 2" xfId="460"/>
    <cellStyle name="_Book2_Book4 2 2" xfId="3846"/>
    <cellStyle name="_Book2_Book4 2 2 2" xfId="19970"/>
    <cellStyle name="_Book2_Book4 2 3" xfId="15977"/>
    <cellStyle name="_Book2_Book4 3" xfId="3845"/>
    <cellStyle name="_Book2_Book4 3 2" xfId="19971"/>
    <cellStyle name="_Book2_Book4 4" xfId="15976"/>
    <cellStyle name="_Book2_Book4_DEM-WP(C) ENERG10C--ctn Mid-C_042010 2010GRC" xfId="12113"/>
    <cellStyle name="_Book2_Book9" xfId="461"/>
    <cellStyle name="_Book2_Book9 2" xfId="462"/>
    <cellStyle name="_Book2_Book9 2 2" xfId="3848"/>
    <cellStyle name="_Book2_Book9 2 2 2" xfId="19972"/>
    <cellStyle name="_Book2_Book9 2 3" xfId="15979"/>
    <cellStyle name="_Book2_Book9 3" xfId="3847"/>
    <cellStyle name="_Book2_Book9 3 2" xfId="19973"/>
    <cellStyle name="_Book2_Book9 4" xfId="15978"/>
    <cellStyle name="_Book2_Book9_DEM-WP(C) ENERG10C--ctn Mid-C_042010 2010GRC" xfId="12114"/>
    <cellStyle name="_Book2_Check the Interest Calculation" xfId="14625"/>
    <cellStyle name="_Book2_Check the Interest Calculation_Scenario 1 REC vs PTC Offset" xfId="14626"/>
    <cellStyle name="_Book2_Check the Interest Calculation_Scenario 3" xfId="14627"/>
    <cellStyle name="_Book2_Chelan PUD Power Costs (8-10)" xfId="12115"/>
    <cellStyle name="_Book2_Chelan PUD Power Costs (8-10) 2" xfId="23434"/>
    <cellStyle name="_Book2_DEM-WP(C) Chelan Power Costs" xfId="12116"/>
    <cellStyle name="_Book2_DEM-WP(C) Chelan Power Costs 2" xfId="23435"/>
    <cellStyle name="_Book2_DEM-WP(C) ENERG10C--ctn Mid-C_042010 2010GRC" xfId="12117"/>
    <cellStyle name="_x0013__Book2_DEM-WP(C) ENERG10C--ctn Mid-C_042010 2010GRC" xfId="12118"/>
    <cellStyle name="_Book2_DEM-WP(C) Gas Transport 2010GRC" xfId="12119"/>
    <cellStyle name="_Book2_DEM-WP(C) Gas Transport 2010GRC 2" xfId="23436"/>
    <cellStyle name="_x0013__Book2_Electric Rev Req Model (2009 GRC) Rebuttal" xfId="463"/>
    <cellStyle name="_x0013__Book2_Electric Rev Req Model (2009 GRC) Rebuttal 2" xfId="3849"/>
    <cellStyle name="_x0013__Book2_Electric Rev Req Model (2009 GRC) Rebuttal 2 2" xfId="6840"/>
    <cellStyle name="_x0013__Book2_Electric Rev Req Model (2009 GRC) Rebuttal 2 2 2" xfId="19974"/>
    <cellStyle name="_x0013__Book2_Electric Rev Req Model (2009 GRC) Rebuttal 2 3" xfId="18260"/>
    <cellStyle name="_x0013__Book2_Electric Rev Req Model (2009 GRC) Rebuttal 3" xfId="6841"/>
    <cellStyle name="_x0013__Book2_Electric Rev Req Model (2009 GRC) Rebuttal 3 2" xfId="19975"/>
    <cellStyle name="_x0013__Book2_Electric Rev Req Model (2009 GRC) Rebuttal 4" xfId="15980"/>
    <cellStyle name="_x0013__Book2_Electric Rev Req Model (2009 GRC) Rebuttal REmoval of New  WH Solar AdjustMI" xfId="464"/>
    <cellStyle name="_x0013__Book2_Electric Rev Req Model (2009 GRC) Rebuttal REmoval of New  WH Solar AdjustMI 2" xfId="465"/>
    <cellStyle name="_x0013__Book2_Electric Rev Req Model (2009 GRC) Rebuttal REmoval of New  WH Solar AdjustMI 2 2" xfId="3851"/>
    <cellStyle name="_x0013__Book2_Electric Rev Req Model (2009 GRC) Rebuttal REmoval of New  WH Solar AdjustMI 2 2 2" xfId="19976"/>
    <cellStyle name="_x0013__Book2_Electric Rev Req Model (2009 GRC) Rebuttal REmoval of New  WH Solar AdjustMI 2 3" xfId="15982"/>
    <cellStyle name="_x0013__Book2_Electric Rev Req Model (2009 GRC) Rebuttal REmoval of New  WH Solar AdjustMI 3" xfId="3850"/>
    <cellStyle name="_x0013__Book2_Electric Rev Req Model (2009 GRC) Rebuttal REmoval of New  WH Solar AdjustMI 3 2" xfId="19977"/>
    <cellStyle name="_x0013__Book2_Electric Rev Req Model (2009 GRC) Rebuttal REmoval of New  WH Solar AdjustMI 4" xfId="15981"/>
    <cellStyle name="_x0013__Book2_Electric Rev Req Model (2009 GRC) Rebuttal REmoval of New  WH Solar AdjustMI_DEM-WP(C) ENERG10C--ctn Mid-C_042010 2010GRC" xfId="12120"/>
    <cellStyle name="_x0013__Book2_Electric Rev Req Model (2009 GRC) Revised 01-18-2010" xfId="466"/>
    <cellStyle name="_x0013__Book2_Electric Rev Req Model (2009 GRC) Revised 01-18-2010 2" xfId="467"/>
    <cellStyle name="_x0013__Book2_Electric Rev Req Model (2009 GRC) Revised 01-18-2010 2 2" xfId="3853"/>
    <cellStyle name="_x0013__Book2_Electric Rev Req Model (2009 GRC) Revised 01-18-2010 2 2 2" xfId="19978"/>
    <cellStyle name="_x0013__Book2_Electric Rev Req Model (2009 GRC) Revised 01-18-2010 2 3" xfId="15984"/>
    <cellStyle name="_x0013__Book2_Electric Rev Req Model (2009 GRC) Revised 01-18-2010 3" xfId="3852"/>
    <cellStyle name="_x0013__Book2_Electric Rev Req Model (2009 GRC) Revised 01-18-2010 3 2" xfId="19979"/>
    <cellStyle name="_x0013__Book2_Electric Rev Req Model (2009 GRC) Revised 01-18-2010 4" xfId="15983"/>
    <cellStyle name="_x0013__Book2_Electric Rev Req Model (2009 GRC) Revised 01-18-2010_DEM-WP(C) ENERG10C--ctn Mid-C_042010 2010GRC" xfId="12121"/>
    <cellStyle name="_Book2_Exh A-1 resulting from UE-112050 effective Jan 1 2012" xfId="14628"/>
    <cellStyle name="_Book2_Exh G - Klamath Peaker PPA fr C Locke 2-12" xfId="14629"/>
    <cellStyle name="_Book2_Exhibit A-1 effective 4-1-11 fr S Free 12-11" xfId="14630"/>
    <cellStyle name="_x0013__Book2_Final Order Electric EXHIBIT A-1" xfId="468"/>
    <cellStyle name="_x0013__Book2_Final Order Electric EXHIBIT A-1 2" xfId="3854"/>
    <cellStyle name="_x0013__Book2_Final Order Electric EXHIBIT A-1 2 2" xfId="6842"/>
    <cellStyle name="_x0013__Book2_Final Order Electric EXHIBIT A-1 2 2 2" xfId="19980"/>
    <cellStyle name="_x0013__Book2_Final Order Electric EXHIBIT A-1 2 3" xfId="18261"/>
    <cellStyle name="_x0013__Book2_Final Order Electric EXHIBIT A-1 3" xfId="6843"/>
    <cellStyle name="_x0013__Book2_Final Order Electric EXHIBIT A-1 3 2" xfId="19981"/>
    <cellStyle name="_x0013__Book2_Final Order Electric EXHIBIT A-1 4" xfId="15985"/>
    <cellStyle name="_Book2_INPUTS" xfId="6844"/>
    <cellStyle name="_Book2_INPUTS 2" xfId="6845"/>
    <cellStyle name="_Book2_INPUTS 2 2" xfId="6846"/>
    <cellStyle name="_Book2_INPUTS 2 2 2" xfId="19982"/>
    <cellStyle name="_Book2_INPUTS 2 3" xfId="18263"/>
    <cellStyle name="_Book2_INPUTS 3" xfId="6847"/>
    <cellStyle name="_Book2_INPUTS 3 2" xfId="19983"/>
    <cellStyle name="_Book2_INPUTS 4" xfId="18262"/>
    <cellStyle name="_Book2_Mint Farm Generation BPA" xfId="23437"/>
    <cellStyle name="_Book2_NIM Summary" xfId="469"/>
    <cellStyle name="_Book2_NIM Summary 09GRC" xfId="470"/>
    <cellStyle name="_Book2_NIM Summary 09GRC 2" xfId="471"/>
    <cellStyle name="_Book2_NIM Summary 09GRC 2 2" xfId="3857"/>
    <cellStyle name="_Book2_NIM Summary 09GRC 3" xfId="3856"/>
    <cellStyle name="_Book2_NIM Summary 09GRC_DEM-WP(C) ENERG10C--ctn Mid-C_042010 2010GRC" xfId="12122"/>
    <cellStyle name="_Book2_NIM Summary 10" xfId="3855"/>
    <cellStyle name="_Book2_NIM Summary 11" xfId="5849"/>
    <cellStyle name="_Book2_NIM Summary 12" xfId="6268"/>
    <cellStyle name="_Book2_NIM Summary 13" xfId="5850"/>
    <cellStyle name="_Book2_NIM Summary 14" xfId="6310"/>
    <cellStyle name="_Book2_NIM Summary 15" xfId="14631"/>
    <cellStyle name="_Book2_NIM Summary 16" xfId="14632"/>
    <cellStyle name="_Book2_NIM Summary 17" xfId="14633"/>
    <cellStyle name="_Book2_NIM Summary 18" xfId="14634"/>
    <cellStyle name="_Book2_NIM Summary 19" xfId="14635"/>
    <cellStyle name="_Book2_NIM Summary 2" xfId="472"/>
    <cellStyle name="_Book2_NIM Summary 2 2" xfId="3858"/>
    <cellStyle name="_Book2_NIM Summary 20" xfId="14636"/>
    <cellStyle name="_Book2_NIM Summary 21" xfId="14637"/>
    <cellStyle name="_Book2_NIM Summary 22" xfId="14638"/>
    <cellStyle name="_Book2_NIM Summary 23" xfId="14639"/>
    <cellStyle name="_Book2_NIM Summary 24" xfId="14640"/>
    <cellStyle name="_Book2_NIM Summary 25" xfId="14641"/>
    <cellStyle name="_Book2_NIM Summary 26" xfId="14642"/>
    <cellStyle name="_Book2_NIM Summary 27" xfId="14643"/>
    <cellStyle name="_Book2_NIM Summary 28" xfId="14644"/>
    <cellStyle name="_Book2_NIM Summary 29" xfId="14645"/>
    <cellStyle name="_Book2_NIM Summary 3" xfId="473"/>
    <cellStyle name="_Book2_NIM Summary 3 2" xfId="3859"/>
    <cellStyle name="_Book2_NIM Summary 30" xfId="14646"/>
    <cellStyle name="_Book2_NIM Summary 31" xfId="14647"/>
    <cellStyle name="_Book2_NIM Summary 32" xfId="14648"/>
    <cellStyle name="_Book2_NIM Summary 33" xfId="14649"/>
    <cellStyle name="_Book2_NIM Summary 34" xfId="14650"/>
    <cellStyle name="_Book2_NIM Summary 35" xfId="14651"/>
    <cellStyle name="_Book2_NIM Summary 36" xfId="14652"/>
    <cellStyle name="_Book2_NIM Summary 37" xfId="14653"/>
    <cellStyle name="_Book2_NIM Summary 38" xfId="14654"/>
    <cellStyle name="_Book2_NIM Summary 39" xfId="14655"/>
    <cellStyle name="_Book2_NIM Summary 4" xfId="474"/>
    <cellStyle name="_Book2_NIM Summary 4 2" xfId="3860"/>
    <cellStyle name="_Book2_NIM Summary 40" xfId="14656"/>
    <cellStyle name="_Book2_NIM Summary 41" xfId="14657"/>
    <cellStyle name="_Book2_NIM Summary 42" xfId="15986"/>
    <cellStyle name="_Book2_NIM Summary 43" xfId="16492"/>
    <cellStyle name="_Book2_NIM Summary 44" xfId="23438"/>
    <cellStyle name="_Book2_NIM Summary 45" xfId="23439"/>
    <cellStyle name="_Book2_NIM Summary 46" xfId="23440"/>
    <cellStyle name="_Book2_NIM Summary 47" xfId="23441"/>
    <cellStyle name="_Book2_NIM Summary 48" xfId="23442"/>
    <cellStyle name="_Book2_NIM Summary 49" xfId="23443"/>
    <cellStyle name="_Book2_NIM Summary 5" xfId="475"/>
    <cellStyle name="_Book2_NIM Summary 5 2" xfId="3861"/>
    <cellStyle name="_Book2_NIM Summary 50" xfId="23444"/>
    <cellStyle name="_Book2_NIM Summary 51" xfId="41134"/>
    <cellStyle name="_Book2_NIM Summary 52" xfId="6848"/>
    <cellStyle name="_Book2_NIM Summary 6" xfId="476"/>
    <cellStyle name="_Book2_NIM Summary 6 2" xfId="3862"/>
    <cellStyle name="_Book2_NIM Summary 7" xfId="477"/>
    <cellStyle name="_Book2_NIM Summary 7 2" xfId="3863"/>
    <cellStyle name="_Book2_NIM Summary 8" xfId="478"/>
    <cellStyle name="_Book2_NIM Summary 8 2" xfId="3864"/>
    <cellStyle name="_Book2_NIM Summary 9" xfId="479"/>
    <cellStyle name="_Book2_NIM Summary 9 2" xfId="3865"/>
    <cellStyle name="_Book2_NIM Summary_DEM-WP(C) ENERG10C--ctn Mid-C_042010 2010GRC" xfId="12123"/>
    <cellStyle name="_Book2_PCA 10 -  Exhibit D Dec 2011" xfId="14658"/>
    <cellStyle name="_Book2_PCA 10 -  Exhibit D from A Kellogg Jan 2011" xfId="14040"/>
    <cellStyle name="_Book2_PCA 10 -  Exhibit D from A Kellogg July 2011" xfId="14041"/>
    <cellStyle name="_Book2_PCA 10 -  Exhibit D from S Free Rcv'd 12-11" xfId="14042"/>
    <cellStyle name="_Book2_PCA 11 -  Exhibit D Jan 2012 fr A Kellogg" xfId="14659"/>
    <cellStyle name="_Book2_PCA 11 -  Exhibit D Jan 2012 WF" xfId="14660"/>
    <cellStyle name="_Book2_PCA 9 -  Exhibit D April 2010" xfId="14043"/>
    <cellStyle name="_Book2_PCA 9 -  Exhibit D April 2010 (3)" xfId="480"/>
    <cellStyle name="_Book2_PCA 9 -  Exhibit D April 2010 (3) 2" xfId="481"/>
    <cellStyle name="_Book2_PCA 9 -  Exhibit D April 2010 (3) 2 2" xfId="3867"/>
    <cellStyle name="_Book2_PCA 9 -  Exhibit D April 2010 (3) 3" xfId="3866"/>
    <cellStyle name="_Book2_PCA 9 -  Exhibit D April 2010 (3)_DEM-WP(C) ENERG10C--ctn Mid-C_042010 2010GRC" xfId="12124"/>
    <cellStyle name="_Book2_PCA 9 -  Exhibit D April 2010 2" xfId="14661"/>
    <cellStyle name="_Book2_PCA 9 -  Exhibit D April 2010 3" xfId="14662"/>
    <cellStyle name="_Book2_PCA 9 -  Exhibit D April 2010 4" xfId="14663"/>
    <cellStyle name="_Book2_PCA 9 -  Exhibit D April 2010 5" xfId="14664"/>
    <cellStyle name="_Book2_PCA 9 -  Exhibit D April 2010 6" xfId="14665"/>
    <cellStyle name="_Book2_PCA 9 -  Exhibit D Nov 2010" xfId="14044"/>
    <cellStyle name="_Book2_PCA 9 -  Exhibit D Nov 2010 2" xfId="14666"/>
    <cellStyle name="_Book2_PCA 9 - Exhibit D at August 2010" xfId="14045"/>
    <cellStyle name="_Book2_PCA 9 - Exhibit D at August 2010 2" xfId="14667"/>
    <cellStyle name="_Book2_PCA 9 - Exhibit D June 2010 GRC" xfId="14046"/>
    <cellStyle name="_Book2_PCA 9 - Exhibit D June 2010 GRC 2" xfId="14668"/>
    <cellStyle name="_Book2_Power Costs - Comparison bx Rbtl-Staff-Jt-PC" xfId="482"/>
    <cellStyle name="_Book2_Power Costs - Comparison bx Rbtl-Staff-Jt-PC 2" xfId="483"/>
    <cellStyle name="_Book2_Power Costs - Comparison bx Rbtl-Staff-Jt-PC 2 2" xfId="3869"/>
    <cellStyle name="_Book2_Power Costs - Comparison bx Rbtl-Staff-Jt-PC 2 2 2" xfId="19984"/>
    <cellStyle name="_Book2_Power Costs - Comparison bx Rbtl-Staff-Jt-PC 2 3" xfId="15988"/>
    <cellStyle name="_Book2_Power Costs - Comparison bx Rbtl-Staff-Jt-PC 3" xfId="3868"/>
    <cellStyle name="_Book2_Power Costs - Comparison bx Rbtl-Staff-Jt-PC 3 2" xfId="19985"/>
    <cellStyle name="_Book2_Power Costs - Comparison bx Rbtl-Staff-Jt-PC 4" xfId="15987"/>
    <cellStyle name="_Book2_Power Costs - Comparison bx Rbtl-Staff-Jt-PC_Adj Bench DR 3 for Initial Briefs (Electric)" xfId="484"/>
    <cellStyle name="_Book2_Power Costs - Comparison bx Rbtl-Staff-Jt-PC_Adj Bench DR 3 for Initial Briefs (Electric) 2" xfId="485"/>
    <cellStyle name="_Book2_Power Costs - Comparison bx Rbtl-Staff-Jt-PC_Adj Bench DR 3 for Initial Briefs (Electric) 2 2" xfId="3871"/>
    <cellStyle name="_Book2_Power Costs - Comparison bx Rbtl-Staff-Jt-PC_Adj Bench DR 3 for Initial Briefs (Electric) 2 2 2" xfId="19986"/>
    <cellStyle name="_Book2_Power Costs - Comparison bx Rbtl-Staff-Jt-PC_Adj Bench DR 3 for Initial Briefs (Electric) 2 3" xfId="15990"/>
    <cellStyle name="_Book2_Power Costs - Comparison bx Rbtl-Staff-Jt-PC_Adj Bench DR 3 for Initial Briefs (Electric) 3" xfId="3870"/>
    <cellStyle name="_Book2_Power Costs - Comparison bx Rbtl-Staff-Jt-PC_Adj Bench DR 3 for Initial Briefs (Electric) 3 2" xfId="19987"/>
    <cellStyle name="_Book2_Power Costs - Comparison bx Rbtl-Staff-Jt-PC_Adj Bench DR 3 for Initial Briefs (Electric) 4" xfId="15989"/>
    <cellStyle name="_Book2_Power Costs - Comparison bx Rbtl-Staff-Jt-PC_Adj Bench DR 3 for Initial Briefs (Electric)_DEM-WP(C) ENERG10C--ctn Mid-C_042010 2010GRC" xfId="12125"/>
    <cellStyle name="_Book2_Power Costs - Comparison bx Rbtl-Staff-Jt-PC_DEM-WP(C) ENERG10C--ctn Mid-C_042010 2010GRC" xfId="12126"/>
    <cellStyle name="_Book2_Power Costs - Comparison bx Rbtl-Staff-Jt-PC_Electric Rev Req Model (2009 GRC) Rebuttal" xfId="486"/>
    <cellStyle name="_Book2_Power Costs - Comparison bx Rbtl-Staff-Jt-PC_Electric Rev Req Model (2009 GRC) Rebuttal 2" xfId="3872"/>
    <cellStyle name="_Book2_Power Costs - Comparison bx Rbtl-Staff-Jt-PC_Electric Rev Req Model (2009 GRC) Rebuttal 2 2" xfId="6849"/>
    <cellStyle name="_Book2_Power Costs - Comparison bx Rbtl-Staff-Jt-PC_Electric Rev Req Model (2009 GRC) Rebuttal 2 2 2" xfId="19988"/>
    <cellStyle name="_Book2_Power Costs - Comparison bx Rbtl-Staff-Jt-PC_Electric Rev Req Model (2009 GRC) Rebuttal 2 3" xfId="18264"/>
    <cellStyle name="_Book2_Power Costs - Comparison bx Rbtl-Staff-Jt-PC_Electric Rev Req Model (2009 GRC) Rebuttal 3" xfId="6850"/>
    <cellStyle name="_Book2_Power Costs - Comparison bx Rbtl-Staff-Jt-PC_Electric Rev Req Model (2009 GRC) Rebuttal 3 2" xfId="19989"/>
    <cellStyle name="_Book2_Power Costs - Comparison bx Rbtl-Staff-Jt-PC_Electric Rev Req Model (2009 GRC) Rebuttal 4" xfId="15991"/>
    <cellStyle name="_Book2_Power Costs - Comparison bx Rbtl-Staff-Jt-PC_Electric Rev Req Model (2009 GRC) Rebuttal REmoval of New  WH Solar AdjustMI" xfId="487"/>
    <cellStyle name="_Book2_Power Costs - Comparison bx Rbtl-Staff-Jt-PC_Electric Rev Req Model (2009 GRC) Rebuttal REmoval of New  WH Solar AdjustMI 2" xfId="488"/>
    <cellStyle name="_Book2_Power Costs - Comparison bx Rbtl-Staff-Jt-PC_Electric Rev Req Model (2009 GRC) Rebuttal REmoval of New  WH Solar AdjustMI 2 2" xfId="3874"/>
    <cellStyle name="_Book2_Power Costs - Comparison bx Rbtl-Staff-Jt-PC_Electric Rev Req Model (2009 GRC) Rebuttal REmoval of New  WH Solar AdjustMI 2 2 2" xfId="19990"/>
    <cellStyle name="_Book2_Power Costs - Comparison bx Rbtl-Staff-Jt-PC_Electric Rev Req Model (2009 GRC) Rebuttal REmoval of New  WH Solar AdjustMI 2 3" xfId="15993"/>
    <cellStyle name="_Book2_Power Costs - Comparison bx Rbtl-Staff-Jt-PC_Electric Rev Req Model (2009 GRC) Rebuttal REmoval of New  WH Solar AdjustMI 3" xfId="3873"/>
    <cellStyle name="_Book2_Power Costs - Comparison bx Rbtl-Staff-Jt-PC_Electric Rev Req Model (2009 GRC) Rebuttal REmoval of New  WH Solar AdjustMI 3 2" xfId="19991"/>
    <cellStyle name="_Book2_Power Costs - Comparison bx Rbtl-Staff-Jt-PC_Electric Rev Req Model (2009 GRC) Rebuttal REmoval of New  WH Solar AdjustMI 4" xfId="15992"/>
    <cellStyle name="_Book2_Power Costs - Comparison bx Rbtl-Staff-Jt-PC_Electric Rev Req Model (2009 GRC) Rebuttal REmoval of New  WH Solar AdjustMI_DEM-WP(C) ENERG10C--ctn Mid-C_042010 2010GRC" xfId="12127"/>
    <cellStyle name="_Book2_Power Costs - Comparison bx Rbtl-Staff-Jt-PC_Electric Rev Req Model (2009 GRC) Revised 01-18-2010" xfId="489"/>
    <cellStyle name="_Book2_Power Costs - Comparison bx Rbtl-Staff-Jt-PC_Electric Rev Req Model (2009 GRC) Revised 01-18-2010 2" xfId="490"/>
    <cellStyle name="_Book2_Power Costs - Comparison bx Rbtl-Staff-Jt-PC_Electric Rev Req Model (2009 GRC) Revised 01-18-2010 2 2" xfId="3876"/>
    <cellStyle name="_Book2_Power Costs - Comparison bx Rbtl-Staff-Jt-PC_Electric Rev Req Model (2009 GRC) Revised 01-18-2010 2 2 2" xfId="19992"/>
    <cellStyle name="_Book2_Power Costs - Comparison bx Rbtl-Staff-Jt-PC_Electric Rev Req Model (2009 GRC) Revised 01-18-2010 2 3" xfId="15995"/>
    <cellStyle name="_Book2_Power Costs - Comparison bx Rbtl-Staff-Jt-PC_Electric Rev Req Model (2009 GRC) Revised 01-18-2010 3" xfId="3875"/>
    <cellStyle name="_Book2_Power Costs - Comparison bx Rbtl-Staff-Jt-PC_Electric Rev Req Model (2009 GRC) Revised 01-18-2010 3 2" xfId="19993"/>
    <cellStyle name="_Book2_Power Costs - Comparison bx Rbtl-Staff-Jt-PC_Electric Rev Req Model (2009 GRC) Revised 01-18-2010 4" xfId="15994"/>
    <cellStyle name="_Book2_Power Costs - Comparison bx Rbtl-Staff-Jt-PC_Electric Rev Req Model (2009 GRC) Revised 01-18-2010_DEM-WP(C) ENERG10C--ctn Mid-C_042010 2010GRC" xfId="12128"/>
    <cellStyle name="_Book2_Power Costs - Comparison bx Rbtl-Staff-Jt-PC_Final Order Electric EXHIBIT A-1" xfId="491"/>
    <cellStyle name="_Book2_Power Costs - Comparison bx Rbtl-Staff-Jt-PC_Final Order Electric EXHIBIT A-1 2" xfId="3877"/>
    <cellStyle name="_Book2_Power Costs - Comparison bx Rbtl-Staff-Jt-PC_Final Order Electric EXHIBIT A-1 2 2" xfId="6851"/>
    <cellStyle name="_Book2_Power Costs - Comparison bx Rbtl-Staff-Jt-PC_Final Order Electric EXHIBIT A-1 2 2 2" xfId="19994"/>
    <cellStyle name="_Book2_Power Costs - Comparison bx Rbtl-Staff-Jt-PC_Final Order Electric EXHIBIT A-1 2 3" xfId="18265"/>
    <cellStyle name="_Book2_Power Costs - Comparison bx Rbtl-Staff-Jt-PC_Final Order Electric EXHIBIT A-1 3" xfId="6852"/>
    <cellStyle name="_Book2_Power Costs - Comparison bx Rbtl-Staff-Jt-PC_Final Order Electric EXHIBIT A-1 3 2" xfId="19995"/>
    <cellStyle name="_Book2_Power Costs - Comparison bx Rbtl-Staff-Jt-PC_Final Order Electric EXHIBIT A-1 4" xfId="15996"/>
    <cellStyle name="_Book2_Production Adj 4.37" xfId="6853"/>
    <cellStyle name="_Book2_Production Adj 4.37 2" xfId="6854"/>
    <cellStyle name="_Book2_Production Adj 4.37 2 2" xfId="6855"/>
    <cellStyle name="_Book2_Production Adj 4.37 2 2 2" xfId="19996"/>
    <cellStyle name="_Book2_Production Adj 4.37 2 3" xfId="18267"/>
    <cellStyle name="_Book2_Production Adj 4.37 3" xfId="6856"/>
    <cellStyle name="_Book2_Production Adj 4.37 3 2" xfId="19997"/>
    <cellStyle name="_Book2_Production Adj 4.37 4" xfId="18266"/>
    <cellStyle name="_Book2_Purchased Power Adj 4.03" xfId="6857"/>
    <cellStyle name="_Book2_Purchased Power Adj 4.03 2" xfId="6858"/>
    <cellStyle name="_Book2_Purchased Power Adj 4.03 2 2" xfId="6859"/>
    <cellStyle name="_Book2_Purchased Power Adj 4.03 2 2 2" xfId="19998"/>
    <cellStyle name="_Book2_Purchased Power Adj 4.03 2 3" xfId="18269"/>
    <cellStyle name="_Book2_Purchased Power Adj 4.03 3" xfId="6860"/>
    <cellStyle name="_Book2_Purchased Power Adj 4.03 3 2" xfId="19999"/>
    <cellStyle name="_Book2_Purchased Power Adj 4.03 4" xfId="18268"/>
    <cellStyle name="_Book2_Rebuttal Power Costs" xfId="492"/>
    <cellStyle name="_Book2_Rebuttal Power Costs 2" xfId="493"/>
    <cellStyle name="_Book2_Rebuttal Power Costs 2 2" xfId="3879"/>
    <cellStyle name="_Book2_Rebuttal Power Costs 2 2 2" xfId="20000"/>
    <cellStyle name="_Book2_Rebuttal Power Costs 2 3" xfId="15998"/>
    <cellStyle name="_Book2_Rebuttal Power Costs 3" xfId="3878"/>
    <cellStyle name="_Book2_Rebuttal Power Costs 3 2" xfId="20001"/>
    <cellStyle name="_Book2_Rebuttal Power Costs 4" xfId="15997"/>
    <cellStyle name="_Book2_Rebuttal Power Costs_Adj Bench DR 3 for Initial Briefs (Electric)" xfId="494"/>
    <cellStyle name="_Book2_Rebuttal Power Costs_Adj Bench DR 3 for Initial Briefs (Electric) 2" xfId="495"/>
    <cellStyle name="_Book2_Rebuttal Power Costs_Adj Bench DR 3 for Initial Briefs (Electric) 2 2" xfId="3881"/>
    <cellStyle name="_Book2_Rebuttal Power Costs_Adj Bench DR 3 for Initial Briefs (Electric) 2 2 2" xfId="20002"/>
    <cellStyle name="_Book2_Rebuttal Power Costs_Adj Bench DR 3 for Initial Briefs (Electric) 2 3" xfId="16000"/>
    <cellStyle name="_Book2_Rebuttal Power Costs_Adj Bench DR 3 for Initial Briefs (Electric) 3" xfId="3880"/>
    <cellStyle name="_Book2_Rebuttal Power Costs_Adj Bench DR 3 for Initial Briefs (Electric) 3 2" xfId="20003"/>
    <cellStyle name="_Book2_Rebuttal Power Costs_Adj Bench DR 3 for Initial Briefs (Electric) 4" xfId="15999"/>
    <cellStyle name="_Book2_Rebuttal Power Costs_Adj Bench DR 3 for Initial Briefs (Electric)_DEM-WP(C) ENERG10C--ctn Mid-C_042010 2010GRC" xfId="12129"/>
    <cellStyle name="_Book2_Rebuttal Power Costs_DEM-WP(C) ENERG10C--ctn Mid-C_042010 2010GRC" xfId="12130"/>
    <cellStyle name="_Book2_Rebuttal Power Costs_Electric Rev Req Model (2009 GRC) Rebuttal" xfId="496"/>
    <cellStyle name="_Book2_Rebuttal Power Costs_Electric Rev Req Model (2009 GRC) Rebuttal 2" xfId="3882"/>
    <cellStyle name="_Book2_Rebuttal Power Costs_Electric Rev Req Model (2009 GRC) Rebuttal 2 2" xfId="6861"/>
    <cellStyle name="_Book2_Rebuttal Power Costs_Electric Rev Req Model (2009 GRC) Rebuttal 2 2 2" xfId="20004"/>
    <cellStyle name="_Book2_Rebuttal Power Costs_Electric Rev Req Model (2009 GRC) Rebuttal 2 3" xfId="18270"/>
    <cellStyle name="_Book2_Rebuttal Power Costs_Electric Rev Req Model (2009 GRC) Rebuttal 3" xfId="6862"/>
    <cellStyle name="_Book2_Rebuttal Power Costs_Electric Rev Req Model (2009 GRC) Rebuttal 3 2" xfId="20005"/>
    <cellStyle name="_Book2_Rebuttal Power Costs_Electric Rev Req Model (2009 GRC) Rebuttal 4" xfId="16001"/>
    <cellStyle name="_Book2_Rebuttal Power Costs_Electric Rev Req Model (2009 GRC) Rebuttal REmoval of New  WH Solar AdjustMI" xfId="497"/>
    <cellStyle name="_Book2_Rebuttal Power Costs_Electric Rev Req Model (2009 GRC) Rebuttal REmoval of New  WH Solar AdjustMI 2" xfId="498"/>
    <cellStyle name="_Book2_Rebuttal Power Costs_Electric Rev Req Model (2009 GRC) Rebuttal REmoval of New  WH Solar AdjustMI 2 2" xfId="3884"/>
    <cellStyle name="_Book2_Rebuttal Power Costs_Electric Rev Req Model (2009 GRC) Rebuttal REmoval of New  WH Solar AdjustMI 2 2 2" xfId="20006"/>
    <cellStyle name="_Book2_Rebuttal Power Costs_Electric Rev Req Model (2009 GRC) Rebuttal REmoval of New  WH Solar AdjustMI 2 3" xfId="16003"/>
    <cellStyle name="_Book2_Rebuttal Power Costs_Electric Rev Req Model (2009 GRC) Rebuttal REmoval of New  WH Solar AdjustMI 3" xfId="3883"/>
    <cellStyle name="_Book2_Rebuttal Power Costs_Electric Rev Req Model (2009 GRC) Rebuttal REmoval of New  WH Solar AdjustMI 3 2" xfId="20007"/>
    <cellStyle name="_Book2_Rebuttal Power Costs_Electric Rev Req Model (2009 GRC) Rebuttal REmoval of New  WH Solar AdjustMI 4" xfId="16002"/>
    <cellStyle name="_Book2_Rebuttal Power Costs_Electric Rev Req Model (2009 GRC) Rebuttal REmoval of New  WH Solar AdjustMI_DEM-WP(C) ENERG10C--ctn Mid-C_042010 2010GRC" xfId="12131"/>
    <cellStyle name="_Book2_Rebuttal Power Costs_Electric Rev Req Model (2009 GRC) Revised 01-18-2010" xfId="499"/>
    <cellStyle name="_Book2_Rebuttal Power Costs_Electric Rev Req Model (2009 GRC) Revised 01-18-2010 2" xfId="500"/>
    <cellStyle name="_Book2_Rebuttal Power Costs_Electric Rev Req Model (2009 GRC) Revised 01-18-2010 2 2" xfId="3886"/>
    <cellStyle name="_Book2_Rebuttal Power Costs_Electric Rev Req Model (2009 GRC) Revised 01-18-2010 2 2 2" xfId="20008"/>
    <cellStyle name="_Book2_Rebuttal Power Costs_Electric Rev Req Model (2009 GRC) Revised 01-18-2010 2 3" xfId="16005"/>
    <cellStyle name="_Book2_Rebuttal Power Costs_Electric Rev Req Model (2009 GRC) Revised 01-18-2010 3" xfId="3885"/>
    <cellStyle name="_Book2_Rebuttal Power Costs_Electric Rev Req Model (2009 GRC) Revised 01-18-2010 3 2" xfId="20009"/>
    <cellStyle name="_Book2_Rebuttal Power Costs_Electric Rev Req Model (2009 GRC) Revised 01-18-2010 4" xfId="16004"/>
    <cellStyle name="_Book2_Rebuttal Power Costs_Electric Rev Req Model (2009 GRC) Revised 01-18-2010_DEM-WP(C) ENERG10C--ctn Mid-C_042010 2010GRC" xfId="12132"/>
    <cellStyle name="_Book2_Rebuttal Power Costs_Final Order Electric EXHIBIT A-1" xfId="501"/>
    <cellStyle name="_Book2_Rebuttal Power Costs_Final Order Electric EXHIBIT A-1 2" xfId="3887"/>
    <cellStyle name="_Book2_Rebuttal Power Costs_Final Order Electric EXHIBIT A-1 2 2" xfId="6863"/>
    <cellStyle name="_Book2_Rebuttal Power Costs_Final Order Electric EXHIBIT A-1 2 2 2" xfId="20010"/>
    <cellStyle name="_Book2_Rebuttal Power Costs_Final Order Electric EXHIBIT A-1 2 3" xfId="18271"/>
    <cellStyle name="_Book2_Rebuttal Power Costs_Final Order Electric EXHIBIT A-1 3" xfId="6864"/>
    <cellStyle name="_Book2_Rebuttal Power Costs_Final Order Electric EXHIBIT A-1 3 2" xfId="20011"/>
    <cellStyle name="_Book2_Rebuttal Power Costs_Final Order Electric EXHIBIT A-1 4" xfId="16006"/>
    <cellStyle name="_Book2_ROR &amp; CONV FACTOR" xfId="6865"/>
    <cellStyle name="_Book2_ROR &amp; CONV FACTOR 2" xfId="6866"/>
    <cellStyle name="_Book2_ROR &amp; CONV FACTOR 2 2" xfId="6867"/>
    <cellStyle name="_Book2_ROR &amp; CONV FACTOR 2 2 2" xfId="20012"/>
    <cellStyle name="_Book2_ROR &amp; CONV FACTOR 2 3" xfId="18273"/>
    <cellStyle name="_Book2_ROR &amp; CONV FACTOR 3" xfId="6868"/>
    <cellStyle name="_Book2_ROR &amp; CONV FACTOR 3 2" xfId="20013"/>
    <cellStyle name="_Book2_ROR &amp; CONV FACTOR 4" xfId="18272"/>
    <cellStyle name="_Book2_ROR 5.02" xfId="6869"/>
    <cellStyle name="_Book2_ROR 5.02 2" xfId="6870"/>
    <cellStyle name="_Book2_ROR 5.02 2 2" xfId="6871"/>
    <cellStyle name="_Book2_ROR 5.02 2 2 2" xfId="20014"/>
    <cellStyle name="_Book2_ROR 5.02 2 3" xfId="18275"/>
    <cellStyle name="_Book2_ROR 5.02 3" xfId="6872"/>
    <cellStyle name="_Book2_ROR 5.02 3 2" xfId="20015"/>
    <cellStyle name="_Book2_ROR 5.02 4" xfId="18274"/>
    <cellStyle name="_Book2_Wind Integration 10GRC" xfId="502"/>
    <cellStyle name="_Book2_Wind Integration 10GRC 2" xfId="503"/>
    <cellStyle name="_Book2_Wind Integration 10GRC 2 2" xfId="3889"/>
    <cellStyle name="_Book2_Wind Integration 10GRC 3" xfId="3888"/>
    <cellStyle name="_Book2_Wind Integration 10GRC_DEM-WP(C) ENERG10C--ctn Mid-C_042010 2010GRC" xfId="12133"/>
    <cellStyle name="_Book3" xfId="504"/>
    <cellStyle name="_Book5" xfId="505"/>
    <cellStyle name="_Book5 2" xfId="12134"/>
    <cellStyle name="_Book5 2 2" xfId="23445"/>
    <cellStyle name="_Book5 2 2 2" xfId="23446"/>
    <cellStyle name="_Book5 2 3" xfId="23447"/>
    <cellStyle name="_Book5 3" xfId="12135"/>
    <cellStyle name="_Book5 3 2" xfId="23448"/>
    <cellStyle name="_Book5 4" xfId="12136"/>
    <cellStyle name="_Book5 4 2" xfId="12137"/>
    <cellStyle name="_Book5 5" xfId="14669"/>
    <cellStyle name="_Book5 5 2" xfId="23449"/>
    <cellStyle name="_Book5 6" xfId="23450"/>
    <cellStyle name="_Book5 6 2" xfId="23451"/>
    <cellStyle name="_Book5 7" xfId="23452"/>
    <cellStyle name="_Book5_4 31E Reg Asset  Liab and EXH D" xfId="12138"/>
    <cellStyle name="_Book5_4 31E Reg Asset  Liab and EXH D _ Aug 10 Filing (2)" xfId="12139"/>
    <cellStyle name="_Book5_Chelan PUD Power Costs (8-10)" xfId="12140"/>
    <cellStyle name="_Book5_Chelan PUD Power Costs (8-10) 2" xfId="23453"/>
    <cellStyle name="_Book5_compare wind integration" xfId="23454"/>
    <cellStyle name="_Book5_DEM-WP(C) Chelan Power Costs" xfId="12141"/>
    <cellStyle name="_Book5_DEM-WP(C) Chelan Power Costs 2" xfId="23455"/>
    <cellStyle name="_Book5_DEM-WP(C) Costs Not In AURORA 2010GRC As Filed" xfId="506"/>
    <cellStyle name="_Book5_DEM-WP(C) Costs Not In AURORA 2010GRC As Filed 2" xfId="3890"/>
    <cellStyle name="_Book5_DEM-WP(C) Costs Not In AURORA 2010GRC As Filed 2 2" xfId="23456"/>
    <cellStyle name="_Book5_DEM-WP(C) Costs Not In AURORA 2010GRC As Filed 3" xfId="12142"/>
    <cellStyle name="_Book5_DEM-WP(C) Costs Not In AURORA 2010GRC As Filed 3 2" xfId="23457"/>
    <cellStyle name="_Book5_DEM-WP(C) Costs Not In AURORA 2010GRC As Filed 4" xfId="23458"/>
    <cellStyle name="_Book5_DEM-WP(C) Costs Not In AURORA 2010GRC As Filed 4 2" xfId="23459"/>
    <cellStyle name="_Book5_DEM-WP(C) Costs Not In AURORA 2010GRC As Filed 5" xfId="23460"/>
    <cellStyle name="_Book5_DEM-WP(C) Costs Not In AURORA 2010GRC As Filed 5 2" xfId="23461"/>
    <cellStyle name="_Book5_DEM-WP(C) Costs Not In AURORA 2010GRC As Filed 6" xfId="23462"/>
    <cellStyle name="_Book5_DEM-WP(C) Costs Not In AURORA 2010GRC As Filed 6 2" xfId="23463"/>
    <cellStyle name="_Book5_DEM-WP(C) Costs Not In AURORA 2010GRC As Filed_DEM-WP(C) ENERG10C--ctn Mid-C_042010 2010GRC" xfId="12143"/>
    <cellStyle name="_Book5_DEM-WP(C) Gas Transport 2010GRC" xfId="12144"/>
    <cellStyle name="_Book5_DEM-WP(C) Gas Transport 2010GRC 2" xfId="23464"/>
    <cellStyle name="_Book5_NIM Summary" xfId="507"/>
    <cellStyle name="_Book5_NIM Summary 09GRC" xfId="508"/>
    <cellStyle name="_Book5_NIM Summary 10" xfId="3891"/>
    <cellStyle name="_Book5_NIM Summary 11" xfId="5839"/>
    <cellStyle name="_Book5_NIM Summary 12" xfId="6267"/>
    <cellStyle name="_Book5_NIM Summary 13" xfId="5842"/>
    <cellStyle name="_Book5_NIM Summary 14" xfId="6311"/>
    <cellStyle name="_Book5_NIM Summary 15" xfId="14670"/>
    <cellStyle name="_Book5_NIM Summary 16" xfId="14671"/>
    <cellStyle name="_Book5_NIM Summary 17" xfId="14672"/>
    <cellStyle name="_Book5_NIM Summary 18" xfId="14673"/>
    <cellStyle name="_Book5_NIM Summary 19" xfId="14674"/>
    <cellStyle name="_Book5_NIM Summary 2" xfId="509"/>
    <cellStyle name="_Book5_NIM Summary 2 2" xfId="3892"/>
    <cellStyle name="_Book5_NIM Summary 20" xfId="14675"/>
    <cellStyle name="_Book5_NIM Summary 21" xfId="14676"/>
    <cellStyle name="_Book5_NIM Summary 22" xfId="14677"/>
    <cellStyle name="_Book5_NIM Summary 23" xfId="14678"/>
    <cellStyle name="_Book5_NIM Summary 24" xfId="14679"/>
    <cellStyle name="_Book5_NIM Summary 25" xfId="14680"/>
    <cellStyle name="_Book5_NIM Summary 26" xfId="14681"/>
    <cellStyle name="_Book5_NIM Summary 27" xfId="14682"/>
    <cellStyle name="_Book5_NIM Summary 28" xfId="14683"/>
    <cellStyle name="_Book5_NIM Summary 29" xfId="14684"/>
    <cellStyle name="_Book5_NIM Summary 3" xfId="510"/>
    <cellStyle name="_Book5_NIM Summary 3 2" xfId="3893"/>
    <cellStyle name="_Book5_NIM Summary 30" xfId="14685"/>
    <cellStyle name="_Book5_NIM Summary 31" xfId="14686"/>
    <cellStyle name="_Book5_NIM Summary 32" xfId="14687"/>
    <cellStyle name="_Book5_NIM Summary 33" xfId="14688"/>
    <cellStyle name="_Book5_NIM Summary 34" xfId="14689"/>
    <cellStyle name="_Book5_NIM Summary 35" xfId="14690"/>
    <cellStyle name="_Book5_NIM Summary 36" xfId="14691"/>
    <cellStyle name="_Book5_NIM Summary 37" xfId="14692"/>
    <cellStyle name="_Book5_NIM Summary 38" xfId="14693"/>
    <cellStyle name="_Book5_NIM Summary 39" xfId="14694"/>
    <cellStyle name="_Book5_NIM Summary 4" xfId="511"/>
    <cellStyle name="_Book5_NIM Summary 4 2" xfId="3894"/>
    <cellStyle name="_Book5_NIM Summary 40" xfId="14695"/>
    <cellStyle name="_Book5_NIM Summary 41" xfId="14696"/>
    <cellStyle name="_Book5_NIM Summary 42" xfId="16008"/>
    <cellStyle name="_Book5_NIM Summary 43" xfId="16347"/>
    <cellStyle name="_Book5_NIM Summary 44" xfId="23465"/>
    <cellStyle name="_Book5_NIM Summary 45" xfId="23466"/>
    <cellStyle name="_Book5_NIM Summary 46" xfId="23467"/>
    <cellStyle name="_Book5_NIM Summary 47" xfId="23468"/>
    <cellStyle name="_Book5_NIM Summary 48" xfId="23469"/>
    <cellStyle name="_Book5_NIM Summary 49" xfId="23470"/>
    <cellStyle name="_Book5_NIM Summary 5" xfId="512"/>
    <cellStyle name="_Book5_NIM Summary 5 2" xfId="3895"/>
    <cellStyle name="_Book5_NIM Summary 50" xfId="23471"/>
    <cellStyle name="_Book5_NIM Summary 51" xfId="41135"/>
    <cellStyle name="_Book5_NIM Summary 52" xfId="6873"/>
    <cellStyle name="_Book5_NIM Summary 6" xfId="513"/>
    <cellStyle name="_Book5_NIM Summary 6 2" xfId="3896"/>
    <cellStyle name="_Book5_NIM Summary 7" xfId="514"/>
    <cellStyle name="_Book5_NIM Summary 7 2" xfId="3897"/>
    <cellStyle name="_Book5_NIM Summary 8" xfId="515"/>
    <cellStyle name="_Book5_NIM Summary 8 2" xfId="3898"/>
    <cellStyle name="_Book5_NIM Summary 9" xfId="516"/>
    <cellStyle name="_Book5_NIM Summary 9 2" xfId="3899"/>
    <cellStyle name="_Book5_NIM Summary_DEM-WP(C) ENERG10C--ctn Mid-C_042010 2010GRC" xfId="12145"/>
    <cellStyle name="_Book5_PCA 9 -  Exhibit D April 2010 (3)" xfId="517"/>
    <cellStyle name="_Book5_Reconciliation" xfId="518"/>
    <cellStyle name="_Book5_Reconciliation 2" xfId="3900"/>
    <cellStyle name="_Book5_Reconciliation 2 2" xfId="23472"/>
    <cellStyle name="_Book5_Reconciliation 3" xfId="12146"/>
    <cellStyle name="_Book5_Reconciliation 3 2" xfId="23473"/>
    <cellStyle name="_Book5_Reconciliation 4" xfId="23474"/>
    <cellStyle name="_Book5_Reconciliation 4 2" xfId="23475"/>
    <cellStyle name="_Book5_Reconciliation 5" xfId="23476"/>
    <cellStyle name="_Book5_Reconciliation 5 2" xfId="23477"/>
    <cellStyle name="_Book5_Reconciliation 6" xfId="23478"/>
    <cellStyle name="_Book5_Reconciliation 6 2" xfId="23479"/>
    <cellStyle name="_Book5_Reconciliation_DEM-WP(C) ENERG10C--ctn Mid-C_042010 2010GRC" xfId="12147"/>
    <cellStyle name="_Book5_Wind Integration 10GRC" xfId="519"/>
    <cellStyle name="_Book5_Wind Integration 10GRC 2" xfId="520"/>
    <cellStyle name="_Book5_Wind Integration 10GRC 2 2" xfId="3902"/>
    <cellStyle name="_Book5_Wind Integration 10GRC 3" xfId="3901"/>
    <cellStyle name="_Book5_Wind Integration 10GRC_DEM-WP(C) ENERG10C--ctn Mid-C_042010 2010GRC" xfId="12148"/>
    <cellStyle name="_BPA NOS" xfId="521"/>
    <cellStyle name="_BPA NOS 2" xfId="3903"/>
    <cellStyle name="_BPA NOS 2 2" xfId="23480"/>
    <cellStyle name="_BPA NOS 2 2 2" xfId="23481"/>
    <cellStyle name="_BPA NOS 2 3" xfId="23482"/>
    <cellStyle name="_BPA NOS 3" xfId="12149"/>
    <cellStyle name="_BPA NOS 3 2" xfId="12150"/>
    <cellStyle name="_BPA NOS 4" xfId="23483"/>
    <cellStyle name="_BPA NOS 4 2" xfId="23484"/>
    <cellStyle name="_BPA NOS 5" xfId="23485"/>
    <cellStyle name="_BPA NOS 5 2" xfId="23486"/>
    <cellStyle name="_BPA NOS 6" xfId="23487"/>
    <cellStyle name="_BPA NOS 6 2" xfId="23488"/>
    <cellStyle name="_BPA NOS_DEM-WP(C) Chelan Power Costs" xfId="12151"/>
    <cellStyle name="_BPA NOS_DEM-WP(C) Chelan Power Costs 2" xfId="23489"/>
    <cellStyle name="_BPA NOS_DEM-WP(C) ENERG10C--ctn Mid-C_042010 2010GRC" xfId="12152"/>
    <cellStyle name="_BPA NOS_DEM-WP(C) Gas Transport 2010GRC" xfId="12153"/>
    <cellStyle name="_BPA NOS_DEM-WP(C) Gas Transport 2010GRC 2" xfId="23490"/>
    <cellStyle name="_BPA NOS_DEM-WP(C) Wind Integration Summary 2010GRC" xfId="522"/>
    <cellStyle name="_BPA NOS_DEM-WP(C) Wind Integration Summary 2010GRC 2" xfId="523"/>
    <cellStyle name="_BPA NOS_DEM-WP(C) Wind Integration Summary 2010GRC 2 2" xfId="3905"/>
    <cellStyle name="_BPA NOS_DEM-WP(C) Wind Integration Summary 2010GRC 3" xfId="3904"/>
    <cellStyle name="_BPA NOS_DEM-WP(C) Wind Integration Summary 2010GRC_DEM-WP(C) ENERG10C--ctn Mid-C_042010 2010GRC" xfId="12154"/>
    <cellStyle name="_BPA NOS_NIM Summary" xfId="524"/>
    <cellStyle name="_BPA NOS_NIM Summary 2" xfId="525"/>
    <cellStyle name="_BPA NOS_NIM Summary 2 2" xfId="3907"/>
    <cellStyle name="_BPA NOS_NIM Summary 3" xfId="3906"/>
    <cellStyle name="_BPA NOS_NIM Summary_DEM-WP(C) ENERG10C--ctn Mid-C_042010 2010GRC" xfId="12155"/>
    <cellStyle name="_Chelan Debt Forecast 12.19.05" xfId="526"/>
    <cellStyle name="_Chelan Debt Forecast 12.19.05 10" xfId="23491"/>
    <cellStyle name="_Chelan Debt Forecast 12.19.05 10 2" xfId="23492"/>
    <cellStyle name="_Chelan Debt Forecast 12.19.05 2" xfId="527"/>
    <cellStyle name="_Chelan Debt Forecast 12.19.05 2 2" xfId="528"/>
    <cellStyle name="_Chelan Debt Forecast 12.19.05 2 2 2" xfId="3909"/>
    <cellStyle name="_Chelan Debt Forecast 12.19.05 2 2 2 2" xfId="20016"/>
    <cellStyle name="_Chelan Debt Forecast 12.19.05 2 2 3" xfId="16010"/>
    <cellStyle name="_Chelan Debt Forecast 12.19.05 2 3" xfId="3908"/>
    <cellStyle name="_Chelan Debt Forecast 12.19.05 2 3 2" xfId="20017"/>
    <cellStyle name="_Chelan Debt Forecast 12.19.05 2 4" xfId="16009"/>
    <cellStyle name="_Chelan Debt Forecast 12.19.05 3" xfId="529"/>
    <cellStyle name="_Chelan Debt Forecast 12.19.05 3 2" xfId="3910"/>
    <cellStyle name="_Chelan Debt Forecast 12.19.05 3 2 2" xfId="6874"/>
    <cellStyle name="_Chelan Debt Forecast 12.19.05 3 2 2 2" xfId="20018"/>
    <cellStyle name="_Chelan Debt Forecast 12.19.05 3 2 3" xfId="18276"/>
    <cellStyle name="_Chelan Debt Forecast 12.19.05 3 3" xfId="6875"/>
    <cellStyle name="_Chelan Debt Forecast 12.19.05 3 3 2" xfId="6876"/>
    <cellStyle name="_Chelan Debt Forecast 12.19.05 3 3 2 2" xfId="20019"/>
    <cellStyle name="_Chelan Debt Forecast 12.19.05 3 3 3" xfId="18277"/>
    <cellStyle name="_Chelan Debt Forecast 12.19.05 3 4" xfId="6877"/>
    <cellStyle name="_Chelan Debt Forecast 12.19.05 3 4 2" xfId="6878"/>
    <cellStyle name="_Chelan Debt Forecast 12.19.05 3 4 2 2" xfId="20020"/>
    <cellStyle name="_Chelan Debt Forecast 12.19.05 3 4 3" xfId="18278"/>
    <cellStyle name="_Chelan Debt Forecast 12.19.05 3 5" xfId="16011"/>
    <cellStyle name="_Chelan Debt Forecast 12.19.05 4" xfId="530"/>
    <cellStyle name="_Chelan Debt Forecast 12.19.05 4 2" xfId="531"/>
    <cellStyle name="_Chelan Debt Forecast 12.19.05 4 2 2" xfId="3912"/>
    <cellStyle name="_Chelan Debt Forecast 12.19.05 4 3" xfId="3911"/>
    <cellStyle name="_Chelan Debt Forecast 12.19.05 5" xfId="6879"/>
    <cellStyle name="_Chelan Debt Forecast 12.19.05 5 2" xfId="12156"/>
    <cellStyle name="_Chelan Debt Forecast 12.19.05 5 2 2" xfId="23493"/>
    <cellStyle name="_Chelan Debt Forecast 12.19.05 5 2 3" xfId="23494"/>
    <cellStyle name="_Chelan Debt Forecast 12.19.05 5 3" xfId="20021"/>
    <cellStyle name="_Chelan Debt Forecast 12.19.05 5 3 2" xfId="23495"/>
    <cellStyle name="_Chelan Debt Forecast 12.19.05 6" xfId="6880"/>
    <cellStyle name="_Chelan Debt Forecast 12.19.05 6 2" xfId="23496"/>
    <cellStyle name="_Chelan Debt Forecast 12.19.05 6 2 2" xfId="23497"/>
    <cellStyle name="_Chelan Debt Forecast 12.19.05 6 3" xfId="23498"/>
    <cellStyle name="_Chelan Debt Forecast 12.19.05 7" xfId="12157"/>
    <cellStyle name="_Chelan Debt Forecast 12.19.05 7 2" xfId="12158"/>
    <cellStyle name="_Chelan Debt Forecast 12.19.05 8" xfId="12159"/>
    <cellStyle name="_Chelan Debt Forecast 12.19.05 8 2" xfId="12160"/>
    <cellStyle name="_Chelan Debt Forecast 12.19.05 9" xfId="23499"/>
    <cellStyle name="_Chelan Debt Forecast 12.19.05 9 2" xfId="23500"/>
    <cellStyle name="_Chelan Debt Forecast 12.19.05_(C) WHE Proforma with ITC cash grant 10 Yr Amort_for deferral_102809" xfId="532"/>
    <cellStyle name="_Chelan Debt Forecast 12.19.05_(C) WHE Proforma with ITC cash grant 10 Yr Amort_for deferral_102809 2" xfId="533"/>
    <cellStyle name="_Chelan Debt Forecast 12.19.05_(C) WHE Proforma with ITC cash grant 10 Yr Amort_for deferral_102809 2 2" xfId="3914"/>
    <cellStyle name="_Chelan Debt Forecast 12.19.05_(C) WHE Proforma with ITC cash grant 10 Yr Amort_for deferral_102809 2 2 2" xfId="20022"/>
    <cellStyle name="_Chelan Debt Forecast 12.19.05_(C) WHE Proforma with ITC cash grant 10 Yr Amort_for deferral_102809 2 3" xfId="16013"/>
    <cellStyle name="_Chelan Debt Forecast 12.19.05_(C) WHE Proforma with ITC cash grant 10 Yr Amort_for deferral_102809 3" xfId="3913"/>
    <cellStyle name="_Chelan Debt Forecast 12.19.05_(C) WHE Proforma with ITC cash grant 10 Yr Amort_for deferral_102809 3 2" xfId="20023"/>
    <cellStyle name="_Chelan Debt Forecast 12.19.05_(C) WHE Proforma with ITC cash grant 10 Yr Amort_for deferral_102809 4" xfId="16012"/>
    <cellStyle name="_Chelan Debt Forecast 12.19.05_(C) WHE Proforma with ITC cash grant 10 Yr Amort_for deferral_102809_16.07E Wild Horse Wind Expansionwrkingfile" xfId="534"/>
    <cellStyle name="_Chelan Debt Forecast 12.19.05_(C) WHE Proforma with ITC cash grant 10 Yr Amort_for deferral_102809_16.07E Wild Horse Wind Expansionwrkingfile 2" xfId="535"/>
    <cellStyle name="_Chelan Debt Forecast 12.19.05_(C) WHE Proforma with ITC cash grant 10 Yr Amort_for deferral_102809_16.07E Wild Horse Wind Expansionwrkingfile 2 2" xfId="3916"/>
    <cellStyle name="_Chelan Debt Forecast 12.19.05_(C) WHE Proforma with ITC cash grant 10 Yr Amort_for deferral_102809_16.07E Wild Horse Wind Expansionwrkingfile 2 2 2" xfId="20024"/>
    <cellStyle name="_Chelan Debt Forecast 12.19.05_(C) WHE Proforma with ITC cash grant 10 Yr Amort_for deferral_102809_16.07E Wild Horse Wind Expansionwrkingfile 2 3" xfId="16015"/>
    <cellStyle name="_Chelan Debt Forecast 12.19.05_(C) WHE Proforma with ITC cash grant 10 Yr Amort_for deferral_102809_16.07E Wild Horse Wind Expansionwrkingfile 3" xfId="3915"/>
    <cellStyle name="_Chelan Debt Forecast 12.19.05_(C) WHE Proforma with ITC cash grant 10 Yr Amort_for deferral_102809_16.07E Wild Horse Wind Expansionwrkingfile 3 2" xfId="20025"/>
    <cellStyle name="_Chelan Debt Forecast 12.19.05_(C) WHE Proforma with ITC cash grant 10 Yr Amort_for deferral_102809_16.07E Wild Horse Wind Expansionwrkingfile 4" xfId="16014"/>
    <cellStyle name="_Chelan Debt Forecast 12.19.05_(C) WHE Proforma with ITC cash grant 10 Yr Amort_for deferral_102809_16.07E Wild Horse Wind Expansionwrkingfile SF" xfId="536"/>
    <cellStyle name="_Chelan Debt Forecast 12.19.05_(C) WHE Proforma with ITC cash grant 10 Yr Amort_for deferral_102809_16.07E Wild Horse Wind Expansionwrkingfile SF 2" xfId="537"/>
    <cellStyle name="_Chelan Debt Forecast 12.19.05_(C) WHE Proforma with ITC cash grant 10 Yr Amort_for deferral_102809_16.07E Wild Horse Wind Expansionwrkingfile SF 2 2" xfId="3918"/>
    <cellStyle name="_Chelan Debt Forecast 12.19.05_(C) WHE Proforma with ITC cash grant 10 Yr Amort_for deferral_102809_16.07E Wild Horse Wind Expansionwrkingfile SF 2 2 2" xfId="20026"/>
    <cellStyle name="_Chelan Debt Forecast 12.19.05_(C) WHE Proforma with ITC cash grant 10 Yr Amort_for deferral_102809_16.07E Wild Horse Wind Expansionwrkingfile SF 2 3" xfId="16017"/>
    <cellStyle name="_Chelan Debt Forecast 12.19.05_(C) WHE Proforma with ITC cash grant 10 Yr Amort_for deferral_102809_16.07E Wild Horse Wind Expansionwrkingfile SF 3" xfId="3917"/>
    <cellStyle name="_Chelan Debt Forecast 12.19.05_(C) WHE Proforma with ITC cash grant 10 Yr Amort_for deferral_102809_16.07E Wild Horse Wind Expansionwrkingfile SF 3 2" xfId="20027"/>
    <cellStyle name="_Chelan Debt Forecast 12.19.05_(C) WHE Proforma with ITC cash grant 10 Yr Amort_for deferral_102809_16.07E Wild Horse Wind Expansionwrkingfile SF 4" xfId="16016"/>
    <cellStyle name="_Chelan Debt Forecast 12.19.05_(C) WHE Proforma with ITC cash grant 10 Yr Amort_for deferral_102809_16.07E Wild Horse Wind Expansionwrkingfile SF_DEM-WP(C) ENERG10C--ctn Mid-C_042010 2010GRC" xfId="12161"/>
    <cellStyle name="_Chelan Debt Forecast 12.19.05_(C) WHE Proforma with ITC cash grant 10 Yr Amort_for deferral_102809_16.07E Wild Horse Wind Expansionwrkingfile_DEM-WP(C) ENERG10C--ctn Mid-C_042010 2010GRC" xfId="12162"/>
    <cellStyle name="_Chelan Debt Forecast 12.19.05_(C) WHE Proforma with ITC cash grant 10 Yr Amort_for deferral_102809_16.37E Wild Horse Expansion DeferralRevwrkingfile SF" xfId="538"/>
    <cellStyle name="_Chelan Debt Forecast 12.19.05_(C) WHE Proforma with ITC cash grant 10 Yr Amort_for deferral_102809_16.37E Wild Horse Expansion DeferralRevwrkingfile SF 2" xfId="539"/>
    <cellStyle name="_Chelan Debt Forecast 12.19.05_(C) WHE Proforma with ITC cash grant 10 Yr Amort_for deferral_102809_16.37E Wild Horse Expansion DeferralRevwrkingfile SF 2 2" xfId="3920"/>
    <cellStyle name="_Chelan Debt Forecast 12.19.05_(C) WHE Proforma with ITC cash grant 10 Yr Amort_for deferral_102809_16.37E Wild Horse Expansion DeferralRevwrkingfile SF 2 2 2" xfId="20028"/>
    <cellStyle name="_Chelan Debt Forecast 12.19.05_(C) WHE Proforma with ITC cash grant 10 Yr Amort_for deferral_102809_16.37E Wild Horse Expansion DeferralRevwrkingfile SF 2 3" xfId="16019"/>
    <cellStyle name="_Chelan Debt Forecast 12.19.05_(C) WHE Proforma with ITC cash grant 10 Yr Amort_for deferral_102809_16.37E Wild Horse Expansion DeferralRevwrkingfile SF 3" xfId="3919"/>
    <cellStyle name="_Chelan Debt Forecast 12.19.05_(C) WHE Proforma with ITC cash grant 10 Yr Amort_for deferral_102809_16.37E Wild Horse Expansion DeferralRevwrkingfile SF 3 2" xfId="20029"/>
    <cellStyle name="_Chelan Debt Forecast 12.19.05_(C) WHE Proforma with ITC cash grant 10 Yr Amort_for deferral_102809_16.37E Wild Horse Expansion DeferralRevwrkingfile SF 4" xfId="16018"/>
    <cellStyle name="_Chelan Debt Forecast 12.19.05_(C) WHE Proforma with ITC cash grant 10 Yr Amort_for deferral_102809_16.37E Wild Horse Expansion DeferralRevwrkingfile SF_DEM-WP(C) ENERG10C--ctn Mid-C_042010 2010GRC" xfId="12163"/>
    <cellStyle name="_Chelan Debt Forecast 12.19.05_(C) WHE Proforma with ITC cash grant 10 Yr Amort_for deferral_102809_DEM-WP(C) ENERG10C--ctn Mid-C_042010 2010GRC" xfId="12164"/>
    <cellStyle name="_Chelan Debt Forecast 12.19.05_(C) WHE Proforma with ITC cash grant 10 Yr Amort_for rebuttal_120709" xfId="540"/>
    <cellStyle name="_Chelan Debt Forecast 12.19.05_(C) WHE Proforma with ITC cash grant 10 Yr Amort_for rebuttal_120709 2" xfId="541"/>
    <cellStyle name="_Chelan Debt Forecast 12.19.05_(C) WHE Proforma with ITC cash grant 10 Yr Amort_for rebuttal_120709 2 2" xfId="3921"/>
    <cellStyle name="_Chelan Debt Forecast 12.19.05_(C) WHE Proforma with ITC cash grant 10 Yr Amort_for rebuttal_120709 2 2 2" xfId="20030"/>
    <cellStyle name="_Chelan Debt Forecast 12.19.05_(C) WHE Proforma with ITC cash grant 10 Yr Amort_for rebuttal_120709 2 3" xfId="16021"/>
    <cellStyle name="_Chelan Debt Forecast 12.19.05_(C) WHE Proforma with ITC cash grant 10 Yr Amort_for rebuttal_120709 3" xfId="6881"/>
    <cellStyle name="_Chelan Debt Forecast 12.19.05_(C) WHE Proforma with ITC cash grant 10 Yr Amort_for rebuttal_120709 3 2" xfId="20031"/>
    <cellStyle name="_Chelan Debt Forecast 12.19.05_(C) WHE Proforma with ITC cash grant 10 Yr Amort_for rebuttal_120709 4" xfId="16020"/>
    <cellStyle name="_Chelan Debt Forecast 12.19.05_(C) WHE Proforma with ITC cash grant 10 Yr Amort_for rebuttal_120709_DEM-WP(C) ENERG10C--ctn Mid-C_042010 2010GRC" xfId="12165"/>
    <cellStyle name="_Chelan Debt Forecast 12.19.05_04.07E Wild Horse Wind Expansion" xfId="542"/>
    <cellStyle name="_Chelan Debt Forecast 12.19.05_04.07E Wild Horse Wind Expansion 2" xfId="543"/>
    <cellStyle name="_Chelan Debt Forecast 12.19.05_04.07E Wild Horse Wind Expansion 2 2" xfId="3923"/>
    <cellStyle name="_Chelan Debt Forecast 12.19.05_04.07E Wild Horse Wind Expansion 2 2 2" xfId="20032"/>
    <cellStyle name="_Chelan Debt Forecast 12.19.05_04.07E Wild Horse Wind Expansion 2 3" xfId="16023"/>
    <cellStyle name="_Chelan Debt Forecast 12.19.05_04.07E Wild Horse Wind Expansion 3" xfId="3922"/>
    <cellStyle name="_Chelan Debt Forecast 12.19.05_04.07E Wild Horse Wind Expansion 3 2" xfId="20033"/>
    <cellStyle name="_Chelan Debt Forecast 12.19.05_04.07E Wild Horse Wind Expansion 4" xfId="16022"/>
    <cellStyle name="_Chelan Debt Forecast 12.19.05_04.07E Wild Horse Wind Expansion_16.07E Wild Horse Wind Expansionwrkingfile" xfId="544"/>
    <cellStyle name="_Chelan Debt Forecast 12.19.05_04.07E Wild Horse Wind Expansion_16.07E Wild Horse Wind Expansionwrkingfile 2" xfId="545"/>
    <cellStyle name="_Chelan Debt Forecast 12.19.05_04.07E Wild Horse Wind Expansion_16.07E Wild Horse Wind Expansionwrkingfile 2 2" xfId="3925"/>
    <cellStyle name="_Chelan Debt Forecast 12.19.05_04.07E Wild Horse Wind Expansion_16.07E Wild Horse Wind Expansionwrkingfile 2 2 2" xfId="20034"/>
    <cellStyle name="_Chelan Debt Forecast 12.19.05_04.07E Wild Horse Wind Expansion_16.07E Wild Horse Wind Expansionwrkingfile 2 3" xfId="16025"/>
    <cellStyle name="_Chelan Debt Forecast 12.19.05_04.07E Wild Horse Wind Expansion_16.07E Wild Horse Wind Expansionwrkingfile 3" xfId="3924"/>
    <cellStyle name="_Chelan Debt Forecast 12.19.05_04.07E Wild Horse Wind Expansion_16.07E Wild Horse Wind Expansionwrkingfile 3 2" xfId="20035"/>
    <cellStyle name="_Chelan Debt Forecast 12.19.05_04.07E Wild Horse Wind Expansion_16.07E Wild Horse Wind Expansionwrkingfile 4" xfId="16024"/>
    <cellStyle name="_Chelan Debt Forecast 12.19.05_04.07E Wild Horse Wind Expansion_16.07E Wild Horse Wind Expansionwrkingfile SF" xfId="546"/>
    <cellStyle name="_Chelan Debt Forecast 12.19.05_04.07E Wild Horse Wind Expansion_16.07E Wild Horse Wind Expansionwrkingfile SF 2" xfId="547"/>
    <cellStyle name="_Chelan Debt Forecast 12.19.05_04.07E Wild Horse Wind Expansion_16.07E Wild Horse Wind Expansionwrkingfile SF 2 2" xfId="3927"/>
    <cellStyle name="_Chelan Debt Forecast 12.19.05_04.07E Wild Horse Wind Expansion_16.07E Wild Horse Wind Expansionwrkingfile SF 2 2 2" xfId="20036"/>
    <cellStyle name="_Chelan Debt Forecast 12.19.05_04.07E Wild Horse Wind Expansion_16.07E Wild Horse Wind Expansionwrkingfile SF 2 3" xfId="16027"/>
    <cellStyle name="_Chelan Debt Forecast 12.19.05_04.07E Wild Horse Wind Expansion_16.07E Wild Horse Wind Expansionwrkingfile SF 3" xfId="3926"/>
    <cellStyle name="_Chelan Debt Forecast 12.19.05_04.07E Wild Horse Wind Expansion_16.07E Wild Horse Wind Expansionwrkingfile SF 3 2" xfId="20037"/>
    <cellStyle name="_Chelan Debt Forecast 12.19.05_04.07E Wild Horse Wind Expansion_16.07E Wild Horse Wind Expansionwrkingfile SF 4" xfId="16026"/>
    <cellStyle name="_Chelan Debt Forecast 12.19.05_04.07E Wild Horse Wind Expansion_16.07E Wild Horse Wind Expansionwrkingfile SF_DEM-WP(C) ENERG10C--ctn Mid-C_042010 2010GRC" xfId="12166"/>
    <cellStyle name="_Chelan Debt Forecast 12.19.05_04.07E Wild Horse Wind Expansion_16.07E Wild Horse Wind Expansionwrkingfile_DEM-WP(C) ENERG10C--ctn Mid-C_042010 2010GRC" xfId="12167"/>
    <cellStyle name="_Chelan Debt Forecast 12.19.05_04.07E Wild Horse Wind Expansion_16.37E Wild Horse Expansion DeferralRevwrkingfile SF" xfId="548"/>
    <cellStyle name="_Chelan Debt Forecast 12.19.05_04.07E Wild Horse Wind Expansion_16.37E Wild Horse Expansion DeferralRevwrkingfile SF 2" xfId="549"/>
    <cellStyle name="_Chelan Debt Forecast 12.19.05_04.07E Wild Horse Wind Expansion_16.37E Wild Horse Expansion DeferralRevwrkingfile SF 2 2" xfId="3929"/>
    <cellStyle name="_Chelan Debt Forecast 12.19.05_04.07E Wild Horse Wind Expansion_16.37E Wild Horse Expansion DeferralRevwrkingfile SF 2 2 2" xfId="20038"/>
    <cellStyle name="_Chelan Debt Forecast 12.19.05_04.07E Wild Horse Wind Expansion_16.37E Wild Horse Expansion DeferralRevwrkingfile SF 2 3" xfId="16029"/>
    <cellStyle name="_Chelan Debt Forecast 12.19.05_04.07E Wild Horse Wind Expansion_16.37E Wild Horse Expansion DeferralRevwrkingfile SF 3" xfId="3928"/>
    <cellStyle name="_Chelan Debt Forecast 12.19.05_04.07E Wild Horse Wind Expansion_16.37E Wild Horse Expansion DeferralRevwrkingfile SF 3 2" xfId="20039"/>
    <cellStyle name="_Chelan Debt Forecast 12.19.05_04.07E Wild Horse Wind Expansion_16.37E Wild Horse Expansion DeferralRevwrkingfile SF 4" xfId="16028"/>
    <cellStyle name="_Chelan Debt Forecast 12.19.05_04.07E Wild Horse Wind Expansion_16.37E Wild Horse Expansion DeferralRevwrkingfile SF_DEM-WP(C) ENERG10C--ctn Mid-C_042010 2010GRC" xfId="12168"/>
    <cellStyle name="_Chelan Debt Forecast 12.19.05_04.07E Wild Horse Wind Expansion_DEM-WP(C) ENERG10C--ctn Mid-C_042010 2010GRC" xfId="12169"/>
    <cellStyle name="_Chelan Debt Forecast 12.19.05_16.07E Wild Horse Wind Expansionwrkingfile" xfId="550"/>
    <cellStyle name="_Chelan Debt Forecast 12.19.05_16.07E Wild Horse Wind Expansionwrkingfile 2" xfId="551"/>
    <cellStyle name="_Chelan Debt Forecast 12.19.05_16.07E Wild Horse Wind Expansionwrkingfile 2 2" xfId="3931"/>
    <cellStyle name="_Chelan Debt Forecast 12.19.05_16.07E Wild Horse Wind Expansionwrkingfile 2 2 2" xfId="20040"/>
    <cellStyle name="_Chelan Debt Forecast 12.19.05_16.07E Wild Horse Wind Expansionwrkingfile 2 3" xfId="16031"/>
    <cellStyle name="_Chelan Debt Forecast 12.19.05_16.07E Wild Horse Wind Expansionwrkingfile 3" xfId="3930"/>
    <cellStyle name="_Chelan Debt Forecast 12.19.05_16.07E Wild Horse Wind Expansionwrkingfile 3 2" xfId="20041"/>
    <cellStyle name="_Chelan Debt Forecast 12.19.05_16.07E Wild Horse Wind Expansionwrkingfile 4" xfId="16030"/>
    <cellStyle name="_Chelan Debt Forecast 12.19.05_16.07E Wild Horse Wind Expansionwrkingfile SF" xfId="552"/>
    <cellStyle name="_Chelan Debt Forecast 12.19.05_16.07E Wild Horse Wind Expansionwrkingfile SF 2" xfId="553"/>
    <cellStyle name="_Chelan Debt Forecast 12.19.05_16.07E Wild Horse Wind Expansionwrkingfile SF 2 2" xfId="3933"/>
    <cellStyle name="_Chelan Debt Forecast 12.19.05_16.07E Wild Horse Wind Expansionwrkingfile SF 2 2 2" xfId="20042"/>
    <cellStyle name="_Chelan Debt Forecast 12.19.05_16.07E Wild Horse Wind Expansionwrkingfile SF 2 3" xfId="16033"/>
    <cellStyle name="_Chelan Debt Forecast 12.19.05_16.07E Wild Horse Wind Expansionwrkingfile SF 3" xfId="3932"/>
    <cellStyle name="_Chelan Debt Forecast 12.19.05_16.07E Wild Horse Wind Expansionwrkingfile SF 3 2" xfId="20043"/>
    <cellStyle name="_Chelan Debt Forecast 12.19.05_16.07E Wild Horse Wind Expansionwrkingfile SF 4" xfId="16032"/>
    <cellStyle name="_Chelan Debt Forecast 12.19.05_16.07E Wild Horse Wind Expansionwrkingfile SF_DEM-WP(C) ENERG10C--ctn Mid-C_042010 2010GRC" xfId="12170"/>
    <cellStyle name="_Chelan Debt Forecast 12.19.05_16.07E Wild Horse Wind Expansionwrkingfile_DEM-WP(C) ENERG10C--ctn Mid-C_042010 2010GRC" xfId="12171"/>
    <cellStyle name="_Chelan Debt Forecast 12.19.05_16.37E Wild Horse Expansion DeferralRevwrkingfile SF" xfId="554"/>
    <cellStyle name="_Chelan Debt Forecast 12.19.05_16.37E Wild Horse Expansion DeferralRevwrkingfile SF 2" xfId="555"/>
    <cellStyle name="_Chelan Debt Forecast 12.19.05_16.37E Wild Horse Expansion DeferralRevwrkingfile SF 2 2" xfId="3935"/>
    <cellStyle name="_Chelan Debt Forecast 12.19.05_16.37E Wild Horse Expansion DeferralRevwrkingfile SF 2 2 2" xfId="20044"/>
    <cellStyle name="_Chelan Debt Forecast 12.19.05_16.37E Wild Horse Expansion DeferralRevwrkingfile SF 2 3" xfId="16035"/>
    <cellStyle name="_Chelan Debt Forecast 12.19.05_16.37E Wild Horse Expansion DeferralRevwrkingfile SF 3" xfId="3934"/>
    <cellStyle name="_Chelan Debt Forecast 12.19.05_16.37E Wild Horse Expansion DeferralRevwrkingfile SF 3 2" xfId="20045"/>
    <cellStyle name="_Chelan Debt Forecast 12.19.05_16.37E Wild Horse Expansion DeferralRevwrkingfile SF 4" xfId="16034"/>
    <cellStyle name="_Chelan Debt Forecast 12.19.05_16.37E Wild Horse Expansion DeferralRevwrkingfile SF_DEM-WP(C) ENERG10C--ctn Mid-C_042010 2010GRC" xfId="12172"/>
    <cellStyle name="_Chelan Debt Forecast 12.19.05_2009 Compliance Filing PCA Exhibits for GRC" xfId="14047"/>
    <cellStyle name="_Chelan Debt Forecast 12.19.05_2009 Compliance Filing PCA Exhibits for GRC 2" xfId="14697"/>
    <cellStyle name="_Chelan Debt Forecast 12.19.05_2009 GRC Compl Filing - Exhibit D" xfId="556"/>
    <cellStyle name="_Chelan Debt Forecast 12.19.05_2009 GRC Compl Filing - Exhibit D 2" xfId="557"/>
    <cellStyle name="_Chelan Debt Forecast 12.19.05_2009 GRC Compl Filing - Exhibit D 2 2" xfId="3937"/>
    <cellStyle name="_Chelan Debt Forecast 12.19.05_2009 GRC Compl Filing - Exhibit D 3" xfId="3936"/>
    <cellStyle name="_Chelan Debt Forecast 12.19.05_2009 GRC Compl Filing - Exhibit D_DEM-WP(C) ENERG10C--ctn Mid-C_042010 2010GRC" xfId="12173"/>
    <cellStyle name="_Chelan Debt Forecast 12.19.05_3.01 Income Statement" xfId="14048"/>
    <cellStyle name="_Chelan Debt Forecast 12.19.05_4 31 Regulatory Assets and Liabilities  7 06- Exhibit D" xfId="558"/>
    <cellStyle name="_Chelan Debt Forecast 12.19.05_4 31 Regulatory Assets and Liabilities  7 06- Exhibit D 2" xfId="559"/>
    <cellStyle name="_Chelan Debt Forecast 12.19.05_4 31 Regulatory Assets and Liabilities  7 06- Exhibit D 2 2" xfId="3939"/>
    <cellStyle name="_Chelan Debt Forecast 12.19.05_4 31 Regulatory Assets and Liabilities  7 06- Exhibit D 2 2 2" xfId="14698"/>
    <cellStyle name="_Chelan Debt Forecast 12.19.05_4 31 Regulatory Assets and Liabilities  7 06- Exhibit D 3" xfId="3938"/>
    <cellStyle name="_Chelan Debt Forecast 12.19.05_4 31 Regulatory Assets and Liabilities  7 06- Exhibit D 3 2" xfId="20046"/>
    <cellStyle name="_Chelan Debt Forecast 12.19.05_4 31 Regulatory Assets and Liabilities  7 06- Exhibit D_DEM-WP(C) ENERG10C--ctn Mid-C_042010 2010GRC" xfId="12174"/>
    <cellStyle name="_Chelan Debt Forecast 12.19.05_4 31 Regulatory Assets and Liabilities  7 06- Exhibit D_NIM Summary" xfId="560"/>
    <cellStyle name="_Chelan Debt Forecast 12.19.05_4 31 Regulatory Assets and Liabilities  7 06- Exhibit D_NIM Summary 2" xfId="561"/>
    <cellStyle name="_Chelan Debt Forecast 12.19.05_4 31 Regulatory Assets and Liabilities  7 06- Exhibit D_NIM Summary 2 2" xfId="3941"/>
    <cellStyle name="_Chelan Debt Forecast 12.19.05_4 31 Regulatory Assets and Liabilities  7 06- Exhibit D_NIM Summary 3" xfId="3940"/>
    <cellStyle name="_Chelan Debt Forecast 12.19.05_4 31 Regulatory Assets and Liabilities  7 06- Exhibit D_NIM Summary_DEM-WP(C) ENERG10C--ctn Mid-C_042010 2010GRC" xfId="12175"/>
    <cellStyle name="_Chelan Debt Forecast 12.19.05_4 31 Regulatory Assets and Liabilities  7 06- Exhibit D_NIM+O&amp;M" xfId="12176"/>
    <cellStyle name="_Chelan Debt Forecast 12.19.05_4 31 Regulatory Assets and Liabilities  7 06- Exhibit D_NIM+O&amp;M 2" xfId="23501"/>
    <cellStyle name="_Chelan Debt Forecast 12.19.05_4 31 Regulatory Assets and Liabilities  7 06- Exhibit D_NIM+O&amp;M Monthly" xfId="12177"/>
    <cellStyle name="_Chelan Debt Forecast 12.19.05_4 31 Regulatory Assets and Liabilities  7 06- Exhibit D_NIM+O&amp;M Monthly 2" xfId="23502"/>
    <cellStyle name="_Chelan Debt Forecast 12.19.05_4 31E Reg Asset  Liab and EXH D" xfId="12178"/>
    <cellStyle name="_Chelan Debt Forecast 12.19.05_4 31E Reg Asset  Liab and EXH D _ Aug 10 Filing (2)" xfId="12179"/>
    <cellStyle name="_Chelan Debt Forecast 12.19.05_4 31E Reg Asset  Liab and EXH D _ Aug 10 Filing (2) 2" xfId="23503"/>
    <cellStyle name="_Chelan Debt Forecast 12.19.05_4 31E Reg Asset  Liab and EXH D 10" xfId="23504"/>
    <cellStyle name="_Chelan Debt Forecast 12.19.05_4 31E Reg Asset  Liab and EXH D 11" xfId="23505"/>
    <cellStyle name="_Chelan Debt Forecast 12.19.05_4 31E Reg Asset  Liab and EXH D 12" xfId="23506"/>
    <cellStyle name="_Chelan Debt Forecast 12.19.05_4 31E Reg Asset  Liab and EXH D 13" xfId="23507"/>
    <cellStyle name="_Chelan Debt Forecast 12.19.05_4 31E Reg Asset  Liab and EXH D 14" xfId="23508"/>
    <cellStyle name="_Chelan Debt Forecast 12.19.05_4 31E Reg Asset  Liab and EXH D 15" xfId="23509"/>
    <cellStyle name="_Chelan Debt Forecast 12.19.05_4 31E Reg Asset  Liab and EXH D 16" xfId="23510"/>
    <cellStyle name="_Chelan Debt Forecast 12.19.05_4 31E Reg Asset  Liab and EXH D 17" xfId="23511"/>
    <cellStyle name="_Chelan Debt Forecast 12.19.05_4 31E Reg Asset  Liab and EXH D 18" xfId="23512"/>
    <cellStyle name="_Chelan Debt Forecast 12.19.05_4 31E Reg Asset  Liab and EXH D 19" xfId="23513"/>
    <cellStyle name="_Chelan Debt Forecast 12.19.05_4 31E Reg Asset  Liab and EXH D 2" xfId="23514"/>
    <cellStyle name="_Chelan Debt Forecast 12.19.05_4 31E Reg Asset  Liab and EXH D 20" xfId="23515"/>
    <cellStyle name="_Chelan Debt Forecast 12.19.05_4 31E Reg Asset  Liab and EXH D 21" xfId="23516"/>
    <cellStyle name="_Chelan Debt Forecast 12.19.05_4 31E Reg Asset  Liab and EXH D 22" xfId="23517"/>
    <cellStyle name="_Chelan Debt Forecast 12.19.05_4 31E Reg Asset  Liab and EXH D 23" xfId="23518"/>
    <cellStyle name="_Chelan Debt Forecast 12.19.05_4 31E Reg Asset  Liab and EXH D 24" xfId="23519"/>
    <cellStyle name="_Chelan Debt Forecast 12.19.05_4 31E Reg Asset  Liab and EXH D 25" xfId="23520"/>
    <cellStyle name="_Chelan Debt Forecast 12.19.05_4 31E Reg Asset  Liab and EXH D 26" xfId="23521"/>
    <cellStyle name="_Chelan Debt Forecast 12.19.05_4 31E Reg Asset  Liab and EXH D 27" xfId="23522"/>
    <cellStyle name="_Chelan Debt Forecast 12.19.05_4 31E Reg Asset  Liab and EXH D 28" xfId="23523"/>
    <cellStyle name="_Chelan Debt Forecast 12.19.05_4 31E Reg Asset  Liab and EXH D 29" xfId="23524"/>
    <cellStyle name="_Chelan Debt Forecast 12.19.05_4 31E Reg Asset  Liab and EXH D 3" xfId="23525"/>
    <cellStyle name="_Chelan Debt Forecast 12.19.05_4 31E Reg Asset  Liab and EXH D 30" xfId="23526"/>
    <cellStyle name="_Chelan Debt Forecast 12.19.05_4 31E Reg Asset  Liab and EXH D 31" xfId="23527"/>
    <cellStyle name="_Chelan Debt Forecast 12.19.05_4 31E Reg Asset  Liab and EXH D 32" xfId="23528"/>
    <cellStyle name="_Chelan Debt Forecast 12.19.05_4 31E Reg Asset  Liab and EXH D 33" xfId="23529"/>
    <cellStyle name="_Chelan Debt Forecast 12.19.05_4 31E Reg Asset  Liab and EXH D 34" xfId="23530"/>
    <cellStyle name="_Chelan Debt Forecast 12.19.05_4 31E Reg Asset  Liab and EXH D 35" xfId="23531"/>
    <cellStyle name="_Chelan Debt Forecast 12.19.05_4 31E Reg Asset  Liab and EXH D 36" xfId="23532"/>
    <cellStyle name="_Chelan Debt Forecast 12.19.05_4 31E Reg Asset  Liab and EXH D 4" xfId="23533"/>
    <cellStyle name="_Chelan Debt Forecast 12.19.05_4 31E Reg Asset  Liab and EXH D 5" xfId="23534"/>
    <cellStyle name="_Chelan Debt Forecast 12.19.05_4 31E Reg Asset  Liab and EXH D 6" xfId="23535"/>
    <cellStyle name="_Chelan Debt Forecast 12.19.05_4 31E Reg Asset  Liab and EXH D 7" xfId="23536"/>
    <cellStyle name="_Chelan Debt Forecast 12.19.05_4 31E Reg Asset  Liab and EXH D 8" xfId="23537"/>
    <cellStyle name="_Chelan Debt Forecast 12.19.05_4 31E Reg Asset  Liab and EXH D 9" xfId="23538"/>
    <cellStyle name="_Chelan Debt Forecast 12.19.05_4 32 Regulatory Assets and Liabilities  7 06- Exhibit D" xfId="562"/>
    <cellStyle name="_Chelan Debt Forecast 12.19.05_4 32 Regulatory Assets and Liabilities  7 06- Exhibit D 2" xfId="563"/>
    <cellStyle name="_Chelan Debt Forecast 12.19.05_4 32 Regulatory Assets and Liabilities  7 06- Exhibit D 2 2" xfId="3943"/>
    <cellStyle name="_Chelan Debt Forecast 12.19.05_4 32 Regulatory Assets and Liabilities  7 06- Exhibit D 2 2 2" xfId="14699"/>
    <cellStyle name="_Chelan Debt Forecast 12.19.05_4 32 Regulatory Assets and Liabilities  7 06- Exhibit D 3" xfId="3942"/>
    <cellStyle name="_Chelan Debt Forecast 12.19.05_4 32 Regulatory Assets and Liabilities  7 06- Exhibit D 3 2" xfId="20047"/>
    <cellStyle name="_Chelan Debt Forecast 12.19.05_4 32 Regulatory Assets and Liabilities  7 06- Exhibit D_DEM-WP(C) ENERG10C--ctn Mid-C_042010 2010GRC" xfId="12180"/>
    <cellStyle name="_Chelan Debt Forecast 12.19.05_4 32 Regulatory Assets and Liabilities  7 06- Exhibit D_NIM Summary" xfId="564"/>
    <cellStyle name="_Chelan Debt Forecast 12.19.05_4 32 Regulatory Assets and Liabilities  7 06- Exhibit D_NIM Summary 2" xfId="565"/>
    <cellStyle name="_Chelan Debt Forecast 12.19.05_4 32 Regulatory Assets and Liabilities  7 06- Exhibit D_NIM Summary 2 2" xfId="3945"/>
    <cellStyle name="_Chelan Debt Forecast 12.19.05_4 32 Regulatory Assets and Liabilities  7 06- Exhibit D_NIM Summary 3" xfId="3944"/>
    <cellStyle name="_Chelan Debt Forecast 12.19.05_4 32 Regulatory Assets and Liabilities  7 06- Exhibit D_NIM Summary_DEM-WP(C) ENERG10C--ctn Mid-C_042010 2010GRC" xfId="12181"/>
    <cellStyle name="_Chelan Debt Forecast 12.19.05_4 32 Regulatory Assets and Liabilities  7 06- Exhibit D_NIM+O&amp;M" xfId="12182"/>
    <cellStyle name="_Chelan Debt Forecast 12.19.05_4 32 Regulatory Assets and Liabilities  7 06- Exhibit D_NIM+O&amp;M 2" xfId="23539"/>
    <cellStyle name="_Chelan Debt Forecast 12.19.05_4 32 Regulatory Assets and Liabilities  7 06- Exhibit D_NIM+O&amp;M Monthly" xfId="12183"/>
    <cellStyle name="_Chelan Debt Forecast 12.19.05_4 32 Regulatory Assets and Liabilities  7 06- Exhibit D_NIM+O&amp;M Monthly 2" xfId="23540"/>
    <cellStyle name="_Chelan Debt Forecast 12.19.05_AURORA Total New" xfId="566"/>
    <cellStyle name="_Chelan Debt Forecast 12.19.05_AURORA Total New 2" xfId="567"/>
    <cellStyle name="_Chelan Debt Forecast 12.19.05_AURORA Total New 2 2" xfId="3947"/>
    <cellStyle name="_Chelan Debt Forecast 12.19.05_AURORA Total New 3" xfId="3946"/>
    <cellStyle name="_Chelan Debt Forecast 12.19.05_Book2" xfId="568"/>
    <cellStyle name="_Chelan Debt Forecast 12.19.05_Book2 2" xfId="569"/>
    <cellStyle name="_Chelan Debt Forecast 12.19.05_Book2 2 2" xfId="3949"/>
    <cellStyle name="_Chelan Debt Forecast 12.19.05_Book2 2 2 2" xfId="20048"/>
    <cellStyle name="_Chelan Debt Forecast 12.19.05_Book2 2 3" xfId="16037"/>
    <cellStyle name="_Chelan Debt Forecast 12.19.05_Book2 3" xfId="3948"/>
    <cellStyle name="_Chelan Debt Forecast 12.19.05_Book2 3 2" xfId="20049"/>
    <cellStyle name="_Chelan Debt Forecast 12.19.05_Book2 4" xfId="16036"/>
    <cellStyle name="_Chelan Debt Forecast 12.19.05_Book2_Adj Bench DR 3 for Initial Briefs (Electric)" xfId="570"/>
    <cellStyle name="_Chelan Debt Forecast 12.19.05_Book2_Adj Bench DR 3 for Initial Briefs (Electric) 2" xfId="571"/>
    <cellStyle name="_Chelan Debt Forecast 12.19.05_Book2_Adj Bench DR 3 for Initial Briefs (Electric) 2 2" xfId="3951"/>
    <cellStyle name="_Chelan Debt Forecast 12.19.05_Book2_Adj Bench DR 3 for Initial Briefs (Electric) 2 2 2" xfId="20050"/>
    <cellStyle name="_Chelan Debt Forecast 12.19.05_Book2_Adj Bench DR 3 for Initial Briefs (Electric) 2 3" xfId="16039"/>
    <cellStyle name="_Chelan Debt Forecast 12.19.05_Book2_Adj Bench DR 3 for Initial Briefs (Electric) 3" xfId="3950"/>
    <cellStyle name="_Chelan Debt Forecast 12.19.05_Book2_Adj Bench DR 3 for Initial Briefs (Electric) 3 2" xfId="20051"/>
    <cellStyle name="_Chelan Debt Forecast 12.19.05_Book2_Adj Bench DR 3 for Initial Briefs (Electric) 4" xfId="16038"/>
    <cellStyle name="_Chelan Debt Forecast 12.19.05_Book2_Adj Bench DR 3 for Initial Briefs (Electric)_DEM-WP(C) ENERG10C--ctn Mid-C_042010 2010GRC" xfId="12184"/>
    <cellStyle name="_Chelan Debt Forecast 12.19.05_Book2_DEM-WP(C) ENERG10C--ctn Mid-C_042010 2010GRC" xfId="12185"/>
    <cellStyle name="_Chelan Debt Forecast 12.19.05_Book2_Electric Rev Req Model (2009 GRC) Rebuttal" xfId="572"/>
    <cellStyle name="_Chelan Debt Forecast 12.19.05_Book2_Electric Rev Req Model (2009 GRC) Rebuttal 2" xfId="3952"/>
    <cellStyle name="_Chelan Debt Forecast 12.19.05_Book2_Electric Rev Req Model (2009 GRC) Rebuttal 2 2" xfId="6882"/>
    <cellStyle name="_Chelan Debt Forecast 12.19.05_Book2_Electric Rev Req Model (2009 GRC) Rebuttal 2 2 2" xfId="20052"/>
    <cellStyle name="_Chelan Debt Forecast 12.19.05_Book2_Electric Rev Req Model (2009 GRC) Rebuttal 2 3" xfId="18279"/>
    <cellStyle name="_Chelan Debt Forecast 12.19.05_Book2_Electric Rev Req Model (2009 GRC) Rebuttal 3" xfId="6883"/>
    <cellStyle name="_Chelan Debt Forecast 12.19.05_Book2_Electric Rev Req Model (2009 GRC) Rebuttal 3 2" xfId="20053"/>
    <cellStyle name="_Chelan Debt Forecast 12.19.05_Book2_Electric Rev Req Model (2009 GRC) Rebuttal 4" xfId="16040"/>
    <cellStyle name="_Chelan Debt Forecast 12.19.05_Book2_Electric Rev Req Model (2009 GRC) Rebuttal REmoval of New  WH Solar AdjustMI" xfId="573"/>
    <cellStyle name="_Chelan Debt Forecast 12.19.05_Book2_Electric Rev Req Model (2009 GRC) Rebuttal REmoval of New  WH Solar AdjustMI 2" xfId="574"/>
    <cellStyle name="_Chelan Debt Forecast 12.19.05_Book2_Electric Rev Req Model (2009 GRC) Rebuttal REmoval of New  WH Solar AdjustMI 2 2" xfId="3954"/>
    <cellStyle name="_Chelan Debt Forecast 12.19.05_Book2_Electric Rev Req Model (2009 GRC) Rebuttal REmoval of New  WH Solar AdjustMI 2 2 2" xfId="20054"/>
    <cellStyle name="_Chelan Debt Forecast 12.19.05_Book2_Electric Rev Req Model (2009 GRC) Rebuttal REmoval of New  WH Solar AdjustMI 2 3" xfId="16042"/>
    <cellStyle name="_Chelan Debt Forecast 12.19.05_Book2_Electric Rev Req Model (2009 GRC) Rebuttal REmoval of New  WH Solar AdjustMI 3" xfId="3953"/>
    <cellStyle name="_Chelan Debt Forecast 12.19.05_Book2_Electric Rev Req Model (2009 GRC) Rebuttal REmoval of New  WH Solar AdjustMI 3 2" xfId="20055"/>
    <cellStyle name="_Chelan Debt Forecast 12.19.05_Book2_Electric Rev Req Model (2009 GRC) Rebuttal REmoval of New  WH Solar AdjustMI 4" xfId="16041"/>
    <cellStyle name="_Chelan Debt Forecast 12.19.05_Book2_Electric Rev Req Model (2009 GRC) Rebuttal REmoval of New  WH Solar AdjustMI_DEM-WP(C) ENERG10C--ctn Mid-C_042010 2010GRC" xfId="12186"/>
    <cellStyle name="_Chelan Debt Forecast 12.19.05_Book2_Electric Rev Req Model (2009 GRC) Revised 01-18-2010" xfId="575"/>
    <cellStyle name="_Chelan Debt Forecast 12.19.05_Book2_Electric Rev Req Model (2009 GRC) Revised 01-18-2010 2" xfId="576"/>
    <cellStyle name="_Chelan Debt Forecast 12.19.05_Book2_Electric Rev Req Model (2009 GRC) Revised 01-18-2010 2 2" xfId="3956"/>
    <cellStyle name="_Chelan Debt Forecast 12.19.05_Book2_Electric Rev Req Model (2009 GRC) Revised 01-18-2010 2 2 2" xfId="20056"/>
    <cellStyle name="_Chelan Debt Forecast 12.19.05_Book2_Electric Rev Req Model (2009 GRC) Revised 01-18-2010 2 3" xfId="16044"/>
    <cellStyle name="_Chelan Debt Forecast 12.19.05_Book2_Electric Rev Req Model (2009 GRC) Revised 01-18-2010 3" xfId="3955"/>
    <cellStyle name="_Chelan Debt Forecast 12.19.05_Book2_Electric Rev Req Model (2009 GRC) Revised 01-18-2010 3 2" xfId="20057"/>
    <cellStyle name="_Chelan Debt Forecast 12.19.05_Book2_Electric Rev Req Model (2009 GRC) Revised 01-18-2010 4" xfId="16043"/>
    <cellStyle name="_Chelan Debt Forecast 12.19.05_Book2_Electric Rev Req Model (2009 GRC) Revised 01-18-2010_DEM-WP(C) ENERG10C--ctn Mid-C_042010 2010GRC" xfId="12187"/>
    <cellStyle name="_Chelan Debt Forecast 12.19.05_Book2_Final Order Electric EXHIBIT A-1" xfId="577"/>
    <cellStyle name="_Chelan Debt Forecast 12.19.05_Book2_Final Order Electric EXHIBIT A-1 2" xfId="3957"/>
    <cellStyle name="_Chelan Debt Forecast 12.19.05_Book2_Final Order Electric EXHIBIT A-1 2 2" xfId="6884"/>
    <cellStyle name="_Chelan Debt Forecast 12.19.05_Book2_Final Order Electric EXHIBIT A-1 2 2 2" xfId="20058"/>
    <cellStyle name="_Chelan Debt Forecast 12.19.05_Book2_Final Order Electric EXHIBIT A-1 2 3" xfId="18280"/>
    <cellStyle name="_Chelan Debt Forecast 12.19.05_Book2_Final Order Electric EXHIBIT A-1 3" xfId="6885"/>
    <cellStyle name="_Chelan Debt Forecast 12.19.05_Book2_Final Order Electric EXHIBIT A-1 3 2" xfId="20059"/>
    <cellStyle name="_Chelan Debt Forecast 12.19.05_Book2_Final Order Electric EXHIBIT A-1 4" xfId="16045"/>
    <cellStyle name="_Chelan Debt Forecast 12.19.05_Book4" xfId="578"/>
    <cellStyle name="_Chelan Debt Forecast 12.19.05_Book4 2" xfId="579"/>
    <cellStyle name="_Chelan Debt Forecast 12.19.05_Book4 2 2" xfId="3959"/>
    <cellStyle name="_Chelan Debt Forecast 12.19.05_Book4 2 2 2" xfId="20060"/>
    <cellStyle name="_Chelan Debt Forecast 12.19.05_Book4 2 3" xfId="16047"/>
    <cellStyle name="_Chelan Debt Forecast 12.19.05_Book4 3" xfId="3958"/>
    <cellStyle name="_Chelan Debt Forecast 12.19.05_Book4 3 2" xfId="20061"/>
    <cellStyle name="_Chelan Debt Forecast 12.19.05_Book4 4" xfId="16046"/>
    <cellStyle name="_Chelan Debt Forecast 12.19.05_Book4_DEM-WP(C) ENERG10C--ctn Mid-C_042010 2010GRC" xfId="12188"/>
    <cellStyle name="_Chelan Debt Forecast 12.19.05_Book9" xfId="580"/>
    <cellStyle name="_Chelan Debt Forecast 12.19.05_Book9 2" xfId="581"/>
    <cellStyle name="_Chelan Debt Forecast 12.19.05_Book9 2 2" xfId="3961"/>
    <cellStyle name="_Chelan Debt Forecast 12.19.05_Book9 2 2 2" xfId="20062"/>
    <cellStyle name="_Chelan Debt Forecast 12.19.05_Book9 2 3" xfId="16049"/>
    <cellStyle name="_Chelan Debt Forecast 12.19.05_Book9 3" xfId="3960"/>
    <cellStyle name="_Chelan Debt Forecast 12.19.05_Book9 3 2" xfId="20063"/>
    <cellStyle name="_Chelan Debt Forecast 12.19.05_Book9 4" xfId="16048"/>
    <cellStyle name="_Chelan Debt Forecast 12.19.05_Book9_DEM-WP(C) ENERG10C--ctn Mid-C_042010 2010GRC" xfId="12189"/>
    <cellStyle name="_Chelan Debt Forecast 12.19.05_Check the Interest Calculation" xfId="14700"/>
    <cellStyle name="_Chelan Debt Forecast 12.19.05_Check the Interest Calculation_Scenario 1 REC vs PTC Offset" xfId="14701"/>
    <cellStyle name="_Chelan Debt Forecast 12.19.05_Check the Interest Calculation_Scenario 3" xfId="14702"/>
    <cellStyle name="_Chelan Debt Forecast 12.19.05_Chelan PUD Power Costs (8-10)" xfId="12190"/>
    <cellStyle name="_Chelan Debt Forecast 12.19.05_Chelan PUD Power Costs (8-10) 2" xfId="23541"/>
    <cellStyle name="_Chelan Debt Forecast 12.19.05_DEM-WP(C) Chelan Power Costs" xfId="12191"/>
    <cellStyle name="_Chelan Debt Forecast 12.19.05_DEM-WP(C) Chelan Power Costs 2" xfId="23542"/>
    <cellStyle name="_Chelan Debt Forecast 12.19.05_DEM-WP(C) ENERG10C--ctn Mid-C_042010 2010GRC" xfId="12192"/>
    <cellStyle name="_Chelan Debt Forecast 12.19.05_DEM-WP(C) Gas Transport 2010GRC" xfId="12193"/>
    <cellStyle name="_Chelan Debt Forecast 12.19.05_DEM-WP(C) Gas Transport 2010GRC 2" xfId="23543"/>
    <cellStyle name="_Chelan Debt Forecast 12.19.05_Exh A-1 resulting from UE-112050 effective Jan 1 2012" xfId="14703"/>
    <cellStyle name="_Chelan Debt Forecast 12.19.05_Exh G - Klamath Peaker PPA fr C Locke 2-12" xfId="14704"/>
    <cellStyle name="_Chelan Debt Forecast 12.19.05_Exhibit A-1 effective 4-1-11 fr S Free 12-11" xfId="14705"/>
    <cellStyle name="_Chelan Debt Forecast 12.19.05_Exhibit D fr R Gho 12-31-08" xfId="582"/>
    <cellStyle name="_Chelan Debt Forecast 12.19.05_Exhibit D fr R Gho 12-31-08 2" xfId="583"/>
    <cellStyle name="_Chelan Debt Forecast 12.19.05_Exhibit D fr R Gho 12-31-08 2 2" xfId="3963"/>
    <cellStyle name="_Chelan Debt Forecast 12.19.05_Exhibit D fr R Gho 12-31-08 3" xfId="3962"/>
    <cellStyle name="_Chelan Debt Forecast 12.19.05_Exhibit D fr R Gho 12-31-08 v2" xfId="584"/>
    <cellStyle name="_Chelan Debt Forecast 12.19.05_Exhibit D fr R Gho 12-31-08 v2 2" xfId="585"/>
    <cellStyle name="_Chelan Debt Forecast 12.19.05_Exhibit D fr R Gho 12-31-08 v2 2 2" xfId="3965"/>
    <cellStyle name="_Chelan Debt Forecast 12.19.05_Exhibit D fr R Gho 12-31-08 v2 3" xfId="3964"/>
    <cellStyle name="_Chelan Debt Forecast 12.19.05_Exhibit D fr R Gho 12-31-08 v2_DEM-WP(C) ENERG10C--ctn Mid-C_042010 2010GRC" xfId="12194"/>
    <cellStyle name="_Chelan Debt Forecast 12.19.05_Exhibit D fr R Gho 12-31-08 v2_NIM Summary" xfId="586"/>
    <cellStyle name="_Chelan Debt Forecast 12.19.05_Exhibit D fr R Gho 12-31-08 v2_NIM Summary 2" xfId="587"/>
    <cellStyle name="_Chelan Debt Forecast 12.19.05_Exhibit D fr R Gho 12-31-08 v2_NIM Summary 2 2" xfId="3967"/>
    <cellStyle name="_Chelan Debt Forecast 12.19.05_Exhibit D fr R Gho 12-31-08 v2_NIM Summary 3" xfId="3966"/>
    <cellStyle name="_Chelan Debt Forecast 12.19.05_Exhibit D fr R Gho 12-31-08 v2_NIM Summary_DEM-WP(C) ENERG10C--ctn Mid-C_042010 2010GRC" xfId="12195"/>
    <cellStyle name="_Chelan Debt Forecast 12.19.05_Exhibit D fr R Gho 12-31-08_DEM-WP(C) ENERG10C--ctn Mid-C_042010 2010GRC" xfId="12196"/>
    <cellStyle name="_Chelan Debt Forecast 12.19.05_Exhibit D fr R Gho 12-31-08_NIM Summary" xfId="588"/>
    <cellStyle name="_Chelan Debt Forecast 12.19.05_Exhibit D fr R Gho 12-31-08_NIM Summary 2" xfId="589"/>
    <cellStyle name="_Chelan Debt Forecast 12.19.05_Exhibit D fr R Gho 12-31-08_NIM Summary 2 2" xfId="3969"/>
    <cellStyle name="_Chelan Debt Forecast 12.19.05_Exhibit D fr R Gho 12-31-08_NIM Summary 3" xfId="3968"/>
    <cellStyle name="_Chelan Debt Forecast 12.19.05_Exhibit D fr R Gho 12-31-08_NIM Summary_DEM-WP(C) ENERG10C--ctn Mid-C_042010 2010GRC" xfId="12197"/>
    <cellStyle name="_Chelan Debt Forecast 12.19.05_Hopkins Ridge Prepaid Tran - Interest Earned RY 12ME Feb  '11" xfId="590"/>
    <cellStyle name="_Chelan Debt Forecast 12.19.05_Hopkins Ridge Prepaid Tran - Interest Earned RY 12ME Feb  '11 2" xfId="591"/>
    <cellStyle name="_Chelan Debt Forecast 12.19.05_Hopkins Ridge Prepaid Tran - Interest Earned RY 12ME Feb  '11 2 2" xfId="3971"/>
    <cellStyle name="_Chelan Debt Forecast 12.19.05_Hopkins Ridge Prepaid Tran - Interest Earned RY 12ME Feb  '11 3" xfId="3970"/>
    <cellStyle name="_Chelan Debt Forecast 12.19.05_Hopkins Ridge Prepaid Tran - Interest Earned RY 12ME Feb  '11_DEM-WP(C) ENERG10C--ctn Mid-C_042010 2010GRC" xfId="12198"/>
    <cellStyle name="_Chelan Debt Forecast 12.19.05_Hopkins Ridge Prepaid Tran - Interest Earned RY 12ME Feb  '11_NIM Summary" xfId="592"/>
    <cellStyle name="_Chelan Debt Forecast 12.19.05_Hopkins Ridge Prepaid Tran - Interest Earned RY 12ME Feb  '11_NIM Summary 2" xfId="593"/>
    <cellStyle name="_Chelan Debt Forecast 12.19.05_Hopkins Ridge Prepaid Tran - Interest Earned RY 12ME Feb  '11_NIM Summary 2 2" xfId="3973"/>
    <cellStyle name="_Chelan Debt Forecast 12.19.05_Hopkins Ridge Prepaid Tran - Interest Earned RY 12ME Feb  '11_NIM Summary 3" xfId="3972"/>
    <cellStyle name="_Chelan Debt Forecast 12.19.05_Hopkins Ridge Prepaid Tran - Interest Earned RY 12ME Feb  '11_NIM Summary_DEM-WP(C) ENERG10C--ctn Mid-C_042010 2010GRC" xfId="12199"/>
    <cellStyle name="_Chelan Debt Forecast 12.19.05_Hopkins Ridge Prepaid Tran - Interest Earned RY 12ME Feb  '11_Transmission Workbook for May BOD" xfId="594"/>
    <cellStyle name="_Chelan Debt Forecast 12.19.05_Hopkins Ridge Prepaid Tran - Interest Earned RY 12ME Feb  '11_Transmission Workbook for May BOD 2" xfId="595"/>
    <cellStyle name="_Chelan Debt Forecast 12.19.05_Hopkins Ridge Prepaid Tran - Interest Earned RY 12ME Feb  '11_Transmission Workbook for May BOD 2 2" xfId="3975"/>
    <cellStyle name="_Chelan Debt Forecast 12.19.05_Hopkins Ridge Prepaid Tran - Interest Earned RY 12ME Feb  '11_Transmission Workbook for May BOD 3" xfId="3974"/>
    <cellStyle name="_Chelan Debt Forecast 12.19.05_Hopkins Ridge Prepaid Tran - Interest Earned RY 12ME Feb  '11_Transmission Workbook for May BOD_DEM-WP(C) ENERG10C--ctn Mid-C_042010 2010GRC" xfId="12200"/>
    <cellStyle name="_Chelan Debt Forecast 12.19.05_INPUTS" xfId="6886"/>
    <cellStyle name="_Chelan Debt Forecast 12.19.05_INPUTS 2" xfId="6887"/>
    <cellStyle name="_Chelan Debt Forecast 12.19.05_INPUTS 2 2" xfId="6888"/>
    <cellStyle name="_Chelan Debt Forecast 12.19.05_INPUTS 2 2 2" xfId="20064"/>
    <cellStyle name="_Chelan Debt Forecast 12.19.05_INPUTS 2 3" xfId="18282"/>
    <cellStyle name="_Chelan Debt Forecast 12.19.05_INPUTS 3" xfId="6889"/>
    <cellStyle name="_Chelan Debt Forecast 12.19.05_INPUTS 3 2" xfId="20065"/>
    <cellStyle name="_Chelan Debt Forecast 12.19.05_INPUTS 4" xfId="18281"/>
    <cellStyle name="_Chelan Debt Forecast 12.19.05_LSRWEP LGIA like Acctg Petition Aug 2010" xfId="12201"/>
    <cellStyle name="_Chelan Debt Forecast 12.19.05_LSRWEP LGIA like Acctg Petition Aug 2010 2" xfId="23544"/>
    <cellStyle name="_Chelan Debt Forecast 12.19.05_Mint Farm Generation BPA" xfId="23545"/>
    <cellStyle name="_Chelan Debt Forecast 12.19.05_NIM Summary" xfId="596"/>
    <cellStyle name="_Chelan Debt Forecast 12.19.05_NIM Summary 09GRC" xfId="597"/>
    <cellStyle name="_Chelan Debt Forecast 12.19.05_NIM Summary 09GRC 2" xfId="598"/>
    <cellStyle name="_Chelan Debt Forecast 12.19.05_NIM Summary 09GRC 2 2" xfId="3978"/>
    <cellStyle name="_Chelan Debt Forecast 12.19.05_NIM Summary 09GRC 3" xfId="3977"/>
    <cellStyle name="_Chelan Debt Forecast 12.19.05_NIM Summary 09GRC_DEM-WP(C) ENERG10C--ctn Mid-C_042010 2010GRC" xfId="12202"/>
    <cellStyle name="_Chelan Debt Forecast 12.19.05_NIM Summary 10" xfId="3976"/>
    <cellStyle name="_Chelan Debt Forecast 12.19.05_NIM Summary 11" xfId="6219"/>
    <cellStyle name="_Chelan Debt Forecast 12.19.05_NIM Summary 12" xfId="6285"/>
    <cellStyle name="_Chelan Debt Forecast 12.19.05_NIM Summary 13" xfId="3598"/>
    <cellStyle name="_Chelan Debt Forecast 12.19.05_NIM Summary 14" xfId="6312"/>
    <cellStyle name="_Chelan Debt Forecast 12.19.05_NIM Summary 15" xfId="14706"/>
    <cellStyle name="_Chelan Debt Forecast 12.19.05_NIM Summary 16" xfId="14707"/>
    <cellStyle name="_Chelan Debt Forecast 12.19.05_NIM Summary 17" xfId="14708"/>
    <cellStyle name="_Chelan Debt Forecast 12.19.05_NIM Summary 18" xfId="14709"/>
    <cellStyle name="_Chelan Debt Forecast 12.19.05_NIM Summary 19" xfId="14710"/>
    <cellStyle name="_Chelan Debt Forecast 12.19.05_NIM Summary 2" xfId="599"/>
    <cellStyle name="_Chelan Debt Forecast 12.19.05_NIM Summary 2 2" xfId="3979"/>
    <cellStyle name="_Chelan Debt Forecast 12.19.05_NIM Summary 20" xfId="14711"/>
    <cellStyle name="_Chelan Debt Forecast 12.19.05_NIM Summary 21" xfId="14712"/>
    <cellStyle name="_Chelan Debt Forecast 12.19.05_NIM Summary 22" xfId="14713"/>
    <cellStyle name="_Chelan Debt Forecast 12.19.05_NIM Summary 23" xfId="14714"/>
    <cellStyle name="_Chelan Debt Forecast 12.19.05_NIM Summary 24" xfId="14715"/>
    <cellStyle name="_Chelan Debt Forecast 12.19.05_NIM Summary 25" xfId="14716"/>
    <cellStyle name="_Chelan Debt Forecast 12.19.05_NIM Summary 26" xfId="14717"/>
    <cellStyle name="_Chelan Debt Forecast 12.19.05_NIM Summary 27" xfId="14718"/>
    <cellStyle name="_Chelan Debt Forecast 12.19.05_NIM Summary 28" xfId="14719"/>
    <cellStyle name="_Chelan Debt Forecast 12.19.05_NIM Summary 29" xfId="14720"/>
    <cellStyle name="_Chelan Debt Forecast 12.19.05_NIM Summary 3" xfId="600"/>
    <cellStyle name="_Chelan Debt Forecast 12.19.05_NIM Summary 3 2" xfId="3980"/>
    <cellStyle name="_Chelan Debt Forecast 12.19.05_NIM Summary 30" xfId="14721"/>
    <cellStyle name="_Chelan Debt Forecast 12.19.05_NIM Summary 31" xfId="14722"/>
    <cellStyle name="_Chelan Debt Forecast 12.19.05_NIM Summary 32" xfId="14723"/>
    <cellStyle name="_Chelan Debt Forecast 12.19.05_NIM Summary 33" xfId="14724"/>
    <cellStyle name="_Chelan Debt Forecast 12.19.05_NIM Summary 34" xfId="14725"/>
    <cellStyle name="_Chelan Debt Forecast 12.19.05_NIM Summary 35" xfId="14726"/>
    <cellStyle name="_Chelan Debt Forecast 12.19.05_NIM Summary 36" xfId="14727"/>
    <cellStyle name="_Chelan Debt Forecast 12.19.05_NIM Summary 37" xfId="14728"/>
    <cellStyle name="_Chelan Debt Forecast 12.19.05_NIM Summary 38" xfId="14729"/>
    <cellStyle name="_Chelan Debt Forecast 12.19.05_NIM Summary 39" xfId="14730"/>
    <cellStyle name="_Chelan Debt Forecast 12.19.05_NIM Summary 4" xfId="601"/>
    <cellStyle name="_Chelan Debt Forecast 12.19.05_NIM Summary 4 2" xfId="3981"/>
    <cellStyle name="_Chelan Debt Forecast 12.19.05_NIM Summary 40" xfId="14731"/>
    <cellStyle name="_Chelan Debt Forecast 12.19.05_NIM Summary 41" xfId="14732"/>
    <cellStyle name="_Chelan Debt Forecast 12.19.05_NIM Summary 42" xfId="16050"/>
    <cellStyle name="_Chelan Debt Forecast 12.19.05_NIM Summary 43" xfId="16128"/>
    <cellStyle name="_Chelan Debt Forecast 12.19.05_NIM Summary 44" xfId="23546"/>
    <cellStyle name="_Chelan Debt Forecast 12.19.05_NIM Summary 45" xfId="23547"/>
    <cellStyle name="_Chelan Debt Forecast 12.19.05_NIM Summary 46" xfId="23548"/>
    <cellStyle name="_Chelan Debt Forecast 12.19.05_NIM Summary 47" xfId="23549"/>
    <cellStyle name="_Chelan Debt Forecast 12.19.05_NIM Summary 48" xfId="23550"/>
    <cellStyle name="_Chelan Debt Forecast 12.19.05_NIM Summary 49" xfId="23551"/>
    <cellStyle name="_Chelan Debt Forecast 12.19.05_NIM Summary 5" xfId="602"/>
    <cellStyle name="_Chelan Debt Forecast 12.19.05_NIM Summary 5 2" xfId="3982"/>
    <cellStyle name="_Chelan Debt Forecast 12.19.05_NIM Summary 50" xfId="23552"/>
    <cellStyle name="_Chelan Debt Forecast 12.19.05_NIM Summary 51" xfId="41136"/>
    <cellStyle name="_Chelan Debt Forecast 12.19.05_NIM Summary 52" xfId="6890"/>
    <cellStyle name="_Chelan Debt Forecast 12.19.05_NIM Summary 6" xfId="603"/>
    <cellStyle name="_Chelan Debt Forecast 12.19.05_NIM Summary 6 2" xfId="3983"/>
    <cellStyle name="_Chelan Debt Forecast 12.19.05_NIM Summary 7" xfId="604"/>
    <cellStyle name="_Chelan Debt Forecast 12.19.05_NIM Summary 7 2" xfId="3984"/>
    <cellStyle name="_Chelan Debt Forecast 12.19.05_NIM Summary 8" xfId="605"/>
    <cellStyle name="_Chelan Debt Forecast 12.19.05_NIM Summary 8 2" xfId="3985"/>
    <cellStyle name="_Chelan Debt Forecast 12.19.05_NIM Summary 9" xfId="606"/>
    <cellStyle name="_Chelan Debt Forecast 12.19.05_NIM Summary 9 2" xfId="3986"/>
    <cellStyle name="_Chelan Debt Forecast 12.19.05_NIM Summary_DEM-WP(C) ENERG10C--ctn Mid-C_042010 2010GRC" xfId="12203"/>
    <cellStyle name="_Chelan Debt Forecast 12.19.05_NIM+O&amp;M" xfId="12204"/>
    <cellStyle name="_Chelan Debt Forecast 12.19.05_NIM+O&amp;M 2" xfId="12205"/>
    <cellStyle name="_Chelan Debt Forecast 12.19.05_NIM+O&amp;M 2 2" xfId="23553"/>
    <cellStyle name="_Chelan Debt Forecast 12.19.05_NIM+O&amp;M 3" xfId="23554"/>
    <cellStyle name="_Chelan Debt Forecast 12.19.05_NIM+O&amp;M Monthly" xfId="12206"/>
    <cellStyle name="_Chelan Debt Forecast 12.19.05_NIM+O&amp;M Monthly 2" xfId="12207"/>
    <cellStyle name="_Chelan Debt Forecast 12.19.05_NIM+O&amp;M Monthly 2 2" xfId="23555"/>
    <cellStyle name="_Chelan Debt Forecast 12.19.05_NIM+O&amp;M Monthly 3" xfId="23556"/>
    <cellStyle name="_Chelan Debt Forecast 12.19.05_PCA 10 -  Exhibit D Dec 2011" xfId="14733"/>
    <cellStyle name="_Chelan Debt Forecast 12.19.05_PCA 10 -  Exhibit D from A Kellogg Jan 2011" xfId="14049"/>
    <cellStyle name="_Chelan Debt Forecast 12.19.05_PCA 10 -  Exhibit D from A Kellogg July 2011" xfId="14050"/>
    <cellStyle name="_Chelan Debt Forecast 12.19.05_PCA 10 -  Exhibit D from S Free Rcv'd 12-11" xfId="14051"/>
    <cellStyle name="_Chelan Debt Forecast 12.19.05_PCA 11 -  Exhibit D Jan 2012 fr A Kellogg" xfId="14734"/>
    <cellStyle name="_Chelan Debt Forecast 12.19.05_PCA 11 -  Exhibit D Jan 2012 WF" xfId="14735"/>
    <cellStyle name="_Chelan Debt Forecast 12.19.05_PCA 7 - Exhibit D update 11_30_08 (2)" xfId="607"/>
    <cellStyle name="_Chelan Debt Forecast 12.19.05_PCA 7 - Exhibit D update 11_30_08 (2) 2" xfId="608"/>
    <cellStyle name="_Chelan Debt Forecast 12.19.05_PCA 7 - Exhibit D update 11_30_08 (2) 2 2" xfId="609"/>
    <cellStyle name="_Chelan Debt Forecast 12.19.05_PCA 7 - Exhibit D update 11_30_08 (2) 2 2 2" xfId="3989"/>
    <cellStyle name="_Chelan Debt Forecast 12.19.05_PCA 7 - Exhibit D update 11_30_08 (2) 2 3" xfId="3988"/>
    <cellStyle name="_Chelan Debt Forecast 12.19.05_PCA 7 - Exhibit D update 11_30_08 (2) 3" xfId="610"/>
    <cellStyle name="_Chelan Debt Forecast 12.19.05_PCA 7 - Exhibit D update 11_30_08 (2) 3 2" xfId="3990"/>
    <cellStyle name="_Chelan Debt Forecast 12.19.05_PCA 7 - Exhibit D update 11_30_08 (2) 4" xfId="3987"/>
    <cellStyle name="_Chelan Debt Forecast 12.19.05_PCA 7 - Exhibit D update 11_30_08 (2)_DEM-WP(C) ENERG10C--ctn Mid-C_042010 2010GRC" xfId="12208"/>
    <cellStyle name="_Chelan Debt Forecast 12.19.05_PCA 7 - Exhibit D update 11_30_08 (2)_NIM Summary" xfId="611"/>
    <cellStyle name="_Chelan Debt Forecast 12.19.05_PCA 7 - Exhibit D update 11_30_08 (2)_NIM Summary 2" xfId="612"/>
    <cellStyle name="_Chelan Debt Forecast 12.19.05_PCA 7 - Exhibit D update 11_30_08 (2)_NIM Summary 2 2" xfId="3992"/>
    <cellStyle name="_Chelan Debt Forecast 12.19.05_PCA 7 - Exhibit D update 11_30_08 (2)_NIM Summary 3" xfId="3991"/>
    <cellStyle name="_Chelan Debt Forecast 12.19.05_PCA 7 - Exhibit D update 11_30_08 (2)_NIM Summary_DEM-WP(C) ENERG10C--ctn Mid-C_042010 2010GRC" xfId="12209"/>
    <cellStyle name="_Chelan Debt Forecast 12.19.05_PCA 8 - Exhibit D update 12_31_09" xfId="14052"/>
    <cellStyle name="_Chelan Debt Forecast 12.19.05_PCA 8 - Exhibit D update 12_31_09 2" xfId="14736"/>
    <cellStyle name="_Chelan Debt Forecast 12.19.05_PCA 9 -  Exhibit D April 2010" xfId="14053"/>
    <cellStyle name="_Chelan Debt Forecast 12.19.05_PCA 9 -  Exhibit D April 2010 (3)" xfId="613"/>
    <cellStyle name="_Chelan Debt Forecast 12.19.05_PCA 9 -  Exhibit D April 2010 (3) 2" xfId="614"/>
    <cellStyle name="_Chelan Debt Forecast 12.19.05_PCA 9 -  Exhibit D April 2010 (3) 2 2" xfId="3994"/>
    <cellStyle name="_Chelan Debt Forecast 12.19.05_PCA 9 -  Exhibit D April 2010 (3) 3" xfId="3993"/>
    <cellStyle name="_Chelan Debt Forecast 12.19.05_PCA 9 -  Exhibit D April 2010 (3)_DEM-WP(C) ENERG10C--ctn Mid-C_042010 2010GRC" xfId="12210"/>
    <cellStyle name="_Chelan Debt Forecast 12.19.05_PCA 9 -  Exhibit D April 2010 2" xfId="14737"/>
    <cellStyle name="_Chelan Debt Forecast 12.19.05_PCA 9 -  Exhibit D April 2010 3" xfId="14738"/>
    <cellStyle name="_Chelan Debt Forecast 12.19.05_PCA 9 -  Exhibit D April 2010 4" xfId="14739"/>
    <cellStyle name="_Chelan Debt Forecast 12.19.05_PCA 9 -  Exhibit D April 2010 5" xfId="14740"/>
    <cellStyle name="_Chelan Debt Forecast 12.19.05_PCA 9 -  Exhibit D April 2010 6" xfId="14741"/>
    <cellStyle name="_Chelan Debt Forecast 12.19.05_PCA 9 -  Exhibit D Feb 2010" xfId="14054"/>
    <cellStyle name="_Chelan Debt Forecast 12.19.05_PCA 9 -  Exhibit D Feb 2010 2" xfId="14742"/>
    <cellStyle name="_Chelan Debt Forecast 12.19.05_PCA 9 -  Exhibit D Feb 2010 v2" xfId="14055"/>
    <cellStyle name="_Chelan Debt Forecast 12.19.05_PCA 9 -  Exhibit D Feb 2010 v2 2" xfId="14743"/>
    <cellStyle name="_Chelan Debt Forecast 12.19.05_PCA 9 -  Exhibit D Feb 2010 WF" xfId="14056"/>
    <cellStyle name="_Chelan Debt Forecast 12.19.05_PCA 9 -  Exhibit D Feb 2010 WF 2" xfId="14744"/>
    <cellStyle name="_Chelan Debt Forecast 12.19.05_PCA 9 -  Exhibit D Jan 2010" xfId="14057"/>
    <cellStyle name="_Chelan Debt Forecast 12.19.05_PCA 9 -  Exhibit D Jan 2010 2" xfId="14745"/>
    <cellStyle name="_Chelan Debt Forecast 12.19.05_PCA 9 -  Exhibit D March 2010 (2)" xfId="14058"/>
    <cellStyle name="_Chelan Debt Forecast 12.19.05_PCA 9 -  Exhibit D March 2010 (2) 2" xfId="14746"/>
    <cellStyle name="_Chelan Debt Forecast 12.19.05_PCA 9 -  Exhibit D Nov 2010" xfId="14059"/>
    <cellStyle name="_Chelan Debt Forecast 12.19.05_PCA 9 -  Exhibit D Nov 2010 2" xfId="14747"/>
    <cellStyle name="_Chelan Debt Forecast 12.19.05_PCA 9 - Exhibit D at August 2010" xfId="14060"/>
    <cellStyle name="_Chelan Debt Forecast 12.19.05_PCA 9 - Exhibit D at August 2010 2" xfId="14748"/>
    <cellStyle name="_Chelan Debt Forecast 12.19.05_PCA 9 - Exhibit D June 2010 GRC" xfId="14061"/>
    <cellStyle name="_Chelan Debt Forecast 12.19.05_PCA 9 - Exhibit D June 2010 GRC 2" xfId="14749"/>
    <cellStyle name="_Chelan Debt Forecast 12.19.05_Power Costs - Comparison bx Rbtl-Staff-Jt-PC" xfId="615"/>
    <cellStyle name="_Chelan Debt Forecast 12.19.05_Power Costs - Comparison bx Rbtl-Staff-Jt-PC 2" xfId="616"/>
    <cellStyle name="_Chelan Debt Forecast 12.19.05_Power Costs - Comparison bx Rbtl-Staff-Jt-PC 2 2" xfId="3996"/>
    <cellStyle name="_Chelan Debt Forecast 12.19.05_Power Costs - Comparison bx Rbtl-Staff-Jt-PC 2 2 2" xfId="20066"/>
    <cellStyle name="_Chelan Debt Forecast 12.19.05_Power Costs - Comparison bx Rbtl-Staff-Jt-PC 2 3" xfId="16052"/>
    <cellStyle name="_Chelan Debt Forecast 12.19.05_Power Costs - Comparison bx Rbtl-Staff-Jt-PC 3" xfId="3995"/>
    <cellStyle name="_Chelan Debt Forecast 12.19.05_Power Costs - Comparison bx Rbtl-Staff-Jt-PC 3 2" xfId="20067"/>
    <cellStyle name="_Chelan Debt Forecast 12.19.05_Power Costs - Comparison bx Rbtl-Staff-Jt-PC 4" xfId="16051"/>
    <cellStyle name="_Chelan Debt Forecast 12.19.05_Power Costs - Comparison bx Rbtl-Staff-Jt-PC_Adj Bench DR 3 for Initial Briefs (Electric)" xfId="617"/>
    <cellStyle name="_Chelan Debt Forecast 12.19.05_Power Costs - Comparison bx Rbtl-Staff-Jt-PC_Adj Bench DR 3 for Initial Briefs (Electric) 2" xfId="618"/>
    <cellStyle name="_Chelan Debt Forecast 12.19.05_Power Costs - Comparison bx Rbtl-Staff-Jt-PC_Adj Bench DR 3 for Initial Briefs (Electric) 2 2" xfId="3998"/>
    <cellStyle name="_Chelan Debt Forecast 12.19.05_Power Costs - Comparison bx Rbtl-Staff-Jt-PC_Adj Bench DR 3 for Initial Briefs (Electric) 2 2 2" xfId="20068"/>
    <cellStyle name="_Chelan Debt Forecast 12.19.05_Power Costs - Comparison bx Rbtl-Staff-Jt-PC_Adj Bench DR 3 for Initial Briefs (Electric) 2 3" xfId="16054"/>
    <cellStyle name="_Chelan Debt Forecast 12.19.05_Power Costs - Comparison bx Rbtl-Staff-Jt-PC_Adj Bench DR 3 for Initial Briefs (Electric) 3" xfId="3997"/>
    <cellStyle name="_Chelan Debt Forecast 12.19.05_Power Costs - Comparison bx Rbtl-Staff-Jt-PC_Adj Bench DR 3 for Initial Briefs (Electric) 3 2" xfId="20069"/>
    <cellStyle name="_Chelan Debt Forecast 12.19.05_Power Costs - Comparison bx Rbtl-Staff-Jt-PC_Adj Bench DR 3 for Initial Briefs (Electric) 4" xfId="16053"/>
    <cellStyle name="_Chelan Debt Forecast 12.19.05_Power Costs - Comparison bx Rbtl-Staff-Jt-PC_Adj Bench DR 3 for Initial Briefs (Electric)_DEM-WP(C) ENERG10C--ctn Mid-C_042010 2010GRC" xfId="12211"/>
    <cellStyle name="_Chelan Debt Forecast 12.19.05_Power Costs - Comparison bx Rbtl-Staff-Jt-PC_DEM-WP(C) ENERG10C--ctn Mid-C_042010 2010GRC" xfId="12212"/>
    <cellStyle name="_Chelan Debt Forecast 12.19.05_Power Costs - Comparison bx Rbtl-Staff-Jt-PC_Electric Rev Req Model (2009 GRC) Rebuttal" xfId="619"/>
    <cellStyle name="_Chelan Debt Forecast 12.19.05_Power Costs - Comparison bx Rbtl-Staff-Jt-PC_Electric Rev Req Model (2009 GRC) Rebuttal 2" xfId="3999"/>
    <cellStyle name="_Chelan Debt Forecast 12.19.05_Power Costs - Comparison bx Rbtl-Staff-Jt-PC_Electric Rev Req Model (2009 GRC) Rebuttal 2 2" xfId="6891"/>
    <cellStyle name="_Chelan Debt Forecast 12.19.05_Power Costs - Comparison bx Rbtl-Staff-Jt-PC_Electric Rev Req Model (2009 GRC) Rebuttal 2 2 2" xfId="20070"/>
    <cellStyle name="_Chelan Debt Forecast 12.19.05_Power Costs - Comparison bx Rbtl-Staff-Jt-PC_Electric Rev Req Model (2009 GRC) Rebuttal 2 3" xfId="18283"/>
    <cellStyle name="_Chelan Debt Forecast 12.19.05_Power Costs - Comparison bx Rbtl-Staff-Jt-PC_Electric Rev Req Model (2009 GRC) Rebuttal 3" xfId="6892"/>
    <cellStyle name="_Chelan Debt Forecast 12.19.05_Power Costs - Comparison bx Rbtl-Staff-Jt-PC_Electric Rev Req Model (2009 GRC) Rebuttal 3 2" xfId="20071"/>
    <cellStyle name="_Chelan Debt Forecast 12.19.05_Power Costs - Comparison bx Rbtl-Staff-Jt-PC_Electric Rev Req Model (2009 GRC) Rebuttal 4" xfId="16055"/>
    <cellStyle name="_Chelan Debt Forecast 12.19.05_Power Costs - Comparison bx Rbtl-Staff-Jt-PC_Electric Rev Req Model (2009 GRC) Rebuttal REmoval of New  WH Solar AdjustMI" xfId="620"/>
    <cellStyle name="_Chelan Debt Forecast 12.19.05_Power Costs - Comparison bx Rbtl-Staff-Jt-PC_Electric Rev Req Model (2009 GRC) Rebuttal REmoval of New  WH Solar AdjustMI 2" xfId="621"/>
    <cellStyle name="_Chelan Debt Forecast 12.19.05_Power Costs - Comparison bx Rbtl-Staff-Jt-PC_Electric Rev Req Model (2009 GRC) Rebuttal REmoval of New  WH Solar AdjustMI 2 2" xfId="4001"/>
    <cellStyle name="_Chelan Debt Forecast 12.19.05_Power Costs - Comparison bx Rbtl-Staff-Jt-PC_Electric Rev Req Model (2009 GRC) Rebuttal REmoval of New  WH Solar AdjustMI 2 2 2" xfId="20072"/>
    <cellStyle name="_Chelan Debt Forecast 12.19.05_Power Costs - Comparison bx Rbtl-Staff-Jt-PC_Electric Rev Req Model (2009 GRC) Rebuttal REmoval of New  WH Solar AdjustMI 2 3" xfId="16057"/>
    <cellStyle name="_Chelan Debt Forecast 12.19.05_Power Costs - Comparison bx Rbtl-Staff-Jt-PC_Electric Rev Req Model (2009 GRC) Rebuttal REmoval of New  WH Solar AdjustMI 3" xfId="4000"/>
    <cellStyle name="_Chelan Debt Forecast 12.19.05_Power Costs - Comparison bx Rbtl-Staff-Jt-PC_Electric Rev Req Model (2009 GRC) Rebuttal REmoval of New  WH Solar AdjustMI 3 2" xfId="20073"/>
    <cellStyle name="_Chelan Debt Forecast 12.19.05_Power Costs - Comparison bx Rbtl-Staff-Jt-PC_Electric Rev Req Model (2009 GRC) Rebuttal REmoval of New  WH Solar AdjustMI 4" xfId="16056"/>
    <cellStyle name="_Chelan Debt Forecast 12.19.05_Power Costs - Comparison bx Rbtl-Staff-Jt-PC_Electric Rev Req Model (2009 GRC) Rebuttal REmoval of New  WH Solar AdjustMI_DEM-WP(C) ENERG10C--ctn Mid-C_042010 2010GRC" xfId="12213"/>
    <cellStyle name="_Chelan Debt Forecast 12.19.05_Power Costs - Comparison bx Rbtl-Staff-Jt-PC_Electric Rev Req Model (2009 GRC) Revised 01-18-2010" xfId="622"/>
    <cellStyle name="_Chelan Debt Forecast 12.19.05_Power Costs - Comparison bx Rbtl-Staff-Jt-PC_Electric Rev Req Model (2009 GRC) Revised 01-18-2010 2" xfId="623"/>
    <cellStyle name="_Chelan Debt Forecast 12.19.05_Power Costs - Comparison bx Rbtl-Staff-Jt-PC_Electric Rev Req Model (2009 GRC) Revised 01-18-2010 2 2" xfId="4003"/>
    <cellStyle name="_Chelan Debt Forecast 12.19.05_Power Costs - Comparison bx Rbtl-Staff-Jt-PC_Electric Rev Req Model (2009 GRC) Revised 01-18-2010 2 2 2" xfId="20074"/>
    <cellStyle name="_Chelan Debt Forecast 12.19.05_Power Costs - Comparison bx Rbtl-Staff-Jt-PC_Electric Rev Req Model (2009 GRC) Revised 01-18-2010 2 3" xfId="16059"/>
    <cellStyle name="_Chelan Debt Forecast 12.19.05_Power Costs - Comparison bx Rbtl-Staff-Jt-PC_Electric Rev Req Model (2009 GRC) Revised 01-18-2010 3" xfId="4002"/>
    <cellStyle name="_Chelan Debt Forecast 12.19.05_Power Costs - Comparison bx Rbtl-Staff-Jt-PC_Electric Rev Req Model (2009 GRC) Revised 01-18-2010 3 2" xfId="20075"/>
    <cellStyle name="_Chelan Debt Forecast 12.19.05_Power Costs - Comparison bx Rbtl-Staff-Jt-PC_Electric Rev Req Model (2009 GRC) Revised 01-18-2010 4" xfId="16058"/>
    <cellStyle name="_Chelan Debt Forecast 12.19.05_Power Costs - Comparison bx Rbtl-Staff-Jt-PC_Electric Rev Req Model (2009 GRC) Revised 01-18-2010_DEM-WP(C) ENERG10C--ctn Mid-C_042010 2010GRC" xfId="12214"/>
    <cellStyle name="_Chelan Debt Forecast 12.19.05_Power Costs - Comparison bx Rbtl-Staff-Jt-PC_Final Order Electric EXHIBIT A-1" xfId="624"/>
    <cellStyle name="_Chelan Debt Forecast 12.19.05_Power Costs - Comparison bx Rbtl-Staff-Jt-PC_Final Order Electric EXHIBIT A-1 2" xfId="4004"/>
    <cellStyle name="_Chelan Debt Forecast 12.19.05_Power Costs - Comparison bx Rbtl-Staff-Jt-PC_Final Order Electric EXHIBIT A-1 2 2" xfId="6893"/>
    <cellStyle name="_Chelan Debt Forecast 12.19.05_Power Costs - Comparison bx Rbtl-Staff-Jt-PC_Final Order Electric EXHIBIT A-1 2 2 2" xfId="20076"/>
    <cellStyle name="_Chelan Debt Forecast 12.19.05_Power Costs - Comparison bx Rbtl-Staff-Jt-PC_Final Order Electric EXHIBIT A-1 2 3" xfId="18284"/>
    <cellStyle name="_Chelan Debt Forecast 12.19.05_Power Costs - Comparison bx Rbtl-Staff-Jt-PC_Final Order Electric EXHIBIT A-1 3" xfId="6894"/>
    <cellStyle name="_Chelan Debt Forecast 12.19.05_Power Costs - Comparison bx Rbtl-Staff-Jt-PC_Final Order Electric EXHIBIT A-1 3 2" xfId="20077"/>
    <cellStyle name="_Chelan Debt Forecast 12.19.05_Power Costs - Comparison bx Rbtl-Staff-Jt-PC_Final Order Electric EXHIBIT A-1 4" xfId="16060"/>
    <cellStyle name="_Chelan Debt Forecast 12.19.05_Production Adj 4.37" xfId="6895"/>
    <cellStyle name="_Chelan Debt Forecast 12.19.05_Production Adj 4.37 2" xfId="6896"/>
    <cellStyle name="_Chelan Debt Forecast 12.19.05_Production Adj 4.37 2 2" xfId="6897"/>
    <cellStyle name="_Chelan Debt Forecast 12.19.05_Production Adj 4.37 2 2 2" xfId="20078"/>
    <cellStyle name="_Chelan Debt Forecast 12.19.05_Production Adj 4.37 2 3" xfId="18286"/>
    <cellStyle name="_Chelan Debt Forecast 12.19.05_Production Adj 4.37 3" xfId="6898"/>
    <cellStyle name="_Chelan Debt Forecast 12.19.05_Production Adj 4.37 3 2" xfId="20079"/>
    <cellStyle name="_Chelan Debt Forecast 12.19.05_Production Adj 4.37 4" xfId="18285"/>
    <cellStyle name="_Chelan Debt Forecast 12.19.05_Purchased Power Adj 4.03" xfId="6899"/>
    <cellStyle name="_Chelan Debt Forecast 12.19.05_Purchased Power Adj 4.03 2" xfId="6900"/>
    <cellStyle name="_Chelan Debt Forecast 12.19.05_Purchased Power Adj 4.03 2 2" xfId="6901"/>
    <cellStyle name="_Chelan Debt Forecast 12.19.05_Purchased Power Adj 4.03 2 2 2" xfId="20080"/>
    <cellStyle name="_Chelan Debt Forecast 12.19.05_Purchased Power Adj 4.03 2 3" xfId="18288"/>
    <cellStyle name="_Chelan Debt Forecast 12.19.05_Purchased Power Adj 4.03 3" xfId="6902"/>
    <cellStyle name="_Chelan Debt Forecast 12.19.05_Purchased Power Adj 4.03 3 2" xfId="20081"/>
    <cellStyle name="_Chelan Debt Forecast 12.19.05_Purchased Power Adj 4.03 4" xfId="18287"/>
    <cellStyle name="_Chelan Debt Forecast 12.19.05_Rebuttal Power Costs" xfId="625"/>
    <cellStyle name="_Chelan Debt Forecast 12.19.05_Rebuttal Power Costs 2" xfId="626"/>
    <cellStyle name="_Chelan Debt Forecast 12.19.05_Rebuttal Power Costs 2 2" xfId="4006"/>
    <cellStyle name="_Chelan Debt Forecast 12.19.05_Rebuttal Power Costs 2 2 2" xfId="20082"/>
    <cellStyle name="_Chelan Debt Forecast 12.19.05_Rebuttal Power Costs 2 3" xfId="16062"/>
    <cellStyle name="_Chelan Debt Forecast 12.19.05_Rebuttal Power Costs 3" xfId="4005"/>
    <cellStyle name="_Chelan Debt Forecast 12.19.05_Rebuttal Power Costs 3 2" xfId="20083"/>
    <cellStyle name="_Chelan Debt Forecast 12.19.05_Rebuttal Power Costs 4" xfId="16061"/>
    <cellStyle name="_Chelan Debt Forecast 12.19.05_Rebuttal Power Costs_Adj Bench DR 3 for Initial Briefs (Electric)" xfId="627"/>
    <cellStyle name="_Chelan Debt Forecast 12.19.05_Rebuttal Power Costs_Adj Bench DR 3 for Initial Briefs (Electric) 2" xfId="628"/>
    <cellStyle name="_Chelan Debt Forecast 12.19.05_Rebuttal Power Costs_Adj Bench DR 3 for Initial Briefs (Electric) 2 2" xfId="4008"/>
    <cellStyle name="_Chelan Debt Forecast 12.19.05_Rebuttal Power Costs_Adj Bench DR 3 for Initial Briefs (Electric) 2 2 2" xfId="20084"/>
    <cellStyle name="_Chelan Debt Forecast 12.19.05_Rebuttal Power Costs_Adj Bench DR 3 for Initial Briefs (Electric) 2 3" xfId="16064"/>
    <cellStyle name="_Chelan Debt Forecast 12.19.05_Rebuttal Power Costs_Adj Bench DR 3 for Initial Briefs (Electric) 3" xfId="4007"/>
    <cellStyle name="_Chelan Debt Forecast 12.19.05_Rebuttal Power Costs_Adj Bench DR 3 for Initial Briefs (Electric) 3 2" xfId="20085"/>
    <cellStyle name="_Chelan Debt Forecast 12.19.05_Rebuttal Power Costs_Adj Bench DR 3 for Initial Briefs (Electric) 4" xfId="16063"/>
    <cellStyle name="_Chelan Debt Forecast 12.19.05_Rebuttal Power Costs_Adj Bench DR 3 for Initial Briefs (Electric)_DEM-WP(C) ENERG10C--ctn Mid-C_042010 2010GRC" xfId="12215"/>
    <cellStyle name="_Chelan Debt Forecast 12.19.05_Rebuttal Power Costs_DEM-WP(C) ENERG10C--ctn Mid-C_042010 2010GRC" xfId="12216"/>
    <cellStyle name="_Chelan Debt Forecast 12.19.05_Rebuttal Power Costs_Electric Rev Req Model (2009 GRC) Rebuttal" xfId="629"/>
    <cellStyle name="_Chelan Debt Forecast 12.19.05_Rebuttal Power Costs_Electric Rev Req Model (2009 GRC) Rebuttal 2" xfId="4009"/>
    <cellStyle name="_Chelan Debt Forecast 12.19.05_Rebuttal Power Costs_Electric Rev Req Model (2009 GRC) Rebuttal 2 2" xfId="6903"/>
    <cellStyle name="_Chelan Debt Forecast 12.19.05_Rebuttal Power Costs_Electric Rev Req Model (2009 GRC) Rebuttal 2 2 2" xfId="20086"/>
    <cellStyle name="_Chelan Debt Forecast 12.19.05_Rebuttal Power Costs_Electric Rev Req Model (2009 GRC) Rebuttal 2 3" xfId="18289"/>
    <cellStyle name="_Chelan Debt Forecast 12.19.05_Rebuttal Power Costs_Electric Rev Req Model (2009 GRC) Rebuttal 3" xfId="6904"/>
    <cellStyle name="_Chelan Debt Forecast 12.19.05_Rebuttal Power Costs_Electric Rev Req Model (2009 GRC) Rebuttal 3 2" xfId="20087"/>
    <cellStyle name="_Chelan Debt Forecast 12.19.05_Rebuttal Power Costs_Electric Rev Req Model (2009 GRC) Rebuttal 4" xfId="16065"/>
    <cellStyle name="_Chelan Debt Forecast 12.19.05_Rebuttal Power Costs_Electric Rev Req Model (2009 GRC) Rebuttal REmoval of New  WH Solar AdjustMI" xfId="630"/>
    <cellStyle name="_Chelan Debt Forecast 12.19.05_Rebuttal Power Costs_Electric Rev Req Model (2009 GRC) Rebuttal REmoval of New  WH Solar AdjustMI 2" xfId="631"/>
    <cellStyle name="_Chelan Debt Forecast 12.19.05_Rebuttal Power Costs_Electric Rev Req Model (2009 GRC) Rebuttal REmoval of New  WH Solar AdjustMI 2 2" xfId="4011"/>
    <cellStyle name="_Chelan Debt Forecast 12.19.05_Rebuttal Power Costs_Electric Rev Req Model (2009 GRC) Rebuttal REmoval of New  WH Solar AdjustMI 2 2 2" xfId="20088"/>
    <cellStyle name="_Chelan Debt Forecast 12.19.05_Rebuttal Power Costs_Electric Rev Req Model (2009 GRC) Rebuttal REmoval of New  WH Solar AdjustMI 2 3" xfId="16067"/>
    <cellStyle name="_Chelan Debt Forecast 12.19.05_Rebuttal Power Costs_Electric Rev Req Model (2009 GRC) Rebuttal REmoval of New  WH Solar AdjustMI 3" xfId="4010"/>
    <cellStyle name="_Chelan Debt Forecast 12.19.05_Rebuttal Power Costs_Electric Rev Req Model (2009 GRC) Rebuttal REmoval of New  WH Solar AdjustMI 3 2" xfId="20089"/>
    <cellStyle name="_Chelan Debt Forecast 12.19.05_Rebuttal Power Costs_Electric Rev Req Model (2009 GRC) Rebuttal REmoval of New  WH Solar AdjustMI 4" xfId="16066"/>
    <cellStyle name="_Chelan Debt Forecast 12.19.05_Rebuttal Power Costs_Electric Rev Req Model (2009 GRC) Rebuttal REmoval of New  WH Solar AdjustMI_DEM-WP(C) ENERG10C--ctn Mid-C_042010 2010GRC" xfId="12217"/>
    <cellStyle name="_Chelan Debt Forecast 12.19.05_Rebuttal Power Costs_Electric Rev Req Model (2009 GRC) Revised 01-18-2010" xfId="632"/>
    <cellStyle name="_Chelan Debt Forecast 12.19.05_Rebuttal Power Costs_Electric Rev Req Model (2009 GRC) Revised 01-18-2010 2" xfId="633"/>
    <cellStyle name="_Chelan Debt Forecast 12.19.05_Rebuttal Power Costs_Electric Rev Req Model (2009 GRC) Revised 01-18-2010 2 2" xfId="4013"/>
    <cellStyle name="_Chelan Debt Forecast 12.19.05_Rebuttal Power Costs_Electric Rev Req Model (2009 GRC) Revised 01-18-2010 2 2 2" xfId="20090"/>
    <cellStyle name="_Chelan Debt Forecast 12.19.05_Rebuttal Power Costs_Electric Rev Req Model (2009 GRC) Revised 01-18-2010 2 3" xfId="16069"/>
    <cellStyle name="_Chelan Debt Forecast 12.19.05_Rebuttal Power Costs_Electric Rev Req Model (2009 GRC) Revised 01-18-2010 3" xfId="4012"/>
    <cellStyle name="_Chelan Debt Forecast 12.19.05_Rebuttal Power Costs_Electric Rev Req Model (2009 GRC) Revised 01-18-2010 3 2" xfId="20091"/>
    <cellStyle name="_Chelan Debt Forecast 12.19.05_Rebuttal Power Costs_Electric Rev Req Model (2009 GRC) Revised 01-18-2010 4" xfId="16068"/>
    <cellStyle name="_Chelan Debt Forecast 12.19.05_Rebuttal Power Costs_Electric Rev Req Model (2009 GRC) Revised 01-18-2010_DEM-WP(C) ENERG10C--ctn Mid-C_042010 2010GRC" xfId="12218"/>
    <cellStyle name="_Chelan Debt Forecast 12.19.05_Rebuttal Power Costs_Final Order Electric EXHIBIT A-1" xfId="634"/>
    <cellStyle name="_Chelan Debt Forecast 12.19.05_Rebuttal Power Costs_Final Order Electric EXHIBIT A-1 2" xfId="4014"/>
    <cellStyle name="_Chelan Debt Forecast 12.19.05_Rebuttal Power Costs_Final Order Electric EXHIBIT A-1 2 2" xfId="6905"/>
    <cellStyle name="_Chelan Debt Forecast 12.19.05_Rebuttal Power Costs_Final Order Electric EXHIBIT A-1 2 2 2" xfId="20092"/>
    <cellStyle name="_Chelan Debt Forecast 12.19.05_Rebuttal Power Costs_Final Order Electric EXHIBIT A-1 2 3" xfId="18290"/>
    <cellStyle name="_Chelan Debt Forecast 12.19.05_Rebuttal Power Costs_Final Order Electric EXHIBIT A-1 3" xfId="6906"/>
    <cellStyle name="_Chelan Debt Forecast 12.19.05_Rebuttal Power Costs_Final Order Electric EXHIBIT A-1 3 2" xfId="20093"/>
    <cellStyle name="_Chelan Debt Forecast 12.19.05_Rebuttal Power Costs_Final Order Electric EXHIBIT A-1 4" xfId="16070"/>
    <cellStyle name="_Chelan Debt Forecast 12.19.05_ROR &amp; CONV FACTOR" xfId="6907"/>
    <cellStyle name="_Chelan Debt Forecast 12.19.05_ROR &amp; CONV FACTOR 2" xfId="6908"/>
    <cellStyle name="_Chelan Debt Forecast 12.19.05_ROR &amp; CONV FACTOR 2 2" xfId="6909"/>
    <cellStyle name="_Chelan Debt Forecast 12.19.05_ROR &amp; CONV FACTOR 2 2 2" xfId="20094"/>
    <cellStyle name="_Chelan Debt Forecast 12.19.05_ROR &amp; CONV FACTOR 2 3" xfId="18292"/>
    <cellStyle name="_Chelan Debt Forecast 12.19.05_ROR &amp; CONV FACTOR 3" xfId="6910"/>
    <cellStyle name="_Chelan Debt Forecast 12.19.05_ROR &amp; CONV FACTOR 3 2" xfId="20095"/>
    <cellStyle name="_Chelan Debt Forecast 12.19.05_ROR &amp; CONV FACTOR 4" xfId="18291"/>
    <cellStyle name="_Chelan Debt Forecast 12.19.05_ROR 5.02" xfId="6911"/>
    <cellStyle name="_Chelan Debt Forecast 12.19.05_ROR 5.02 2" xfId="6912"/>
    <cellStyle name="_Chelan Debt Forecast 12.19.05_ROR 5.02 2 2" xfId="6913"/>
    <cellStyle name="_Chelan Debt Forecast 12.19.05_ROR 5.02 2 2 2" xfId="20096"/>
    <cellStyle name="_Chelan Debt Forecast 12.19.05_ROR 5.02 2 3" xfId="18294"/>
    <cellStyle name="_Chelan Debt Forecast 12.19.05_ROR 5.02 3" xfId="6914"/>
    <cellStyle name="_Chelan Debt Forecast 12.19.05_ROR 5.02 3 2" xfId="20097"/>
    <cellStyle name="_Chelan Debt Forecast 12.19.05_ROR 5.02 4" xfId="18293"/>
    <cellStyle name="_Chelan Debt Forecast 12.19.05_Transmission Workbook for May BOD" xfId="635"/>
    <cellStyle name="_Chelan Debt Forecast 12.19.05_Transmission Workbook for May BOD 2" xfId="636"/>
    <cellStyle name="_Chelan Debt Forecast 12.19.05_Transmission Workbook for May BOD 2 2" xfId="4016"/>
    <cellStyle name="_Chelan Debt Forecast 12.19.05_Transmission Workbook for May BOD 3" xfId="4015"/>
    <cellStyle name="_Chelan Debt Forecast 12.19.05_Transmission Workbook for May BOD_DEM-WP(C) ENERG10C--ctn Mid-C_042010 2010GRC" xfId="12219"/>
    <cellStyle name="_Chelan Debt Forecast 12.19.05_Wind Integration 10GRC" xfId="637"/>
    <cellStyle name="_Chelan Debt Forecast 12.19.05_Wind Integration 10GRC 2" xfId="638"/>
    <cellStyle name="_Chelan Debt Forecast 12.19.05_Wind Integration 10GRC 2 2" xfId="4018"/>
    <cellStyle name="_Chelan Debt Forecast 12.19.05_Wind Integration 10GRC 3" xfId="4017"/>
    <cellStyle name="_Chelan Debt Forecast 12.19.05_Wind Integration 10GRC_DEM-WP(C) ENERG10C--ctn Mid-C_042010 2010GRC" xfId="12220"/>
    <cellStyle name="_x0013__Colstrip 1&amp;2 Annual O&amp;M Budgets" xfId="23557"/>
    <cellStyle name="_Colstrip FOR - GADS 1990-2009" xfId="12221"/>
    <cellStyle name="_Colstrip FOR - GADS 1990-2009 2" xfId="12222"/>
    <cellStyle name="_Colstrip FOR - GADS 1990-2009 2 2" xfId="23558"/>
    <cellStyle name="_Colstrip FOR - GADS 1990-2009 3" xfId="12223"/>
    <cellStyle name="_Colstrip FOR - GADS 1990-2009 3 2" xfId="23559"/>
    <cellStyle name="_Colstrip FOR - GADS 1990-2009 4" xfId="23560"/>
    <cellStyle name="_Colstrip FOR - GADS 1990-2009 4 2" xfId="23561"/>
    <cellStyle name="_Colstrip FOR - GADS 1990-2009 5" xfId="23562"/>
    <cellStyle name="_Colstrip FOR - GADS 1990-2009 5 2" xfId="23563"/>
    <cellStyle name="_Colstrip FOR - GADS 1990-2009 6" xfId="23564"/>
    <cellStyle name="_Colstrip FOR - GADS 1990-2009 6 2" xfId="23565"/>
    <cellStyle name="_compare wind integration" xfId="23566"/>
    <cellStyle name="_x0013__Confidential Material" xfId="12224"/>
    <cellStyle name="_x0013__Confidential Material 2" xfId="23567"/>
    <cellStyle name="_Copy 11-9 Sumas Proforma - Current" xfId="639"/>
    <cellStyle name="_Costs not in AURORA 06GRC" xfId="640"/>
    <cellStyle name="_Costs not in AURORA 06GRC 2" xfId="641"/>
    <cellStyle name="_Costs not in AURORA 06GRC 2 2" xfId="642"/>
    <cellStyle name="_Costs not in AURORA 06GRC 2 2 2" xfId="4021"/>
    <cellStyle name="_Costs not in AURORA 06GRC 2 2 2 2" xfId="20098"/>
    <cellStyle name="_Costs not in AURORA 06GRC 2 2 3" xfId="16072"/>
    <cellStyle name="_Costs not in AURORA 06GRC 2 3" xfId="4020"/>
    <cellStyle name="_Costs not in AURORA 06GRC 2 3 2" xfId="20099"/>
    <cellStyle name="_Costs not in AURORA 06GRC 2 4" xfId="16071"/>
    <cellStyle name="_Costs not in AURORA 06GRC 3" xfId="643"/>
    <cellStyle name="_Costs not in AURORA 06GRC 3 2" xfId="4022"/>
    <cellStyle name="_Costs not in AURORA 06GRC 3 2 2" xfId="6915"/>
    <cellStyle name="_Costs not in AURORA 06GRC 3 2 2 2" xfId="20100"/>
    <cellStyle name="_Costs not in AURORA 06GRC 3 2 3" xfId="18295"/>
    <cellStyle name="_Costs not in AURORA 06GRC 3 3" xfId="6916"/>
    <cellStyle name="_Costs not in AURORA 06GRC 3 3 2" xfId="6917"/>
    <cellStyle name="_Costs not in AURORA 06GRC 3 3 2 2" xfId="20101"/>
    <cellStyle name="_Costs not in AURORA 06GRC 3 3 3" xfId="18296"/>
    <cellStyle name="_Costs not in AURORA 06GRC 3 4" xfId="6918"/>
    <cellStyle name="_Costs not in AURORA 06GRC 3 4 2" xfId="6919"/>
    <cellStyle name="_Costs not in AURORA 06GRC 3 4 2 2" xfId="20102"/>
    <cellStyle name="_Costs not in AURORA 06GRC 3 4 3" xfId="18297"/>
    <cellStyle name="_Costs not in AURORA 06GRC 3 5" xfId="16073"/>
    <cellStyle name="_Costs not in AURORA 06GRC 4" xfId="644"/>
    <cellStyle name="_Costs not in AURORA 06GRC 4 2" xfId="645"/>
    <cellStyle name="_Costs not in AURORA 06GRC 4 2 2" xfId="4024"/>
    <cellStyle name="_Costs not in AURORA 06GRC 4 3" xfId="4023"/>
    <cellStyle name="_Costs not in AURORA 06GRC 5" xfId="4019"/>
    <cellStyle name="_Costs not in AURORA 06GRC 5 2" xfId="20103"/>
    <cellStyle name="_Costs not in AURORA 06GRC 5 2 2" xfId="23568"/>
    <cellStyle name="_Costs not in AURORA 06GRC 5 3" xfId="23569"/>
    <cellStyle name="_Costs not in AURORA 06GRC 6" xfId="6920"/>
    <cellStyle name="_Costs not in AURORA 06GRC 6 2" xfId="12225"/>
    <cellStyle name="_Costs not in AURORA 06GRC 7" xfId="12226"/>
    <cellStyle name="_Costs not in AURORA 06GRC 7 2" xfId="12227"/>
    <cellStyle name="_Costs not in AURORA 06GRC 8" xfId="23570"/>
    <cellStyle name="_Costs not in AURORA 06GRC 8 2" xfId="23571"/>
    <cellStyle name="_Costs not in AURORA 06GRC 9" xfId="23572"/>
    <cellStyle name="_Costs not in AURORA 06GRC 9 2" xfId="23573"/>
    <cellStyle name="_Costs not in AURORA 06GRC_04 07E Wild Horse Wind Expansion (C) (2)" xfId="646"/>
    <cellStyle name="_Costs not in AURORA 06GRC_04 07E Wild Horse Wind Expansion (C) (2) 2" xfId="647"/>
    <cellStyle name="_Costs not in AURORA 06GRC_04 07E Wild Horse Wind Expansion (C) (2) 2 2" xfId="4026"/>
    <cellStyle name="_Costs not in AURORA 06GRC_04 07E Wild Horse Wind Expansion (C) (2) 2 2 2" xfId="20104"/>
    <cellStyle name="_Costs not in AURORA 06GRC_04 07E Wild Horse Wind Expansion (C) (2) 2 3" xfId="16075"/>
    <cellStyle name="_Costs not in AURORA 06GRC_04 07E Wild Horse Wind Expansion (C) (2) 3" xfId="4025"/>
    <cellStyle name="_Costs not in AURORA 06GRC_04 07E Wild Horse Wind Expansion (C) (2) 3 2" xfId="20105"/>
    <cellStyle name="_Costs not in AURORA 06GRC_04 07E Wild Horse Wind Expansion (C) (2) 4" xfId="16074"/>
    <cellStyle name="_Costs not in AURORA 06GRC_04 07E Wild Horse Wind Expansion (C) (2)_Adj Bench DR 3 for Initial Briefs (Electric)" xfId="648"/>
    <cellStyle name="_Costs not in AURORA 06GRC_04 07E Wild Horse Wind Expansion (C) (2)_Adj Bench DR 3 for Initial Briefs (Electric) 2" xfId="649"/>
    <cellStyle name="_Costs not in AURORA 06GRC_04 07E Wild Horse Wind Expansion (C) (2)_Adj Bench DR 3 for Initial Briefs (Electric) 2 2" xfId="4028"/>
    <cellStyle name="_Costs not in AURORA 06GRC_04 07E Wild Horse Wind Expansion (C) (2)_Adj Bench DR 3 for Initial Briefs (Electric) 2 2 2" xfId="20106"/>
    <cellStyle name="_Costs not in AURORA 06GRC_04 07E Wild Horse Wind Expansion (C) (2)_Adj Bench DR 3 for Initial Briefs (Electric) 2 3" xfId="16077"/>
    <cellStyle name="_Costs not in AURORA 06GRC_04 07E Wild Horse Wind Expansion (C) (2)_Adj Bench DR 3 for Initial Briefs (Electric) 3" xfId="4027"/>
    <cellStyle name="_Costs not in AURORA 06GRC_04 07E Wild Horse Wind Expansion (C) (2)_Adj Bench DR 3 for Initial Briefs (Electric) 3 2" xfId="20107"/>
    <cellStyle name="_Costs not in AURORA 06GRC_04 07E Wild Horse Wind Expansion (C) (2)_Adj Bench DR 3 for Initial Briefs (Electric) 4" xfId="16076"/>
    <cellStyle name="_Costs not in AURORA 06GRC_04 07E Wild Horse Wind Expansion (C) (2)_Adj Bench DR 3 for Initial Briefs (Electric)_DEM-WP(C) ENERG10C--ctn Mid-C_042010 2010GRC" xfId="12228"/>
    <cellStyle name="_Costs not in AURORA 06GRC_04 07E Wild Horse Wind Expansion (C) (2)_Book1" xfId="14244"/>
    <cellStyle name="_Costs not in AURORA 06GRC_04 07E Wild Horse Wind Expansion (C) (2)_DEM-WP(C) ENERG10C--ctn Mid-C_042010 2010GRC" xfId="12229"/>
    <cellStyle name="_Costs not in AURORA 06GRC_04 07E Wild Horse Wind Expansion (C) (2)_Electric Rev Req Model (2009 GRC) " xfId="650"/>
    <cellStyle name="_Costs not in AURORA 06GRC_04 07E Wild Horse Wind Expansion (C) (2)_Electric Rev Req Model (2009 GRC)  2" xfId="651"/>
    <cellStyle name="_Costs not in AURORA 06GRC_04 07E Wild Horse Wind Expansion (C) (2)_Electric Rev Req Model (2009 GRC)  2 2" xfId="4030"/>
    <cellStyle name="_Costs not in AURORA 06GRC_04 07E Wild Horse Wind Expansion (C) (2)_Electric Rev Req Model (2009 GRC)  2 2 2" xfId="20108"/>
    <cellStyle name="_Costs not in AURORA 06GRC_04 07E Wild Horse Wind Expansion (C) (2)_Electric Rev Req Model (2009 GRC)  2 3" xfId="16079"/>
    <cellStyle name="_Costs not in AURORA 06GRC_04 07E Wild Horse Wind Expansion (C) (2)_Electric Rev Req Model (2009 GRC)  3" xfId="4029"/>
    <cellStyle name="_Costs not in AURORA 06GRC_04 07E Wild Horse Wind Expansion (C) (2)_Electric Rev Req Model (2009 GRC)  3 2" xfId="20109"/>
    <cellStyle name="_Costs not in AURORA 06GRC_04 07E Wild Horse Wind Expansion (C) (2)_Electric Rev Req Model (2009 GRC)  4" xfId="16078"/>
    <cellStyle name="_Costs not in AURORA 06GRC_04 07E Wild Horse Wind Expansion (C) (2)_Electric Rev Req Model (2009 GRC) _DEM-WP(C) ENERG10C--ctn Mid-C_042010 2010GRC" xfId="12230"/>
    <cellStyle name="_Costs not in AURORA 06GRC_04 07E Wild Horse Wind Expansion (C) (2)_Electric Rev Req Model (2009 GRC) Rebuttal" xfId="652"/>
    <cellStyle name="_Costs not in AURORA 06GRC_04 07E Wild Horse Wind Expansion (C) (2)_Electric Rev Req Model (2009 GRC) Rebuttal 2" xfId="4031"/>
    <cellStyle name="_Costs not in AURORA 06GRC_04 07E Wild Horse Wind Expansion (C) (2)_Electric Rev Req Model (2009 GRC) Rebuttal 2 2" xfId="6921"/>
    <cellStyle name="_Costs not in AURORA 06GRC_04 07E Wild Horse Wind Expansion (C) (2)_Electric Rev Req Model (2009 GRC) Rebuttal 2 2 2" xfId="20110"/>
    <cellStyle name="_Costs not in AURORA 06GRC_04 07E Wild Horse Wind Expansion (C) (2)_Electric Rev Req Model (2009 GRC) Rebuttal 2 3" xfId="18298"/>
    <cellStyle name="_Costs not in AURORA 06GRC_04 07E Wild Horse Wind Expansion (C) (2)_Electric Rev Req Model (2009 GRC) Rebuttal 3" xfId="6922"/>
    <cellStyle name="_Costs not in AURORA 06GRC_04 07E Wild Horse Wind Expansion (C) (2)_Electric Rev Req Model (2009 GRC) Rebuttal 3 2" xfId="20111"/>
    <cellStyle name="_Costs not in AURORA 06GRC_04 07E Wild Horse Wind Expansion (C) (2)_Electric Rev Req Model (2009 GRC) Rebuttal 4" xfId="16080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033"/>
    <cellStyle name="_Costs not in AURORA 06GRC_04 07E Wild Horse Wind Expansion (C) (2)_Electric Rev Req Model (2009 GRC) Rebuttal REmoval of New  WH Solar AdjustMI 2 2 2" xfId="20112"/>
    <cellStyle name="_Costs not in AURORA 06GRC_04 07E Wild Horse Wind Expansion (C) (2)_Electric Rev Req Model (2009 GRC) Rebuttal REmoval of New  WH Solar AdjustMI 2 3" xfId="16082"/>
    <cellStyle name="_Costs not in AURORA 06GRC_04 07E Wild Horse Wind Expansion (C) (2)_Electric Rev Req Model (2009 GRC) Rebuttal REmoval of New  WH Solar AdjustMI 3" xfId="4032"/>
    <cellStyle name="_Costs not in AURORA 06GRC_04 07E Wild Horse Wind Expansion (C) (2)_Electric Rev Req Model (2009 GRC) Rebuttal REmoval of New  WH Solar AdjustMI 3 2" xfId="20113"/>
    <cellStyle name="_Costs not in AURORA 06GRC_04 07E Wild Horse Wind Expansion (C) (2)_Electric Rev Req Model (2009 GRC) Rebuttal REmoval of New  WH Solar AdjustMI 4" xfId="16081"/>
    <cellStyle name="_Costs not in AURORA 06GRC_04 07E Wild Horse Wind Expansion (C) (2)_Electric Rev Req Model (2009 GRC) Rebuttal REmoval of New  WH Solar AdjustMI_DEM-WP(C) ENERG10C--ctn Mid-C_042010 2010GRC" xfId="12231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035"/>
    <cellStyle name="_Costs not in AURORA 06GRC_04 07E Wild Horse Wind Expansion (C) (2)_Electric Rev Req Model (2009 GRC) Revised 01-18-2010 2 2 2" xfId="20114"/>
    <cellStyle name="_Costs not in AURORA 06GRC_04 07E Wild Horse Wind Expansion (C) (2)_Electric Rev Req Model (2009 GRC) Revised 01-18-2010 2 3" xfId="16084"/>
    <cellStyle name="_Costs not in AURORA 06GRC_04 07E Wild Horse Wind Expansion (C) (2)_Electric Rev Req Model (2009 GRC) Revised 01-18-2010 3" xfId="4034"/>
    <cellStyle name="_Costs not in AURORA 06GRC_04 07E Wild Horse Wind Expansion (C) (2)_Electric Rev Req Model (2009 GRC) Revised 01-18-2010 3 2" xfId="20115"/>
    <cellStyle name="_Costs not in AURORA 06GRC_04 07E Wild Horse Wind Expansion (C) (2)_Electric Rev Req Model (2009 GRC) Revised 01-18-2010 4" xfId="16083"/>
    <cellStyle name="_Costs not in AURORA 06GRC_04 07E Wild Horse Wind Expansion (C) (2)_Electric Rev Req Model (2009 GRC) Revised 01-18-2010_DEM-WP(C) ENERG10C--ctn Mid-C_042010 2010GRC" xfId="12232"/>
    <cellStyle name="_Costs not in AURORA 06GRC_04 07E Wild Horse Wind Expansion (C) (2)_Electric Rev Req Model (2010 GRC)" xfId="14245"/>
    <cellStyle name="_Costs not in AURORA 06GRC_04 07E Wild Horse Wind Expansion (C) (2)_Electric Rev Req Model (2010 GRC) SF" xfId="14246"/>
    <cellStyle name="_Costs not in AURORA 06GRC_04 07E Wild Horse Wind Expansion (C) (2)_Final Order Electric EXHIBIT A-1" xfId="657"/>
    <cellStyle name="_Costs not in AURORA 06GRC_04 07E Wild Horse Wind Expansion (C) (2)_Final Order Electric EXHIBIT A-1 2" xfId="4036"/>
    <cellStyle name="_Costs not in AURORA 06GRC_04 07E Wild Horse Wind Expansion (C) (2)_Final Order Electric EXHIBIT A-1 2 2" xfId="6923"/>
    <cellStyle name="_Costs not in AURORA 06GRC_04 07E Wild Horse Wind Expansion (C) (2)_Final Order Electric EXHIBIT A-1 2 2 2" xfId="20116"/>
    <cellStyle name="_Costs not in AURORA 06GRC_04 07E Wild Horse Wind Expansion (C) (2)_Final Order Electric EXHIBIT A-1 2 3" xfId="18299"/>
    <cellStyle name="_Costs not in AURORA 06GRC_04 07E Wild Horse Wind Expansion (C) (2)_Final Order Electric EXHIBIT A-1 3" xfId="6924"/>
    <cellStyle name="_Costs not in AURORA 06GRC_04 07E Wild Horse Wind Expansion (C) (2)_Final Order Electric EXHIBIT A-1 3 2" xfId="20117"/>
    <cellStyle name="_Costs not in AURORA 06GRC_04 07E Wild Horse Wind Expansion (C) (2)_Final Order Electric EXHIBIT A-1 4" xfId="16085"/>
    <cellStyle name="_Costs not in AURORA 06GRC_04 07E Wild Horse Wind Expansion (C) (2)_TENASKA REGULATORY ASSET" xfId="658"/>
    <cellStyle name="_Costs not in AURORA 06GRC_04 07E Wild Horse Wind Expansion (C) (2)_TENASKA REGULATORY ASSET 2" xfId="4037"/>
    <cellStyle name="_Costs not in AURORA 06GRC_04 07E Wild Horse Wind Expansion (C) (2)_TENASKA REGULATORY ASSET 2 2" xfId="6925"/>
    <cellStyle name="_Costs not in AURORA 06GRC_04 07E Wild Horse Wind Expansion (C) (2)_TENASKA REGULATORY ASSET 2 2 2" xfId="20118"/>
    <cellStyle name="_Costs not in AURORA 06GRC_04 07E Wild Horse Wind Expansion (C) (2)_TENASKA REGULATORY ASSET 2 3" xfId="18300"/>
    <cellStyle name="_Costs not in AURORA 06GRC_04 07E Wild Horse Wind Expansion (C) (2)_TENASKA REGULATORY ASSET 3" xfId="6926"/>
    <cellStyle name="_Costs not in AURORA 06GRC_04 07E Wild Horse Wind Expansion (C) (2)_TENASKA REGULATORY ASSET 3 2" xfId="20119"/>
    <cellStyle name="_Costs not in AURORA 06GRC_04 07E Wild Horse Wind Expansion (C) (2)_TENASKA REGULATORY ASSET 4" xfId="16086"/>
    <cellStyle name="_Costs not in AURORA 06GRC_16.37E Wild Horse Expansion DeferralRevwrkingfile SF" xfId="659"/>
    <cellStyle name="_Costs not in AURORA 06GRC_16.37E Wild Horse Expansion DeferralRevwrkingfile SF 2" xfId="660"/>
    <cellStyle name="_Costs not in AURORA 06GRC_16.37E Wild Horse Expansion DeferralRevwrkingfile SF 2 2" xfId="4039"/>
    <cellStyle name="_Costs not in AURORA 06GRC_16.37E Wild Horse Expansion DeferralRevwrkingfile SF 2 2 2" xfId="20120"/>
    <cellStyle name="_Costs not in AURORA 06GRC_16.37E Wild Horse Expansion DeferralRevwrkingfile SF 2 3" xfId="16088"/>
    <cellStyle name="_Costs not in AURORA 06GRC_16.37E Wild Horse Expansion DeferralRevwrkingfile SF 3" xfId="4038"/>
    <cellStyle name="_Costs not in AURORA 06GRC_16.37E Wild Horse Expansion DeferralRevwrkingfile SF 3 2" xfId="20121"/>
    <cellStyle name="_Costs not in AURORA 06GRC_16.37E Wild Horse Expansion DeferralRevwrkingfile SF 4" xfId="16087"/>
    <cellStyle name="_Costs not in AURORA 06GRC_16.37E Wild Horse Expansion DeferralRevwrkingfile SF_DEM-WP(C) ENERG10C--ctn Mid-C_042010 2010GRC" xfId="12233"/>
    <cellStyle name="_Costs not in AURORA 06GRC_2009 Compliance Filing PCA Exhibits for GRC" xfId="14062"/>
    <cellStyle name="_Costs not in AURORA 06GRC_2009 Compliance Filing PCA Exhibits for GRC 2" xfId="14750"/>
    <cellStyle name="_Costs not in AURORA 06GRC_2009 GRC Compl Filing - Exhibit D" xfId="661"/>
    <cellStyle name="_Costs not in AURORA 06GRC_2009 GRC Compl Filing - Exhibit D 2" xfId="662"/>
    <cellStyle name="_Costs not in AURORA 06GRC_2009 GRC Compl Filing - Exhibit D 2 2" xfId="4041"/>
    <cellStyle name="_Costs not in AURORA 06GRC_2009 GRC Compl Filing - Exhibit D 3" xfId="4040"/>
    <cellStyle name="_Costs not in AURORA 06GRC_2009 GRC Compl Filing - Exhibit D_DEM-WP(C) ENERG10C--ctn Mid-C_042010 2010GRC" xfId="12234"/>
    <cellStyle name="_Costs not in AURORA 06GRC_3.01 Income Statement" xfId="14063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043"/>
    <cellStyle name="_Costs not in AURORA 06GRC_4 31 Regulatory Assets and Liabilities  7 06- Exhibit D 2 2 2" xfId="20122"/>
    <cellStyle name="_Costs not in AURORA 06GRC_4 31 Regulatory Assets and Liabilities  7 06- Exhibit D 2 3" xfId="16090"/>
    <cellStyle name="_Costs not in AURORA 06GRC_4 31 Regulatory Assets and Liabilities  7 06- Exhibit D 3" xfId="4042"/>
    <cellStyle name="_Costs not in AURORA 06GRC_4 31 Regulatory Assets and Liabilities  7 06- Exhibit D 3 2" xfId="20123"/>
    <cellStyle name="_Costs not in AURORA 06GRC_4 31 Regulatory Assets and Liabilities  7 06- Exhibit D 4" xfId="16089"/>
    <cellStyle name="_Costs not in AURORA 06GRC_4 31 Regulatory Assets and Liabilities  7 06- Exhibit D_DEM-WP(C) ENERG10C--ctn Mid-C_042010 2010GRC" xfId="12235"/>
    <cellStyle name="_Costs not in AURORA 06GRC_4 31 Regulatory Assets and Liabilities  7 06- Exhibit D_NIM Summary" xfId="665"/>
    <cellStyle name="_Costs not in AURORA 06GRC_4 31 Regulatory Assets and Liabilities  7 06- Exhibit D_NIM Summary 2" xfId="666"/>
    <cellStyle name="_Costs not in AURORA 06GRC_4 31 Regulatory Assets and Liabilities  7 06- Exhibit D_NIM Summary 2 2" xfId="4045"/>
    <cellStyle name="_Costs not in AURORA 06GRC_4 31 Regulatory Assets and Liabilities  7 06- Exhibit D_NIM Summary 3" xfId="4044"/>
    <cellStyle name="_Costs not in AURORA 06GRC_4 31 Regulatory Assets and Liabilities  7 06- Exhibit D_NIM Summary_DEM-WP(C) ENERG10C--ctn Mid-C_042010 2010GRC" xfId="12236"/>
    <cellStyle name="_Costs not in AURORA 06GRC_4 31E Reg Asset  Liab and EXH D" xfId="12237"/>
    <cellStyle name="_Costs not in AURORA 06GRC_4 31E Reg Asset  Liab and EXH D _ Aug 10 Filing (2)" xfId="12238"/>
    <cellStyle name="_Costs not in AURORA 06GRC_4 31E Reg Asset  Liab and EXH D _ Aug 10 Filing (2) 2" xfId="23574"/>
    <cellStyle name="_Costs not in AURORA 06GRC_4 31E Reg Asset  Liab and EXH D 10" xfId="23575"/>
    <cellStyle name="_Costs not in AURORA 06GRC_4 31E Reg Asset  Liab and EXH D 11" xfId="23576"/>
    <cellStyle name="_Costs not in AURORA 06GRC_4 31E Reg Asset  Liab and EXH D 12" xfId="23577"/>
    <cellStyle name="_Costs not in AURORA 06GRC_4 31E Reg Asset  Liab and EXH D 13" xfId="23578"/>
    <cellStyle name="_Costs not in AURORA 06GRC_4 31E Reg Asset  Liab and EXH D 14" xfId="23579"/>
    <cellStyle name="_Costs not in AURORA 06GRC_4 31E Reg Asset  Liab and EXH D 15" xfId="23580"/>
    <cellStyle name="_Costs not in AURORA 06GRC_4 31E Reg Asset  Liab and EXH D 16" xfId="23581"/>
    <cellStyle name="_Costs not in AURORA 06GRC_4 31E Reg Asset  Liab and EXH D 17" xfId="23582"/>
    <cellStyle name="_Costs not in AURORA 06GRC_4 31E Reg Asset  Liab and EXH D 18" xfId="23583"/>
    <cellStyle name="_Costs not in AURORA 06GRC_4 31E Reg Asset  Liab and EXH D 19" xfId="23584"/>
    <cellStyle name="_Costs not in AURORA 06GRC_4 31E Reg Asset  Liab and EXH D 2" xfId="23585"/>
    <cellStyle name="_Costs not in AURORA 06GRC_4 31E Reg Asset  Liab and EXH D 20" xfId="23586"/>
    <cellStyle name="_Costs not in AURORA 06GRC_4 31E Reg Asset  Liab and EXH D 21" xfId="23587"/>
    <cellStyle name="_Costs not in AURORA 06GRC_4 31E Reg Asset  Liab and EXH D 22" xfId="23588"/>
    <cellStyle name="_Costs not in AURORA 06GRC_4 31E Reg Asset  Liab and EXH D 23" xfId="23589"/>
    <cellStyle name="_Costs not in AURORA 06GRC_4 31E Reg Asset  Liab and EXH D 24" xfId="23590"/>
    <cellStyle name="_Costs not in AURORA 06GRC_4 31E Reg Asset  Liab and EXH D 25" xfId="23591"/>
    <cellStyle name="_Costs not in AURORA 06GRC_4 31E Reg Asset  Liab and EXH D 26" xfId="23592"/>
    <cellStyle name="_Costs not in AURORA 06GRC_4 31E Reg Asset  Liab and EXH D 27" xfId="23593"/>
    <cellStyle name="_Costs not in AURORA 06GRC_4 31E Reg Asset  Liab and EXH D 28" xfId="23594"/>
    <cellStyle name="_Costs not in AURORA 06GRC_4 31E Reg Asset  Liab and EXH D 29" xfId="23595"/>
    <cellStyle name="_Costs not in AURORA 06GRC_4 31E Reg Asset  Liab and EXH D 3" xfId="23596"/>
    <cellStyle name="_Costs not in AURORA 06GRC_4 31E Reg Asset  Liab and EXH D 30" xfId="23597"/>
    <cellStyle name="_Costs not in AURORA 06GRC_4 31E Reg Asset  Liab and EXH D 31" xfId="23598"/>
    <cellStyle name="_Costs not in AURORA 06GRC_4 31E Reg Asset  Liab and EXH D 32" xfId="23599"/>
    <cellStyle name="_Costs not in AURORA 06GRC_4 31E Reg Asset  Liab and EXH D 33" xfId="23600"/>
    <cellStyle name="_Costs not in AURORA 06GRC_4 31E Reg Asset  Liab and EXH D 34" xfId="23601"/>
    <cellStyle name="_Costs not in AURORA 06GRC_4 31E Reg Asset  Liab and EXH D 35" xfId="23602"/>
    <cellStyle name="_Costs not in AURORA 06GRC_4 31E Reg Asset  Liab and EXH D 36" xfId="23603"/>
    <cellStyle name="_Costs not in AURORA 06GRC_4 31E Reg Asset  Liab and EXH D 4" xfId="23604"/>
    <cellStyle name="_Costs not in AURORA 06GRC_4 31E Reg Asset  Liab and EXH D 5" xfId="23605"/>
    <cellStyle name="_Costs not in AURORA 06GRC_4 31E Reg Asset  Liab and EXH D 6" xfId="23606"/>
    <cellStyle name="_Costs not in AURORA 06GRC_4 31E Reg Asset  Liab and EXH D 7" xfId="23607"/>
    <cellStyle name="_Costs not in AURORA 06GRC_4 31E Reg Asset  Liab and EXH D 8" xfId="23608"/>
    <cellStyle name="_Costs not in AURORA 06GRC_4 31E Reg Asset  Liab and EXH D 9" xfId="23609"/>
    <cellStyle name="_Costs not in AURORA 06GRC_4 32 Regulatory Assets and Liabilities  7 06- Exhibit D" xfId="667"/>
    <cellStyle name="_Costs not in AURORA 06GRC_4 32 Regulatory Assets and Liabilities  7 06- Exhibit D 2" xfId="668"/>
    <cellStyle name="_Costs not in AURORA 06GRC_4 32 Regulatory Assets and Liabilities  7 06- Exhibit D 2 2" xfId="4047"/>
    <cellStyle name="_Costs not in AURORA 06GRC_4 32 Regulatory Assets and Liabilities  7 06- Exhibit D 2 2 2" xfId="20124"/>
    <cellStyle name="_Costs not in AURORA 06GRC_4 32 Regulatory Assets and Liabilities  7 06- Exhibit D 2 3" xfId="16092"/>
    <cellStyle name="_Costs not in AURORA 06GRC_4 32 Regulatory Assets and Liabilities  7 06- Exhibit D 3" xfId="4046"/>
    <cellStyle name="_Costs not in AURORA 06GRC_4 32 Regulatory Assets and Liabilities  7 06- Exhibit D 3 2" xfId="20125"/>
    <cellStyle name="_Costs not in AURORA 06GRC_4 32 Regulatory Assets and Liabilities  7 06- Exhibit D 4" xfId="16091"/>
    <cellStyle name="_Costs not in AURORA 06GRC_4 32 Regulatory Assets and Liabilities  7 06- Exhibit D_DEM-WP(C) ENERG10C--ctn Mid-C_042010 2010GRC" xfId="12239"/>
    <cellStyle name="_Costs not in AURORA 06GRC_4 32 Regulatory Assets and Liabilities  7 06- Exhibit D_NIM Summary" xfId="669"/>
    <cellStyle name="_Costs not in AURORA 06GRC_4 32 Regulatory Assets and Liabilities  7 06- Exhibit D_NIM Summary 2" xfId="670"/>
    <cellStyle name="_Costs not in AURORA 06GRC_4 32 Regulatory Assets and Liabilities  7 06- Exhibit D_NIM Summary 2 2" xfId="4049"/>
    <cellStyle name="_Costs not in AURORA 06GRC_4 32 Regulatory Assets and Liabilities  7 06- Exhibit D_NIM Summary 3" xfId="4048"/>
    <cellStyle name="_Costs not in AURORA 06GRC_4 32 Regulatory Assets and Liabilities  7 06- Exhibit D_NIM Summary_DEM-WP(C) ENERG10C--ctn Mid-C_042010 2010GRC" xfId="12240"/>
    <cellStyle name="_Costs not in AURORA 06GRC_AURORA Total New" xfId="671"/>
    <cellStyle name="_Costs not in AURORA 06GRC_AURORA Total New 2" xfId="672"/>
    <cellStyle name="_Costs not in AURORA 06GRC_AURORA Total New 2 2" xfId="4051"/>
    <cellStyle name="_Costs not in AURORA 06GRC_AURORA Total New 3" xfId="4050"/>
    <cellStyle name="_Costs not in AURORA 06GRC_Book2" xfId="673"/>
    <cellStyle name="_Costs not in AURORA 06GRC_Book2 2" xfId="674"/>
    <cellStyle name="_Costs not in AURORA 06GRC_Book2 2 2" xfId="4053"/>
    <cellStyle name="_Costs not in AURORA 06GRC_Book2 2 2 2" xfId="20126"/>
    <cellStyle name="_Costs not in AURORA 06GRC_Book2 2 3" xfId="16094"/>
    <cellStyle name="_Costs not in AURORA 06GRC_Book2 3" xfId="4052"/>
    <cellStyle name="_Costs not in AURORA 06GRC_Book2 3 2" xfId="20127"/>
    <cellStyle name="_Costs not in AURORA 06GRC_Book2 4" xfId="16093"/>
    <cellStyle name="_Costs not in AURORA 06GRC_Book2_Adj Bench DR 3 for Initial Briefs (Electric)" xfId="675"/>
    <cellStyle name="_Costs not in AURORA 06GRC_Book2_Adj Bench DR 3 for Initial Briefs (Electric) 2" xfId="676"/>
    <cellStyle name="_Costs not in AURORA 06GRC_Book2_Adj Bench DR 3 for Initial Briefs (Electric) 2 2" xfId="4055"/>
    <cellStyle name="_Costs not in AURORA 06GRC_Book2_Adj Bench DR 3 for Initial Briefs (Electric) 2 2 2" xfId="20128"/>
    <cellStyle name="_Costs not in AURORA 06GRC_Book2_Adj Bench DR 3 for Initial Briefs (Electric) 2 3" xfId="16096"/>
    <cellStyle name="_Costs not in AURORA 06GRC_Book2_Adj Bench DR 3 for Initial Briefs (Electric) 3" xfId="4054"/>
    <cellStyle name="_Costs not in AURORA 06GRC_Book2_Adj Bench DR 3 for Initial Briefs (Electric) 3 2" xfId="20129"/>
    <cellStyle name="_Costs not in AURORA 06GRC_Book2_Adj Bench DR 3 for Initial Briefs (Electric) 4" xfId="16095"/>
    <cellStyle name="_Costs not in AURORA 06GRC_Book2_Adj Bench DR 3 for Initial Briefs (Electric)_DEM-WP(C) ENERG10C--ctn Mid-C_042010 2010GRC" xfId="12241"/>
    <cellStyle name="_Costs not in AURORA 06GRC_Book2_DEM-WP(C) ENERG10C--ctn Mid-C_042010 2010GRC" xfId="12242"/>
    <cellStyle name="_Costs not in AURORA 06GRC_Book2_Electric Rev Req Model (2009 GRC) Rebuttal" xfId="677"/>
    <cellStyle name="_Costs not in AURORA 06GRC_Book2_Electric Rev Req Model (2009 GRC) Rebuttal 2" xfId="4056"/>
    <cellStyle name="_Costs not in AURORA 06GRC_Book2_Electric Rev Req Model (2009 GRC) Rebuttal 2 2" xfId="6927"/>
    <cellStyle name="_Costs not in AURORA 06GRC_Book2_Electric Rev Req Model (2009 GRC) Rebuttal 2 2 2" xfId="20130"/>
    <cellStyle name="_Costs not in AURORA 06GRC_Book2_Electric Rev Req Model (2009 GRC) Rebuttal 2 3" xfId="18301"/>
    <cellStyle name="_Costs not in AURORA 06GRC_Book2_Electric Rev Req Model (2009 GRC) Rebuttal 3" xfId="6928"/>
    <cellStyle name="_Costs not in AURORA 06GRC_Book2_Electric Rev Req Model (2009 GRC) Rebuttal 3 2" xfId="20131"/>
    <cellStyle name="_Costs not in AURORA 06GRC_Book2_Electric Rev Req Model (2009 GRC) Rebuttal 4" xfId="16097"/>
    <cellStyle name="_Costs not in AURORA 06GRC_Book2_Electric Rev Req Model (2009 GRC) Rebuttal REmoval of New  WH Solar AdjustMI" xfId="678"/>
    <cellStyle name="_Costs not in AURORA 06GRC_Book2_Electric Rev Req Model (2009 GRC) Rebuttal REmoval of New  WH Solar AdjustMI 2" xfId="679"/>
    <cellStyle name="_Costs not in AURORA 06GRC_Book2_Electric Rev Req Model (2009 GRC) Rebuttal REmoval of New  WH Solar AdjustMI 2 2" xfId="4058"/>
    <cellStyle name="_Costs not in AURORA 06GRC_Book2_Electric Rev Req Model (2009 GRC) Rebuttal REmoval of New  WH Solar AdjustMI 2 2 2" xfId="20132"/>
    <cellStyle name="_Costs not in AURORA 06GRC_Book2_Electric Rev Req Model (2009 GRC) Rebuttal REmoval of New  WH Solar AdjustMI 2 3" xfId="16099"/>
    <cellStyle name="_Costs not in AURORA 06GRC_Book2_Electric Rev Req Model (2009 GRC) Rebuttal REmoval of New  WH Solar AdjustMI 3" xfId="4057"/>
    <cellStyle name="_Costs not in AURORA 06GRC_Book2_Electric Rev Req Model (2009 GRC) Rebuttal REmoval of New  WH Solar AdjustMI 3 2" xfId="20133"/>
    <cellStyle name="_Costs not in AURORA 06GRC_Book2_Electric Rev Req Model (2009 GRC) Rebuttal REmoval of New  WH Solar AdjustMI 4" xfId="16098"/>
    <cellStyle name="_Costs not in AURORA 06GRC_Book2_Electric Rev Req Model (2009 GRC) Rebuttal REmoval of New  WH Solar AdjustMI_DEM-WP(C) ENERG10C--ctn Mid-C_042010 2010GRC" xfId="12243"/>
    <cellStyle name="_Costs not in AURORA 06GRC_Book2_Electric Rev Req Model (2009 GRC) Revised 01-18-2010" xfId="680"/>
    <cellStyle name="_Costs not in AURORA 06GRC_Book2_Electric Rev Req Model (2009 GRC) Revised 01-18-2010 2" xfId="681"/>
    <cellStyle name="_Costs not in AURORA 06GRC_Book2_Electric Rev Req Model (2009 GRC) Revised 01-18-2010 2 2" xfId="4060"/>
    <cellStyle name="_Costs not in AURORA 06GRC_Book2_Electric Rev Req Model (2009 GRC) Revised 01-18-2010 2 2 2" xfId="20134"/>
    <cellStyle name="_Costs not in AURORA 06GRC_Book2_Electric Rev Req Model (2009 GRC) Revised 01-18-2010 2 3" xfId="16101"/>
    <cellStyle name="_Costs not in AURORA 06GRC_Book2_Electric Rev Req Model (2009 GRC) Revised 01-18-2010 3" xfId="4059"/>
    <cellStyle name="_Costs not in AURORA 06GRC_Book2_Electric Rev Req Model (2009 GRC) Revised 01-18-2010 3 2" xfId="20135"/>
    <cellStyle name="_Costs not in AURORA 06GRC_Book2_Electric Rev Req Model (2009 GRC) Revised 01-18-2010 4" xfId="16100"/>
    <cellStyle name="_Costs not in AURORA 06GRC_Book2_Electric Rev Req Model (2009 GRC) Revised 01-18-2010_DEM-WP(C) ENERG10C--ctn Mid-C_042010 2010GRC" xfId="12244"/>
    <cellStyle name="_Costs not in AURORA 06GRC_Book2_Final Order Electric EXHIBIT A-1" xfId="682"/>
    <cellStyle name="_Costs not in AURORA 06GRC_Book2_Final Order Electric EXHIBIT A-1 2" xfId="4061"/>
    <cellStyle name="_Costs not in AURORA 06GRC_Book2_Final Order Electric EXHIBIT A-1 2 2" xfId="6929"/>
    <cellStyle name="_Costs not in AURORA 06GRC_Book2_Final Order Electric EXHIBIT A-1 2 2 2" xfId="20136"/>
    <cellStyle name="_Costs not in AURORA 06GRC_Book2_Final Order Electric EXHIBIT A-1 2 3" xfId="18302"/>
    <cellStyle name="_Costs not in AURORA 06GRC_Book2_Final Order Electric EXHIBIT A-1 3" xfId="6930"/>
    <cellStyle name="_Costs not in AURORA 06GRC_Book2_Final Order Electric EXHIBIT A-1 3 2" xfId="20137"/>
    <cellStyle name="_Costs not in AURORA 06GRC_Book2_Final Order Electric EXHIBIT A-1 4" xfId="16102"/>
    <cellStyle name="_Costs not in AURORA 06GRC_Book4" xfId="683"/>
    <cellStyle name="_Costs not in AURORA 06GRC_Book4 2" xfId="684"/>
    <cellStyle name="_Costs not in AURORA 06GRC_Book4 2 2" xfId="4063"/>
    <cellStyle name="_Costs not in AURORA 06GRC_Book4 2 2 2" xfId="20138"/>
    <cellStyle name="_Costs not in AURORA 06GRC_Book4 2 3" xfId="16104"/>
    <cellStyle name="_Costs not in AURORA 06GRC_Book4 3" xfId="4062"/>
    <cellStyle name="_Costs not in AURORA 06GRC_Book4 3 2" xfId="20139"/>
    <cellStyle name="_Costs not in AURORA 06GRC_Book4 4" xfId="16103"/>
    <cellStyle name="_Costs not in AURORA 06GRC_Book4_DEM-WP(C) ENERG10C--ctn Mid-C_042010 2010GRC" xfId="12245"/>
    <cellStyle name="_Costs not in AURORA 06GRC_Book9" xfId="685"/>
    <cellStyle name="_Costs not in AURORA 06GRC_Book9 2" xfId="686"/>
    <cellStyle name="_Costs not in AURORA 06GRC_Book9 2 2" xfId="4065"/>
    <cellStyle name="_Costs not in AURORA 06GRC_Book9 2 2 2" xfId="20140"/>
    <cellStyle name="_Costs not in AURORA 06GRC_Book9 2 3" xfId="16106"/>
    <cellStyle name="_Costs not in AURORA 06GRC_Book9 3" xfId="4064"/>
    <cellStyle name="_Costs not in AURORA 06GRC_Book9 3 2" xfId="20141"/>
    <cellStyle name="_Costs not in AURORA 06GRC_Book9 4" xfId="16105"/>
    <cellStyle name="_Costs not in AURORA 06GRC_Book9_DEM-WP(C) ENERG10C--ctn Mid-C_042010 2010GRC" xfId="12246"/>
    <cellStyle name="_Costs not in AURORA 06GRC_Check the Interest Calculation" xfId="14751"/>
    <cellStyle name="_Costs not in AURORA 06GRC_Check the Interest Calculation_Scenario 1 REC vs PTC Offset" xfId="14752"/>
    <cellStyle name="_Costs not in AURORA 06GRC_Check the Interest Calculation_Scenario 3" xfId="14753"/>
    <cellStyle name="_Costs not in AURORA 06GRC_Chelan PUD Power Costs (8-10)" xfId="12247"/>
    <cellStyle name="_Costs not in AURORA 06GRC_Chelan PUD Power Costs (8-10) 2" xfId="23610"/>
    <cellStyle name="_Costs not in AURORA 06GRC_DEM-WP(C) Chelan Power Costs" xfId="12248"/>
    <cellStyle name="_Costs not in AURORA 06GRC_DEM-WP(C) Chelan Power Costs 2" xfId="23611"/>
    <cellStyle name="_Costs not in AURORA 06GRC_DEM-WP(C) ENERG10C--ctn Mid-C_042010 2010GRC" xfId="12249"/>
    <cellStyle name="_Costs not in AURORA 06GRC_DEM-WP(C) Gas Transport 2010GRC" xfId="12250"/>
    <cellStyle name="_Costs not in AURORA 06GRC_DEM-WP(C) Gas Transport 2010GRC 2" xfId="23612"/>
    <cellStyle name="_Costs not in AURORA 06GRC_Exh A-1 resulting from UE-112050 effective Jan 1 2012" xfId="14754"/>
    <cellStyle name="_Costs not in AURORA 06GRC_Exh G - Klamath Peaker PPA fr C Locke 2-12" xfId="14755"/>
    <cellStyle name="_Costs not in AURORA 06GRC_Exhibit A-1 effective 4-1-11 fr S Free 12-11" xfId="14756"/>
    <cellStyle name="_Costs not in AURORA 06GRC_Exhibit D fr R Gho 12-31-08" xfId="687"/>
    <cellStyle name="_Costs not in AURORA 06GRC_Exhibit D fr R Gho 12-31-08 2" xfId="688"/>
    <cellStyle name="_Costs not in AURORA 06GRC_Exhibit D fr R Gho 12-31-08 2 2" xfId="4067"/>
    <cellStyle name="_Costs not in AURORA 06GRC_Exhibit D fr R Gho 12-31-08 3" xfId="4066"/>
    <cellStyle name="_Costs not in AURORA 06GRC_Exhibit D fr R Gho 12-31-08 v2" xfId="689"/>
    <cellStyle name="_Costs not in AURORA 06GRC_Exhibit D fr R Gho 12-31-08 v2 2" xfId="690"/>
    <cellStyle name="_Costs not in AURORA 06GRC_Exhibit D fr R Gho 12-31-08 v2 2 2" xfId="4069"/>
    <cellStyle name="_Costs not in AURORA 06GRC_Exhibit D fr R Gho 12-31-08 v2 3" xfId="4068"/>
    <cellStyle name="_Costs not in AURORA 06GRC_Exhibit D fr R Gho 12-31-08 v2_DEM-WP(C) ENERG10C--ctn Mid-C_042010 2010GRC" xfId="12251"/>
    <cellStyle name="_Costs not in AURORA 06GRC_Exhibit D fr R Gho 12-31-08 v2_NIM Summary" xfId="691"/>
    <cellStyle name="_Costs not in AURORA 06GRC_Exhibit D fr R Gho 12-31-08 v2_NIM Summary 2" xfId="692"/>
    <cellStyle name="_Costs not in AURORA 06GRC_Exhibit D fr R Gho 12-31-08 v2_NIM Summary 2 2" xfId="4071"/>
    <cellStyle name="_Costs not in AURORA 06GRC_Exhibit D fr R Gho 12-31-08 v2_NIM Summary 3" xfId="4070"/>
    <cellStyle name="_Costs not in AURORA 06GRC_Exhibit D fr R Gho 12-31-08 v2_NIM Summary_DEM-WP(C) ENERG10C--ctn Mid-C_042010 2010GRC" xfId="12252"/>
    <cellStyle name="_Costs not in AURORA 06GRC_Exhibit D fr R Gho 12-31-08_DEM-WP(C) ENERG10C--ctn Mid-C_042010 2010GRC" xfId="12253"/>
    <cellStyle name="_Costs not in AURORA 06GRC_Exhibit D fr R Gho 12-31-08_NIM Summary" xfId="693"/>
    <cellStyle name="_Costs not in AURORA 06GRC_Exhibit D fr R Gho 12-31-08_NIM Summary 2" xfId="694"/>
    <cellStyle name="_Costs not in AURORA 06GRC_Exhibit D fr R Gho 12-31-08_NIM Summary 2 2" xfId="4073"/>
    <cellStyle name="_Costs not in AURORA 06GRC_Exhibit D fr R Gho 12-31-08_NIM Summary 3" xfId="4072"/>
    <cellStyle name="_Costs not in AURORA 06GRC_Exhibit D fr R Gho 12-31-08_NIM Summary_DEM-WP(C) ENERG10C--ctn Mid-C_042010 2010GRC" xfId="12254"/>
    <cellStyle name="_Costs not in AURORA 06GRC_Hopkins Ridge Prepaid Tran - Interest Earned RY 12ME Feb  '11" xfId="695"/>
    <cellStyle name="_Costs not in AURORA 06GRC_Hopkins Ridge Prepaid Tran - Interest Earned RY 12ME Feb  '11 2" xfId="696"/>
    <cellStyle name="_Costs not in AURORA 06GRC_Hopkins Ridge Prepaid Tran - Interest Earned RY 12ME Feb  '11 2 2" xfId="4075"/>
    <cellStyle name="_Costs not in AURORA 06GRC_Hopkins Ridge Prepaid Tran - Interest Earned RY 12ME Feb  '11 3" xfId="4074"/>
    <cellStyle name="_Costs not in AURORA 06GRC_Hopkins Ridge Prepaid Tran - Interest Earned RY 12ME Feb  '11_DEM-WP(C) ENERG10C--ctn Mid-C_042010 2010GRC" xfId="12255"/>
    <cellStyle name="_Costs not in AURORA 06GRC_Hopkins Ridge Prepaid Tran - Interest Earned RY 12ME Feb  '11_NIM Summary" xfId="697"/>
    <cellStyle name="_Costs not in AURORA 06GRC_Hopkins Ridge Prepaid Tran - Interest Earned RY 12ME Feb  '11_NIM Summary 2" xfId="698"/>
    <cellStyle name="_Costs not in AURORA 06GRC_Hopkins Ridge Prepaid Tran - Interest Earned RY 12ME Feb  '11_NIM Summary 2 2" xfId="4077"/>
    <cellStyle name="_Costs not in AURORA 06GRC_Hopkins Ridge Prepaid Tran - Interest Earned RY 12ME Feb  '11_NIM Summary 3" xfId="4076"/>
    <cellStyle name="_Costs not in AURORA 06GRC_Hopkins Ridge Prepaid Tran - Interest Earned RY 12ME Feb  '11_NIM Summary_DEM-WP(C) ENERG10C--ctn Mid-C_042010 2010GRC" xfId="12256"/>
    <cellStyle name="_Costs not in AURORA 06GRC_Hopkins Ridge Prepaid Tran - Interest Earned RY 12ME Feb  '11_Transmission Workbook for May BOD" xfId="699"/>
    <cellStyle name="_Costs not in AURORA 06GRC_Hopkins Ridge Prepaid Tran - Interest Earned RY 12ME Feb  '11_Transmission Workbook for May BOD 2" xfId="700"/>
    <cellStyle name="_Costs not in AURORA 06GRC_Hopkins Ridge Prepaid Tran - Interest Earned RY 12ME Feb  '11_Transmission Workbook for May BOD 2 2" xfId="4079"/>
    <cellStyle name="_Costs not in AURORA 06GRC_Hopkins Ridge Prepaid Tran - Interest Earned RY 12ME Feb  '11_Transmission Workbook for May BOD 3" xfId="4078"/>
    <cellStyle name="_Costs not in AURORA 06GRC_Hopkins Ridge Prepaid Tran - Interest Earned RY 12ME Feb  '11_Transmission Workbook for May BOD_DEM-WP(C) ENERG10C--ctn Mid-C_042010 2010GRC" xfId="12257"/>
    <cellStyle name="_Costs not in AURORA 06GRC_INPUTS" xfId="6931"/>
    <cellStyle name="_Costs not in AURORA 06GRC_INPUTS 2" xfId="6932"/>
    <cellStyle name="_Costs not in AURORA 06GRC_INPUTS 2 2" xfId="6933"/>
    <cellStyle name="_Costs not in AURORA 06GRC_INPUTS 2 2 2" xfId="20142"/>
    <cellStyle name="_Costs not in AURORA 06GRC_INPUTS 2 3" xfId="18304"/>
    <cellStyle name="_Costs not in AURORA 06GRC_INPUTS 3" xfId="6934"/>
    <cellStyle name="_Costs not in AURORA 06GRC_INPUTS 3 2" xfId="20143"/>
    <cellStyle name="_Costs not in AURORA 06GRC_INPUTS 4" xfId="18303"/>
    <cellStyle name="_Costs not in AURORA 06GRC_Mint Farm Generation BPA" xfId="23613"/>
    <cellStyle name="_Costs not in AURORA 06GRC_NIM Summary" xfId="701"/>
    <cellStyle name="_Costs not in AURORA 06GRC_NIM Summary 09GRC" xfId="702"/>
    <cellStyle name="_Costs not in AURORA 06GRC_NIM Summary 09GRC 2" xfId="703"/>
    <cellStyle name="_Costs not in AURORA 06GRC_NIM Summary 09GRC 2 2" xfId="4082"/>
    <cellStyle name="_Costs not in AURORA 06GRC_NIM Summary 09GRC 3" xfId="4081"/>
    <cellStyle name="_Costs not in AURORA 06GRC_NIM Summary 09GRC_DEM-WP(C) ENERG10C--ctn Mid-C_042010 2010GRC" xfId="12258"/>
    <cellStyle name="_Costs not in AURORA 06GRC_NIM Summary 10" xfId="4080"/>
    <cellStyle name="_Costs not in AURORA 06GRC_NIM Summary 11" xfId="6220"/>
    <cellStyle name="_Costs not in AURORA 06GRC_NIM Summary 12" xfId="6266"/>
    <cellStyle name="_Costs not in AURORA 06GRC_NIM Summary 13" xfId="6193"/>
    <cellStyle name="_Costs not in AURORA 06GRC_NIM Summary 14" xfId="6313"/>
    <cellStyle name="_Costs not in AURORA 06GRC_NIM Summary 15" xfId="14757"/>
    <cellStyle name="_Costs not in AURORA 06GRC_NIM Summary 16" xfId="14758"/>
    <cellStyle name="_Costs not in AURORA 06GRC_NIM Summary 17" xfId="14759"/>
    <cellStyle name="_Costs not in AURORA 06GRC_NIM Summary 18" xfId="14760"/>
    <cellStyle name="_Costs not in AURORA 06GRC_NIM Summary 19" xfId="14761"/>
    <cellStyle name="_Costs not in AURORA 06GRC_NIM Summary 2" xfId="704"/>
    <cellStyle name="_Costs not in AURORA 06GRC_NIM Summary 2 2" xfId="4083"/>
    <cellStyle name="_Costs not in AURORA 06GRC_NIM Summary 20" xfId="14762"/>
    <cellStyle name="_Costs not in AURORA 06GRC_NIM Summary 21" xfId="14763"/>
    <cellStyle name="_Costs not in AURORA 06GRC_NIM Summary 22" xfId="14764"/>
    <cellStyle name="_Costs not in AURORA 06GRC_NIM Summary 23" xfId="14765"/>
    <cellStyle name="_Costs not in AURORA 06GRC_NIM Summary 24" xfId="14766"/>
    <cellStyle name="_Costs not in AURORA 06GRC_NIM Summary 25" xfId="14767"/>
    <cellStyle name="_Costs not in AURORA 06GRC_NIM Summary 26" xfId="14768"/>
    <cellStyle name="_Costs not in AURORA 06GRC_NIM Summary 27" xfId="14769"/>
    <cellStyle name="_Costs not in AURORA 06GRC_NIM Summary 28" xfId="14770"/>
    <cellStyle name="_Costs not in AURORA 06GRC_NIM Summary 29" xfId="14771"/>
    <cellStyle name="_Costs not in AURORA 06GRC_NIM Summary 3" xfId="705"/>
    <cellStyle name="_Costs not in AURORA 06GRC_NIM Summary 3 2" xfId="4084"/>
    <cellStyle name="_Costs not in AURORA 06GRC_NIM Summary 30" xfId="14772"/>
    <cellStyle name="_Costs not in AURORA 06GRC_NIM Summary 31" xfId="14773"/>
    <cellStyle name="_Costs not in AURORA 06GRC_NIM Summary 32" xfId="14774"/>
    <cellStyle name="_Costs not in AURORA 06GRC_NIM Summary 33" xfId="14775"/>
    <cellStyle name="_Costs not in AURORA 06GRC_NIM Summary 34" xfId="14776"/>
    <cellStyle name="_Costs not in AURORA 06GRC_NIM Summary 35" xfId="14777"/>
    <cellStyle name="_Costs not in AURORA 06GRC_NIM Summary 36" xfId="14778"/>
    <cellStyle name="_Costs not in AURORA 06GRC_NIM Summary 37" xfId="14779"/>
    <cellStyle name="_Costs not in AURORA 06GRC_NIM Summary 38" xfId="14780"/>
    <cellStyle name="_Costs not in AURORA 06GRC_NIM Summary 39" xfId="14781"/>
    <cellStyle name="_Costs not in AURORA 06GRC_NIM Summary 4" xfId="706"/>
    <cellStyle name="_Costs not in AURORA 06GRC_NIM Summary 4 2" xfId="4085"/>
    <cellStyle name="_Costs not in AURORA 06GRC_NIM Summary 40" xfId="14782"/>
    <cellStyle name="_Costs not in AURORA 06GRC_NIM Summary 41" xfId="14783"/>
    <cellStyle name="_Costs not in AURORA 06GRC_NIM Summary 42" xfId="16107"/>
    <cellStyle name="_Costs not in AURORA 06GRC_NIM Summary 43" xfId="16007"/>
    <cellStyle name="_Costs not in AURORA 06GRC_NIM Summary 44" xfId="23614"/>
    <cellStyle name="_Costs not in AURORA 06GRC_NIM Summary 45" xfId="23615"/>
    <cellStyle name="_Costs not in AURORA 06GRC_NIM Summary 46" xfId="23616"/>
    <cellStyle name="_Costs not in AURORA 06GRC_NIM Summary 47" xfId="23617"/>
    <cellStyle name="_Costs not in AURORA 06GRC_NIM Summary 48" xfId="23618"/>
    <cellStyle name="_Costs not in AURORA 06GRC_NIM Summary 49" xfId="23619"/>
    <cellStyle name="_Costs not in AURORA 06GRC_NIM Summary 5" xfId="707"/>
    <cellStyle name="_Costs not in AURORA 06GRC_NIM Summary 5 2" xfId="4086"/>
    <cellStyle name="_Costs not in AURORA 06GRC_NIM Summary 50" xfId="23620"/>
    <cellStyle name="_Costs not in AURORA 06GRC_NIM Summary 51" xfId="41137"/>
    <cellStyle name="_Costs not in AURORA 06GRC_NIM Summary 52" xfId="6935"/>
    <cellStyle name="_Costs not in AURORA 06GRC_NIM Summary 6" xfId="708"/>
    <cellStyle name="_Costs not in AURORA 06GRC_NIM Summary 6 2" xfId="4087"/>
    <cellStyle name="_Costs not in AURORA 06GRC_NIM Summary 7" xfId="709"/>
    <cellStyle name="_Costs not in AURORA 06GRC_NIM Summary 7 2" xfId="4088"/>
    <cellStyle name="_Costs not in AURORA 06GRC_NIM Summary 8" xfId="710"/>
    <cellStyle name="_Costs not in AURORA 06GRC_NIM Summary 8 2" xfId="4089"/>
    <cellStyle name="_Costs not in AURORA 06GRC_NIM Summary 9" xfId="711"/>
    <cellStyle name="_Costs not in AURORA 06GRC_NIM Summary 9 2" xfId="4090"/>
    <cellStyle name="_Costs not in AURORA 06GRC_NIM Summary_DEM-WP(C) ENERG10C--ctn Mid-C_042010 2010GRC" xfId="12259"/>
    <cellStyle name="_Costs not in AURORA 06GRC_PCA 10 -  Exhibit D Dec 2011" xfId="14784"/>
    <cellStyle name="_Costs not in AURORA 06GRC_PCA 10 -  Exhibit D from A Kellogg Jan 2011" xfId="14064"/>
    <cellStyle name="_Costs not in AURORA 06GRC_PCA 10 -  Exhibit D from A Kellogg July 2011" xfId="14065"/>
    <cellStyle name="_Costs not in AURORA 06GRC_PCA 10 -  Exhibit D from S Free Rcv'd 12-11" xfId="14066"/>
    <cellStyle name="_Costs not in AURORA 06GRC_PCA 11 -  Exhibit D Jan 2012 fr A Kellogg" xfId="14785"/>
    <cellStyle name="_Costs not in AURORA 06GRC_PCA 11 -  Exhibit D Jan 2012 WF" xfId="14786"/>
    <cellStyle name="_Costs not in AURORA 06GRC_PCA 7 - Exhibit D update 11_30_08 (2)" xfId="712"/>
    <cellStyle name="_Costs not in AURORA 06GRC_PCA 7 - Exhibit D update 11_30_08 (2) 2" xfId="713"/>
    <cellStyle name="_Costs not in AURORA 06GRC_PCA 7 - Exhibit D update 11_30_08 (2) 2 2" xfId="714"/>
    <cellStyle name="_Costs not in AURORA 06GRC_PCA 7 - Exhibit D update 11_30_08 (2) 2 2 2" xfId="4093"/>
    <cellStyle name="_Costs not in AURORA 06GRC_PCA 7 - Exhibit D update 11_30_08 (2) 2 3" xfId="4092"/>
    <cellStyle name="_Costs not in AURORA 06GRC_PCA 7 - Exhibit D update 11_30_08 (2) 3" xfId="715"/>
    <cellStyle name="_Costs not in AURORA 06GRC_PCA 7 - Exhibit D update 11_30_08 (2) 3 2" xfId="4094"/>
    <cellStyle name="_Costs not in AURORA 06GRC_PCA 7 - Exhibit D update 11_30_08 (2) 4" xfId="4091"/>
    <cellStyle name="_Costs not in AURORA 06GRC_PCA 7 - Exhibit D update 11_30_08 (2)_DEM-WP(C) ENERG10C--ctn Mid-C_042010 2010GRC" xfId="12260"/>
    <cellStyle name="_Costs not in AURORA 06GRC_PCA 7 - Exhibit D update 11_30_08 (2)_NIM Summary" xfId="716"/>
    <cellStyle name="_Costs not in AURORA 06GRC_PCA 7 - Exhibit D update 11_30_08 (2)_NIM Summary 2" xfId="717"/>
    <cellStyle name="_Costs not in AURORA 06GRC_PCA 7 - Exhibit D update 11_30_08 (2)_NIM Summary 2 2" xfId="4096"/>
    <cellStyle name="_Costs not in AURORA 06GRC_PCA 7 - Exhibit D update 11_30_08 (2)_NIM Summary 3" xfId="4095"/>
    <cellStyle name="_Costs not in AURORA 06GRC_PCA 7 - Exhibit D update 11_30_08 (2)_NIM Summary_DEM-WP(C) ENERG10C--ctn Mid-C_042010 2010GRC" xfId="12261"/>
    <cellStyle name="_Costs not in AURORA 06GRC_PCA 8 - Exhibit D update 12_31_09" xfId="14067"/>
    <cellStyle name="_Costs not in AURORA 06GRC_PCA 8 - Exhibit D update 12_31_09 2" xfId="14787"/>
    <cellStyle name="_Costs not in AURORA 06GRC_PCA 9 -  Exhibit D April 2010" xfId="14068"/>
    <cellStyle name="_Costs not in AURORA 06GRC_PCA 9 -  Exhibit D April 2010 (3)" xfId="718"/>
    <cellStyle name="_Costs not in AURORA 06GRC_PCA 9 -  Exhibit D April 2010 (3) 2" xfId="719"/>
    <cellStyle name="_Costs not in AURORA 06GRC_PCA 9 -  Exhibit D April 2010 (3) 2 2" xfId="4098"/>
    <cellStyle name="_Costs not in AURORA 06GRC_PCA 9 -  Exhibit D April 2010 (3) 3" xfId="4097"/>
    <cellStyle name="_Costs not in AURORA 06GRC_PCA 9 -  Exhibit D April 2010 (3)_DEM-WP(C) ENERG10C--ctn Mid-C_042010 2010GRC" xfId="12262"/>
    <cellStyle name="_Costs not in AURORA 06GRC_PCA 9 -  Exhibit D April 2010 2" xfId="14788"/>
    <cellStyle name="_Costs not in AURORA 06GRC_PCA 9 -  Exhibit D April 2010 3" xfId="14789"/>
    <cellStyle name="_Costs not in AURORA 06GRC_PCA 9 -  Exhibit D April 2010 4" xfId="14790"/>
    <cellStyle name="_Costs not in AURORA 06GRC_PCA 9 -  Exhibit D April 2010 5" xfId="14791"/>
    <cellStyle name="_Costs not in AURORA 06GRC_PCA 9 -  Exhibit D April 2010 6" xfId="14792"/>
    <cellStyle name="_Costs not in AURORA 06GRC_PCA 9 -  Exhibit D Feb 2010" xfId="14069"/>
    <cellStyle name="_Costs not in AURORA 06GRC_PCA 9 -  Exhibit D Feb 2010 2" xfId="14793"/>
    <cellStyle name="_Costs not in AURORA 06GRC_PCA 9 -  Exhibit D Feb 2010 v2" xfId="14070"/>
    <cellStyle name="_Costs not in AURORA 06GRC_PCA 9 -  Exhibit D Feb 2010 v2 2" xfId="14794"/>
    <cellStyle name="_Costs not in AURORA 06GRC_PCA 9 -  Exhibit D Feb 2010 WF" xfId="14071"/>
    <cellStyle name="_Costs not in AURORA 06GRC_PCA 9 -  Exhibit D Feb 2010 WF 2" xfId="14795"/>
    <cellStyle name="_Costs not in AURORA 06GRC_PCA 9 -  Exhibit D Jan 2010" xfId="14072"/>
    <cellStyle name="_Costs not in AURORA 06GRC_PCA 9 -  Exhibit D Jan 2010 2" xfId="14796"/>
    <cellStyle name="_Costs not in AURORA 06GRC_PCA 9 -  Exhibit D March 2010 (2)" xfId="14073"/>
    <cellStyle name="_Costs not in AURORA 06GRC_PCA 9 -  Exhibit D March 2010 (2) 2" xfId="14797"/>
    <cellStyle name="_Costs not in AURORA 06GRC_PCA 9 -  Exhibit D Nov 2010" xfId="14074"/>
    <cellStyle name="_Costs not in AURORA 06GRC_PCA 9 -  Exhibit D Nov 2010 2" xfId="14798"/>
    <cellStyle name="_Costs not in AURORA 06GRC_PCA 9 - Exhibit D at August 2010" xfId="14075"/>
    <cellStyle name="_Costs not in AURORA 06GRC_PCA 9 - Exhibit D at August 2010 2" xfId="14799"/>
    <cellStyle name="_Costs not in AURORA 06GRC_PCA 9 - Exhibit D June 2010 GRC" xfId="14076"/>
    <cellStyle name="_Costs not in AURORA 06GRC_PCA 9 - Exhibit D June 2010 GRC 2" xfId="14800"/>
    <cellStyle name="_Costs not in AURORA 06GRC_Power Costs - Comparison bx Rbtl-Staff-Jt-PC" xfId="720"/>
    <cellStyle name="_Costs not in AURORA 06GRC_Power Costs - Comparison bx Rbtl-Staff-Jt-PC 2" xfId="721"/>
    <cellStyle name="_Costs not in AURORA 06GRC_Power Costs - Comparison bx Rbtl-Staff-Jt-PC 2 2" xfId="4100"/>
    <cellStyle name="_Costs not in AURORA 06GRC_Power Costs - Comparison bx Rbtl-Staff-Jt-PC 2 2 2" xfId="20144"/>
    <cellStyle name="_Costs not in AURORA 06GRC_Power Costs - Comparison bx Rbtl-Staff-Jt-PC 2 3" xfId="16109"/>
    <cellStyle name="_Costs not in AURORA 06GRC_Power Costs - Comparison bx Rbtl-Staff-Jt-PC 3" xfId="4099"/>
    <cellStyle name="_Costs not in AURORA 06GRC_Power Costs - Comparison bx Rbtl-Staff-Jt-PC 3 2" xfId="20145"/>
    <cellStyle name="_Costs not in AURORA 06GRC_Power Costs - Comparison bx Rbtl-Staff-Jt-PC 4" xfId="16108"/>
    <cellStyle name="_Costs not in AURORA 06GRC_Power Costs - Comparison bx Rbtl-Staff-Jt-PC_Adj Bench DR 3 for Initial Briefs (Electric)" xfId="722"/>
    <cellStyle name="_Costs not in AURORA 06GRC_Power Costs - Comparison bx Rbtl-Staff-Jt-PC_Adj Bench DR 3 for Initial Briefs (Electric) 2" xfId="723"/>
    <cellStyle name="_Costs not in AURORA 06GRC_Power Costs - Comparison bx Rbtl-Staff-Jt-PC_Adj Bench DR 3 for Initial Briefs (Electric) 2 2" xfId="4102"/>
    <cellStyle name="_Costs not in AURORA 06GRC_Power Costs - Comparison bx Rbtl-Staff-Jt-PC_Adj Bench DR 3 for Initial Briefs (Electric) 2 2 2" xfId="20146"/>
    <cellStyle name="_Costs not in AURORA 06GRC_Power Costs - Comparison bx Rbtl-Staff-Jt-PC_Adj Bench DR 3 for Initial Briefs (Electric) 2 3" xfId="16111"/>
    <cellStyle name="_Costs not in AURORA 06GRC_Power Costs - Comparison bx Rbtl-Staff-Jt-PC_Adj Bench DR 3 for Initial Briefs (Electric) 3" xfId="4101"/>
    <cellStyle name="_Costs not in AURORA 06GRC_Power Costs - Comparison bx Rbtl-Staff-Jt-PC_Adj Bench DR 3 for Initial Briefs (Electric) 3 2" xfId="20147"/>
    <cellStyle name="_Costs not in AURORA 06GRC_Power Costs - Comparison bx Rbtl-Staff-Jt-PC_Adj Bench DR 3 for Initial Briefs (Electric) 4" xfId="16110"/>
    <cellStyle name="_Costs not in AURORA 06GRC_Power Costs - Comparison bx Rbtl-Staff-Jt-PC_Adj Bench DR 3 for Initial Briefs (Electric)_DEM-WP(C) ENERG10C--ctn Mid-C_042010 2010GRC" xfId="12263"/>
    <cellStyle name="_Costs not in AURORA 06GRC_Power Costs - Comparison bx Rbtl-Staff-Jt-PC_DEM-WP(C) ENERG10C--ctn Mid-C_042010 2010GRC" xfId="12264"/>
    <cellStyle name="_Costs not in AURORA 06GRC_Power Costs - Comparison bx Rbtl-Staff-Jt-PC_Electric Rev Req Model (2009 GRC) Rebuttal" xfId="724"/>
    <cellStyle name="_Costs not in AURORA 06GRC_Power Costs - Comparison bx Rbtl-Staff-Jt-PC_Electric Rev Req Model (2009 GRC) Rebuttal 2" xfId="4103"/>
    <cellStyle name="_Costs not in AURORA 06GRC_Power Costs - Comparison bx Rbtl-Staff-Jt-PC_Electric Rev Req Model (2009 GRC) Rebuttal 2 2" xfId="6936"/>
    <cellStyle name="_Costs not in AURORA 06GRC_Power Costs - Comparison bx Rbtl-Staff-Jt-PC_Electric Rev Req Model (2009 GRC) Rebuttal 2 2 2" xfId="20148"/>
    <cellStyle name="_Costs not in AURORA 06GRC_Power Costs - Comparison bx Rbtl-Staff-Jt-PC_Electric Rev Req Model (2009 GRC) Rebuttal 2 3" xfId="18305"/>
    <cellStyle name="_Costs not in AURORA 06GRC_Power Costs - Comparison bx Rbtl-Staff-Jt-PC_Electric Rev Req Model (2009 GRC) Rebuttal 3" xfId="6937"/>
    <cellStyle name="_Costs not in AURORA 06GRC_Power Costs - Comparison bx Rbtl-Staff-Jt-PC_Electric Rev Req Model (2009 GRC) Rebuttal 3 2" xfId="20149"/>
    <cellStyle name="_Costs not in AURORA 06GRC_Power Costs - Comparison bx Rbtl-Staff-Jt-PC_Electric Rev Req Model (2009 GRC) Rebuttal 4" xfId="16112"/>
    <cellStyle name="_Costs not in AURORA 06GRC_Power Costs - Comparison bx Rbtl-Staff-Jt-PC_Electric Rev Req Model (2009 GRC) Rebuttal REmoval of New  WH Solar AdjustMI" xfId="725"/>
    <cellStyle name="_Costs not in AURORA 06GRC_Power Costs - Comparison bx Rbtl-Staff-Jt-PC_Electric Rev Req Model (2009 GRC) Rebuttal REmoval of New  WH Solar AdjustMI 2" xfId="726"/>
    <cellStyle name="_Costs not in AURORA 06GRC_Power Costs - Comparison bx Rbtl-Staff-Jt-PC_Electric Rev Req Model (2009 GRC) Rebuttal REmoval of New  WH Solar AdjustMI 2 2" xfId="4105"/>
    <cellStyle name="_Costs not in AURORA 06GRC_Power Costs - Comparison bx Rbtl-Staff-Jt-PC_Electric Rev Req Model (2009 GRC) Rebuttal REmoval of New  WH Solar AdjustMI 2 2 2" xfId="20150"/>
    <cellStyle name="_Costs not in AURORA 06GRC_Power Costs - Comparison bx Rbtl-Staff-Jt-PC_Electric Rev Req Model (2009 GRC) Rebuttal REmoval of New  WH Solar AdjustMI 2 3" xfId="16114"/>
    <cellStyle name="_Costs not in AURORA 06GRC_Power Costs - Comparison bx Rbtl-Staff-Jt-PC_Electric Rev Req Model (2009 GRC) Rebuttal REmoval of New  WH Solar AdjustMI 3" xfId="4104"/>
    <cellStyle name="_Costs not in AURORA 06GRC_Power Costs - Comparison bx Rbtl-Staff-Jt-PC_Electric Rev Req Model (2009 GRC) Rebuttal REmoval of New  WH Solar AdjustMI 3 2" xfId="20151"/>
    <cellStyle name="_Costs not in AURORA 06GRC_Power Costs - Comparison bx Rbtl-Staff-Jt-PC_Electric Rev Req Model (2009 GRC) Rebuttal REmoval of New  WH Solar AdjustMI 4" xfId="16113"/>
    <cellStyle name="_Costs not in AURORA 06GRC_Power Costs - Comparison bx Rbtl-Staff-Jt-PC_Electric Rev Req Model (2009 GRC) Rebuttal REmoval of New  WH Solar AdjustMI_DEM-WP(C) ENERG10C--ctn Mid-C_042010 2010GRC" xfId="12265"/>
    <cellStyle name="_Costs not in AURORA 06GRC_Power Costs - Comparison bx Rbtl-Staff-Jt-PC_Electric Rev Req Model (2009 GRC) Revised 01-18-2010" xfId="727"/>
    <cellStyle name="_Costs not in AURORA 06GRC_Power Costs - Comparison bx Rbtl-Staff-Jt-PC_Electric Rev Req Model (2009 GRC) Revised 01-18-2010 2" xfId="728"/>
    <cellStyle name="_Costs not in AURORA 06GRC_Power Costs - Comparison bx Rbtl-Staff-Jt-PC_Electric Rev Req Model (2009 GRC) Revised 01-18-2010 2 2" xfId="4107"/>
    <cellStyle name="_Costs not in AURORA 06GRC_Power Costs - Comparison bx Rbtl-Staff-Jt-PC_Electric Rev Req Model (2009 GRC) Revised 01-18-2010 2 2 2" xfId="20152"/>
    <cellStyle name="_Costs not in AURORA 06GRC_Power Costs - Comparison bx Rbtl-Staff-Jt-PC_Electric Rev Req Model (2009 GRC) Revised 01-18-2010 2 3" xfId="16116"/>
    <cellStyle name="_Costs not in AURORA 06GRC_Power Costs - Comparison bx Rbtl-Staff-Jt-PC_Electric Rev Req Model (2009 GRC) Revised 01-18-2010 3" xfId="4106"/>
    <cellStyle name="_Costs not in AURORA 06GRC_Power Costs - Comparison bx Rbtl-Staff-Jt-PC_Electric Rev Req Model (2009 GRC) Revised 01-18-2010 3 2" xfId="20153"/>
    <cellStyle name="_Costs not in AURORA 06GRC_Power Costs - Comparison bx Rbtl-Staff-Jt-PC_Electric Rev Req Model (2009 GRC) Revised 01-18-2010 4" xfId="16115"/>
    <cellStyle name="_Costs not in AURORA 06GRC_Power Costs - Comparison bx Rbtl-Staff-Jt-PC_Electric Rev Req Model (2009 GRC) Revised 01-18-2010_DEM-WP(C) ENERG10C--ctn Mid-C_042010 2010GRC" xfId="12266"/>
    <cellStyle name="_Costs not in AURORA 06GRC_Power Costs - Comparison bx Rbtl-Staff-Jt-PC_Final Order Electric EXHIBIT A-1" xfId="729"/>
    <cellStyle name="_Costs not in AURORA 06GRC_Power Costs - Comparison bx Rbtl-Staff-Jt-PC_Final Order Electric EXHIBIT A-1 2" xfId="4108"/>
    <cellStyle name="_Costs not in AURORA 06GRC_Power Costs - Comparison bx Rbtl-Staff-Jt-PC_Final Order Electric EXHIBIT A-1 2 2" xfId="6938"/>
    <cellStyle name="_Costs not in AURORA 06GRC_Power Costs - Comparison bx Rbtl-Staff-Jt-PC_Final Order Electric EXHIBIT A-1 2 2 2" xfId="20154"/>
    <cellStyle name="_Costs not in AURORA 06GRC_Power Costs - Comparison bx Rbtl-Staff-Jt-PC_Final Order Electric EXHIBIT A-1 2 3" xfId="18306"/>
    <cellStyle name="_Costs not in AURORA 06GRC_Power Costs - Comparison bx Rbtl-Staff-Jt-PC_Final Order Electric EXHIBIT A-1 3" xfId="6939"/>
    <cellStyle name="_Costs not in AURORA 06GRC_Power Costs - Comparison bx Rbtl-Staff-Jt-PC_Final Order Electric EXHIBIT A-1 3 2" xfId="20155"/>
    <cellStyle name="_Costs not in AURORA 06GRC_Power Costs - Comparison bx Rbtl-Staff-Jt-PC_Final Order Electric EXHIBIT A-1 4" xfId="16117"/>
    <cellStyle name="_Costs not in AURORA 06GRC_Production Adj 4.37" xfId="6940"/>
    <cellStyle name="_Costs not in AURORA 06GRC_Production Adj 4.37 2" xfId="6941"/>
    <cellStyle name="_Costs not in AURORA 06GRC_Production Adj 4.37 2 2" xfId="6942"/>
    <cellStyle name="_Costs not in AURORA 06GRC_Production Adj 4.37 2 2 2" xfId="20156"/>
    <cellStyle name="_Costs not in AURORA 06GRC_Production Adj 4.37 2 3" xfId="18308"/>
    <cellStyle name="_Costs not in AURORA 06GRC_Production Adj 4.37 3" xfId="6943"/>
    <cellStyle name="_Costs not in AURORA 06GRC_Production Adj 4.37 3 2" xfId="20157"/>
    <cellStyle name="_Costs not in AURORA 06GRC_Production Adj 4.37 4" xfId="18307"/>
    <cellStyle name="_Costs not in AURORA 06GRC_Purchased Power Adj 4.03" xfId="6944"/>
    <cellStyle name="_Costs not in AURORA 06GRC_Purchased Power Adj 4.03 2" xfId="6945"/>
    <cellStyle name="_Costs not in AURORA 06GRC_Purchased Power Adj 4.03 2 2" xfId="6946"/>
    <cellStyle name="_Costs not in AURORA 06GRC_Purchased Power Adj 4.03 2 2 2" xfId="20158"/>
    <cellStyle name="_Costs not in AURORA 06GRC_Purchased Power Adj 4.03 2 3" xfId="18310"/>
    <cellStyle name="_Costs not in AURORA 06GRC_Purchased Power Adj 4.03 3" xfId="6947"/>
    <cellStyle name="_Costs not in AURORA 06GRC_Purchased Power Adj 4.03 3 2" xfId="20159"/>
    <cellStyle name="_Costs not in AURORA 06GRC_Purchased Power Adj 4.03 4" xfId="18309"/>
    <cellStyle name="_Costs not in AURORA 06GRC_Rebuttal Power Costs" xfId="730"/>
    <cellStyle name="_Costs not in AURORA 06GRC_Rebuttal Power Costs 2" xfId="731"/>
    <cellStyle name="_Costs not in AURORA 06GRC_Rebuttal Power Costs 2 2" xfId="4110"/>
    <cellStyle name="_Costs not in AURORA 06GRC_Rebuttal Power Costs 2 2 2" xfId="20160"/>
    <cellStyle name="_Costs not in AURORA 06GRC_Rebuttal Power Costs 2 3" xfId="16119"/>
    <cellStyle name="_Costs not in AURORA 06GRC_Rebuttal Power Costs 3" xfId="4109"/>
    <cellStyle name="_Costs not in AURORA 06GRC_Rebuttal Power Costs 3 2" xfId="20161"/>
    <cellStyle name="_Costs not in AURORA 06GRC_Rebuttal Power Costs 4" xfId="16118"/>
    <cellStyle name="_Costs not in AURORA 06GRC_Rebuttal Power Costs_Adj Bench DR 3 for Initial Briefs (Electric)" xfId="732"/>
    <cellStyle name="_Costs not in AURORA 06GRC_Rebuttal Power Costs_Adj Bench DR 3 for Initial Briefs (Electric) 2" xfId="733"/>
    <cellStyle name="_Costs not in AURORA 06GRC_Rebuttal Power Costs_Adj Bench DR 3 for Initial Briefs (Electric) 2 2" xfId="4112"/>
    <cellStyle name="_Costs not in AURORA 06GRC_Rebuttal Power Costs_Adj Bench DR 3 for Initial Briefs (Electric) 2 2 2" xfId="20162"/>
    <cellStyle name="_Costs not in AURORA 06GRC_Rebuttal Power Costs_Adj Bench DR 3 for Initial Briefs (Electric) 2 3" xfId="16121"/>
    <cellStyle name="_Costs not in AURORA 06GRC_Rebuttal Power Costs_Adj Bench DR 3 for Initial Briefs (Electric) 3" xfId="4111"/>
    <cellStyle name="_Costs not in AURORA 06GRC_Rebuttal Power Costs_Adj Bench DR 3 for Initial Briefs (Electric) 3 2" xfId="20163"/>
    <cellStyle name="_Costs not in AURORA 06GRC_Rebuttal Power Costs_Adj Bench DR 3 for Initial Briefs (Electric) 4" xfId="16120"/>
    <cellStyle name="_Costs not in AURORA 06GRC_Rebuttal Power Costs_Adj Bench DR 3 for Initial Briefs (Electric)_DEM-WP(C) ENERG10C--ctn Mid-C_042010 2010GRC" xfId="12267"/>
    <cellStyle name="_Costs not in AURORA 06GRC_Rebuttal Power Costs_DEM-WP(C) ENERG10C--ctn Mid-C_042010 2010GRC" xfId="12268"/>
    <cellStyle name="_Costs not in AURORA 06GRC_Rebuttal Power Costs_Electric Rev Req Model (2009 GRC) Rebuttal" xfId="734"/>
    <cellStyle name="_Costs not in AURORA 06GRC_Rebuttal Power Costs_Electric Rev Req Model (2009 GRC) Rebuttal 2" xfId="4113"/>
    <cellStyle name="_Costs not in AURORA 06GRC_Rebuttal Power Costs_Electric Rev Req Model (2009 GRC) Rebuttal 2 2" xfId="6948"/>
    <cellStyle name="_Costs not in AURORA 06GRC_Rebuttal Power Costs_Electric Rev Req Model (2009 GRC) Rebuttal 2 2 2" xfId="20164"/>
    <cellStyle name="_Costs not in AURORA 06GRC_Rebuttal Power Costs_Electric Rev Req Model (2009 GRC) Rebuttal 2 3" xfId="18311"/>
    <cellStyle name="_Costs not in AURORA 06GRC_Rebuttal Power Costs_Electric Rev Req Model (2009 GRC) Rebuttal 3" xfId="6949"/>
    <cellStyle name="_Costs not in AURORA 06GRC_Rebuttal Power Costs_Electric Rev Req Model (2009 GRC) Rebuttal 3 2" xfId="20165"/>
    <cellStyle name="_Costs not in AURORA 06GRC_Rebuttal Power Costs_Electric Rev Req Model (2009 GRC) Rebuttal 4" xfId="16122"/>
    <cellStyle name="_Costs not in AURORA 06GRC_Rebuttal Power Costs_Electric Rev Req Model (2009 GRC) Rebuttal REmoval of New  WH Solar AdjustMI" xfId="735"/>
    <cellStyle name="_Costs not in AURORA 06GRC_Rebuttal Power Costs_Electric Rev Req Model (2009 GRC) Rebuttal REmoval of New  WH Solar AdjustMI 2" xfId="736"/>
    <cellStyle name="_Costs not in AURORA 06GRC_Rebuttal Power Costs_Electric Rev Req Model (2009 GRC) Rebuttal REmoval of New  WH Solar AdjustMI 2 2" xfId="4115"/>
    <cellStyle name="_Costs not in AURORA 06GRC_Rebuttal Power Costs_Electric Rev Req Model (2009 GRC) Rebuttal REmoval of New  WH Solar AdjustMI 2 2 2" xfId="20166"/>
    <cellStyle name="_Costs not in AURORA 06GRC_Rebuttal Power Costs_Electric Rev Req Model (2009 GRC) Rebuttal REmoval of New  WH Solar AdjustMI 2 3" xfId="16124"/>
    <cellStyle name="_Costs not in AURORA 06GRC_Rebuttal Power Costs_Electric Rev Req Model (2009 GRC) Rebuttal REmoval of New  WH Solar AdjustMI 3" xfId="4114"/>
    <cellStyle name="_Costs not in AURORA 06GRC_Rebuttal Power Costs_Electric Rev Req Model (2009 GRC) Rebuttal REmoval of New  WH Solar AdjustMI 3 2" xfId="20167"/>
    <cellStyle name="_Costs not in AURORA 06GRC_Rebuttal Power Costs_Electric Rev Req Model (2009 GRC) Rebuttal REmoval of New  WH Solar AdjustMI 4" xfId="16123"/>
    <cellStyle name="_Costs not in AURORA 06GRC_Rebuttal Power Costs_Electric Rev Req Model (2009 GRC) Rebuttal REmoval of New  WH Solar AdjustMI_DEM-WP(C) ENERG10C--ctn Mid-C_042010 2010GRC" xfId="12269"/>
    <cellStyle name="_Costs not in AURORA 06GRC_Rebuttal Power Costs_Electric Rev Req Model (2009 GRC) Revised 01-18-2010" xfId="737"/>
    <cellStyle name="_Costs not in AURORA 06GRC_Rebuttal Power Costs_Electric Rev Req Model (2009 GRC) Revised 01-18-2010 2" xfId="738"/>
    <cellStyle name="_Costs not in AURORA 06GRC_Rebuttal Power Costs_Electric Rev Req Model (2009 GRC) Revised 01-18-2010 2 2" xfId="4117"/>
    <cellStyle name="_Costs not in AURORA 06GRC_Rebuttal Power Costs_Electric Rev Req Model (2009 GRC) Revised 01-18-2010 2 2 2" xfId="20168"/>
    <cellStyle name="_Costs not in AURORA 06GRC_Rebuttal Power Costs_Electric Rev Req Model (2009 GRC) Revised 01-18-2010 2 3" xfId="16126"/>
    <cellStyle name="_Costs not in AURORA 06GRC_Rebuttal Power Costs_Electric Rev Req Model (2009 GRC) Revised 01-18-2010 3" xfId="4116"/>
    <cellStyle name="_Costs not in AURORA 06GRC_Rebuttal Power Costs_Electric Rev Req Model (2009 GRC) Revised 01-18-2010 3 2" xfId="20169"/>
    <cellStyle name="_Costs not in AURORA 06GRC_Rebuttal Power Costs_Electric Rev Req Model (2009 GRC) Revised 01-18-2010 4" xfId="16125"/>
    <cellStyle name="_Costs not in AURORA 06GRC_Rebuttal Power Costs_Electric Rev Req Model (2009 GRC) Revised 01-18-2010_DEM-WP(C) ENERG10C--ctn Mid-C_042010 2010GRC" xfId="12270"/>
    <cellStyle name="_Costs not in AURORA 06GRC_Rebuttal Power Costs_Final Order Electric EXHIBIT A-1" xfId="739"/>
    <cellStyle name="_Costs not in AURORA 06GRC_Rebuttal Power Costs_Final Order Electric EXHIBIT A-1 2" xfId="4118"/>
    <cellStyle name="_Costs not in AURORA 06GRC_Rebuttal Power Costs_Final Order Electric EXHIBIT A-1 2 2" xfId="6950"/>
    <cellStyle name="_Costs not in AURORA 06GRC_Rebuttal Power Costs_Final Order Electric EXHIBIT A-1 2 2 2" xfId="20170"/>
    <cellStyle name="_Costs not in AURORA 06GRC_Rebuttal Power Costs_Final Order Electric EXHIBIT A-1 2 3" xfId="18312"/>
    <cellStyle name="_Costs not in AURORA 06GRC_Rebuttal Power Costs_Final Order Electric EXHIBIT A-1 3" xfId="6951"/>
    <cellStyle name="_Costs not in AURORA 06GRC_Rebuttal Power Costs_Final Order Electric EXHIBIT A-1 3 2" xfId="20171"/>
    <cellStyle name="_Costs not in AURORA 06GRC_Rebuttal Power Costs_Final Order Electric EXHIBIT A-1 4" xfId="16127"/>
    <cellStyle name="_Costs not in AURORA 06GRC_ROR &amp; CONV FACTOR" xfId="6952"/>
    <cellStyle name="_Costs not in AURORA 06GRC_ROR &amp; CONV FACTOR 2" xfId="6953"/>
    <cellStyle name="_Costs not in AURORA 06GRC_ROR &amp; CONV FACTOR 2 2" xfId="6954"/>
    <cellStyle name="_Costs not in AURORA 06GRC_ROR &amp; CONV FACTOR 2 2 2" xfId="20172"/>
    <cellStyle name="_Costs not in AURORA 06GRC_ROR &amp; CONV FACTOR 2 3" xfId="18314"/>
    <cellStyle name="_Costs not in AURORA 06GRC_ROR &amp; CONV FACTOR 3" xfId="6955"/>
    <cellStyle name="_Costs not in AURORA 06GRC_ROR &amp; CONV FACTOR 3 2" xfId="20173"/>
    <cellStyle name="_Costs not in AURORA 06GRC_ROR &amp; CONV FACTOR 4" xfId="18313"/>
    <cellStyle name="_Costs not in AURORA 06GRC_ROR 5.02" xfId="6956"/>
    <cellStyle name="_Costs not in AURORA 06GRC_ROR 5.02 2" xfId="6957"/>
    <cellStyle name="_Costs not in AURORA 06GRC_ROR 5.02 2 2" xfId="6958"/>
    <cellStyle name="_Costs not in AURORA 06GRC_ROR 5.02 2 2 2" xfId="20174"/>
    <cellStyle name="_Costs not in AURORA 06GRC_ROR 5.02 2 3" xfId="18316"/>
    <cellStyle name="_Costs not in AURORA 06GRC_ROR 5.02 3" xfId="6959"/>
    <cellStyle name="_Costs not in AURORA 06GRC_ROR 5.02 3 2" xfId="20175"/>
    <cellStyle name="_Costs not in AURORA 06GRC_ROR 5.02 4" xfId="18315"/>
    <cellStyle name="_Costs not in AURORA 06GRC_Transmission Workbook for May BOD" xfId="740"/>
    <cellStyle name="_Costs not in AURORA 06GRC_Transmission Workbook for May BOD 2" xfId="741"/>
    <cellStyle name="_Costs not in AURORA 06GRC_Transmission Workbook for May BOD 2 2" xfId="4120"/>
    <cellStyle name="_Costs not in AURORA 06GRC_Transmission Workbook for May BOD 3" xfId="4119"/>
    <cellStyle name="_Costs not in AURORA 06GRC_Transmission Workbook for May BOD_DEM-WP(C) ENERG10C--ctn Mid-C_042010 2010GRC" xfId="12271"/>
    <cellStyle name="_Costs not in AURORA 06GRC_Wind Integration 10GRC" xfId="742"/>
    <cellStyle name="_Costs not in AURORA 06GRC_Wind Integration 10GRC 2" xfId="743"/>
    <cellStyle name="_Costs not in AURORA 06GRC_Wind Integration 10GRC 2 2" xfId="4122"/>
    <cellStyle name="_Costs not in AURORA 06GRC_Wind Integration 10GRC 3" xfId="4121"/>
    <cellStyle name="_Costs not in AURORA 06GRC_Wind Integration 10GRC_DEM-WP(C) ENERG10C--ctn Mid-C_042010 2010GRC" xfId="12272"/>
    <cellStyle name="_Costs not in AURORA 2006GRC 6.15.06" xfId="744"/>
    <cellStyle name="_Costs not in AURORA 2006GRC 6.15.06 2" xfId="745"/>
    <cellStyle name="_Costs not in AURORA 2006GRC 6.15.06 2 2" xfId="746"/>
    <cellStyle name="_Costs not in AURORA 2006GRC 6.15.06 2 2 2" xfId="4125"/>
    <cellStyle name="_Costs not in AURORA 2006GRC 6.15.06 2 2 2 2" xfId="20176"/>
    <cellStyle name="_Costs not in AURORA 2006GRC 6.15.06 2 2 3" xfId="16130"/>
    <cellStyle name="_Costs not in AURORA 2006GRC 6.15.06 2 3" xfId="4124"/>
    <cellStyle name="_Costs not in AURORA 2006GRC 6.15.06 2 3 2" xfId="20177"/>
    <cellStyle name="_Costs not in AURORA 2006GRC 6.15.06 2 4" xfId="16129"/>
    <cellStyle name="_Costs not in AURORA 2006GRC 6.15.06 3" xfId="747"/>
    <cellStyle name="_Costs not in AURORA 2006GRC 6.15.06 3 2" xfId="4126"/>
    <cellStyle name="_Costs not in AURORA 2006GRC 6.15.06 3 2 2" xfId="6960"/>
    <cellStyle name="_Costs not in AURORA 2006GRC 6.15.06 3 2 2 2" xfId="20178"/>
    <cellStyle name="_Costs not in AURORA 2006GRC 6.15.06 3 2 3" xfId="18317"/>
    <cellStyle name="_Costs not in AURORA 2006GRC 6.15.06 3 3" xfId="6961"/>
    <cellStyle name="_Costs not in AURORA 2006GRC 6.15.06 3 3 2" xfId="6962"/>
    <cellStyle name="_Costs not in AURORA 2006GRC 6.15.06 3 3 2 2" xfId="20179"/>
    <cellStyle name="_Costs not in AURORA 2006GRC 6.15.06 3 3 3" xfId="18318"/>
    <cellStyle name="_Costs not in AURORA 2006GRC 6.15.06 3 4" xfId="6963"/>
    <cellStyle name="_Costs not in AURORA 2006GRC 6.15.06 3 4 2" xfId="6964"/>
    <cellStyle name="_Costs not in AURORA 2006GRC 6.15.06 3 4 2 2" xfId="20180"/>
    <cellStyle name="_Costs not in AURORA 2006GRC 6.15.06 3 4 3" xfId="18319"/>
    <cellStyle name="_Costs not in AURORA 2006GRC 6.15.06 3 5" xfId="16131"/>
    <cellStyle name="_Costs not in AURORA 2006GRC 6.15.06 4" xfId="748"/>
    <cellStyle name="_Costs not in AURORA 2006GRC 6.15.06 4 2" xfId="749"/>
    <cellStyle name="_Costs not in AURORA 2006GRC 6.15.06 4 2 2" xfId="4128"/>
    <cellStyle name="_Costs not in AURORA 2006GRC 6.15.06 4 3" xfId="4127"/>
    <cellStyle name="_Costs not in AURORA 2006GRC 6.15.06 5" xfId="4123"/>
    <cellStyle name="_Costs not in AURORA 2006GRC 6.15.06 5 2" xfId="20181"/>
    <cellStyle name="_Costs not in AURORA 2006GRC 6.15.06 5 2 2" xfId="23621"/>
    <cellStyle name="_Costs not in AURORA 2006GRC 6.15.06 5 3" xfId="23622"/>
    <cellStyle name="_Costs not in AURORA 2006GRC 6.15.06 6" xfId="6965"/>
    <cellStyle name="_Costs not in AURORA 2006GRC 6.15.06 6 2" xfId="12273"/>
    <cellStyle name="_Costs not in AURORA 2006GRC 6.15.06 7" xfId="12274"/>
    <cellStyle name="_Costs not in AURORA 2006GRC 6.15.06 7 2" xfId="12275"/>
    <cellStyle name="_Costs not in AURORA 2006GRC 6.15.06 8" xfId="23623"/>
    <cellStyle name="_Costs not in AURORA 2006GRC 6.15.06 8 2" xfId="23624"/>
    <cellStyle name="_Costs not in AURORA 2006GRC 6.15.06 9" xfId="23625"/>
    <cellStyle name="_Costs not in AURORA 2006GRC 6.15.06 9 2" xfId="23626"/>
    <cellStyle name="_Costs not in AURORA 2006GRC 6.15.06_04 07E Wild Horse Wind Expansion (C) (2)" xfId="750"/>
    <cellStyle name="_Costs not in AURORA 2006GRC 6.15.06_04 07E Wild Horse Wind Expansion (C) (2) 2" xfId="751"/>
    <cellStyle name="_Costs not in AURORA 2006GRC 6.15.06_04 07E Wild Horse Wind Expansion (C) (2) 2 2" xfId="4130"/>
    <cellStyle name="_Costs not in AURORA 2006GRC 6.15.06_04 07E Wild Horse Wind Expansion (C) (2) 2 2 2" xfId="20182"/>
    <cellStyle name="_Costs not in AURORA 2006GRC 6.15.06_04 07E Wild Horse Wind Expansion (C) (2) 2 3" xfId="16133"/>
    <cellStyle name="_Costs not in AURORA 2006GRC 6.15.06_04 07E Wild Horse Wind Expansion (C) (2) 3" xfId="4129"/>
    <cellStyle name="_Costs not in AURORA 2006GRC 6.15.06_04 07E Wild Horse Wind Expansion (C) (2) 3 2" xfId="20183"/>
    <cellStyle name="_Costs not in AURORA 2006GRC 6.15.06_04 07E Wild Horse Wind Expansion (C) (2) 4" xfId="16132"/>
    <cellStyle name="_Costs not in AURORA 2006GRC 6.15.06_04 07E Wild Horse Wind Expansion (C) (2)_Adj Bench DR 3 for Initial Briefs (Electric)" xfId="752"/>
    <cellStyle name="_Costs not in AURORA 2006GRC 6.15.06_04 07E Wild Horse Wind Expansion (C) (2)_Adj Bench DR 3 for Initial Briefs (Electric) 2" xfId="753"/>
    <cellStyle name="_Costs not in AURORA 2006GRC 6.15.06_04 07E Wild Horse Wind Expansion (C) (2)_Adj Bench DR 3 for Initial Briefs (Electric) 2 2" xfId="4132"/>
    <cellStyle name="_Costs not in AURORA 2006GRC 6.15.06_04 07E Wild Horse Wind Expansion (C) (2)_Adj Bench DR 3 for Initial Briefs (Electric) 2 2 2" xfId="20184"/>
    <cellStyle name="_Costs not in AURORA 2006GRC 6.15.06_04 07E Wild Horse Wind Expansion (C) (2)_Adj Bench DR 3 for Initial Briefs (Electric) 2 3" xfId="16135"/>
    <cellStyle name="_Costs not in AURORA 2006GRC 6.15.06_04 07E Wild Horse Wind Expansion (C) (2)_Adj Bench DR 3 for Initial Briefs (Electric) 3" xfId="4131"/>
    <cellStyle name="_Costs not in AURORA 2006GRC 6.15.06_04 07E Wild Horse Wind Expansion (C) (2)_Adj Bench DR 3 for Initial Briefs (Electric) 3 2" xfId="20185"/>
    <cellStyle name="_Costs not in AURORA 2006GRC 6.15.06_04 07E Wild Horse Wind Expansion (C) (2)_Adj Bench DR 3 for Initial Briefs (Electric) 4" xfId="16134"/>
    <cellStyle name="_Costs not in AURORA 2006GRC 6.15.06_04 07E Wild Horse Wind Expansion (C) (2)_Adj Bench DR 3 for Initial Briefs (Electric)_DEM-WP(C) ENERG10C--ctn Mid-C_042010 2010GRC" xfId="12276"/>
    <cellStyle name="_Costs not in AURORA 2006GRC 6.15.06_04 07E Wild Horse Wind Expansion (C) (2)_Book1" xfId="14247"/>
    <cellStyle name="_Costs not in AURORA 2006GRC 6.15.06_04 07E Wild Horse Wind Expansion (C) (2)_DEM-WP(C) ENERG10C--ctn Mid-C_042010 2010GRC" xfId="12277"/>
    <cellStyle name="_Costs not in AURORA 2006GRC 6.15.06_04 07E Wild Horse Wind Expansion (C) (2)_Electric Rev Req Model (2009 GRC) " xfId="754"/>
    <cellStyle name="_Costs not in AURORA 2006GRC 6.15.06_04 07E Wild Horse Wind Expansion (C) (2)_Electric Rev Req Model (2009 GRC)  2" xfId="755"/>
    <cellStyle name="_Costs not in AURORA 2006GRC 6.15.06_04 07E Wild Horse Wind Expansion (C) (2)_Electric Rev Req Model (2009 GRC)  2 2" xfId="4134"/>
    <cellStyle name="_Costs not in AURORA 2006GRC 6.15.06_04 07E Wild Horse Wind Expansion (C) (2)_Electric Rev Req Model (2009 GRC)  2 2 2" xfId="20186"/>
    <cellStyle name="_Costs not in AURORA 2006GRC 6.15.06_04 07E Wild Horse Wind Expansion (C) (2)_Electric Rev Req Model (2009 GRC)  2 3" xfId="16137"/>
    <cellStyle name="_Costs not in AURORA 2006GRC 6.15.06_04 07E Wild Horse Wind Expansion (C) (2)_Electric Rev Req Model (2009 GRC)  3" xfId="4133"/>
    <cellStyle name="_Costs not in AURORA 2006GRC 6.15.06_04 07E Wild Horse Wind Expansion (C) (2)_Electric Rev Req Model (2009 GRC)  3 2" xfId="20187"/>
    <cellStyle name="_Costs not in AURORA 2006GRC 6.15.06_04 07E Wild Horse Wind Expansion (C) (2)_Electric Rev Req Model (2009 GRC)  4" xfId="16136"/>
    <cellStyle name="_Costs not in AURORA 2006GRC 6.15.06_04 07E Wild Horse Wind Expansion (C) (2)_Electric Rev Req Model (2009 GRC) _DEM-WP(C) ENERG10C--ctn Mid-C_042010 2010GRC" xfId="12278"/>
    <cellStyle name="_Costs not in AURORA 2006GRC 6.15.06_04 07E Wild Horse Wind Expansion (C) (2)_Electric Rev Req Model (2009 GRC) Rebuttal" xfId="756"/>
    <cellStyle name="_Costs not in AURORA 2006GRC 6.15.06_04 07E Wild Horse Wind Expansion (C) (2)_Electric Rev Req Model (2009 GRC) Rebuttal 2" xfId="4135"/>
    <cellStyle name="_Costs not in AURORA 2006GRC 6.15.06_04 07E Wild Horse Wind Expansion (C) (2)_Electric Rev Req Model (2009 GRC) Rebuttal 2 2" xfId="6966"/>
    <cellStyle name="_Costs not in AURORA 2006GRC 6.15.06_04 07E Wild Horse Wind Expansion (C) (2)_Electric Rev Req Model (2009 GRC) Rebuttal 2 2 2" xfId="20188"/>
    <cellStyle name="_Costs not in AURORA 2006GRC 6.15.06_04 07E Wild Horse Wind Expansion (C) (2)_Electric Rev Req Model (2009 GRC) Rebuttal 2 3" xfId="18320"/>
    <cellStyle name="_Costs not in AURORA 2006GRC 6.15.06_04 07E Wild Horse Wind Expansion (C) (2)_Electric Rev Req Model (2009 GRC) Rebuttal 3" xfId="6967"/>
    <cellStyle name="_Costs not in AURORA 2006GRC 6.15.06_04 07E Wild Horse Wind Expansion (C) (2)_Electric Rev Req Model (2009 GRC) Rebuttal 3 2" xfId="20189"/>
    <cellStyle name="_Costs not in AURORA 2006GRC 6.15.06_04 07E Wild Horse Wind Expansion (C) (2)_Electric Rev Req Model (2009 GRC) Rebuttal 4" xfId="16138"/>
    <cellStyle name="_Costs not in AURORA 2006GRC 6.15.06_04 07E Wild Horse Wind Expansion (C) (2)_Electric Rev Req Model (2009 GRC) Rebuttal REmoval of New  WH Solar AdjustMI" xfId="757"/>
    <cellStyle name="_Costs not in AURORA 2006GRC 6.15.06_04 07E Wild Horse Wind Expansion (C) (2)_Electric Rev Req Model (2009 GRC) Rebuttal REmoval of New  WH Solar AdjustMI 2" xfId="758"/>
    <cellStyle name="_Costs not in AURORA 2006GRC 6.15.06_04 07E Wild Horse Wind Expansion (C) (2)_Electric Rev Req Model (2009 GRC) Rebuttal REmoval of New  WH Solar AdjustMI 2 2" xfId="4137"/>
    <cellStyle name="_Costs not in AURORA 2006GRC 6.15.06_04 07E Wild Horse Wind Expansion (C) (2)_Electric Rev Req Model (2009 GRC) Rebuttal REmoval of New  WH Solar AdjustMI 2 2 2" xfId="20190"/>
    <cellStyle name="_Costs not in AURORA 2006GRC 6.15.06_04 07E Wild Horse Wind Expansion (C) (2)_Electric Rev Req Model (2009 GRC) Rebuttal REmoval of New  WH Solar AdjustMI 2 3" xfId="16140"/>
    <cellStyle name="_Costs not in AURORA 2006GRC 6.15.06_04 07E Wild Horse Wind Expansion (C) (2)_Electric Rev Req Model (2009 GRC) Rebuttal REmoval of New  WH Solar AdjustMI 3" xfId="4136"/>
    <cellStyle name="_Costs not in AURORA 2006GRC 6.15.06_04 07E Wild Horse Wind Expansion (C) (2)_Electric Rev Req Model (2009 GRC) Rebuttal REmoval of New  WH Solar AdjustMI 3 2" xfId="20191"/>
    <cellStyle name="_Costs not in AURORA 2006GRC 6.15.06_04 07E Wild Horse Wind Expansion (C) (2)_Electric Rev Req Model (2009 GRC) Rebuttal REmoval of New  WH Solar AdjustMI 4" xfId="16139"/>
    <cellStyle name="_Costs not in AURORA 2006GRC 6.15.06_04 07E Wild Horse Wind Expansion (C) (2)_Electric Rev Req Model (2009 GRC) Rebuttal REmoval of New  WH Solar AdjustMI_DEM-WP(C) ENERG10C--ctn Mid-C_042010 2010GRC" xfId="12279"/>
    <cellStyle name="_Costs not in AURORA 2006GRC 6.15.06_04 07E Wild Horse Wind Expansion (C) (2)_Electric Rev Req Model (2009 GRC) Revised 01-18-2010" xfId="759"/>
    <cellStyle name="_Costs not in AURORA 2006GRC 6.15.06_04 07E Wild Horse Wind Expansion (C) (2)_Electric Rev Req Model (2009 GRC) Revised 01-18-2010 2" xfId="760"/>
    <cellStyle name="_Costs not in AURORA 2006GRC 6.15.06_04 07E Wild Horse Wind Expansion (C) (2)_Electric Rev Req Model (2009 GRC) Revised 01-18-2010 2 2" xfId="4139"/>
    <cellStyle name="_Costs not in AURORA 2006GRC 6.15.06_04 07E Wild Horse Wind Expansion (C) (2)_Electric Rev Req Model (2009 GRC) Revised 01-18-2010 2 2 2" xfId="20192"/>
    <cellStyle name="_Costs not in AURORA 2006GRC 6.15.06_04 07E Wild Horse Wind Expansion (C) (2)_Electric Rev Req Model (2009 GRC) Revised 01-18-2010 2 3" xfId="16142"/>
    <cellStyle name="_Costs not in AURORA 2006GRC 6.15.06_04 07E Wild Horse Wind Expansion (C) (2)_Electric Rev Req Model (2009 GRC) Revised 01-18-2010 3" xfId="4138"/>
    <cellStyle name="_Costs not in AURORA 2006GRC 6.15.06_04 07E Wild Horse Wind Expansion (C) (2)_Electric Rev Req Model (2009 GRC) Revised 01-18-2010 3 2" xfId="20193"/>
    <cellStyle name="_Costs not in AURORA 2006GRC 6.15.06_04 07E Wild Horse Wind Expansion (C) (2)_Electric Rev Req Model (2009 GRC) Revised 01-18-2010 4" xfId="16141"/>
    <cellStyle name="_Costs not in AURORA 2006GRC 6.15.06_04 07E Wild Horse Wind Expansion (C) (2)_Electric Rev Req Model (2009 GRC) Revised 01-18-2010_DEM-WP(C) ENERG10C--ctn Mid-C_042010 2010GRC" xfId="12280"/>
    <cellStyle name="_Costs not in AURORA 2006GRC 6.15.06_04 07E Wild Horse Wind Expansion (C) (2)_Electric Rev Req Model (2010 GRC)" xfId="14248"/>
    <cellStyle name="_Costs not in AURORA 2006GRC 6.15.06_04 07E Wild Horse Wind Expansion (C) (2)_Electric Rev Req Model (2010 GRC) SF" xfId="14249"/>
    <cellStyle name="_Costs not in AURORA 2006GRC 6.15.06_04 07E Wild Horse Wind Expansion (C) (2)_Final Order Electric EXHIBIT A-1" xfId="761"/>
    <cellStyle name="_Costs not in AURORA 2006GRC 6.15.06_04 07E Wild Horse Wind Expansion (C) (2)_Final Order Electric EXHIBIT A-1 2" xfId="4140"/>
    <cellStyle name="_Costs not in AURORA 2006GRC 6.15.06_04 07E Wild Horse Wind Expansion (C) (2)_Final Order Electric EXHIBIT A-1 2 2" xfId="6968"/>
    <cellStyle name="_Costs not in AURORA 2006GRC 6.15.06_04 07E Wild Horse Wind Expansion (C) (2)_Final Order Electric EXHIBIT A-1 2 2 2" xfId="20194"/>
    <cellStyle name="_Costs not in AURORA 2006GRC 6.15.06_04 07E Wild Horse Wind Expansion (C) (2)_Final Order Electric EXHIBIT A-1 2 3" xfId="18321"/>
    <cellStyle name="_Costs not in AURORA 2006GRC 6.15.06_04 07E Wild Horse Wind Expansion (C) (2)_Final Order Electric EXHIBIT A-1 3" xfId="6969"/>
    <cellStyle name="_Costs not in AURORA 2006GRC 6.15.06_04 07E Wild Horse Wind Expansion (C) (2)_Final Order Electric EXHIBIT A-1 3 2" xfId="20195"/>
    <cellStyle name="_Costs not in AURORA 2006GRC 6.15.06_04 07E Wild Horse Wind Expansion (C) (2)_Final Order Electric EXHIBIT A-1 4" xfId="16143"/>
    <cellStyle name="_Costs not in AURORA 2006GRC 6.15.06_04 07E Wild Horse Wind Expansion (C) (2)_TENASKA REGULATORY ASSET" xfId="762"/>
    <cellStyle name="_Costs not in AURORA 2006GRC 6.15.06_04 07E Wild Horse Wind Expansion (C) (2)_TENASKA REGULATORY ASSET 2" xfId="4141"/>
    <cellStyle name="_Costs not in AURORA 2006GRC 6.15.06_04 07E Wild Horse Wind Expansion (C) (2)_TENASKA REGULATORY ASSET 2 2" xfId="6970"/>
    <cellStyle name="_Costs not in AURORA 2006GRC 6.15.06_04 07E Wild Horse Wind Expansion (C) (2)_TENASKA REGULATORY ASSET 2 2 2" xfId="20196"/>
    <cellStyle name="_Costs not in AURORA 2006GRC 6.15.06_04 07E Wild Horse Wind Expansion (C) (2)_TENASKA REGULATORY ASSET 2 3" xfId="18322"/>
    <cellStyle name="_Costs not in AURORA 2006GRC 6.15.06_04 07E Wild Horse Wind Expansion (C) (2)_TENASKA REGULATORY ASSET 3" xfId="6971"/>
    <cellStyle name="_Costs not in AURORA 2006GRC 6.15.06_04 07E Wild Horse Wind Expansion (C) (2)_TENASKA REGULATORY ASSET 3 2" xfId="20197"/>
    <cellStyle name="_Costs not in AURORA 2006GRC 6.15.06_04 07E Wild Horse Wind Expansion (C) (2)_TENASKA REGULATORY ASSET 4" xfId="16144"/>
    <cellStyle name="_Costs not in AURORA 2006GRC 6.15.06_16.37E Wild Horse Expansion DeferralRevwrkingfile SF" xfId="763"/>
    <cellStyle name="_Costs not in AURORA 2006GRC 6.15.06_16.37E Wild Horse Expansion DeferralRevwrkingfile SF 2" xfId="764"/>
    <cellStyle name="_Costs not in AURORA 2006GRC 6.15.06_16.37E Wild Horse Expansion DeferralRevwrkingfile SF 2 2" xfId="4143"/>
    <cellStyle name="_Costs not in AURORA 2006GRC 6.15.06_16.37E Wild Horse Expansion DeferralRevwrkingfile SF 2 2 2" xfId="20198"/>
    <cellStyle name="_Costs not in AURORA 2006GRC 6.15.06_16.37E Wild Horse Expansion DeferralRevwrkingfile SF 2 3" xfId="16146"/>
    <cellStyle name="_Costs not in AURORA 2006GRC 6.15.06_16.37E Wild Horse Expansion DeferralRevwrkingfile SF 3" xfId="4142"/>
    <cellStyle name="_Costs not in AURORA 2006GRC 6.15.06_16.37E Wild Horse Expansion DeferralRevwrkingfile SF 3 2" xfId="20199"/>
    <cellStyle name="_Costs not in AURORA 2006GRC 6.15.06_16.37E Wild Horse Expansion DeferralRevwrkingfile SF 4" xfId="16145"/>
    <cellStyle name="_Costs not in AURORA 2006GRC 6.15.06_16.37E Wild Horse Expansion DeferralRevwrkingfile SF_DEM-WP(C) ENERG10C--ctn Mid-C_042010 2010GRC" xfId="12281"/>
    <cellStyle name="_Costs not in AURORA 2006GRC 6.15.06_2009 Compliance Filing PCA Exhibits for GRC" xfId="14077"/>
    <cellStyle name="_Costs not in AURORA 2006GRC 6.15.06_2009 Compliance Filing PCA Exhibits for GRC 2" xfId="14801"/>
    <cellStyle name="_Costs not in AURORA 2006GRC 6.15.06_2009 GRC Compl Filing - Exhibit D" xfId="765"/>
    <cellStyle name="_Costs not in AURORA 2006GRC 6.15.06_2009 GRC Compl Filing - Exhibit D 2" xfId="766"/>
    <cellStyle name="_Costs not in AURORA 2006GRC 6.15.06_2009 GRC Compl Filing - Exhibit D 2 2" xfId="4145"/>
    <cellStyle name="_Costs not in AURORA 2006GRC 6.15.06_2009 GRC Compl Filing - Exhibit D 3" xfId="4144"/>
    <cellStyle name="_Costs not in AURORA 2006GRC 6.15.06_2009 GRC Compl Filing - Exhibit D_DEM-WP(C) ENERG10C--ctn Mid-C_042010 2010GRC" xfId="12282"/>
    <cellStyle name="_Costs not in AURORA 2006GRC 6.15.06_3.01 Income Statement" xfId="14078"/>
    <cellStyle name="_Costs not in AURORA 2006GRC 6.15.06_4 31 Regulatory Assets and Liabilities  7 06- Exhibit D" xfId="767"/>
    <cellStyle name="_Costs not in AURORA 2006GRC 6.15.06_4 31 Regulatory Assets and Liabilities  7 06- Exhibit D 2" xfId="768"/>
    <cellStyle name="_Costs not in AURORA 2006GRC 6.15.06_4 31 Regulatory Assets and Liabilities  7 06- Exhibit D 2 2" xfId="4147"/>
    <cellStyle name="_Costs not in AURORA 2006GRC 6.15.06_4 31 Regulatory Assets and Liabilities  7 06- Exhibit D 2 2 2" xfId="20200"/>
    <cellStyle name="_Costs not in AURORA 2006GRC 6.15.06_4 31 Regulatory Assets and Liabilities  7 06- Exhibit D 2 3" xfId="16148"/>
    <cellStyle name="_Costs not in AURORA 2006GRC 6.15.06_4 31 Regulatory Assets and Liabilities  7 06- Exhibit D 3" xfId="4146"/>
    <cellStyle name="_Costs not in AURORA 2006GRC 6.15.06_4 31 Regulatory Assets and Liabilities  7 06- Exhibit D 3 2" xfId="20201"/>
    <cellStyle name="_Costs not in AURORA 2006GRC 6.15.06_4 31 Regulatory Assets and Liabilities  7 06- Exhibit D 4" xfId="16147"/>
    <cellStyle name="_Costs not in AURORA 2006GRC 6.15.06_4 31 Regulatory Assets and Liabilities  7 06- Exhibit D_DEM-WP(C) ENERG10C--ctn Mid-C_042010 2010GRC" xfId="12283"/>
    <cellStyle name="_Costs not in AURORA 2006GRC 6.15.06_4 31 Regulatory Assets and Liabilities  7 06- Exhibit D_NIM Summary" xfId="769"/>
    <cellStyle name="_Costs not in AURORA 2006GRC 6.15.06_4 31 Regulatory Assets and Liabilities  7 06- Exhibit D_NIM Summary 2" xfId="770"/>
    <cellStyle name="_Costs not in AURORA 2006GRC 6.15.06_4 31 Regulatory Assets and Liabilities  7 06- Exhibit D_NIM Summary 2 2" xfId="4149"/>
    <cellStyle name="_Costs not in AURORA 2006GRC 6.15.06_4 31 Regulatory Assets and Liabilities  7 06- Exhibit D_NIM Summary 3" xfId="4148"/>
    <cellStyle name="_Costs not in AURORA 2006GRC 6.15.06_4 31 Regulatory Assets and Liabilities  7 06- Exhibit D_NIM Summary_DEM-WP(C) ENERG10C--ctn Mid-C_042010 2010GRC" xfId="12284"/>
    <cellStyle name="_Costs not in AURORA 2006GRC 6.15.06_4 31E Reg Asset  Liab and EXH D" xfId="12285"/>
    <cellStyle name="_Costs not in AURORA 2006GRC 6.15.06_4 31E Reg Asset  Liab and EXH D _ Aug 10 Filing (2)" xfId="12286"/>
    <cellStyle name="_Costs not in AURORA 2006GRC 6.15.06_4 31E Reg Asset  Liab and EXH D _ Aug 10 Filing (2) 2" xfId="23627"/>
    <cellStyle name="_Costs not in AURORA 2006GRC 6.15.06_4 31E Reg Asset  Liab and EXH D 10" xfId="23628"/>
    <cellStyle name="_Costs not in AURORA 2006GRC 6.15.06_4 31E Reg Asset  Liab and EXH D 11" xfId="23629"/>
    <cellStyle name="_Costs not in AURORA 2006GRC 6.15.06_4 31E Reg Asset  Liab and EXH D 12" xfId="23630"/>
    <cellStyle name="_Costs not in AURORA 2006GRC 6.15.06_4 31E Reg Asset  Liab and EXH D 13" xfId="23631"/>
    <cellStyle name="_Costs not in AURORA 2006GRC 6.15.06_4 31E Reg Asset  Liab and EXH D 14" xfId="23632"/>
    <cellStyle name="_Costs not in AURORA 2006GRC 6.15.06_4 31E Reg Asset  Liab and EXH D 15" xfId="23633"/>
    <cellStyle name="_Costs not in AURORA 2006GRC 6.15.06_4 31E Reg Asset  Liab and EXH D 16" xfId="23634"/>
    <cellStyle name="_Costs not in AURORA 2006GRC 6.15.06_4 31E Reg Asset  Liab and EXH D 17" xfId="23635"/>
    <cellStyle name="_Costs not in AURORA 2006GRC 6.15.06_4 31E Reg Asset  Liab and EXH D 18" xfId="23636"/>
    <cellStyle name="_Costs not in AURORA 2006GRC 6.15.06_4 31E Reg Asset  Liab and EXH D 19" xfId="23637"/>
    <cellStyle name="_Costs not in AURORA 2006GRC 6.15.06_4 31E Reg Asset  Liab and EXH D 2" xfId="23638"/>
    <cellStyle name="_Costs not in AURORA 2006GRC 6.15.06_4 31E Reg Asset  Liab and EXH D 20" xfId="23639"/>
    <cellStyle name="_Costs not in AURORA 2006GRC 6.15.06_4 31E Reg Asset  Liab and EXH D 21" xfId="23640"/>
    <cellStyle name="_Costs not in AURORA 2006GRC 6.15.06_4 31E Reg Asset  Liab and EXH D 22" xfId="23641"/>
    <cellStyle name="_Costs not in AURORA 2006GRC 6.15.06_4 31E Reg Asset  Liab and EXH D 23" xfId="23642"/>
    <cellStyle name="_Costs not in AURORA 2006GRC 6.15.06_4 31E Reg Asset  Liab and EXH D 24" xfId="23643"/>
    <cellStyle name="_Costs not in AURORA 2006GRC 6.15.06_4 31E Reg Asset  Liab and EXH D 25" xfId="23644"/>
    <cellStyle name="_Costs not in AURORA 2006GRC 6.15.06_4 31E Reg Asset  Liab and EXH D 26" xfId="23645"/>
    <cellStyle name="_Costs not in AURORA 2006GRC 6.15.06_4 31E Reg Asset  Liab and EXH D 27" xfId="23646"/>
    <cellStyle name="_Costs not in AURORA 2006GRC 6.15.06_4 31E Reg Asset  Liab and EXH D 28" xfId="23647"/>
    <cellStyle name="_Costs not in AURORA 2006GRC 6.15.06_4 31E Reg Asset  Liab and EXH D 29" xfId="23648"/>
    <cellStyle name="_Costs not in AURORA 2006GRC 6.15.06_4 31E Reg Asset  Liab and EXH D 3" xfId="23649"/>
    <cellStyle name="_Costs not in AURORA 2006GRC 6.15.06_4 31E Reg Asset  Liab and EXH D 30" xfId="23650"/>
    <cellStyle name="_Costs not in AURORA 2006GRC 6.15.06_4 31E Reg Asset  Liab and EXH D 31" xfId="23651"/>
    <cellStyle name="_Costs not in AURORA 2006GRC 6.15.06_4 31E Reg Asset  Liab and EXH D 32" xfId="23652"/>
    <cellStyle name="_Costs not in AURORA 2006GRC 6.15.06_4 31E Reg Asset  Liab and EXH D 33" xfId="23653"/>
    <cellStyle name="_Costs not in AURORA 2006GRC 6.15.06_4 31E Reg Asset  Liab and EXH D 34" xfId="23654"/>
    <cellStyle name="_Costs not in AURORA 2006GRC 6.15.06_4 31E Reg Asset  Liab and EXH D 35" xfId="23655"/>
    <cellStyle name="_Costs not in AURORA 2006GRC 6.15.06_4 31E Reg Asset  Liab and EXH D 36" xfId="23656"/>
    <cellStyle name="_Costs not in AURORA 2006GRC 6.15.06_4 31E Reg Asset  Liab and EXH D 4" xfId="23657"/>
    <cellStyle name="_Costs not in AURORA 2006GRC 6.15.06_4 31E Reg Asset  Liab and EXH D 5" xfId="23658"/>
    <cellStyle name="_Costs not in AURORA 2006GRC 6.15.06_4 31E Reg Asset  Liab and EXH D 6" xfId="23659"/>
    <cellStyle name="_Costs not in AURORA 2006GRC 6.15.06_4 31E Reg Asset  Liab and EXH D 7" xfId="23660"/>
    <cellStyle name="_Costs not in AURORA 2006GRC 6.15.06_4 31E Reg Asset  Liab and EXH D 8" xfId="23661"/>
    <cellStyle name="_Costs not in AURORA 2006GRC 6.15.06_4 31E Reg Asset  Liab and EXH D 9" xfId="23662"/>
    <cellStyle name="_Costs not in AURORA 2006GRC 6.15.06_4 32 Regulatory Assets and Liabilities  7 06- Exhibit D" xfId="771"/>
    <cellStyle name="_Costs not in AURORA 2006GRC 6.15.06_4 32 Regulatory Assets and Liabilities  7 06- Exhibit D 2" xfId="772"/>
    <cellStyle name="_Costs not in AURORA 2006GRC 6.15.06_4 32 Regulatory Assets and Liabilities  7 06- Exhibit D 2 2" xfId="4151"/>
    <cellStyle name="_Costs not in AURORA 2006GRC 6.15.06_4 32 Regulatory Assets and Liabilities  7 06- Exhibit D 2 2 2" xfId="20202"/>
    <cellStyle name="_Costs not in AURORA 2006GRC 6.15.06_4 32 Regulatory Assets and Liabilities  7 06- Exhibit D 2 3" xfId="16150"/>
    <cellStyle name="_Costs not in AURORA 2006GRC 6.15.06_4 32 Regulatory Assets and Liabilities  7 06- Exhibit D 3" xfId="4150"/>
    <cellStyle name="_Costs not in AURORA 2006GRC 6.15.06_4 32 Regulatory Assets and Liabilities  7 06- Exhibit D 3 2" xfId="20203"/>
    <cellStyle name="_Costs not in AURORA 2006GRC 6.15.06_4 32 Regulatory Assets and Liabilities  7 06- Exhibit D 4" xfId="16149"/>
    <cellStyle name="_Costs not in AURORA 2006GRC 6.15.06_4 32 Regulatory Assets and Liabilities  7 06- Exhibit D_DEM-WP(C) ENERG10C--ctn Mid-C_042010 2010GRC" xfId="12287"/>
    <cellStyle name="_Costs not in AURORA 2006GRC 6.15.06_4 32 Regulatory Assets and Liabilities  7 06- Exhibit D_NIM Summary" xfId="773"/>
    <cellStyle name="_Costs not in AURORA 2006GRC 6.15.06_4 32 Regulatory Assets and Liabilities  7 06- Exhibit D_NIM Summary 2" xfId="774"/>
    <cellStyle name="_Costs not in AURORA 2006GRC 6.15.06_4 32 Regulatory Assets and Liabilities  7 06- Exhibit D_NIM Summary 2 2" xfId="4153"/>
    <cellStyle name="_Costs not in AURORA 2006GRC 6.15.06_4 32 Regulatory Assets and Liabilities  7 06- Exhibit D_NIM Summary 3" xfId="4152"/>
    <cellStyle name="_Costs not in AURORA 2006GRC 6.15.06_4 32 Regulatory Assets and Liabilities  7 06- Exhibit D_NIM Summary_DEM-WP(C) ENERG10C--ctn Mid-C_042010 2010GRC" xfId="12288"/>
    <cellStyle name="_Costs not in AURORA 2006GRC 6.15.06_AURORA Total New" xfId="775"/>
    <cellStyle name="_Costs not in AURORA 2006GRC 6.15.06_AURORA Total New 2" xfId="776"/>
    <cellStyle name="_Costs not in AURORA 2006GRC 6.15.06_AURORA Total New 2 2" xfId="4155"/>
    <cellStyle name="_Costs not in AURORA 2006GRC 6.15.06_AURORA Total New 3" xfId="4154"/>
    <cellStyle name="_Costs not in AURORA 2006GRC 6.15.06_Book2" xfId="777"/>
    <cellStyle name="_Costs not in AURORA 2006GRC 6.15.06_Book2 2" xfId="778"/>
    <cellStyle name="_Costs not in AURORA 2006GRC 6.15.06_Book2 2 2" xfId="4157"/>
    <cellStyle name="_Costs not in AURORA 2006GRC 6.15.06_Book2 2 2 2" xfId="20204"/>
    <cellStyle name="_Costs not in AURORA 2006GRC 6.15.06_Book2 2 3" xfId="16152"/>
    <cellStyle name="_Costs not in AURORA 2006GRC 6.15.06_Book2 3" xfId="4156"/>
    <cellStyle name="_Costs not in AURORA 2006GRC 6.15.06_Book2 3 2" xfId="20205"/>
    <cellStyle name="_Costs not in AURORA 2006GRC 6.15.06_Book2 4" xfId="16151"/>
    <cellStyle name="_Costs not in AURORA 2006GRC 6.15.06_Book2_Adj Bench DR 3 for Initial Briefs (Electric)" xfId="779"/>
    <cellStyle name="_Costs not in AURORA 2006GRC 6.15.06_Book2_Adj Bench DR 3 for Initial Briefs (Electric) 2" xfId="780"/>
    <cellStyle name="_Costs not in AURORA 2006GRC 6.15.06_Book2_Adj Bench DR 3 for Initial Briefs (Electric) 2 2" xfId="4159"/>
    <cellStyle name="_Costs not in AURORA 2006GRC 6.15.06_Book2_Adj Bench DR 3 for Initial Briefs (Electric) 2 2 2" xfId="20206"/>
    <cellStyle name="_Costs not in AURORA 2006GRC 6.15.06_Book2_Adj Bench DR 3 for Initial Briefs (Electric) 2 3" xfId="16154"/>
    <cellStyle name="_Costs not in AURORA 2006GRC 6.15.06_Book2_Adj Bench DR 3 for Initial Briefs (Electric) 3" xfId="4158"/>
    <cellStyle name="_Costs not in AURORA 2006GRC 6.15.06_Book2_Adj Bench DR 3 for Initial Briefs (Electric) 3 2" xfId="20207"/>
    <cellStyle name="_Costs not in AURORA 2006GRC 6.15.06_Book2_Adj Bench DR 3 for Initial Briefs (Electric) 4" xfId="16153"/>
    <cellStyle name="_Costs not in AURORA 2006GRC 6.15.06_Book2_Adj Bench DR 3 for Initial Briefs (Electric)_DEM-WP(C) ENERG10C--ctn Mid-C_042010 2010GRC" xfId="12289"/>
    <cellStyle name="_Costs not in AURORA 2006GRC 6.15.06_Book2_DEM-WP(C) ENERG10C--ctn Mid-C_042010 2010GRC" xfId="12290"/>
    <cellStyle name="_Costs not in AURORA 2006GRC 6.15.06_Book2_Electric Rev Req Model (2009 GRC) Rebuttal" xfId="781"/>
    <cellStyle name="_Costs not in AURORA 2006GRC 6.15.06_Book2_Electric Rev Req Model (2009 GRC) Rebuttal 2" xfId="4160"/>
    <cellStyle name="_Costs not in AURORA 2006GRC 6.15.06_Book2_Electric Rev Req Model (2009 GRC) Rebuttal 2 2" xfId="6972"/>
    <cellStyle name="_Costs not in AURORA 2006GRC 6.15.06_Book2_Electric Rev Req Model (2009 GRC) Rebuttal 2 2 2" xfId="20208"/>
    <cellStyle name="_Costs not in AURORA 2006GRC 6.15.06_Book2_Electric Rev Req Model (2009 GRC) Rebuttal 2 3" xfId="18323"/>
    <cellStyle name="_Costs not in AURORA 2006GRC 6.15.06_Book2_Electric Rev Req Model (2009 GRC) Rebuttal 3" xfId="6973"/>
    <cellStyle name="_Costs not in AURORA 2006GRC 6.15.06_Book2_Electric Rev Req Model (2009 GRC) Rebuttal 3 2" xfId="20209"/>
    <cellStyle name="_Costs not in AURORA 2006GRC 6.15.06_Book2_Electric Rev Req Model (2009 GRC) Rebuttal 4" xfId="16155"/>
    <cellStyle name="_Costs not in AURORA 2006GRC 6.15.06_Book2_Electric Rev Req Model (2009 GRC) Rebuttal REmoval of New  WH Solar AdjustMI" xfId="782"/>
    <cellStyle name="_Costs not in AURORA 2006GRC 6.15.06_Book2_Electric Rev Req Model (2009 GRC) Rebuttal REmoval of New  WH Solar AdjustMI 2" xfId="783"/>
    <cellStyle name="_Costs not in AURORA 2006GRC 6.15.06_Book2_Electric Rev Req Model (2009 GRC) Rebuttal REmoval of New  WH Solar AdjustMI 2 2" xfId="4162"/>
    <cellStyle name="_Costs not in AURORA 2006GRC 6.15.06_Book2_Electric Rev Req Model (2009 GRC) Rebuttal REmoval of New  WH Solar AdjustMI 2 2 2" xfId="20210"/>
    <cellStyle name="_Costs not in AURORA 2006GRC 6.15.06_Book2_Electric Rev Req Model (2009 GRC) Rebuttal REmoval of New  WH Solar AdjustMI 2 3" xfId="16157"/>
    <cellStyle name="_Costs not in AURORA 2006GRC 6.15.06_Book2_Electric Rev Req Model (2009 GRC) Rebuttal REmoval of New  WH Solar AdjustMI 3" xfId="4161"/>
    <cellStyle name="_Costs not in AURORA 2006GRC 6.15.06_Book2_Electric Rev Req Model (2009 GRC) Rebuttal REmoval of New  WH Solar AdjustMI 3 2" xfId="20211"/>
    <cellStyle name="_Costs not in AURORA 2006GRC 6.15.06_Book2_Electric Rev Req Model (2009 GRC) Rebuttal REmoval of New  WH Solar AdjustMI 4" xfId="16156"/>
    <cellStyle name="_Costs not in AURORA 2006GRC 6.15.06_Book2_Electric Rev Req Model (2009 GRC) Rebuttal REmoval of New  WH Solar AdjustMI_DEM-WP(C) ENERG10C--ctn Mid-C_042010 2010GRC" xfId="12291"/>
    <cellStyle name="_Costs not in AURORA 2006GRC 6.15.06_Book2_Electric Rev Req Model (2009 GRC) Revised 01-18-2010" xfId="784"/>
    <cellStyle name="_Costs not in AURORA 2006GRC 6.15.06_Book2_Electric Rev Req Model (2009 GRC) Revised 01-18-2010 2" xfId="785"/>
    <cellStyle name="_Costs not in AURORA 2006GRC 6.15.06_Book2_Electric Rev Req Model (2009 GRC) Revised 01-18-2010 2 2" xfId="4164"/>
    <cellStyle name="_Costs not in AURORA 2006GRC 6.15.06_Book2_Electric Rev Req Model (2009 GRC) Revised 01-18-2010 2 2 2" xfId="20212"/>
    <cellStyle name="_Costs not in AURORA 2006GRC 6.15.06_Book2_Electric Rev Req Model (2009 GRC) Revised 01-18-2010 2 3" xfId="16159"/>
    <cellStyle name="_Costs not in AURORA 2006GRC 6.15.06_Book2_Electric Rev Req Model (2009 GRC) Revised 01-18-2010 3" xfId="4163"/>
    <cellStyle name="_Costs not in AURORA 2006GRC 6.15.06_Book2_Electric Rev Req Model (2009 GRC) Revised 01-18-2010 3 2" xfId="20213"/>
    <cellStyle name="_Costs not in AURORA 2006GRC 6.15.06_Book2_Electric Rev Req Model (2009 GRC) Revised 01-18-2010 4" xfId="16158"/>
    <cellStyle name="_Costs not in AURORA 2006GRC 6.15.06_Book2_Electric Rev Req Model (2009 GRC) Revised 01-18-2010_DEM-WP(C) ENERG10C--ctn Mid-C_042010 2010GRC" xfId="12292"/>
    <cellStyle name="_Costs not in AURORA 2006GRC 6.15.06_Book2_Final Order Electric EXHIBIT A-1" xfId="786"/>
    <cellStyle name="_Costs not in AURORA 2006GRC 6.15.06_Book2_Final Order Electric EXHIBIT A-1 2" xfId="4165"/>
    <cellStyle name="_Costs not in AURORA 2006GRC 6.15.06_Book2_Final Order Electric EXHIBIT A-1 2 2" xfId="6974"/>
    <cellStyle name="_Costs not in AURORA 2006GRC 6.15.06_Book2_Final Order Electric EXHIBIT A-1 2 2 2" xfId="20214"/>
    <cellStyle name="_Costs not in AURORA 2006GRC 6.15.06_Book2_Final Order Electric EXHIBIT A-1 2 3" xfId="18324"/>
    <cellStyle name="_Costs not in AURORA 2006GRC 6.15.06_Book2_Final Order Electric EXHIBIT A-1 3" xfId="6975"/>
    <cellStyle name="_Costs not in AURORA 2006GRC 6.15.06_Book2_Final Order Electric EXHIBIT A-1 3 2" xfId="20215"/>
    <cellStyle name="_Costs not in AURORA 2006GRC 6.15.06_Book2_Final Order Electric EXHIBIT A-1 4" xfId="16160"/>
    <cellStyle name="_Costs not in AURORA 2006GRC 6.15.06_Book4" xfId="787"/>
    <cellStyle name="_Costs not in AURORA 2006GRC 6.15.06_Book4 2" xfId="788"/>
    <cellStyle name="_Costs not in AURORA 2006GRC 6.15.06_Book4 2 2" xfId="4167"/>
    <cellStyle name="_Costs not in AURORA 2006GRC 6.15.06_Book4 2 2 2" xfId="20216"/>
    <cellStyle name="_Costs not in AURORA 2006GRC 6.15.06_Book4 2 3" xfId="16162"/>
    <cellStyle name="_Costs not in AURORA 2006GRC 6.15.06_Book4 3" xfId="4166"/>
    <cellStyle name="_Costs not in AURORA 2006GRC 6.15.06_Book4 3 2" xfId="20217"/>
    <cellStyle name="_Costs not in AURORA 2006GRC 6.15.06_Book4 4" xfId="16161"/>
    <cellStyle name="_Costs not in AURORA 2006GRC 6.15.06_Book4_DEM-WP(C) ENERG10C--ctn Mid-C_042010 2010GRC" xfId="12293"/>
    <cellStyle name="_Costs not in AURORA 2006GRC 6.15.06_Book9" xfId="789"/>
    <cellStyle name="_Costs not in AURORA 2006GRC 6.15.06_Book9 2" xfId="790"/>
    <cellStyle name="_Costs not in AURORA 2006GRC 6.15.06_Book9 2 2" xfId="4169"/>
    <cellStyle name="_Costs not in AURORA 2006GRC 6.15.06_Book9 2 2 2" xfId="20218"/>
    <cellStyle name="_Costs not in AURORA 2006GRC 6.15.06_Book9 2 3" xfId="16164"/>
    <cellStyle name="_Costs not in AURORA 2006GRC 6.15.06_Book9 3" xfId="4168"/>
    <cellStyle name="_Costs not in AURORA 2006GRC 6.15.06_Book9 3 2" xfId="20219"/>
    <cellStyle name="_Costs not in AURORA 2006GRC 6.15.06_Book9 4" xfId="16163"/>
    <cellStyle name="_Costs not in AURORA 2006GRC 6.15.06_Book9_DEM-WP(C) ENERG10C--ctn Mid-C_042010 2010GRC" xfId="12294"/>
    <cellStyle name="_Costs not in AURORA 2006GRC 6.15.06_Chelan PUD Power Costs (8-10)" xfId="12295"/>
    <cellStyle name="_Costs not in AURORA 2006GRC 6.15.06_Chelan PUD Power Costs (8-10) 2" xfId="23663"/>
    <cellStyle name="_Costs not in AURORA 2006GRC 6.15.06_DEM-WP(C) Chelan Power Costs" xfId="12296"/>
    <cellStyle name="_Costs not in AURORA 2006GRC 6.15.06_DEM-WP(C) Chelan Power Costs 2" xfId="23664"/>
    <cellStyle name="_Costs not in AURORA 2006GRC 6.15.06_DEM-WP(C) ENERG10C--ctn Mid-C_042010 2010GRC" xfId="12297"/>
    <cellStyle name="_Costs not in AURORA 2006GRC 6.15.06_DEM-WP(C) Gas Transport 2010GRC" xfId="12298"/>
    <cellStyle name="_Costs not in AURORA 2006GRC 6.15.06_DEM-WP(C) Gas Transport 2010GRC 2" xfId="23665"/>
    <cellStyle name="_Costs not in AURORA 2006GRC 6.15.06_Exh A-1 resulting from UE-112050 effective Jan 1 2012" xfId="14802"/>
    <cellStyle name="_Costs not in AURORA 2006GRC 6.15.06_Exh G - Klamath Peaker PPA fr C Locke 2-12" xfId="14803"/>
    <cellStyle name="_Costs not in AURORA 2006GRC 6.15.06_Exhibit A-1 effective 4-1-11 fr S Free 12-11" xfId="14804"/>
    <cellStyle name="_Costs not in AURORA 2006GRC 6.15.06_INPUTS" xfId="6976"/>
    <cellStyle name="_Costs not in AURORA 2006GRC 6.15.06_INPUTS 2" xfId="6977"/>
    <cellStyle name="_Costs not in AURORA 2006GRC 6.15.06_INPUTS 2 2" xfId="6978"/>
    <cellStyle name="_Costs not in AURORA 2006GRC 6.15.06_INPUTS 2 2 2" xfId="20220"/>
    <cellStyle name="_Costs not in AURORA 2006GRC 6.15.06_INPUTS 2 3" xfId="18326"/>
    <cellStyle name="_Costs not in AURORA 2006GRC 6.15.06_INPUTS 3" xfId="6979"/>
    <cellStyle name="_Costs not in AURORA 2006GRC 6.15.06_INPUTS 3 2" xfId="20221"/>
    <cellStyle name="_Costs not in AURORA 2006GRC 6.15.06_INPUTS 4" xfId="18325"/>
    <cellStyle name="_Costs not in AURORA 2006GRC 6.15.06_Mint Farm Generation BPA" xfId="23666"/>
    <cellStyle name="_Costs not in AURORA 2006GRC 6.15.06_NIM Summary" xfId="791"/>
    <cellStyle name="_Costs not in AURORA 2006GRC 6.15.06_NIM Summary 09GRC" xfId="792"/>
    <cellStyle name="_Costs not in AURORA 2006GRC 6.15.06_NIM Summary 09GRC 2" xfId="793"/>
    <cellStyle name="_Costs not in AURORA 2006GRC 6.15.06_NIM Summary 09GRC 2 2" xfId="4172"/>
    <cellStyle name="_Costs not in AURORA 2006GRC 6.15.06_NIM Summary 09GRC 3" xfId="4171"/>
    <cellStyle name="_Costs not in AURORA 2006GRC 6.15.06_NIM Summary 09GRC_DEM-WP(C) ENERG10C--ctn Mid-C_042010 2010GRC" xfId="12299"/>
    <cellStyle name="_Costs not in AURORA 2006GRC 6.15.06_NIM Summary 10" xfId="4170"/>
    <cellStyle name="_Costs not in AURORA 2006GRC 6.15.06_NIM Summary 11" xfId="6222"/>
    <cellStyle name="_Costs not in AURORA 2006GRC 6.15.06_NIM Summary 12" xfId="6265"/>
    <cellStyle name="_Costs not in AURORA 2006GRC 6.15.06_NIM Summary 13" xfId="6221"/>
    <cellStyle name="_Costs not in AURORA 2006GRC 6.15.06_NIM Summary 14" xfId="6314"/>
    <cellStyle name="_Costs not in AURORA 2006GRC 6.15.06_NIM Summary 15" xfId="14805"/>
    <cellStyle name="_Costs not in AURORA 2006GRC 6.15.06_NIM Summary 16" xfId="14806"/>
    <cellStyle name="_Costs not in AURORA 2006GRC 6.15.06_NIM Summary 17" xfId="14807"/>
    <cellStyle name="_Costs not in AURORA 2006GRC 6.15.06_NIM Summary 18" xfId="14808"/>
    <cellStyle name="_Costs not in AURORA 2006GRC 6.15.06_NIM Summary 19" xfId="14809"/>
    <cellStyle name="_Costs not in AURORA 2006GRC 6.15.06_NIM Summary 2" xfId="794"/>
    <cellStyle name="_Costs not in AURORA 2006GRC 6.15.06_NIM Summary 2 2" xfId="4173"/>
    <cellStyle name="_Costs not in AURORA 2006GRC 6.15.06_NIM Summary 20" xfId="14810"/>
    <cellStyle name="_Costs not in AURORA 2006GRC 6.15.06_NIM Summary 21" xfId="14811"/>
    <cellStyle name="_Costs not in AURORA 2006GRC 6.15.06_NIM Summary 22" xfId="14812"/>
    <cellStyle name="_Costs not in AURORA 2006GRC 6.15.06_NIM Summary 23" xfId="14813"/>
    <cellStyle name="_Costs not in AURORA 2006GRC 6.15.06_NIM Summary 24" xfId="14814"/>
    <cellStyle name="_Costs not in AURORA 2006GRC 6.15.06_NIM Summary 25" xfId="14815"/>
    <cellStyle name="_Costs not in AURORA 2006GRC 6.15.06_NIM Summary 26" xfId="14816"/>
    <cellStyle name="_Costs not in AURORA 2006GRC 6.15.06_NIM Summary 27" xfId="14817"/>
    <cellStyle name="_Costs not in AURORA 2006GRC 6.15.06_NIM Summary 28" xfId="14818"/>
    <cellStyle name="_Costs not in AURORA 2006GRC 6.15.06_NIM Summary 29" xfId="14819"/>
    <cellStyle name="_Costs not in AURORA 2006GRC 6.15.06_NIM Summary 3" xfId="795"/>
    <cellStyle name="_Costs not in AURORA 2006GRC 6.15.06_NIM Summary 3 2" xfId="4174"/>
    <cellStyle name="_Costs not in AURORA 2006GRC 6.15.06_NIM Summary 30" xfId="14820"/>
    <cellStyle name="_Costs not in AURORA 2006GRC 6.15.06_NIM Summary 31" xfId="14821"/>
    <cellStyle name="_Costs not in AURORA 2006GRC 6.15.06_NIM Summary 32" xfId="14822"/>
    <cellStyle name="_Costs not in AURORA 2006GRC 6.15.06_NIM Summary 33" xfId="14823"/>
    <cellStyle name="_Costs not in AURORA 2006GRC 6.15.06_NIM Summary 34" xfId="14824"/>
    <cellStyle name="_Costs not in AURORA 2006GRC 6.15.06_NIM Summary 35" xfId="14825"/>
    <cellStyle name="_Costs not in AURORA 2006GRC 6.15.06_NIM Summary 36" xfId="14826"/>
    <cellStyle name="_Costs not in AURORA 2006GRC 6.15.06_NIM Summary 37" xfId="14827"/>
    <cellStyle name="_Costs not in AURORA 2006GRC 6.15.06_NIM Summary 38" xfId="14828"/>
    <cellStyle name="_Costs not in AURORA 2006GRC 6.15.06_NIM Summary 39" xfId="14829"/>
    <cellStyle name="_Costs not in AURORA 2006GRC 6.15.06_NIM Summary 4" xfId="796"/>
    <cellStyle name="_Costs not in AURORA 2006GRC 6.15.06_NIM Summary 4 2" xfId="4175"/>
    <cellStyle name="_Costs not in AURORA 2006GRC 6.15.06_NIM Summary 40" xfId="14830"/>
    <cellStyle name="_Costs not in AURORA 2006GRC 6.15.06_NIM Summary 41" xfId="14831"/>
    <cellStyle name="_Costs not in AURORA 2006GRC 6.15.06_NIM Summary 42" xfId="16165"/>
    <cellStyle name="_Costs not in AURORA 2006GRC 6.15.06_NIM Summary 43" xfId="15779"/>
    <cellStyle name="_Costs not in AURORA 2006GRC 6.15.06_NIM Summary 44" xfId="23667"/>
    <cellStyle name="_Costs not in AURORA 2006GRC 6.15.06_NIM Summary 45" xfId="23668"/>
    <cellStyle name="_Costs not in AURORA 2006GRC 6.15.06_NIM Summary 46" xfId="23669"/>
    <cellStyle name="_Costs not in AURORA 2006GRC 6.15.06_NIM Summary 47" xfId="23670"/>
    <cellStyle name="_Costs not in AURORA 2006GRC 6.15.06_NIM Summary 48" xfId="23671"/>
    <cellStyle name="_Costs not in AURORA 2006GRC 6.15.06_NIM Summary 49" xfId="23672"/>
    <cellStyle name="_Costs not in AURORA 2006GRC 6.15.06_NIM Summary 5" xfId="797"/>
    <cellStyle name="_Costs not in AURORA 2006GRC 6.15.06_NIM Summary 5 2" xfId="4176"/>
    <cellStyle name="_Costs not in AURORA 2006GRC 6.15.06_NIM Summary 50" xfId="23673"/>
    <cellStyle name="_Costs not in AURORA 2006GRC 6.15.06_NIM Summary 51" xfId="41138"/>
    <cellStyle name="_Costs not in AURORA 2006GRC 6.15.06_NIM Summary 52" xfId="6980"/>
    <cellStyle name="_Costs not in AURORA 2006GRC 6.15.06_NIM Summary 6" xfId="798"/>
    <cellStyle name="_Costs not in AURORA 2006GRC 6.15.06_NIM Summary 6 2" xfId="4177"/>
    <cellStyle name="_Costs not in AURORA 2006GRC 6.15.06_NIM Summary 7" xfId="799"/>
    <cellStyle name="_Costs not in AURORA 2006GRC 6.15.06_NIM Summary 7 2" xfId="4178"/>
    <cellStyle name="_Costs not in AURORA 2006GRC 6.15.06_NIM Summary 8" xfId="800"/>
    <cellStyle name="_Costs not in AURORA 2006GRC 6.15.06_NIM Summary 8 2" xfId="4179"/>
    <cellStyle name="_Costs not in AURORA 2006GRC 6.15.06_NIM Summary 9" xfId="801"/>
    <cellStyle name="_Costs not in AURORA 2006GRC 6.15.06_NIM Summary 9 2" xfId="4180"/>
    <cellStyle name="_Costs not in AURORA 2006GRC 6.15.06_NIM Summary_DEM-WP(C) ENERG10C--ctn Mid-C_042010 2010GRC" xfId="12300"/>
    <cellStyle name="_Costs not in AURORA 2006GRC 6.15.06_PCA 10 -  Exhibit D Dec 2011" xfId="14832"/>
    <cellStyle name="_Costs not in AURORA 2006GRC 6.15.06_PCA 10 -  Exhibit D from A Kellogg Jan 2011" xfId="14079"/>
    <cellStyle name="_Costs not in AURORA 2006GRC 6.15.06_PCA 10 -  Exhibit D from A Kellogg July 2011" xfId="14080"/>
    <cellStyle name="_Costs not in AURORA 2006GRC 6.15.06_PCA 10 -  Exhibit D from S Free Rcv'd 12-11" xfId="14081"/>
    <cellStyle name="_Costs not in AURORA 2006GRC 6.15.06_PCA 11 -  Exhibit D Jan 2012 fr A Kellogg" xfId="14833"/>
    <cellStyle name="_Costs not in AURORA 2006GRC 6.15.06_PCA 11 -  Exhibit D Jan 2012 WF" xfId="14834"/>
    <cellStyle name="_Costs not in AURORA 2006GRC 6.15.06_PCA 9 -  Exhibit D April 2010" xfId="14082"/>
    <cellStyle name="_Costs not in AURORA 2006GRC 6.15.06_PCA 9 -  Exhibit D April 2010 (3)" xfId="802"/>
    <cellStyle name="_Costs not in AURORA 2006GRC 6.15.06_PCA 9 -  Exhibit D April 2010 (3) 2" xfId="803"/>
    <cellStyle name="_Costs not in AURORA 2006GRC 6.15.06_PCA 9 -  Exhibit D April 2010 (3) 2 2" xfId="4182"/>
    <cellStyle name="_Costs not in AURORA 2006GRC 6.15.06_PCA 9 -  Exhibit D April 2010 (3) 3" xfId="4181"/>
    <cellStyle name="_Costs not in AURORA 2006GRC 6.15.06_PCA 9 -  Exhibit D April 2010 (3)_DEM-WP(C) ENERG10C--ctn Mid-C_042010 2010GRC" xfId="12301"/>
    <cellStyle name="_Costs not in AURORA 2006GRC 6.15.06_PCA 9 -  Exhibit D April 2010 2" xfId="14835"/>
    <cellStyle name="_Costs not in AURORA 2006GRC 6.15.06_PCA 9 -  Exhibit D April 2010 3" xfId="14836"/>
    <cellStyle name="_Costs not in AURORA 2006GRC 6.15.06_PCA 9 -  Exhibit D April 2010 4" xfId="14837"/>
    <cellStyle name="_Costs not in AURORA 2006GRC 6.15.06_PCA 9 -  Exhibit D April 2010 5" xfId="14838"/>
    <cellStyle name="_Costs not in AURORA 2006GRC 6.15.06_PCA 9 -  Exhibit D April 2010 6" xfId="14839"/>
    <cellStyle name="_Costs not in AURORA 2006GRC 6.15.06_PCA 9 -  Exhibit D Nov 2010" xfId="14083"/>
    <cellStyle name="_Costs not in AURORA 2006GRC 6.15.06_PCA 9 -  Exhibit D Nov 2010 2" xfId="14840"/>
    <cellStyle name="_Costs not in AURORA 2006GRC 6.15.06_PCA 9 - Exhibit D at August 2010" xfId="14084"/>
    <cellStyle name="_Costs not in AURORA 2006GRC 6.15.06_PCA 9 - Exhibit D at August 2010 2" xfId="14841"/>
    <cellStyle name="_Costs not in AURORA 2006GRC 6.15.06_PCA 9 - Exhibit D June 2010 GRC" xfId="14085"/>
    <cellStyle name="_Costs not in AURORA 2006GRC 6.15.06_PCA 9 - Exhibit D June 2010 GRC 2" xfId="14842"/>
    <cellStyle name="_Costs not in AURORA 2006GRC 6.15.06_Power Costs - Comparison bx Rbtl-Staff-Jt-PC" xfId="804"/>
    <cellStyle name="_Costs not in AURORA 2006GRC 6.15.06_Power Costs - Comparison bx Rbtl-Staff-Jt-PC 2" xfId="805"/>
    <cellStyle name="_Costs not in AURORA 2006GRC 6.15.06_Power Costs - Comparison bx Rbtl-Staff-Jt-PC 2 2" xfId="4184"/>
    <cellStyle name="_Costs not in AURORA 2006GRC 6.15.06_Power Costs - Comparison bx Rbtl-Staff-Jt-PC 2 2 2" xfId="20222"/>
    <cellStyle name="_Costs not in AURORA 2006GRC 6.15.06_Power Costs - Comparison bx Rbtl-Staff-Jt-PC 2 3" xfId="16167"/>
    <cellStyle name="_Costs not in AURORA 2006GRC 6.15.06_Power Costs - Comparison bx Rbtl-Staff-Jt-PC 3" xfId="4183"/>
    <cellStyle name="_Costs not in AURORA 2006GRC 6.15.06_Power Costs - Comparison bx Rbtl-Staff-Jt-PC 3 2" xfId="20223"/>
    <cellStyle name="_Costs not in AURORA 2006GRC 6.15.06_Power Costs - Comparison bx Rbtl-Staff-Jt-PC 4" xfId="16166"/>
    <cellStyle name="_Costs not in AURORA 2006GRC 6.15.06_Power Costs - Comparison bx Rbtl-Staff-Jt-PC_Adj Bench DR 3 for Initial Briefs (Electric)" xfId="806"/>
    <cellStyle name="_Costs not in AURORA 2006GRC 6.15.06_Power Costs - Comparison bx Rbtl-Staff-Jt-PC_Adj Bench DR 3 for Initial Briefs (Electric) 2" xfId="807"/>
    <cellStyle name="_Costs not in AURORA 2006GRC 6.15.06_Power Costs - Comparison bx Rbtl-Staff-Jt-PC_Adj Bench DR 3 for Initial Briefs (Electric) 2 2" xfId="4186"/>
    <cellStyle name="_Costs not in AURORA 2006GRC 6.15.06_Power Costs - Comparison bx Rbtl-Staff-Jt-PC_Adj Bench DR 3 for Initial Briefs (Electric) 2 2 2" xfId="20224"/>
    <cellStyle name="_Costs not in AURORA 2006GRC 6.15.06_Power Costs - Comparison bx Rbtl-Staff-Jt-PC_Adj Bench DR 3 for Initial Briefs (Electric) 2 3" xfId="16169"/>
    <cellStyle name="_Costs not in AURORA 2006GRC 6.15.06_Power Costs - Comparison bx Rbtl-Staff-Jt-PC_Adj Bench DR 3 for Initial Briefs (Electric) 3" xfId="4185"/>
    <cellStyle name="_Costs not in AURORA 2006GRC 6.15.06_Power Costs - Comparison bx Rbtl-Staff-Jt-PC_Adj Bench DR 3 for Initial Briefs (Electric) 3 2" xfId="20225"/>
    <cellStyle name="_Costs not in AURORA 2006GRC 6.15.06_Power Costs - Comparison bx Rbtl-Staff-Jt-PC_Adj Bench DR 3 for Initial Briefs (Electric) 4" xfId="16168"/>
    <cellStyle name="_Costs not in AURORA 2006GRC 6.15.06_Power Costs - Comparison bx Rbtl-Staff-Jt-PC_Adj Bench DR 3 for Initial Briefs (Electric)_DEM-WP(C) ENERG10C--ctn Mid-C_042010 2010GRC" xfId="12302"/>
    <cellStyle name="_Costs not in AURORA 2006GRC 6.15.06_Power Costs - Comparison bx Rbtl-Staff-Jt-PC_DEM-WP(C) ENERG10C--ctn Mid-C_042010 2010GRC" xfId="12303"/>
    <cellStyle name="_Costs not in AURORA 2006GRC 6.15.06_Power Costs - Comparison bx Rbtl-Staff-Jt-PC_Electric Rev Req Model (2009 GRC) Rebuttal" xfId="808"/>
    <cellStyle name="_Costs not in AURORA 2006GRC 6.15.06_Power Costs - Comparison bx Rbtl-Staff-Jt-PC_Electric Rev Req Model (2009 GRC) Rebuttal 2" xfId="4187"/>
    <cellStyle name="_Costs not in AURORA 2006GRC 6.15.06_Power Costs - Comparison bx Rbtl-Staff-Jt-PC_Electric Rev Req Model (2009 GRC) Rebuttal 2 2" xfId="6981"/>
    <cellStyle name="_Costs not in AURORA 2006GRC 6.15.06_Power Costs - Comparison bx Rbtl-Staff-Jt-PC_Electric Rev Req Model (2009 GRC) Rebuttal 2 2 2" xfId="20226"/>
    <cellStyle name="_Costs not in AURORA 2006GRC 6.15.06_Power Costs - Comparison bx Rbtl-Staff-Jt-PC_Electric Rev Req Model (2009 GRC) Rebuttal 2 3" xfId="18327"/>
    <cellStyle name="_Costs not in AURORA 2006GRC 6.15.06_Power Costs - Comparison bx Rbtl-Staff-Jt-PC_Electric Rev Req Model (2009 GRC) Rebuttal 3" xfId="6982"/>
    <cellStyle name="_Costs not in AURORA 2006GRC 6.15.06_Power Costs - Comparison bx Rbtl-Staff-Jt-PC_Electric Rev Req Model (2009 GRC) Rebuttal 3 2" xfId="20227"/>
    <cellStyle name="_Costs not in AURORA 2006GRC 6.15.06_Power Costs - Comparison bx Rbtl-Staff-Jt-PC_Electric Rev Req Model (2009 GRC) Rebuttal 4" xfId="16170"/>
    <cellStyle name="_Costs not in AURORA 2006GRC 6.15.06_Power Costs - Comparison bx Rbtl-Staff-Jt-PC_Electric Rev Req Model (2009 GRC) Rebuttal REmoval of New  WH Solar AdjustMI" xfId="809"/>
    <cellStyle name="_Costs not in AURORA 2006GRC 6.15.06_Power Costs - Comparison bx Rbtl-Staff-Jt-PC_Electric Rev Req Model (2009 GRC) Rebuttal REmoval of New  WH Solar AdjustMI 2" xfId="810"/>
    <cellStyle name="_Costs not in AURORA 2006GRC 6.15.06_Power Costs - Comparison bx Rbtl-Staff-Jt-PC_Electric Rev Req Model (2009 GRC) Rebuttal REmoval of New  WH Solar AdjustMI 2 2" xfId="4189"/>
    <cellStyle name="_Costs not in AURORA 2006GRC 6.15.06_Power Costs - Comparison bx Rbtl-Staff-Jt-PC_Electric Rev Req Model (2009 GRC) Rebuttal REmoval of New  WH Solar AdjustMI 2 2 2" xfId="20228"/>
    <cellStyle name="_Costs not in AURORA 2006GRC 6.15.06_Power Costs - Comparison bx Rbtl-Staff-Jt-PC_Electric Rev Req Model (2009 GRC) Rebuttal REmoval of New  WH Solar AdjustMI 2 3" xfId="16172"/>
    <cellStyle name="_Costs not in AURORA 2006GRC 6.15.06_Power Costs - Comparison bx Rbtl-Staff-Jt-PC_Electric Rev Req Model (2009 GRC) Rebuttal REmoval of New  WH Solar AdjustMI 3" xfId="4188"/>
    <cellStyle name="_Costs not in AURORA 2006GRC 6.15.06_Power Costs - Comparison bx Rbtl-Staff-Jt-PC_Electric Rev Req Model (2009 GRC) Rebuttal REmoval of New  WH Solar AdjustMI 3 2" xfId="20229"/>
    <cellStyle name="_Costs not in AURORA 2006GRC 6.15.06_Power Costs - Comparison bx Rbtl-Staff-Jt-PC_Electric Rev Req Model (2009 GRC) Rebuttal REmoval of New  WH Solar AdjustMI 4" xfId="16171"/>
    <cellStyle name="_Costs not in AURORA 2006GRC 6.15.06_Power Costs - Comparison bx Rbtl-Staff-Jt-PC_Electric Rev Req Model (2009 GRC) Rebuttal REmoval of New  WH Solar AdjustMI_DEM-WP(C) ENERG10C--ctn Mid-C_042010 2010GRC" xfId="12304"/>
    <cellStyle name="_Costs not in AURORA 2006GRC 6.15.06_Power Costs - Comparison bx Rbtl-Staff-Jt-PC_Electric Rev Req Model (2009 GRC) Revised 01-18-2010" xfId="811"/>
    <cellStyle name="_Costs not in AURORA 2006GRC 6.15.06_Power Costs - Comparison bx Rbtl-Staff-Jt-PC_Electric Rev Req Model (2009 GRC) Revised 01-18-2010 2" xfId="812"/>
    <cellStyle name="_Costs not in AURORA 2006GRC 6.15.06_Power Costs - Comparison bx Rbtl-Staff-Jt-PC_Electric Rev Req Model (2009 GRC) Revised 01-18-2010 2 2" xfId="4191"/>
    <cellStyle name="_Costs not in AURORA 2006GRC 6.15.06_Power Costs - Comparison bx Rbtl-Staff-Jt-PC_Electric Rev Req Model (2009 GRC) Revised 01-18-2010 2 2 2" xfId="20230"/>
    <cellStyle name="_Costs not in AURORA 2006GRC 6.15.06_Power Costs - Comparison bx Rbtl-Staff-Jt-PC_Electric Rev Req Model (2009 GRC) Revised 01-18-2010 2 3" xfId="16174"/>
    <cellStyle name="_Costs not in AURORA 2006GRC 6.15.06_Power Costs - Comparison bx Rbtl-Staff-Jt-PC_Electric Rev Req Model (2009 GRC) Revised 01-18-2010 3" xfId="4190"/>
    <cellStyle name="_Costs not in AURORA 2006GRC 6.15.06_Power Costs - Comparison bx Rbtl-Staff-Jt-PC_Electric Rev Req Model (2009 GRC) Revised 01-18-2010 3 2" xfId="20231"/>
    <cellStyle name="_Costs not in AURORA 2006GRC 6.15.06_Power Costs - Comparison bx Rbtl-Staff-Jt-PC_Electric Rev Req Model (2009 GRC) Revised 01-18-2010 4" xfId="16173"/>
    <cellStyle name="_Costs not in AURORA 2006GRC 6.15.06_Power Costs - Comparison bx Rbtl-Staff-Jt-PC_Electric Rev Req Model (2009 GRC) Revised 01-18-2010_DEM-WP(C) ENERG10C--ctn Mid-C_042010 2010GRC" xfId="12305"/>
    <cellStyle name="_Costs not in AURORA 2006GRC 6.15.06_Power Costs - Comparison bx Rbtl-Staff-Jt-PC_Final Order Electric EXHIBIT A-1" xfId="813"/>
    <cellStyle name="_Costs not in AURORA 2006GRC 6.15.06_Power Costs - Comparison bx Rbtl-Staff-Jt-PC_Final Order Electric EXHIBIT A-1 2" xfId="4192"/>
    <cellStyle name="_Costs not in AURORA 2006GRC 6.15.06_Power Costs - Comparison bx Rbtl-Staff-Jt-PC_Final Order Electric EXHIBIT A-1 2 2" xfId="6983"/>
    <cellStyle name="_Costs not in AURORA 2006GRC 6.15.06_Power Costs - Comparison bx Rbtl-Staff-Jt-PC_Final Order Electric EXHIBIT A-1 2 2 2" xfId="20232"/>
    <cellStyle name="_Costs not in AURORA 2006GRC 6.15.06_Power Costs - Comparison bx Rbtl-Staff-Jt-PC_Final Order Electric EXHIBIT A-1 2 3" xfId="18328"/>
    <cellStyle name="_Costs not in AURORA 2006GRC 6.15.06_Power Costs - Comparison bx Rbtl-Staff-Jt-PC_Final Order Electric EXHIBIT A-1 3" xfId="6984"/>
    <cellStyle name="_Costs not in AURORA 2006GRC 6.15.06_Power Costs - Comparison bx Rbtl-Staff-Jt-PC_Final Order Electric EXHIBIT A-1 3 2" xfId="20233"/>
    <cellStyle name="_Costs not in AURORA 2006GRC 6.15.06_Power Costs - Comparison bx Rbtl-Staff-Jt-PC_Final Order Electric EXHIBIT A-1 4" xfId="16175"/>
    <cellStyle name="_Costs not in AURORA 2006GRC 6.15.06_Production Adj 4.37" xfId="6985"/>
    <cellStyle name="_Costs not in AURORA 2006GRC 6.15.06_Production Adj 4.37 2" xfId="6986"/>
    <cellStyle name="_Costs not in AURORA 2006GRC 6.15.06_Production Adj 4.37 2 2" xfId="6987"/>
    <cellStyle name="_Costs not in AURORA 2006GRC 6.15.06_Production Adj 4.37 2 2 2" xfId="20234"/>
    <cellStyle name="_Costs not in AURORA 2006GRC 6.15.06_Production Adj 4.37 2 3" xfId="18330"/>
    <cellStyle name="_Costs not in AURORA 2006GRC 6.15.06_Production Adj 4.37 3" xfId="6988"/>
    <cellStyle name="_Costs not in AURORA 2006GRC 6.15.06_Production Adj 4.37 3 2" xfId="20235"/>
    <cellStyle name="_Costs not in AURORA 2006GRC 6.15.06_Production Adj 4.37 4" xfId="18329"/>
    <cellStyle name="_Costs not in AURORA 2006GRC 6.15.06_Purchased Power Adj 4.03" xfId="6989"/>
    <cellStyle name="_Costs not in AURORA 2006GRC 6.15.06_Purchased Power Adj 4.03 2" xfId="6990"/>
    <cellStyle name="_Costs not in AURORA 2006GRC 6.15.06_Purchased Power Adj 4.03 2 2" xfId="6991"/>
    <cellStyle name="_Costs not in AURORA 2006GRC 6.15.06_Purchased Power Adj 4.03 2 2 2" xfId="20236"/>
    <cellStyle name="_Costs not in AURORA 2006GRC 6.15.06_Purchased Power Adj 4.03 2 3" xfId="18332"/>
    <cellStyle name="_Costs not in AURORA 2006GRC 6.15.06_Purchased Power Adj 4.03 3" xfId="6992"/>
    <cellStyle name="_Costs not in AURORA 2006GRC 6.15.06_Purchased Power Adj 4.03 3 2" xfId="20237"/>
    <cellStyle name="_Costs not in AURORA 2006GRC 6.15.06_Purchased Power Adj 4.03 4" xfId="18331"/>
    <cellStyle name="_Costs not in AURORA 2006GRC 6.15.06_Rebuttal Power Costs" xfId="814"/>
    <cellStyle name="_Costs not in AURORA 2006GRC 6.15.06_Rebuttal Power Costs 2" xfId="815"/>
    <cellStyle name="_Costs not in AURORA 2006GRC 6.15.06_Rebuttal Power Costs 2 2" xfId="4194"/>
    <cellStyle name="_Costs not in AURORA 2006GRC 6.15.06_Rebuttal Power Costs 2 2 2" xfId="20238"/>
    <cellStyle name="_Costs not in AURORA 2006GRC 6.15.06_Rebuttal Power Costs 2 3" xfId="16177"/>
    <cellStyle name="_Costs not in AURORA 2006GRC 6.15.06_Rebuttal Power Costs 3" xfId="4193"/>
    <cellStyle name="_Costs not in AURORA 2006GRC 6.15.06_Rebuttal Power Costs 3 2" xfId="20239"/>
    <cellStyle name="_Costs not in AURORA 2006GRC 6.15.06_Rebuttal Power Costs 4" xfId="16176"/>
    <cellStyle name="_Costs not in AURORA 2006GRC 6.15.06_Rebuttal Power Costs_Adj Bench DR 3 for Initial Briefs (Electric)" xfId="816"/>
    <cellStyle name="_Costs not in AURORA 2006GRC 6.15.06_Rebuttal Power Costs_Adj Bench DR 3 for Initial Briefs (Electric) 2" xfId="817"/>
    <cellStyle name="_Costs not in AURORA 2006GRC 6.15.06_Rebuttal Power Costs_Adj Bench DR 3 for Initial Briefs (Electric) 2 2" xfId="4196"/>
    <cellStyle name="_Costs not in AURORA 2006GRC 6.15.06_Rebuttal Power Costs_Adj Bench DR 3 for Initial Briefs (Electric) 2 2 2" xfId="20240"/>
    <cellStyle name="_Costs not in AURORA 2006GRC 6.15.06_Rebuttal Power Costs_Adj Bench DR 3 for Initial Briefs (Electric) 2 3" xfId="16179"/>
    <cellStyle name="_Costs not in AURORA 2006GRC 6.15.06_Rebuttal Power Costs_Adj Bench DR 3 for Initial Briefs (Electric) 3" xfId="4195"/>
    <cellStyle name="_Costs not in AURORA 2006GRC 6.15.06_Rebuttal Power Costs_Adj Bench DR 3 for Initial Briefs (Electric) 3 2" xfId="20241"/>
    <cellStyle name="_Costs not in AURORA 2006GRC 6.15.06_Rebuttal Power Costs_Adj Bench DR 3 for Initial Briefs (Electric) 4" xfId="16178"/>
    <cellStyle name="_Costs not in AURORA 2006GRC 6.15.06_Rebuttal Power Costs_Adj Bench DR 3 for Initial Briefs (Electric)_DEM-WP(C) ENERG10C--ctn Mid-C_042010 2010GRC" xfId="12306"/>
    <cellStyle name="_Costs not in AURORA 2006GRC 6.15.06_Rebuttal Power Costs_DEM-WP(C) ENERG10C--ctn Mid-C_042010 2010GRC" xfId="12307"/>
    <cellStyle name="_Costs not in AURORA 2006GRC 6.15.06_Rebuttal Power Costs_Electric Rev Req Model (2009 GRC) Rebuttal" xfId="818"/>
    <cellStyle name="_Costs not in AURORA 2006GRC 6.15.06_Rebuttal Power Costs_Electric Rev Req Model (2009 GRC) Rebuttal 2" xfId="4197"/>
    <cellStyle name="_Costs not in AURORA 2006GRC 6.15.06_Rebuttal Power Costs_Electric Rev Req Model (2009 GRC) Rebuttal 2 2" xfId="6993"/>
    <cellStyle name="_Costs not in AURORA 2006GRC 6.15.06_Rebuttal Power Costs_Electric Rev Req Model (2009 GRC) Rebuttal 2 2 2" xfId="20242"/>
    <cellStyle name="_Costs not in AURORA 2006GRC 6.15.06_Rebuttal Power Costs_Electric Rev Req Model (2009 GRC) Rebuttal 2 3" xfId="18333"/>
    <cellStyle name="_Costs not in AURORA 2006GRC 6.15.06_Rebuttal Power Costs_Electric Rev Req Model (2009 GRC) Rebuttal 3" xfId="6994"/>
    <cellStyle name="_Costs not in AURORA 2006GRC 6.15.06_Rebuttal Power Costs_Electric Rev Req Model (2009 GRC) Rebuttal 3 2" xfId="20243"/>
    <cellStyle name="_Costs not in AURORA 2006GRC 6.15.06_Rebuttal Power Costs_Electric Rev Req Model (2009 GRC) Rebuttal 4" xfId="16180"/>
    <cellStyle name="_Costs not in AURORA 2006GRC 6.15.06_Rebuttal Power Costs_Electric Rev Req Model (2009 GRC) Rebuttal REmoval of New  WH Solar AdjustMI" xfId="819"/>
    <cellStyle name="_Costs not in AURORA 2006GRC 6.15.06_Rebuttal Power Costs_Electric Rev Req Model (2009 GRC) Rebuttal REmoval of New  WH Solar AdjustMI 2" xfId="820"/>
    <cellStyle name="_Costs not in AURORA 2006GRC 6.15.06_Rebuttal Power Costs_Electric Rev Req Model (2009 GRC) Rebuttal REmoval of New  WH Solar AdjustMI 2 2" xfId="4199"/>
    <cellStyle name="_Costs not in AURORA 2006GRC 6.15.06_Rebuttal Power Costs_Electric Rev Req Model (2009 GRC) Rebuttal REmoval of New  WH Solar AdjustMI 2 2 2" xfId="20244"/>
    <cellStyle name="_Costs not in AURORA 2006GRC 6.15.06_Rebuttal Power Costs_Electric Rev Req Model (2009 GRC) Rebuttal REmoval of New  WH Solar AdjustMI 2 3" xfId="16182"/>
    <cellStyle name="_Costs not in AURORA 2006GRC 6.15.06_Rebuttal Power Costs_Electric Rev Req Model (2009 GRC) Rebuttal REmoval of New  WH Solar AdjustMI 3" xfId="4198"/>
    <cellStyle name="_Costs not in AURORA 2006GRC 6.15.06_Rebuttal Power Costs_Electric Rev Req Model (2009 GRC) Rebuttal REmoval of New  WH Solar AdjustMI 3 2" xfId="20245"/>
    <cellStyle name="_Costs not in AURORA 2006GRC 6.15.06_Rebuttal Power Costs_Electric Rev Req Model (2009 GRC) Rebuttal REmoval of New  WH Solar AdjustMI 4" xfId="16181"/>
    <cellStyle name="_Costs not in AURORA 2006GRC 6.15.06_Rebuttal Power Costs_Electric Rev Req Model (2009 GRC) Rebuttal REmoval of New  WH Solar AdjustMI_DEM-WP(C) ENERG10C--ctn Mid-C_042010 2010GRC" xfId="12308"/>
    <cellStyle name="_Costs not in AURORA 2006GRC 6.15.06_Rebuttal Power Costs_Electric Rev Req Model (2009 GRC) Revised 01-18-2010" xfId="821"/>
    <cellStyle name="_Costs not in AURORA 2006GRC 6.15.06_Rebuttal Power Costs_Electric Rev Req Model (2009 GRC) Revised 01-18-2010 2" xfId="822"/>
    <cellStyle name="_Costs not in AURORA 2006GRC 6.15.06_Rebuttal Power Costs_Electric Rev Req Model (2009 GRC) Revised 01-18-2010 2 2" xfId="4201"/>
    <cellStyle name="_Costs not in AURORA 2006GRC 6.15.06_Rebuttal Power Costs_Electric Rev Req Model (2009 GRC) Revised 01-18-2010 2 2 2" xfId="20246"/>
    <cellStyle name="_Costs not in AURORA 2006GRC 6.15.06_Rebuttal Power Costs_Electric Rev Req Model (2009 GRC) Revised 01-18-2010 2 3" xfId="16184"/>
    <cellStyle name="_Costs not in AURORA 2006GRC 6.15.06_Rebuttal Power Costs_Electric Rev Req Model (2009 GRC) Revised 01-18-2010 3" xfId="4200"/>
    <cellStyle name="_Costs not in AURORA 2006GRC 6.15.06_Rebuttal Power Costs_Electric Rev Req Model (2009 GRC) Revised 01-18-2010 3 2" xfId="20247"/>
    <cellStyle name="_Costs not in AURORA 2006GRC 6.15.06_Rebuttal Power Costs_Electric Rev Req Model (2009 GRC) Revised 01-18-2010 4" xfId="16183"/>
    <cellStyle name="_Costs not in AURORA 2006GRC 6.15.06_Rebuttal Power Costs_Electric Rev Req Model (2009 GRC) Revised 01-18-2010_DEM-WP(C) ENERG10C--ctn Mid-C_042010 2010GRC" xfId="12309"/>
    <cellStyle name="_Costs not in AURORA 2006GRC 6.15.06_Rebuttal Power Costs_Final Order Electric EXHIBIT A-1" xfId="823"/>
    <cellStyle name="_Costs not in AURORA 2006GRC 6.15.06_Rebuttal Power Costs_Final Order Electric EXHIBIT A-1 2" xfId="4202"/>
    <cellStyle name="_Costs not in AURORA 2006GRC 6.15.06_Rebuttal Power Costs_Final Order Electric EXHIBIT A-1 2 2" xfId="6995"/>
    <cellStyle name="_Costs not in AURORA 2006GRC 6.15.06_Rebuttal Power Costs_Final Order Electric EXHIBIT A-1 2 2 2" xfId="20248"/>
    <cellStyle name="_Costs not in AURORA 2006GRC 6.15.06_Rebuttal Power Costs_Final Order Electric EXHIBIT A-1 2 3" xfId="18334"/>
    <cellStyle name="_Costs not in AURORA 2006GRC 6.15.06_Rebuttal Power Costs_Final Order Electric EXHIBIT A-1 3" xfId="6996"/>
    <cellStyle name="_Costs not in AURORA 2006GRC 6.15.06_Rebuttal Power Costs_Final Order Electric EXHIBIT A-1 3 2" xfId="20249"/>
    <cellStyle name="_Costs not in AURORA 2006GRC 6.15.06_Rebuttal Power Costs_Final Order Electric EXHIBIT A-1 4" xfId="16185"/>
    <cellStyle name="_Costs not in AURORA 2006GRC 6.15.06_ROR &amp; CONV FACTOR" xfId="6997"/>
    <cellStyle name="_Costs not in AURORA 2006GRC 6.15.06_ROR &amp; CONV FACTOR 2" xfId="6998"/>
    <cellStyle name="_Costs not in AURORA 2006GRC 6.15.06_ROR &amp; CONV FACTOR 2 2" xfId="6999"/>
    <cellStyle name="_Costs not in AURORA 2006GRC 6.15.06_ROR &amp; CONV FACTOR 2 2 2" xfId="20250"/>
    <cellStyle name="_Costs not in AURORA 2006GRC 6.15.06_ROR &amp; CONV FACTOR 2 3" xfId="18336"/>
    <cellStyle name="_Costs not in AURORA 2006GRC 6.15.06_ROR &amp; CONV FACTOR 3" xfId="7000"/>
    <cellStyle name="_Costs not in AURORA 2006GRC 6.15.06_ROR &amp; CONV FACTOR 3 2" xfId="20251"/>
    <cellStyle name="_Costs not in AURORA 2006GRC 6.15.06_ROR &amp; CONV FACTOR 4" xfId="18335"/>
    <cellStyle name="_Costs not in AURORA 2006GRC 6.15.06_ROR 5.02" xfId="7001"/>
    <cellStyle name="_Costs not in AURORA 2006GRC 6.15.06_ROR 5.02 2" xfId="7002"/>
    <cellStyle name="_Costs not in AURORA 2006GRC 6.15.06_ROR 5.02 2 2" xfId="7003"/>
    <cellStyle name="_Costs not in AURORA 2006GRC 6.15.06_ROR 5.02 2 2 2" xfId="20252"/>
    <cellStyle name="_Costs not in AURORA 2006GRC 6.15.06_ROR 5.02 2 3" xfId="18338"/>
    <cellStyle name="_Costs not in AURORA 2006GRC 6.15.06_ROR 5.02 3" xfId="7004"/>
    <cellStyle name="_Costs not in AURORA 2006GRC 6.15.06_ROR 5.02 3 2" xfId="20253"/>
    <cellStyle name="_Costs not in AURORA 2006GRC 6.15.06_ROR 5.02 4" xfId="18337"/>
    <cellStyle name="_Costs not in AURORA 2006GRC 6.15.06_Wind Integration 10GRC" xfId="824"/>
    <cellStyle name="_Costs not in AURORA 2006GRC 6.15.06_Wind Integration 10GRC 2" xfId="825"/>
    <cellStyle name="_Costs not in AURORA 2006GRC 6.15.06_Wind Integration 10GRC 2 2" xfId="4204"/>
    <cellStyle name="_Costs not in AURORA 2006GRC 6.15.06_Wind Integration 10GRC 3" xfId="4203"/>
    <cellStyle name="_Costs not in AURORA 2006GRC 6.15.06_Wind Integration 10GRC_DEM-WP(C) ENERG10C--ctn Mid-C_042010 2010GRC" xfId="12310"/>
    <cellStyle name="_Costs not in AURORA 2006GRC w gas price updated" xfId="826"/>
    <cellStyle name="_Costs not in AURORA 2006GRC w gas price updated 2" xfId="827"/>
    <cellStyle name="_Costs not in AURORA 2006GRC w gas price updated 2 2" xfId="4206"/>
    <cellStyle name="_Costs not in AURORA 2006GRC w gas price updated 2 2 2" xfId="20254"/>
    <cellStyle name="_Costs not in AURORA 2006GRC w gas price updated 2 3" xfId="16187"/>
    <cellStyle name="_Costs not in AURORA 2006GRC w gas price updated 3" xfId="4205"/>
    <cellStyle name="_Costs not in AURORA 2006GRC w gas price updated 3 2" xfId="20255"/>
    <cellStyle name="_Costs not in AURORA 2006GRC w gas price updated 4" xfId="16186"/>
    <cellStyle name="_Costs not in AURORA 2006GRC w gas price updated 4 2" xfId="23674"/>
    <cellStyle name="_Costs not in AURORA 2006GRC w gas price updated 5" xfId="23675"/>
    <cellStyle name="_Costs not in AURORA 2006GRC w gas price updated 5 2" xfId="23676"/>
    <cellStyle name="_Costs not in AURORA 2006GRC w gas price updated 6" xfId="23677"/>
    <cellStyle name="_Costs not in AURORA 2006GRC w gas price updated 6 2" xfId="23678"/>
    <cellStyle name="_Costs not in AURORA 2006GRC w gas price updated_Adj Bench DR 3 for Initial Briefs (Electric)" xfId="828"/>
    <cellStyle name="_Costs not in AURORA 2006GRC w gas price updated_Adj Bench DR 3 for Initial Briefs (Electric) 2" xfId="829"/>
    <cellStyle name="_Costs not in AURORA 2006GRC w gas price updated_Adj Bench DR 3 for Initial Briefs (Electric) 2 2" xfId="4208"/>
    <cellStyle name="_Costs not in AURORA 2006GRC w gas price updated_Adj Bench DR 3 for Initial Briefs (Electric) 2 2 2" xfId="20256"/>
    <cellStyle name="_Costs not in AURORA 2006GRC w gas price updated_Adj Bench DR 3 for Initial Briefs (Electric) 2 3" xfId="16189"/>
    <cellStyle name="_Costs not in AURORA 2006GRC w gas price updated_Adj Bench DR 3 for Initial Briefs (Electric) 3" xfId="4207"/>
    <cellStyle name="_Costs not in AURORA 2006GRC w gas price updated_Adj Bench DR 3 for Initial Briefs (Electric) 3 2" xfId="20257"/>
    <cellStyle name="_Costs not in AURORA 2006GRC w gas price updated_Adj Bench DR 3 for Initial Briefs (Electric) 4" xfId="16188"/>
    <cellStyle name="_Costs not in AURORA 2006GRC w gas price updated_Adj Bench DR 3 for Initial Briefs (Electric)_DEM-WP(C) ENERG10C--ctn Mid-C_042010 2010GRC" xfId="12311"/>
    <cellStyle name="_Costs not in AURORA 2006GRC w gas price updated_Book1" xfId="14250"/>
    <cellStyle name="_Costs not in AURORA 2006GRC w gas price updated_Book2" xfId="830"/>
    <cellStyle name="_Costs not in AURORA 2006GRC w gas price updated_Book2 2" xfId="831"/>
    <cellStyle name="_Costs not in AURORA 2006GRC w gas price updated_Book2 2 2" xfId="4210"/>
    <cellStyle name="_Costs not in AURORA 2006GRC w gas price updated_Book2 2 2 2" xfId="20258"/>
    <cellStyle name="_Costs not in AURORA 2006GRC w gas price updated_Book2 2 3" xfId="16191"/>
    <cellStyle name="_Costs not in AURORA 2006GRC w gas price updated_Book2 3" xfId="4209"/>
    <cellStyle name="_Costs not in AURORA 2006GRC w gas price updated_Book2 3 2" xfId="20259"/>
    <cellStyle name="_Costs not in AURORA 2006GRC w gas price updated_Book2 4" xfId="16190"/>
    <cellStyle name="_Costs not in AURORA 2006GRC w gas price updated_Book2_Adj Bench DR 3 for Initial Briefs (Electric)" xfId="832"/>
    <cellStyle name="_Costs not in AURORA 2006GRC w gas price updated_Book2_Adj Bench DR 3 for Initial Briefs (Electric) 2" xfId="833"/>
    <cellStyle name="_Costs not in AURORA 2006GRC w gas price updated_Book2_Adj Bench DR 3 for Initial Briefs (Electric) 2 2" xfId="4212"/>
    <cellStyle name="_Costs not in AURORA 2006GRC w gas price updated_Book2_Adj Bench DR 3 for Initial Briefs (Electric) 2 2 2" xfId="20260"/>
    <cellStyle name="_Costs not in AURORA 2006GRC w gas price updated_Book2_Adj Bench DR 3 for Initial Briefs (Electric) 2 3" xfId="16193"/>
    <cellStyle name="_Costs not in AURORA 2006GRC w gas price updated_Book2_Adj Bench DR 3 for Initial Briefs (Electric) 3" xfId="4211"/>
    <cellStyle name="_Costs not in AURORA 2006GRC w gas price updated_Book2_Adj Bench DR 3 for Initial Briefs (Electric) 3 2" xfId="20261"/>
    <cellStyle name="_Costs not in AURORA 2006GRC w gas price updated_Book2_Adj Bench DR 3 for Initial Briefs (Electric) 4" xfId="16192"/>
    <cellStyle name="_Costs not in AURORA 2006GRC w gas price updated_Book2_Adj Bench DR 3 for Initial Briefs (Electric)_DEM-WP(C) ENERG10C--ctn Mid-C_042010 2010GRC" xfId="12312"/>
    <cellStyle name="_Costs not in AURORA 2006GRC w gas price updated_Book2_DEM-WP(C) ENERG10C--ctn Mid-C_042010 2010GRC" xfId="12313"/>
    <cellStyle name="_Costs not in AURORA 2006GRC w gas price updated_Book2_Electric Rev Req Model (2009 GRC) Rebuttal" xfId="834"/>
    <cellStyle name="_Costs not in AURORA 2006GRC w gas price updated_Book2_Electric Rev Req Model (2009 GRC) Rebuttal 2" xfId="4213"/>
    <cellStyle name="_Costs not in AURORA 2006GRC w gas price updated_Book2_Electric Rev Req Model (2009 GRC) Rebuttal 2 2" xfId="7005"/>
    <cellStyle name="_Costs not in AURORA 2006GRC w gas price updated_Book2_Electric Rev Req Model (2009 GRC) Rebuttal 2 2 2" xfId="20262"/>
    <cellStyle name="_Costs not in AURORA 2006GRC w gas price updated_Book2_Electric Rev Req Model (2009 GRC) Rebuttal 2 3" xfId="18339"/>
    <cellStyle name="_Costs not in AURORA 2006GRC w gas price updated_Book2_Electric Rev Req Model (2009 GRC) Rebuttal 3" xfId="7006"/>
    <cellStyle name="_Costs not in AURORA 2006GRC w gas price updated_Book2_Electric Rev Req Model (2009 GRC) Rebuttal 3 2" xfId="20263"/>
    <cellStyle name="_Costs not in AURORA 2006GRC w gas price updated_Book2_Electric Rev Req Model (2009 GRC) Rebuttal 4" xfId="16194"/>
    <cellStyle name="_Costs not in AURORA 2006GRC w gas price updated_Book2_Electric Rev Req Model (2009 GRC) Rebuttal REmoval of New  WH Solar AdjustMI" xfId="835"/>
    <cellStyle name="_Costs not in AURORA 2006GRC w gas price updated_Book2_Electric Rev Req Model (2009 GRC) Rebuttal REmoval of New  WH Solar AdjustMI 2" xfId="836"/>
    <cellStyle name="_Costs not in AURORA 2006GRC w gas price updated_Book2_Electric Rev Req Model (2009 GRC) Rebuttal REmoval of New  WH Solar AdjustMI 2 2" xfId="4215"/>
    <cellStyle name="_Costs not in AURORA 2006GRC w gas price updated_Book2_Electric Rev Req Model (2009 GRC) Rebuttal REmoval of New  WH Solar AdjustMI 2 2 2" xfId="20264"/>
    <cellStyle name="_Costs not in AURORA 2006GRC w gas price updated_Book2_Electric Rev Req Model (2009 GRC) Rebuttal REmoval of New  WH Solar AdjustMI 2 3" xfId="16196"/>
    <cellStyle name="_Costs not in AURORA 2006GRC w gas price updated_Book2_Electric Rev Req Model (2009 GRC) Rebuttal REmoval of New  WH Solar AdjustMI 3" xfId="4214"/>
    <cellStyle name="_Costs not in AURORA 2006GRC w gas price updated_Book2_Electric Rev Req Model (2009 GRC) Rebuttal REmoval of New  WH Solar AdjustMI 3 2" xfId="20265"/>
    <cellStyle name="_Costs not in AURORA 2006GRC w gas price updated_Book2_Electric Rev Req Model (2009 GRC) Rebuttal REmoval of New  WH Solar AdjustMI 4" xfId="16195"/>
    <cellStyle name="_Costs not in AURORA 2006GRC w gas price updated_Book2_Electric Rev Req Model (2009 GRC) Rebuttal REmoval of New  WH Solar AdjustMI_DEM-WP(C) ENERG10C--ctn Mid-C_042010 2010GRC" xfId="12314"/>
    <cellStyle name="_Costs not in AURORA 2006GRC w gas price updated_Book2_Electric Rev Req Model (2009 GRC) Revised 01-18-2010" xfId="837"/>
    <cellStyle name="_Costs not in AURORA 2006GRC w gas price updated_Book2_Electric Rev Req Model (2009 GRC) Revised 01-18-2010 2" xfId="838"/>
    <cellStyle name="_Costs not in AURORA 2006GRC w gas price updated_Book2_Electric Rev Req Model (2009 GRC) Revised 01-18-2010 2 2" xfId="4217"/>
    <cellStyle name="_Costs not in AURORA 2006GRC w gas price updated_Book2_Electric Rev Req Model (2009 GRC) Revised 01-18-2010 2 2 2" xfId="20266"/>
    <cellStyle name="_Costs not in AURORA 2006GRC w gas price updated_Book2_Electric Rev Req Model (2009 GRC) Revised 01-18-2010 2 3" xfId="16198"/>
    <cellStyle name="_Costs not in AURORA 2006GRC w gas price updated_Book2_Electric Rev Req Model (2009 GRC) Revised 01-18-2010 3" xfId="4216"/>
    <cellStyle name="_Costs not in AURORA 2006GRC w gas price updated_Book2_Electric Rev Req Model (2009 GRC) Revised 01-18-2010 3 2" xfId="20267"/>
    <cellStyle name="_Costs not in AURORA 2006GRC w gas price updated_Book2_Electric Rev Req Model (2009 GRC) Revised 01-18-2010 4" xfId="16197"/>
    <cellStyle name="_Costs not in AURORA 2006GRC w gas price updated_Book2_Electric Rev Req Model (2009 GRC) Revised 01-18-2010_DEM-WP(C) ENERG10C--ctn Mid-C_042010 2010GRC" xfId="12315"/>
    <cellStyle name="_Costs not in AURORA 2006GRC w gas price updated_Book2_Final Order Electric EXHIBIT A-1" xfId="839"/>
    <cellStyle name="_Costs not in AURORA 2006GRC w gas price updated_Book2_Final Order Electric EXHIBIT A-1 2" xfId="4218"/>
    <cellStyle name="_Costs not in AURORA 2006GRC w gas price updated_Book2_Final Order Electric EXHIBIT A-1 2 2" xfId="7007"/>
    <cellStyle name="_Costs not in AURORA 2006GRC w gas price updated_Book2_Final Order Electric EXHIBIT A-1 2 2 2" xfId="20268"/>
    <cellStyle name="_Costs not in AURORA 2006GRC w gas price updated_Book2_Final Order Electric EXHIBIT A-1 2 3" xfId="18340"/>
    <cellStyle name="_Costs not in AURORA 2006GRC w gas price updated_Book2_Final Order Electric EXHIBIT A-1 3" xfId="7008"/>
    <cellStyle name="_Costs not in AURORA 2006GRC w gas price updated_Book2_Final Order Electric EXHIBIT A-1 3 2" xfId="20269"/>
    <cellStyle name="_Costs not in AURORA 2006GRC w gas price updated_Book2_Final Order Electric EXHIBIT A-1 4" xfId="16199"/>
    <cellStyle name="_Costs not in AURORA 2006GRC w gas price updated_Chelan PUD Power Costs (8-10)" xfId="12316"/>
    <cellStyle name="_Costs not in AURORA 2006GRC w gas price updated_Chelan PUD Power Costs (8-10) 2" xfId="23679"/>
    <cellStyle name="_Costs not in AURORA 2006GRC w gas price updated_Colstrip 1&amp;2 Annual O&amp;M Budgets" xfId="23680"/>
    <cellStyle name="_Costs not in AURORA 2006GRC w gas price updated_Confidential Material" xfId="12317"/>
    <cellStyle name="_Costs not in AURORA 2006GRC w gas price updated_Confidential Material 2" xfId="23681"/>
    <cellStyle name="_Costs not in AURORA 2006GRC w gas price updated_DEM-WP(C) Colstrip 12 Coal Cost Forecast 2010GRC" xfId="12318"/>
    <cellStyle name="_Costs not in AURORA 2006GRC w gas price updated_DEM-WP(C) Colstrip 12 Coal Cost Forecast 2010GRC 2" xfId="23682"/>
    <cellStyle name="_Costs not in AURORA 2006GRC w gas price updated_DEM-WP(C) ENERG10C--ctn Mid-C_042010 2010GRC" xfId="12319"/>
    <cellStyle name="_Costs not in AURORA 2006GRC w gas price updated_DEM-WP(C) Production O&amp;M 2010GRC As-Filed" xfId="12320"/>
    <cellStyle name="_Costs not in AURORA 2006GRC w gas price updated_DEM-WP(C) Production O&amp;M 2010GRC As-Filed 2" xfId="12321"/>
    <cellStyle name="_Costs not in AURORA 2006GRC w gas price updated_DEM-WP(C) Production O&amp;M 2010GRC As-Filed 2 2" xfId="23683"/>
    <cellStyle name="_Costs not in AURORA 2006GRC w gas price updated_DEM-WP(C) Production O&amp;M 2010GRC As-Filed 3" xfId="12322"/>
    <cellStyle name="_Costs not in AURORA 2006GRC w gas price updated_DEM-WP(C) Production O&amp;M 2010GRC As-Filed 3 2" xfId="23684"/>
    <cellStyle name="_Costs not in AURORA 2006GRC w gas price updated_DEM-WP(C) Production O&amp;M 2010GRC As-Filed 4" xfId="23685"/>
    <cellStyle name="_Costs not in AURORA 2006GRC w gas price updated_DEM-WP(C) Production O&amp;M 2010GRC As-Filed 4 2" xfId="23686"/>
    <cellStyle name="_Costs not in AURORA 2006GRC w gas price updated_DEM-WP(C) Production O&amp;M 2010GRC As-Filed 5" xfId="23687"/>
    <cellStyle name="_Costs not in AURORA 2006GRC w gas price updated_DEM-WP(C) Production O&amp;M 2010GRC As-Filed 5 2" xfId="23688"/>
    <cellStyle name="_Costs not in AURORA 2006GRC w gas price updated_DEM-WP(C) Production O&amp;M 2010GRC As-Filed 6" xfId="23689"/>
    <cellStyle name="_Costs not in AURORA 2006GRC w gas price updated_DEM-WP(C) Production O&amp;M 2010GRC As-Filed 6 2" xfId="23690"/>
    <cellStyle name="_Costs not in AURORA 2006GRC w gas price updated_Electric Rev Req Model (2009 GRC) " xfId="840"/>
    <cellStyle name="_Costs not in AURORA 2006GRC w gas price updated_Electric Rev Req Model (2009 GRC)  2" xfId="841"/>
    <cellStyle name="_Costs not in AURORA 2006GRC w gas price updated_Electric Rev Req Model (2009 GRC)  2 2" xfId="4220"/>
    <cellStyle name="_Costs not in AURORA 2006GRC w gas price updated_Electric Rev Req Model (2009 GRC)  2 2 2" xfId="20270"/>
    <cellStyle name="_Costs not in AURORA 2006GRC w gas price updated_Electric Rev Req Model (2009 GRC)  2 3" xfId="16201"/>
    <cellStyle name="_Costs not in AURORA 2006GRC w gas price updated_Electric Rev Req Model (2009 GRC)  3" xfId="4219"/>
    <cellStyle name="_Costs not in AURORA 2006GRC w gas price updated_Electric Rev Req Model (2009 GRC)  3 2" xfId="20271"/>
    <cellStyle name="_Costs not in AURORA 2006GRC w gas price updated_Electric Rev Req Model (2009 GRC)  4" xfId="16200"/>
    <cellStyle name="_Costs not in AURORA 2006GRC w gas price updated_Electric Rev Req Model (2009 GRC) _DEM-WP(C) ENERG10C--ctn Mid-C_042010 2010GRC" xfId="12323"/>
    <cellStyle name="_Costs not in AURORA 2006GRC w gas price updated_Electric Rev Req Model (2009 GRC) Rebuttal" xfId="842"/>
    <cellStyle name="_Costs not in AURORA 2006GRC w gas price updated_Electric Rev Req Model (2009 GRC) Rebuttal 2" xfId="4221"/>
    <cellStyle name="_Costs not in AURORA 2006GRC w gas price updated_Electric Rev Req Model (2009 GRC) Rebuttal 2 2" xfId="7009"/>
    <cellStyle name="_Costs not in AURORA 2006GRC w gas price updated_Electric Rev Req Model (2009 GRC) Rebuttal 2 2 2" xfId="20272"/>
    <cellStyle name="_Costs not in AURORA 2006GRC w gas price updated_Electric Rev Req Model (2009 GRC) Rebuttal 2 3" xfId="18341"/>
    <cellStyle name="_Costs not in AURORA 2006GRC w gas price updated_Electric Rev Req Model (2009 GRC) Rebuttal 3" xfId="7010"/>
    <cellStyle name="_Costs not in AURORA 2006GRC w gas price updated_Electric Rev Req Model (2009 GRC) Rebuttal 3 2" xfId="20273"/>
    <cellStyle name="_Costs not in AURORA 2006GRC w gas price updated_Electric Rev Req Model (2009 GRC) Rebuttal 4" xfId="16202"/>
    <cellStyle name="_Costs not in AURORA 2006GRC w gas price updated_Electric Rev Req Model (2009 GRC) Rebuttal REmoval of New  WH Solar AdjustMI" xfId="843"/>
    <cellStyle name="_Costs not in AURORA 2006GRC w gas price updated_Electric Rev Req Model (2009 GRC) Rebuttal REmoval of New  WH Solar AdjustMI 2" xfId="844"/>
    <cellStyle name="_Costs not in AURORA 2006GRC w gas price updated_Electric Rev Req Model (2009 GRC) Rebuttal REmoval of New  WH Solar AdjustMI 2 2" xfId="4223"/>
    <cellStyle name="_Costs not in AURORA 2006GRC w gas price updated_Electric Rev Req Model (2009 GRC) Rebuttal REmoval of New  WH Solar AdjustMI 2 2 2" xfId="20274"/>
    <cellStyle name="_Costs not in AURORA 2006GRC w gas price updated_Electric Rev Req Model (2009 GRC) Rebuttal REmoval of New  WH Solar AdjustMI 2 3" xfId="16204"/>
    <cellStyle name="_Costs not in AURORA 2006GRC w gas price updated_Electric Rev Req Model (2009 GRC) Rebuttal REmoval of New  WH Solar AdjustMI 3" xfId="4222"/>
    <cellStyle name="_Costs not in AURORA 2006GRC w gas price updated_Electric Rev Req Model (2009 GRC) Rebuttal REmoval of New  WH Solar AdjustMI 3 2" xfId="20275"/>
    <cellStyle name="_Costs not in AURORA 2006GRC w gas price updated_Electric Rev Req Model (2009 GRC) Rebuttal REmoval of New  WH Solar AdjustMI 4" xfId="16203"/>
    <cellStyle name="_Costs not in AURORA 2006GRC w gas price updated_Electric Rev Req Model (2009 GRC) Rebuttal REmoval of New  WH Solar AdjustMI_DEM-WP(C) ENERG10C--ctn Mid-C_042010 2010GRC" xfId="12324"/>
    <cellStyle name="_Costs not in AURORA 2006GRC w gas price updated_Electric Rev Req Model (2009 GRC) Revised 01-18-2010" xfId="845"/>
    <cellStyle name="_Costs not in AURORA 2006GRC w gas price updated_Electric Rev Req Model (2009 GRC) Revised 01-18-2010 2" xfId="846"/>
    <cellStyle name="_Costs not in AURORA 2006GRC w gas price updated_Electric Rev Req Model (2009 GRC) Revised 01-18-2010 2 2" xfId="4225"/>
    <cellStyle name="_Costs not in AURORA 2006GRC w gas price updated_Electric Rev Req Model (2009 GRC) Revised 01-18-2010 2 2 2" xfId="20276"/>
    <cellStyle name="_Costs not in AURORA 2006GRC w gas price updated_Electric Rev Req Model (2009 GRC) Revised 01-18-2010 2 3" xfId="16206"/>
    <cellStyle name="_Costs not in AURORA 2006GRC w gas price updated_Electric Rev Req Model (2009 GRC) Revised 01-18-2010 3" xfId="4224"/>
    <cellStyle name="_Costs not in AURORA 2006GRC w gas price updated_Electric Rev Req Model (2009 GRC) Revised 01-18-2010 3 2" xfId="20277"/>
    <cellStyle name="_Costs not in AURORA 2006GRC w gas price updated_Electric Rev Req Model (2009 GRC) Revised 01-18-2010 4" xfId="16205"/>
    <cellStyle name="_Costs not in AURORA 2006GRC w gas price updated_Electric Rev Req Model (2009 GRC) Revised 01-18-2010_DEM-WP(C) ENERG10C--ctn Mid-C_042010 2010GRC" xfId="12325"/>
    <cellStyle name="_Costs not in AURORA 2006GRC w gas price updated_Electric Rev Req Model (2010 GRC)" xfId="14251"/>
    <cellStyle name="_Costs not in AURORA 2006GRC w gas price updated_Electric Rev Req Model (2010 GRC) SF" xfId="14252"/>
    <cellStyle name="_Costs not in AURORA 2006GRC w gas price updated_Final Order Electric EXHIBIT A-1" xfId="847"/>
    <cellStyle name="_Costs not in AURORA 2006GRC w gas price updated_Final Order Electric EXHIBIT A-1 2" xfId="4226"/>
    <cellStyle name="_Costs not in AURORA 2006GRC w gas price updated_Final Order Electric EXHIBIT A-1 2 2" xfId="7011"/>
    <cellStyle name="_Costs not in AURORA 2006GRC w gas price updated_Final Order Electric EXHIBIT A-1 2 2 2" xfId="20278"/>
    <cellStyle name="_Costs not in AURORA 2006GRC w gas price updated_Final Order Electric EXHIBIT A-1 2 3" xfId="18342"/>
    <cellStyle name="_Costs not in AURORA 2006GRC w gas price updated_Final Order Electric EXHIBIT A-1 3" xfId="7012"/>
    <cellStyle name="_Costs not in AURORA 2006GRC w gas price updated_Final Order Electric EXHIBIT A-1 3 2" xfId="20279"/>
    <cellStyle name="_Costs not in AURORA 2006GRC w gas price updated_Final Order Electric EXHIBIT A-1 4" xfId="16207"/>
    <cellStyle name="_Costs not in AURORA 2006GRC w gas price updated_NIM Summary" xfId="848"/>
    <cellStyle name="_Costs not in AURORA 2006GRC w gas price updated_NIM Summary 2" xfId="849"/>
    <cellStyle name="_Costs not in AURORA 2006GRC w gas price updated_NIM Summary 2 2" xfId="4228"/>
    <cellStyle name="_Costs not in AURORA 2006GRC w gas price updated_NIM Summary 3" xfId="4227"/>
    <cellStyle name="_Costs not in AURORA 2006GRC w gas price updated_NIM Summary_DEM-WP(C) ENERG10C--ctn Mid-C_042010 2010GRC" xfId="12326"/>
    <cellStyle name="_Costs not in AURORA 2006GRC w gas price updated_Rebuttal Power Costs" xfId="850"/>
    <cellStyle name="_Costs not in AURORA 2006GRC w gas price updated_Rebuttal Power Costs 2" xfId="851"/>
    <cellStyle name="_Costs not in AURORA 2006GRC w gas price updated_Rebuttal Power Costs 2 2" xfId="4230"/>
    <cellStyle name="_Costs not in AURORA 2006GRC w gas price updated_Rebuttal Power Costs 2 2 2" xfId="20280"/>
    <cellStyle name="_Costs not in AURORA 2006GRC w gas price updated_Rebuttal Power Costs 2 3" xfId="16209"/>
    <cellStyle name="_Costs not in AURORA 2006GRC w gas price updated_Rebuttal Power Costs 3" xfId="4229"/>
    <cellStyle name="_Costs not in AURORA 2006GRC w gas price updated_Rebuttal Power Costs 3 2" xfId="20281"/>
    <cellStyle name="_Costs not in AURORA 2006GRC w gas price updated_Rebuttal Power Costs 4" xfId="16208"/>
    <cellStyle name="_Costs not in AURORA 2006GRC w gas price updated_Rebuttal Power Costs_Adj Bench DR 3 for Initial Briefs (Electric)" xfId="852"/>
    <cellStyle name="_Costs not in AURORA 2006GRC w gas price updated_Rebuttal Power Costs_Adj Bench DR 3 for Initial Briefs (Electric) 2" xfId="853"/>
    <cellStyle name="_Costs not in AURORA 2006GRC w gas price updated_Rebuttal Power Costs_Adj Bench DR 3 for Initial Briefs (Electric) 2 2" xfId="4232"/>
    <cellStyle name="_Costs not in AURORA 2006GRC w gas price updated_Rebuttal Power Costs_Adj Bench DR 3 for Initial Briefs (Electric) 2 2 2" xfId="20282"/>
    <cellStyle name="_Costs not in AURORA 2006GRC w gas price updated_Rebuttal Power Costs_Adj Bench DR 3 for Initial Briefs (Electric) 2 3" xfId="16211"/>
    <cellStyle name="_Costs not in AURORA 2006GRC w gas price updated_Rebuttal Power Costs_Adj Bench DR 3 for Initial Briefs (Electric) 3" xfId="4231"/>
    <cellStyle name="_Costs not in AURORA 2006GRC w gas price updated_Rebuttal Power Costs_Adj Bench DR 3 for Initial Briefs (Electric) 3 2" xfId="20283"/>
    <cellStyle name="_Costs not in AURORA 2006GRC w gas price updated_Rebuttal Power Costs_Adj Bench DR 3 for Initial Briefs (Electric) 4" xfId="16210"/>
    <cellStyle name="_Costs not in AURORA 2006GRC w gas price updated_Rebuttal Power Costs_Adj Bench DR 3 for Initial Briefs (Electric)_DEM-WP(C) ENERG10C--ctn Mid-C_042010 2010GRC" xfId="12327"/>
    <cellStyle name="_Costs not in AURORA 2006GRC w gas price updated_Rebuttal Power Costs_DEM-WP(C) ENERG10C--ctn Mid-C_042010 2010GRC" xfId="12328"/>
    <cellStyle name="_Costs not in AURORA 2006GRC w gas price updated_Rebuttal Power Costs_Electric Rev Req Model (2009 GRC) Rebuttal" xfId="854"/>
    <cellStyle name="_Costs not in AURORA 2006GRC w gas price updated_Rebuttal Power Costs_Electric Rev Req Model (2009 GRC) Rebuttal 2" xfId="4233"/>
    <cellStyle name="_Costs not in AURORA 2006GRC w gas price updated_Rebuttal Power Costs_Electric Rev Req Model (2009 GRC) Rebuttal 2 2" xfId="7013"/>
    <cellStyle name="_Costs not in AURORA 2006GRC w gas price updated_Rebuttal Power Costs_Electric Rev Req Model (2009 GRC) Rebuttal 2 2 2" xfId="20284"/>
    <cellStyle name="_Costs not in AURORA 2006GRC w gas price updated_Rebuttal Power Costs_Electric Rev Req Model (2009 GRC) Rebuttal 2 3" xfId="18343"/>
    <cellStyle name="_Costs not in AURORA 2006GRC w gas price updated_Rebuttal Power Costs_Electric Rev Req Model (2009 GRC) Rebuttal 3" xfId="7014"/>
    <cellStyle name="_Costs not in AURORA 2006GRC w gas price updated_Rebuttal Power Costs_Electric Rev Req Model (2009 GRC) Rebuttal 3 2" xfId="20285"/>
    <cellStyle name="_Costs not in AURORA 2006GRC w gas price updated_Rebuttal Power Costs_Electric Rev Req Model (2009 GRC) Rebuttal 4" xfId="16212"/>
    <cellStyle name="_Costs not in AURORA 2006GRC w gas price updated_Rebuttal Power Costs_Electric Rev Req Model (2009 GRC) Rebuttal REmoval of New  WH Solar AdjustMI" xfId="855"/>
    <cellStyle name="_Costs not in AURORA 2006GRC w gas price updated_Rebuttal Power Costs_Electric Rev Req Model (2009 GRC) Rebuttal REmoval of New  WH Solar AdjustMI 2" xfId="856"/>
    <cellStyle name="_Costs not in AURORA 2006GRC w gas price updated_Rebuttal Power Costs_Electric Rev Req Model (2009 GRC) Rebuttal REmoval of New  WH Solar AdjustMI 2 2" xfId="4235"/>
    <cellStyle name="_Costs not in AURORA 2006GRC w gas price updated_Rebuttal Power Costs_Electric Rev Req Model (2009 GRC) Rebuttal REmoval of New  WH Solar AdjustMI 2 2 2" xfId="20286"/>
    <cellStyle name="_Costs not in AURORA 2006GRC w gas price updated_Rebuttal Power Costs_Electric Rev Req Model (2009 GRC) Rebuttal REmoval of New  WH Solar AdjustMI 2 3" xfId="16214"/>
    <cellStyle name="_Costs not in AURORA 2006GRC w gas price updated_Rebuttal Power Costs_Electric Rev Req Model (2009 GRC) Rebuttal REmoval of New  WH Solar AdjustMI 3" xfId="4234"/>
    <cellStyle name="_Costs not in AURORA 2006GRC w gas price updated_Rebuttal Power Costs_Electric Rev Req Model (2009 GRC) Rebuttal REmoval of New  WH Solar AdjustMI 3 2" xfId="20287"/>
    <cellStyle name="_Costs not in AURORA 2006GRC w gas price updated_Rebuttal Power Costs_Electric Rev Req Model (2009 GRC) Rebuttal REmoval of New  WH Solar AdjustMI 4" xfId="16213"/>
    <cellStyle name="_Costs not in AURORA 2006GRC w gas price updated_Rebuttal Power Costs_Electric Rev Req Model (2009 GRC) Rebuttal REmoval of New  WH Solar AdjustMI_DEM-WP(C) ENERG10C--ctn Mid-C_042010 2010GRC" xfId="12329"/>
    <cellStyle name="_Costs not in AURORA 2006GRC w gas price updated_Rebuttal Power Costs_Electric Rev Req Model (2009 GRC) Revised 01-18-2010" xfId="857"/>
    <cellStyle name="_Costs not in AURORA 2006GRC w gas price updated_Rebuttal Power Costs_Electric Rev Req Model (2009 GRC) Revised 01-18-2010 2" xfId="858"/>
    <cellStyle name="_Costs not in AURORA 2006GRC w gas price updated_Rebuttal Power Costs_Electric Rev Req Model (2009 GRC) Revised 01-18-2010 2 2" xfId="4237"/>
    <cellStyle name="_Costs not in AURORA 2006GRC w gas price updated_Rebuttal Power Costs_Electric Rev Req Model (2009 GRC) Revised 01-18-2010 2 2 2" xfId="20288"/>
    <cellStyle name="_Costs not in AURORA 2006GRC w gas price updated_Rebuttal Power Costs_Electric Rev Req Model (2009 GRC) Revised 01-18-2010 2 3" xfId="16216"/>
    <cellStyle name="_Costs not in AURORA 2006GRC w gas price updated_Rebuttal Power Costs_Electric Rev Req Model (2009 GRC) Revised 01-18-2010 3" xfId="4236"/>
    <cellStyle name="_Costs not in AURORA 2006GRC w gas price updated_Rebuttal Power Costs_Electric Rev Req Model (2009 GRC) Revised 01-18-2010 3 2" xfId="20289"/>
    <cellStyle name="_Costs not in AURORA 2006GRC w gas price updated_Rebuttal Power Costs_Electric Rev Req Model (2009 GRC) Revised 01-18-2010 4" xfId="16215"/>
    <cellStyle name="_Costs not in AURORA 2006GRC w gas price updated_Rebuttal Power Costs_Electric Rev Req Model (2009 GRC) Revised 01-18-2010_DEM-WP(C) ENERG10C--ctn Mid-C_042010 2010GRC" xfId="12330"/>
    <cellStyle name="_Costs not in AURORA 2006GRC w gas price updated_Rebuttal Power Costs_Final Order Electric EXHIBIT A-1" xfId="859"/>
    <cellStyle name="_Costs not in AURORA 2006GRC w gas price updated_Rebuttal Power Costs_Final Order Electric EXHIBIT A-1 2" xfId="4238"/>
    <cellStyle name="_Costs not in AURORA 2006GRC w gas price updated_Rebuttal Power Costs_Final Order Electric EXHIBIT A-1 2 2" xfId="7015"/>
    <cellStyle name="_Costs not in AURORA 2006GRC w gas price updated_Rebuttal Power Costs_Final Order Electric EXHIBIT A-1 2 2 2" xfId="20290"/>
    <cellStyle name="_Costs not in AURORA 2006GRC w gas price updated_Rebuttal Power Costs_Final Order Electric EXHIBIT A-1 2 3" xfId="18344"/>
    <cellStyle name="_Costs not in AURORA 2006GRC w gas price updated_Rebuttal Power Costs_Final Order Electric EXHIBIT A-1 3" xfId="7016"/>
    <cellStyle name="_Costs not in AURORA 2006GRC w gas price updated_Rebuttal Power Costs_Final Order Electric EXHIBIT A-1 3 2" xfId="20291"/>
    <cellStyle name="_Costs not in AURORA 2006GRC w gas price updated_Rebuttal Power Costs_Final Order Electric EXHIBIT A-1 4" xfId="16217"/>
    <cellStyle name="_Costs not in AURORA 2006GRC w gas price updated_TENASKA REGULATORY ASSET" xfId="860"/>
    <cellStyle name="_Costs not in AURORA 2006GRC w gas price updated_TENASKA REGULATORY ASSET 2" xfId="4239"/>
    <cellStyle name="_Costs not in AURORA 2006GRC w gas price updated_TENASKA REGULATORY ASSET 2 2" xfId="7017"/>
    <cellStyle name="_Costs not in AURORA 2006GRC w gas price updated_TENASKA REGULATORY ASSET 2 2 2" xfId="20292"/>
    <cellStyle name="_Costs not in AURORA 2006GRC w gas price updated_TENASKA REGULATORY ASSET 2 3" xfId="18345"/>
    <cellStyle name="_Costs not in AURORA 2006GRC w gas price updated_TENASKA REGULATORY ASSET 3" xfId="7018"/>
    <cellStyle name="_Costs not in AURORA 2006GRC w gas price updated_TENASKA REGULATORY ASSET 3 2" xfId="20293"/>
    <cellStyle name="_Costs not in AURORA 2006GRC w gas price updated_TENASKA REGULATORY ASSET 4" xfId="16218"/>
    <cellStyle name="_Costs not in AURORA 2007 Rate Case" xfId="861"/>
    <cellStyle name="_Costs not in AURORA 2007 Rate Case 2" xfId="862"/>
    <cellStyle name="_Costs not in AURORA 2007 Rate Case 2 2" xfId="863"/>
    <cellStyle name="_Costs not in AURORA 2007 Rate Case 2 2 2" xfId="4241"/>
    <cellStyle name="_Costs not in AURORA 2007 Rate Case 2 2 2 2" xfId="20294"/>
    <cellStyle name="_Costs not in AURORA 2007 Rate Case 2 2 3" xfId="16220"/>
    <cellStyle name="_Costs not in AURORA 2007 Rate Case 2 3" xfId="4240"/>
    <cellStyle name="_Costs not in AURORA 2007 Rate Case 2 3 2" xfId="20295"/>
    <cellStyle name="_Costs not in AURORA 2007 Rate Case 2 4" xfId="16219"/>
    <cellStyle name="_Costs not in AURORA 2007 Rate Case 3" xfId="864"/>
    <cellStyle name="_Costs not in AURORA 2007 Rate Case 3 2" xfId="4242"/>
    <cellStyle name="_Costs not in AURORA 2007 Rate Case 3 2 2" xfId="20296"/>
    <cellStyle name="_Costs not in AURORA 2007 Rate Case 3 3" xfId="16221"/>
    <cellStyle name="_Costs not in AURORA 2007 Rate Case 4" xfId="865"/>
    <cellStyle name="_Costs not in AURORA 2007 Rate Case 4 2" xfId="866"/>
    <cellStyle name="_Costs not in AURORA 2007 Rate Case 4 2 2" xfId="4244"/>
    <cellStyle name="_Costs not in AURORA 2007 Rate Case 4 3" xfId="4243"/>
    <cellStyle name="_Costs not in AURORA 2007 Rate Case 5" xfId="12331"/>
    <cellStyle name="_Costs not in AURORA 2007 Rate Case 5 2" xfId="23691"/>
    <cellStyle name="_Costs not in AURORA 2007 Rate Case 5 2 2" xfId="23692"/>
    <cellStyle name="_Costs not in AURORA 2007 Rate Case 5 3" xfId="23693"/>
    <cellStyle name="_Costs not in AURORA 2007 Rate Case 6" xfId="12332"/>
    <cellStyle name="_Costs not in AURORA 2007 Rate Case 6 2" xfId="12333"/>
    <cellStyle name="_Costs not in AURORA 2007 Rate Case 7" xfId="12334"/>
    <cellStyle name="_Costs not in AURORA 2007 Rate Case 7 2" xfId="12335"/>
    <cellStyle name="_Costs not in AURORA 2007 Rate Case 8" xfId="23694"/>
    <cellStyle name="_Costs not in AURORA 2007 Rate Case 8 2" xfId="23695"/>
    <cellStyle name="_Costs not in AURORA 2007 Rate Case 9" xfId="23696"/>
    <cellStyle name="_Costs not in AURORA 2007 Rate Case 9 2" xfId="23697"/>
    <cellStyle name="_Costs not in AURORA 2007 Rate Case_(C) WHE Proforma with ITC cash grant 10 Yr Amort_for deferral_102809" xfId="867"/>
    <cellStyle name="_Costs not in AURORA 2007 Rate Case_(C) WHE Proforma with ITC cash grant 10 Yr Amort_for deferral_102809 2" xfId="868"/>
    <cellStyle name="_Costs not in AURORA 2007 Rate Case_(C) WHE Proforma with ITC cash grant 10 Yr Amort_for deferral_102809 2 2" xfId="4246"/>
    <cellStyle name="_Costs not in AURORA 2007 Rate Case_(C) WHE Proforma with ITC cash grant 10 Yr Amort_for deferral_102809 2 2 2" xfId="20297"/>
    <cellStyle name="_Costs not in AURORA 2007 Rate Case_(C) WHE Proforma with ITC cash grant 10 Yr Amort_for deferral_102809 2 3" xfId="16223"/>
    <cellStyle name="_Costs not in AURORA 2007 Rate Case_(C) WHE Proforma with ITC cash grant 10 Yr Amort_for deferral_102809 3" xfId="4245"/>
    <cellStyle name="_Costs not in AURORA 2007 Rate Case_(C) WHE Proforma with ITC cash grant 10 Yr Amort_for deferral_102809 3 2" xfId="20298"/>
    <cellStyle name="_Costs not in AURORA 2007 Rate Case_(C) WHE Proforma with ITC cash grant 10 Yr Amort_for deferral_102809 4" xfId="16222"/>
    <cellStyle name="_Costs not in AURORA 2007 Rate Case_(C) WHE Proforma with ITC cash grant 10 Yr Amort_for deferral_102809_16.07E Wild Horse Wind Expansionwrkingfile" xfId="869"/>
    <cellStyle name="_Costs not in AURORA 2007 Rate Case_(C) WHE Proforma with ITC cash grant 10 Yr Amort_for deferral_102809_16.07E Wild Horse Wind Expansionwrkingfile 2" xfId="870"/>
    <cellStyle name="_Costs not in AURORA 2007 Rate Case_(C) WHE Proforma with ITC cash grant 10 Yr Amort_for deferral_102809_16.07E Wild Horse Wind Expansionwrkingfile 2 2" xfId="4248"/>
    <cellStyle name="_Costs not in AURORA 2007 Rate Case_(C) WHE Proforma with ITC cash grant 10 Yr Amort_for deferral_102809_16.07E Wild Horse Wind Expansionwrkingfile 2 2 2" xfId="20299"/>
    <cellStyle name="_Costs not in AURORA 2007 Rate Case_(C) WHE Proforma with ITC cash grant 10 Yr Amort_for deferral_102809_16.07E Wild Horse Wind Expansionwrkingfile 2 3" xfId="16225"/>
    <cellStyle name="_Costs not in AURORA 2007 Rate Case_(C) WHE Proforma with ITC cash grant 10 Yr Amort_for deferral_102809_16.07E Wild Horse Wind Expansionwrkingfile 3" xfId="4247"/>
    <cellStyle name="_Costs not in AURORA 2007 Rate Case_(C) WHE Proforma with ITC cash grant 10 Yr Amort_for deferral_102809_16.07E Wild Horse Wind Expansionwrkingfile 3 2" xfId="20300"/>
    <cellStyle name="_Costs not in AURORA 2007 Rate Case_(C) WHE Proforma with ITC cash grant 10 Yr Amort_for deferral_102809_16.07E Wild Horse Wind Expansionwrkingfile 4" xfId="16224"/>
    <cellStyle name="_Costs not in AURORA 2007 Rate Case_(C) WHE Proforma with ITC cash grant 10 Yr Amort_for deferral_102809_16.07E Wild Horse Wind Expansionwrkingfile SF" xfId="871"/>
    <cellStyle name="_Costs not in AURORA 2007 Rate Case_(C) WHE Proforma with ITC cash grant 10 Yr Amort_for deferral_102809_16.07E Wild Horse Wind Expansionwrkingfile SF 2" xfId="872"/>
    <cellStyle name="_Costs not in AURORA 2007 Rate Case_(C) WHE Proforma with ITC cash grant 10 Yr Amort_for deferral_102809_16.07E Wild Horse Wind Expansionwrkingfile SF 2 2" xfId="4250"/>
    <cellStyle name="_Costs not in AURORA 2007 Rate Case_(C) WHE Proforma with ITC cash grant 10 Yr Amort_for deferral_102809_16.07E Wild Horse Wind Expansionwrkingfile SF 2 2 2" xfId="20301"/>
    <cellStyle name="_Costs not in AURORA 2007 Rate Case_(C) WHE Proforma with ITC cash grant 10 Yr Amort_for deferral_102809_16.07E Wild Horse Wind Expansionwrkingfile SF 2 3" xfId="16227"/>
    <cellStyle name="_Costs not in AURORA 2007 Rate Case_(C) WHE Proforma with ITC cash grant 10 Yr Amort_for deferral_102809_16.07E Wild Horse Wind Expansionwrkingfile SF 3" xfId="4249"/>
    <cellStyle name="_Costs not in AURORA 2007 Rate Case_(C) WHE Proforma with ITC cash grant 10 Yr Amort_for deferral_102809_16.07E Wild Horse Wind Expansionwrkingfile SF 3 2" xfId="20302"/>
    <cellStyle name="_Costs not in AURORA 2007 Rate Case_(C) WHE Proforma with ITC cash grant 10 Yr Amort_for deferral_102809_16.07E Wild Horse Wind Expansionwrkingfile SF 4" xfId="16226"/>
    <cellStyle name="_Costs not in AURORA 2007 Rate Case_(C) WHE Proforma with ITC cash grant 10 Yr Amort_for deferral_102809_16.07E Wild Horse Wind Expansionwrkingfile SF_DEM-WP(C) ENERG10C--ctn Mid-C_042010 2010GRC" xfId="12336"/>
    <cellStyle name="_Costs not in AURORA 2007 Rate Case_(C) WHE Proforma with ITC cash grant 10 Yr Amort_for deferral_102809_16.07E Wild Horse Wind Expansionwrkingfile_DEM-WP(C) ENERG10C--ctn Mid-C_042010 2010GRC" xfId="12337"/>
    <cellStyle name="_Costs not in AURORA 2007 Rate Case_(C) WHE Proforma with ITC cash grant 10 Yr Amort_for deferral_102809_16.37E Wild Horse Expansion DeferralRevwrkingfile SF" xfId="873"/>
    <cellStyle name="_Costs not in AURORA 2007 Rate Case_(C) WHE Proforma with ITC cash grant 10 Yr Amort_for deferral_102809_16.37E Wild Horse Expansion DeferralRevwrkingfile SF 2" xfId="874"/>
    <cellStyle name="_Costs not in AURORA 2007 Rate Case_(C) WHE Proforma with ITC cash grant 10 Yr Amort_for deferral_102809_16.37E Wild Horse Expansion DeferralRevwrkingfile SF 2 2" xfId="4252"/>
    <cellStyle name="_Costs not in AURORA 2007 Rate Case_(C) WHE Proforma with ITC cash grant 10 Yr Amort_for deferral_102809_16.37E Wild Horse Expansion DeferralRevwrkingfile SF 2 2 2" xfId="20303"/>
    <cellStyle name="_Costs not in AURORA 2007 Rate Case_(C) WHE Proforma with ITC cash grant 10 Yr Amort_for deferral_102809_16.37E Wild Horse Expansion DeferralRevwrkingfile SF 2 3" xfId="16229"/>
    <cellStyle name="_Costs not in AURORA 2007 Rate Case_(C) WHE Proforma with ITC cash grant 10 Yr Amort_for deferral_102809_16.37E Wild Horse Expansion DeferralRevwrkingfile SF 3" xfId="4251"/>
    <cellStyle name="_Costs not in AURORA 2007 Rate Case_(C) WHE Proforma with ITC cash grant 10 Yr Amort_for deferral_102809_16.37E Wild Horse Expansion DeferralRevwrkingfile SF 3 2" xfId="20304"/>
    <cellStyle name="_Costs not in AURORA 2007 Rate Case_(C) WHE Proforma with ITC cash grant 10 Yr Amort_for deferral_102809_16.37E Wild Horse Expansion DeferralRevwrkingfile SF 4" xfId="16228"/>
    <cellStyle name="_Costs not in AURORA 2007 Rate Case_(C) WHE Proforma with ITC cash grant 10 Yr Amort_for deferral_102809_16.37E Wild Horse Expansion DeferralRevwrkingfile SF_DEM-WP(C) ENERG10C--ctn Mid-C_042010 2010GRC" xfId="12338"/>
    <cellStyle name="_Costs not in AURORA 2007 Rate Case_(C) WHE Proforma with ITC cash grant 10 Yr Amort_for deferral_102809_DEM-WP(C) ENERG10C--ctn Mid-C_042010 2010GRC" xfId="12339"/>
    <cellStyle name="_Costs not in AURORA 2007 Rate Case_(C) WHE Proforma with ITC cash grant 10 Yr Amort_for rebuttal_120709" xfId="875"/>
    <cellStyle name="_Costs not in AURORA 2007 Rate Case_(C) WHE Proforma with ITC cash grant 10 Yr Amort_for rebuttal_120709 2" xfId="876"/>
    <cellStyle name="_Costs not in AURORA 2007 Rate Case_(C) WHE Proforma with ITC cash grant 10 Yr Amort_for rebuttal_120709 2 2" xfId="4253"/>
    <cellStyle name="_Costs not in AURORA 2007 Rate Case_(C) WHE Proforma with ITC cash grant 10 Yr Amort_for rebuttal_120709 2 2 2" xfId="20305"/>
    <cellStyle name="_Costs not in AURORA 2007 Rate Case_(C) WHE Proforma with ITC cash grant 10 Yr Amort_for rebuttal_120709 2 3" xfId="16231"/>
    <cellStyle name="_Costs not in AURORA 2007 Rate Case_(C) WHE Proforma with ITC cash grant 10 Yr Amort_for rebuttal_120709 3" xfId="7019"/>
    <cellStyle name="_Costs not in AURORA 2007 Rate Case_(C) WHE Proforma with ITC cash grant 10 Yr Amort_for rebuttal_120709 3 2" xfId="20306"/>
    <cellStyle name="_Costs not in AURORA 2007 Rate Case_(C) WHE Proforma with ITC cash grant 10 Yr Amort_for rebuttal_120709 4" xfId="16230"/>
    <cellStyle name="_Costs not in AURORA 2007 Rate Case_(C) WHE Proforma with ITC cash grant 10 Yr Amort_for rebuttal_120709_DEM-WP(C) ENERG10C--ctn Mid-C_042010 2010GRC" xfId="12340"/>
    <cellStyle name="_Costs not in AURORA 2007 Rate Case_04.07E Wild Horse Wind Expansion" xfId="877"/>
    <cellStyle name="_Costs not in AURORA 2007 Rate Case_04.07E Wild Horse Wind Expansion 2" xfId="878"/>
    <cellStyle name="_Costs not in AURORA 2007 Rate Case_04.07E Wild Horse Wind Expansion 2 2" xfId="4255"/>
    <cellStyle name="_Costs not in AURORA 2007 Rate Case_04.07E Wild Horse Wind Expansion 2 2 2" xfId="20307"/>
    <cellStyle name="_Costs not in AURORA 2007 Rate Case_04.07E Wild Horse Wind Expansion 2 3" xfId="16233"/>
    <cellStyle name="_Costs not in AURORA 2007 Rate Case_04.07E Wild Horse Wind Expansion 3" xfId="4254"/>
    <cellStyle name="_Costs not in AURORA 2007 Rate Case_04.07E Wild Horse Wind Expansion 3 2" xfId="20308"/>
    <cellStyle name="_Costs not in AURORA 2007 Rate Case_04.07E Wild Horse Wind Expansion 4" xfId="16232"/>
    <cellStyle name="_Costs not in AURORA 2007 Rate Case_04.07E Wild Horse Wind Expansion_16.07E Wild Horse Wind Expansionwrkingfile" xfId="879"/>
    <cellStyle name="_Costs not in AURORA 2007 Rate Case_04.07E Wild Horse Wind Expansion_16.07E Wild Horse Wind Expansionwrkingfile 2" xfId="880"/>
    <cellStyle name="_Costs not in AURORA 2007 Rate Case_04.07E Wild Horse Wind Expansion_16.07E Wild Horse Wind Expansionwrkingfile 2 2" xfId="4257"/>
    <cellStyle name="_Costs not in AURORA 2007 Rate Case_04.07E Wild Horse Wind Expansion_16.07E Wild Horse Wind Expansionwrkingfile 2 2 2" xfId="20309"/>
    <cellStyle name="_Costs not in AURORA 2007 Rate Case_04.07E Wild Horse Wind Expansion_16.07E Wild Horse Wind Expansionwrkingfile 2 3" xfId="16235"/>
    <cellStyle name="_Costs not in AURORA 2007 Rate Case_04.07E Wild Horse Wind Expansion_16.07E Wild Horse Wind Expansionwrkingfile 3" xfId="4256"/>
    <cellStyle name="_Costs not in AURORA 2007 Rate Case_04.07E Wild Horse Wind Expansion_16.07E Wild Horse Wind Expansionwrkingfile 3 2" xfId="20310"/>
    <cellStyle name="_Costs not in AURORA 2007 Rate Case_04.07E Wild Horse Wind Expansion_16.07E Wild Horse Wind Expansionwrkingfile 4" xfId="16234"/>
    <cellStyle name="_Costs not in AURORA 2007 Rate Case_04.07E Wild Horse Wind Expansion_16.07E Wild Horse Wind Expansionwrkingfile SF" xfId="881"/>
    <cellStyle name="_Costs not in AURORA 2007 Rate Case_04.07E Wild Horse Wind Expansion_16.07E Wild Horse Wind Expansionwrkingfile SF 2" xfId="882"/>
    <cellStyle name="_Costs not in AURORA 2007 Rate Case_04.07E Wild Horse Wind Expansion_16.07E Wild Horse Wind Expansionwrkingfile SF 2 2" xfId="4259"/>
    <cellStyle name="_Costs not in AURORA 2007 Rate Case_04.07E Wild Horse Wind Expansion_16.07E Wild Horse Wind Expansionwrkingfile SF 2 2 2" xfId="20311"/>
    <cellStyle name="_Costs not in AURORA 2007 Rate Case_04.07E Wild Horse Wind Expansion_16.07E Wild Horse Wind Expansionwrkingfile SF 2 3" xfId="16237"/>
    <cellStyle name="_Costs not in AURORA 2007 Rate Case_04.07E Wild Horse Wind Expansion_16.07E Wild Horse Wind Expansionwrkingfile SF 3" xfId="4258"/>
    <cellStyle name="_Costs not in AURORA 2007 Rate Case_04.07E Wild Horse Wind Expansion_16.07E Wild Horse Wind Expansionwrkingfile SF 3 2" xfId="20312"/>
    <cellStyle name="_Costs not in AURORA 2007 Rate Case_04.07E Wild Horse Wind Expansion_16.07E Wild Horse Wind Expansionwrkingfile SF 4" xfId="16236"/>
    <cellStyle name="_Costs not in AURORA 2007 Rate Case_04.07E Wild Horse Wind Expansion_16.07E Wild Horse Wind Expansionwrkingfile SF_DEM-WP(C) ENERG10C--ctn Mid-C_042010 2010GRC" xfId="12341"/>
    <cellStyle name="_Costs not in AURORA 2007 Rate Case_04.07E Wild Horse Wind Expansion_16.07E Wild Horse Wind Expansionwrkingfile_DEM-WP(C) ENERG10C--ctn Mid-C_042010 2010GRC" xfId="12342"/>
    <cellStyle name="_Costs not in AURORA 2007 Rate Case_04.07E Wild Horse Wind Expansion_16.37E Wild Horse Expansion DeferralRevwrkingfile SF" xfId="883"/>
    <cellStyle name="_Costs not in AURORA 2007 Rate Case_04.07E Wild Horse Wind Expansion_16.37E Wild Horse Expansion DeferralRevwrkingfile SF 2" xfId="884"/>
    <cellStyle name="_Costs not in AURORA 2007 Rate Case_04.07E Wild Horse Wind Expansion_16.37E Wild Horse Expansion DeferralRevwrkingfile SF 2 2" xfId="4261"/>
    <cellStyle name="_Costs not in AURORA 2007 Rate Case_04.07E Wild Horse Wind Expansion_16.37E Wild Horse Expansion DeferralRevwrkingfile SF 2 2 2" xfId="20313"/>
    <cellStyle name="_Costs not in AURORA 2007 Rate Case_04.07E Wild Horse Wind Expansion_16.37E Wild Horse Expansion DeferralRevwrkingfile SF 2 3" xfId="16239"/>
    <cellStyle name="_Costs not in AURORA 2007 Rate Case_04.07E Wild Horse Wind Expansion_16.37E Wild Horse Expansion DeferralRevwrkingfile SF 3" xfId="4260"/>
    <cellStyle name="_Costs not in AURORA 2007 Rate Case_04.07E Wild Horse Wind Expansion_16.37E Wild Horse Expansion DeferralRevwrkingfile SF 3 2" xfId="20314"/>
    <cellStyle name="_Costs not in AURORA 2007 Rate Case_04.07E Wild Horse Wind Expansion_16.37E Wild Horse Expansion DeferralRevwrkingfile SF 4" xfId="16238"/>
    <cellStyle name="_Costs not in AURORA 2007 Rate Case_04.07E Wild Horse Wind Expansion_16.37E Wild Horse Expansion DeferralRevwrkingfile SF_DEM-WP(C) ENERG10C--ctn Mid-C_042010 2010GRC" xfId="12343"/>
    <cellStyle name="_Costs not in AURORA 2007 Rate Case_04.07E Wild Horse Wind Expansion_DEM-WP(C) ENERG10C--ctn Mid-C_042010 2010GRC" xfId="12344"/>
    <cellStyle name="_Costs not in AURORA 2007 Rate Case_16.07E Wild Horse Wind Expansionwrkingfile" xfId="885"/>
    <cellStyle name="_Costs not in AURORA 2007 Rate Case_16.07E Wild Horse Wind Expansionwrkingfile 2" xfId="886"/>
    <cellStyle name="_Costs not in AURORA 2007 Rate Case_16.07E Wild Horse Wind Expansionwrkingfile 2 2" xfId="4263"/>
    <cellStyle name="_Costs not in AURORA 2007 Rate Case_16.07E Wild Horse Wind Expansionwrkingfile 2 2 2" xfId="20315"/>
    <cellStyle name="_Costs not in AURORA 2007 Rate Case_16.07E Wild Horse Wind Expansionwrkingfile 2 3" xfId="16241"/>
    <cellStyle name="_Costs not in AURORA 2007 Rate Case_16.07E Wild Horse Wind Expansionwrkingfile 3" xfId="4262"/>
    <cellStyle name="_Costs not in AURORA 2007 Rate Case_16.07E Wild Horse Wind Expansionwrkingfile 3 2" xfId="20316"/>
    <cellStyle name="_Costs not in AURORA 2007 Rate Case_16.07E Wild Horse Wind Expansionwrkingfile 4" xfId="16240"/>
    <cellStyle name="_Costs not in AURORA 2007 Rate Case_16.07E Wild Horse Wind Expansionwrkingfile SF" xfId="887"/>
    <cellStyle name="_Costs not in AURORA 2007 Rate Case_16.07E Wild Horse Wind Expansionwrkingfile SF 2" xfId="888"/>
    <cellStyle name="_Costs not in AURORA 2007 Rate Case_16.07E Wild Horse Wind Expansionwrkingfile SF 2 2" xfId="4265"/>
    <cellStyle name="_Costs not in AURORA 2007 Rate Case_16.07E Wild Horse Wind Expansionwrkingfile SF 2 2 2" xfId="20317"/>
    <cellStyle name="_Costs not in AURORA 2007 Rate Case_16.07E Wild Horse Wind Expansionwrkingfile SF 2 3" xfId="16243"/>
    <cellStyle name="_Costs not in AURORA 2007 Rate Case_16.07E Wild Horse Wind Expansionwrkingfile SF 3" xfId="4264"/>
    <cellStyle name="_Costs not in AURORA 2007 Rate Case_16.07E Wild Horse Wind Expansionwrkingfile SF 3 2" xfId="20318"/>
    <cellStyle name="_Costs not in AURORA 2007 Rate Case_16.07E Wild Horse Wind Expansionwrkingfile SF 4" xfId="16242"/>
    <cellStyle name="_Costs not in AURORA 2007 Rate Case_16.07E Wild Horse Wind Expansionwrkingfile SF_DEM-WP(C) ENERG10C--ctn Mid-C_042010 2010GRC" xfId="12345"/>
    <cellStyle name="_Costs not in AURORA 2007 Rate Case_16.07E Wild Horse Wind Expansionwrkingfile_DEM-WP(C) ENERG10C--ctn Mid-C_042010 2010GRC" xfId="12346"/>
    <cellStyle name="_Costs not in AURORA 2007 Rate Case_16.37E Wild Horse Expansion DeferralRevwrkingfile SF" xfId="889"/>
    <cellStyle name="_Costs not in AURORA 2007 Rate Case_16.37E Wild Horse Expansion DeferralRevwrkingfile SF 2" xfId="890"/>
    <cellStyle name="_Costs not in AURORA 2007 Rate Case_16.37E Wild Horse Expansion DeferralRevwrkingfile SF 2 2" xfId="4267"/>
    <cellStyle name="_Costs not in AURORA 2007 Rate Case_16.37E Wild Horse Expansion DeferralRevwrkingfile SF 2 2 2" xfId="20319"/>
    <cellStyle name="_Costs not in AURORA 2007 Rate Case_16.37E Wild Horse Expansion DeferralRevwrkingfile SF 2 3" xfId="16245"/>
    <cellStyle name="_Costs not in AURORA 2007 Rate Case_16.37E Wild Horse Expansion DeferralRevwrkingfile SF 3" xfId="4266"/>
    <cellStyle name="_Costs not in AURORA 2007 Rate Case_16.37E Wild Horse Expansion DeferralRevwrkingfile SF 3 2" xfId="20320"/>
    <cellStyle name="_Costs not in AURORA 2007 Rate Case_16.37E Wild Horse Expansion DeferralRevwrkingfile SF 4" xfId="16244"/>
    <cellStyle name="_Costs not in AURORA 2007 Rate Case_16.37E Wild Horse Expansion DeferralRevwrkingfile SF_DEM-WP(C) ENERG10C--ctn Mid-C_042010 2010GRC" xfId="12347"/>
    <cellStyle name="_Costs not in AURORA 2007 Rate Case_2009 Compliance Filing PCA Exhibits for GRC" xfId="14086"/>
    <cellStyle name="_Costs not in AURORA 2007 Rate Case_2009 Compliance Filing PCA Exhibits for GRC 2" xfId="14843"/>
    <cellStyle name="_Costs not in AURORA 2007 Rate Case_2009 GRC Compl Filing - Exhibit D" xfId="891"/>
    <cellStyle name="_Costs not in AURORA 2007 Rate Case_2009 GRC Compl Filing - Exhibit D 2" xfId="892"/>
    <cellStyle name="_Costs not in AURORA 2007 Rate Case_2009 GRC Compl Filing - Exhibit D 2 2" xfId="4269"/>
    <cellStyle name="_Costs not in AURORA 2007 Rate Case_2009 GRC Compl Filing - Exhibit D 3" xfId="4268"/>
    <cellStyle name="_Costs not in AURORA 2007 Rate Case_2009 GRC Compl Filing - Exhibit D_DEM-WP(C) ENERG10C--ctn Mid-C_042010 2010GRC" xfId="12348"/>
    <cellStyle name="_Costs not in AURORA 2007 Rate Case_3.01 Income Statement" xfId="14087"/>
    <cellStyle name="_Costs not in AURORA 2007 Rate Case_4 31 Regulatory Assets and Liabilities  7 06- Exhibit D" xfId="893"/>
    <cellStyle name="_Costs not in AURORA 2007 Rate Case_4 31 Regulatory Assets and Liabilities  7 06- Exhibit D 2" xfId="894"/>
    <cellStyle name="_Costs not in AURORA 2007 Rate Case_4 31 Regulatory Assets and Liabilities  7 06- Exhibit D 2 2" xfId="4271"/>
    <cellStyle name="_Costs not in AURORA 2007 Rate Case_4 31 Regulatory Assets and Liabilities  7 06- Exhibit D 2 2 2" xfId="20321"/>
    <cellStyle name="_Costs not in AURORA 2007 Rate Case_4 31 Regulatory Assets and Liabilities  7 06- Exhibit D 2 3" xfId="16247"/>
    <cellStyle name="_Costs not in AURORA 2007 Rate Case_4 31 Regulatory Assets and Liabilities  7 06- Exhibit D 3" xfId="4270"/>
    <cellStyle name="_Costs not in AURORA 2007 Rate Case_4 31 Regulatory Assets and Liabilities  7 06- Exhibit D 3 2" xfId="20322"/>
    <cellStyle name="_Costs not in AURORA 2007 Rate Case_4 31 Regulatory Assets and Liabilities  7 06- Exhibit D 4" xfId="16246"/>
    <cellStyle name="_Costs not in AURORA 2007 Rate Case_4 31 Regulatory Assets and Liabilities  7 06- Exhibit D_DEM-WP(C) ENERG10C--ctn Mid-C_042010 2010GRC" xfId="12349"/>
    <cellStyle name="_Costs not in AURORA 2007 Rate Case_4 31 Regulatory Assets and Liabilities  7 06- Exhibit D_NIM Summary" xfId="895"/>
    <cellStyle name="_Costs not in AURORA 2007 Rate Case_4 31 Regulatory Assets and Liabilities  7 06- Exhibit D_NIM Summary 2" xfId="896"/>
    <cellStyle name="_Costs not in AURORA 2007 Rate Case_4 31 Regulatory Assets and Liabilities  7 06- Exhibit D_NIM Summary 2 2" xfId="4273"/>
    <cellStyle name="_Costs not in AURORA 2007 Rate Case_4 31 Regulatory Assets and Liabilities  7 06- Exhibit D_NIM Summary 3" xfId="4272"/>
    <cellStyle name="_Costs not in AURORA 2007 Rate Case_4 31 Regulatory Assets and Liabilities  7 06- Exhibit D_NIM Summary_DEM-WP(C) ENERG10C--ctn Mid-C_042010 2010GRC" xfId="12350"/>
    <cellStyle name="_Costs not in AURORA 2007 Rate Case_4 31E Reg Asset  Liab and EXH D" xfId="12351"/>
    <cellStyle name="_Costs not in AURORA 2007 Rate Case_4 31E Reg Asset  Liab and EXH D _ Aug 10 Filing (2)" xfId="12352"/>
    <cellStyle name="_Costs not in AURORA 2007 Rate Case_4 31E Reg Asset  Liab and EXH D _ Aug 10 Filing (2) 2" xfId="23698"/>
    <cellStyle name="_Costs not in AURORA 2007 Rate Case_4 31E Reg Asset  Liab and EXH D 10" xfId="23699"/>
    <cellStyle name="_Costs not in AURORA 2007 Rate Case_4 31E Reg Asset  Liab and EXH D 11" xfId="23700"/>
    <cellStyle name="_Costs not in AURORA 2007 Rate Case_4 31E Reg Asset  Liab and EXH D 12" xfId="23701"/>
    <cellStyle name="_Costs not in AURORA 2007 Rate Case_4 31E Reg Asset  Liab and EXH D 13" xfId="23702"/>
    <cellStyle name="_Costs not in AURORA 2007 Rate Case_4 31E Reg Asset  Liab and EXH D 14" xfId="23703"/>
    <cellStyle name="_Costs not in AURORA 2007 Rate Case_4 31E Reg Asset  Liab and EXH D 15" xfId="23704"/>
    <cellStyle name="_Costs not in AURORA 2007 Rate Case_4 31E Reg Asset  Liab and EXH D 16" xfId="23705"/>
    <cellStyle name="_Costs not in AURORA 2007 Rate Case_4 31E Reg Asset  Liab and EXH D 17" xfId="23706"/>
    <cellStyle name="_Costs not in AURORA 2007 Rate Case_4 31E Reg Asset  Liab and EXH D 18" xfId="23707"/>
    <cellStyle name="_Costs not in AURORA 2007 Rate Case_4 31E Reg Asset  Liab and EXH D 19" xfId="23708"/>
    <cellStyle name="_Costs not in AURORA 2007 Rate Case_4 31E Reg Asset  Liab and EXH D 2" xfId="23709"/>
    <cellStyle name="_Costs not in AURORA 2007 Rate Case_4 31E Reg Asset  Liab and EXH D 20" xfId="23710"/>
    <cellStyle name="_Costs not in AURORA 2007 Rate Case_4 31E Reg Asset  Liab and EXH D 21" xfId="23711"/>
    <cellStyle name="_Costs not in AURORA 2007 Rate Case_4 31E Reg Asset  Liab and EXH D 22" xfId="23712"/>
    <cellStyle name="_Costs not in AURORA 2007 Rate Case_4 31E Reg Asset  Liab and EXH D 23" xfId="23713"/>
    <cellStyle name="_Costs not in AURORA 2007 Rate Case_4 31E Reg Asset  Liab and EXH D 24" xfId="23714"/>
    <cellStyle name="_Costs not in AURORA 2007 Rate Case_4 31E Reg Asset  Liab and EXH D 25" xfId="23715"/>
    <cellStyle name="_Costs not in AURORA 2007 Rate Case_4 31E Reg Asset  Liab and EXH D 26" xfId="23716"/>
    <cellStyle name="_Costs not in AURORA 2007 Rate Case_4 31E Reg Asset  Liab and EXH D 27" xfId="23717"/>
    <cellStyle name="_Costs not in AURORA 2007 Rate Case_4 31E Reg Asset  Liab and EXH D 28" xfId="23718"/>
    <cellStyle name="_Costs not in AURORA 2007 Rate Case_4 31E Reg Asset  Liab and EXH D 29" xfId="23719"/>
    <cellStyle name="_Costs not in AURORA 2007 Rate Case_4 31E Reg Asset  Liab and EXH D 3" xfId="23720"/>
    <cellStyle name="_Costs not in AURORA 2007 Rate Case_4 31E Reg Asset  Liab and EXH D 30" xfId="23721"/>
    <cellStyle name="_Costs not in AURORA 2007 Rate Case_4 31E Reg Asset  Liab and EXH D 31" xfId="23722"/>
    <cellStyle name="_Costs not in AURORA 2007 Rate Case_4 31E Reg Asset  Liab and EXH D 32" xfId="23723"/>
    <cellStyle name="_Costs not in AURORA 2007 Rate Case_4 31E Reg Asset  Liab and EXH D 33" xfId="23724"/>
    <cellStyle name="_Costs not in AURORA 2007 Rate Case_4 31E Reg Asset  Liab and EXH D 34" xfId="23725"/>
    <cellStyle name="_Costs not in AURORA 2007 Rate Case_4 31E Reg Asset  Liab and EXH D 35" xfId="23726"/>
    <cellStyle name="_Costs not in AURORA 2007 Rate Case_4 31E Reg Asset  Liab and EXH D 36" xfId="23727"/>
    <cellStyle name="_Costs not in AURORA 2007 Rate Case_4 31E Reg Asset  Liab and EXH D 4" xfId="23728"/>
    <cellStyle name="_Costs not in AURORA 2007 Rate Case_4 31E Reg Asset  Liab and EXH D 5" xfId="23729"/>
    <cellStyle name="_Costs not in AURORA 2007 Rate Case_4 31E Reg Asset  Liab and EXH D 6" xfId="23730"/>
    <cellStyle name="_Costs not in AURORA 2007 Rate Case_4 31E Reg Asset  Liab and EXH D 7" xfId="23731"/>
    <cellStyle name="_Costs not in AURORA 2007 Rate Case_4 31E Reg Asset  Liab and EXH D 8" xfId="23732"/>
    <cellStyle name="_Costs not in AURORA 2007 Rate Case_4 31E Reg Asset  Liab and EXH D 9" xfId="23733"/>
    <cellStyle name="_Costs not in AURORA 2007 Rate Case_4 32 Regulatory Assets and Liabilities  7 06- Exhibit D" xfId="897"/>
    <cellStyle name="_Costs not in AURORA 2007 Rate Case_4 32 Regulatory Assets and Liabilities  7 06- Exhibit D 2" xfId="898"/>
    <cellStyle name="_Costs not in AURORA 2007 Rate Case_4 32 Regulatory Assets and Liabilities  7 06- Exhibit D 2 2" xfId="4275"/>
    <cellStyle name="_Costs not in AURORA 2007 Rate Case_4 32 Regulatory Assets and Liabilities  7 06- Exhibit D 2 2 2" xfId="20323"/>
    <cellStyle name="_Costs not in AURORA 2007 Rate Case_4 32 Regulatory Assets and Liabilities  7 06- Exhibit D 2 3" xfId="16249"/>
    <cellStyle name="_Costs not in AURORA 2007 Rate Case_4 32 Regulatory Assets and Liabilities  7 06- Exhibit D 3" xfId="4274"/>
    <cellStyle name="_Costs not in AURORA 2007 Rate Case_4 32 Regulatory Assets and Liabilities  7 06- Exhibit D 3 2" xfId="20324"/>
    <cellStyle name="_Costs not in AURORA 2007 Rate Case_4 32 Regulatory Assets and Liabilities  7 06- Exhibit D 4" xfId="16248"/>
    <cellStyle name="_Costs not in AURORA 2007 Rate Case_4 32 Regulatory Assets and Liabilities  7 06- Exhibit D_DEM-WP(C) ENERG10C--ctn Mid-C_042010 2010GRC" xfId="12353"/>
    <cellStyle name="_Costs not in AURORA 2007 Rate Case_4 32 Regulatory Assets and Liabilities  7 06- Exhibit D_NIM Summary" xfId="899"/>
    <cellStyle name="_Costs not in AURORA 2007 Rate Case_4 32 Regulatory Assets and Liabilities  7 06- Exhibit D_NIM Summary 2" xfId="900"/>
    <cellStyle name="_Costs not in AURORA 2007 Rate Case_4 32 Regulatory Assets and Liabilities  7 06- Exhibit D_NIM Summary 2 2" xfId="4277"/>
    <cellStyle name="_Costs not in AURORA 2007 Rate Case_4 32 Regulatory Assets and Liabilities  7 06- Exhibit D_NIM Summary 3" xfId="4276"/>
    <cellStyle name="_Costs not in AURORA 2007 Rate Case_4 32 Regulatory Assets and Liabilities  7 06- Exhibit D_NIM Summary_DEM-WP(C) ENERG10C--ctn Mid-C_042010 2010GRC" xfId="12354"/>
    <cellStyle name="_Costs not in AURORA 2007 Rate Case_AURORA Total New" xfId="901"/>
    <cellStyle name="_Costs not in AURORA 2007 Rate Case_AURORA Total New 2" xfId="902"/>
    <cellStyle name="_Costs not in AURORA 2007 Rate Case_AURORA Total New 2 2" xfId="4279"/>
    <cellStyle name="_Costs not in AURORA 2007 Rate Case_AURORA Total New 3" xfId="4278"/>
    <cellStyle name="_Costs not in AURORA 2007 Rate Case_Book2" xfId="903"/>
    <cellStyle name="_Costs not in AURORA 2007 Rate Case_Book2 2" xfId="904"/>
    <cellStyle name="_Costs not in AURORA 2007 Rate Case_Book2 2 2" xfId="4281"/>
    <cellStyle name="_Costs not in AURORA 2007 Rate Case_Book2 2 2 2" xfId="20325"/>
    <cellStyle name="_Costs not in AURORA 2007 Rate Case_Book2 2 3" xfId="16251"/>
    <cellStyle name="_Costs not in AURORA 2007 Rate Case_Book2 3" xfId="4280"/>
    <cellStyle name="_Costs not in AURORA 2007 Rate Case_Book2 3 2" xfId="20326"/>
    <cellStyle name="_Costs not in AURORA 2007 Rate Case_Book2 4" xfId="16250"/>
    <cellStyle name="_Costs not in AURORA 2007 Rate Case_Book2_Adj Bench DR 3 for Initial Briefs (Electric)" xfId="905"/>
    <cellStyle name="_Costs not in AURORA 2007 Rate Case_Book2_Adj Bench DR 3 for Initial Briefs (Electric) 2" xfId="906"/>
    <cellStyle name="_Costs not in AURORA 2007 Rate Case_Book2_Adj Bench DR 3 for Initial Briefs (Electric) 2 2" xfId="4283"/>
    <cellStyle name="_Costs not in AURORA 2007 Rate Case_Book2_Adj Bench DR 3 for Initial Briefs (Electric) 2 2 2" xfId="20327"/>
    <cellStyle name="_Costs not in AURORA 2007 Rate Case_Book2_Adj Bench DR 3 for Initial Briefs (Electric) 2 3" xfId="16253"/>
    <cellStyle name="_Costs not in AURORA 2007 Rate Case_Book2_Adj Bench DR 3 for Initial Briefs (Electric) 3" xfId="4282"/>
    <cellStyle name="_Costs not in AURORA 2007 Rate Case_Book2_Adj Bench DR 3 for Initial Briefs (Electric) 3 2" xfId="20328"/>
    <cellStyle name="_Costs not in AURORA 2007 Rate Case_Book2_Adj Bench DR 3 for Initial Briefs (Electric) 4" xfId="16252"/>
    <cellStyle name="_Costs not in AURORA 2007 Rate Case_Book2_Adj Bench DR 3 for Initial Briefs (Electric)_DEM-WP(C) ENERG10C--ctn Mid-C_042010 2010GRC" xfId="12355"/>
    <cellStyle name="_Costs not in AURORA 2007 Rate Case_Book2_DEM-WP(C) ENERG10C--ctn Mid-C_042010 2010GRC" xfId="12356"/>
    <cellStyle name="_Costs not in AURORA 2007 Rate Case_Book2_Electric Rev Req Model (2009 GRC) Rebuttal" xfId="907"/>
    <cellStyle name="_Costs not in AURORA 2007 Rate Case_Book2_Electric Rev Req Model (2009 GRC) Rebuttal 2" xfId="4284"/>
    <cellStyle name="_Costs not in AURORA 2007 Rate Case_Book2_Electric Rev Req Model (2009 GRC) Rebuttal 2 2" xfId="7020"/>
    <cellStyle name="_Costs not in AURORA 2007 Rate Case_Book2_Electric Rev Req Model (2009 GRC) Rebuttal 2 2 2" xfId="20329"/>
    <cellStyle name="_Costs not in AURORA 2007 Rate Case_Book2_Electric Rev Req Model (2009 GRC) Rebuttal 2 3" xfId="18346"/>
    <cellStyle name="_Costs not in AURORA 2007 Rate Case_Book2_Electric Rev Req Model (2009 GRC) Rebuttal 3" xfId="7021"/>
    <cellStyle name="_Costs not in AURORA 2007 Rate Case_Book2_Electric Rev Req Model (2009 GRC) Rebuttal 3 2" xfId="20330"/>
    <cellStyle name="_Costs not in AURORA 2007 Rate Case_Book2_Electric Rev Req Model (2009 GRC) Rebuttal 4" xfId="16254"/>
    <cellStyle name="_Costs not in AURORA 2007 Rate Case_Book2_Electric Rev Req Model (2009 GRC) Rebuttal REmoval of New  WH Solar AdjustMI" xfId="908"/>
    <cellStyle name="_Costs not in AURORA 2007 Rate Case_Book2_Electric Rev Req Model (2009 GRC) Rebuttal REmoval of New  WH Solar AdjustMI 2" xfId="909"/>
    <cellStyle name="_Costs not in AURORA 2007 Rate Case_Book2_Electric Rev Req Model (2009 GRC) Rebuttal REmoval of New  WH Solar AdjustMI 2 2" xfId="4286"/>
    <cellStyle name="_Costs not in AURORA 2007 Rate Case_Book2_Electric Rev Req Model (2009 GRC) Rebuttal REmoval of New  WH Solar AdjustMI 2 2 2" xfId="20331"/>
    <cellStyle name="_Costs not in AURORA 2007 Rate Case_Book2_Electric Rev Req Model (2009 GRC) Rebuttal REmoval of New  WH Solar AdjustMI 2 3" xfId="16256"/>
    <cellStyle name="_Costs not in AURORA 2007 Rate Case_Book2_Electric Rev Req Model (2009 GRC) Rebuttal REmoval of New  WH Solar AdjustMI 3" xfId="4285"/>
    <cellStyle name="_Costs not in AURORA 2007 Rate Case_Book2_Electric Rev Req Model (2009 GRC) Rebuttal REmoval of New  WH Solar AdjustMI 3 2" xfId="20332"/>
    <cellStyle name="_Costs not in AURORA 2007 Rate Case_Book2_Electric Rev Req Model (2009 GRC) Rebuttal REmoval of New  WH Solar AdjustMI 4" xfId="16255"/>
    <cellStyle name="_Costs not in AURORA 2007 Rate Case_Book2_Electric Rev Req Model (2009 GRC) Rebuttal REmoval of New  WH Solar AdjustMI_DEM-WP(C) ENERG10C--ctn Mid-C_042010 2010GRC" xfId="12357"/>
    <cellStyle name="_Costs not in AURORA 2007 Rate Case_Book2_Electric Rev Req Model (2009 GRC) Revised 01-18-2010" xfId="910"/>
    <cellStyle name="_Costs not in AURORA 2007 Rate Case_Book2_Electric Rev Req Model (2009 GRC) Revised 01-18-2010 2" xfId="911"/>
    <cellStyle name="_Costs not in AURORA 2007 Rate Case_Book2_Electric Rev Req Model (2009 GRC) Revised 01-18-2010 2 2" xfId="4288"/>
    <cellStyle name="_Costs not in AURORA 2007 Rate Case_Book2_Electric Rev Req Model (2009 GRC) Revised 01-18-2010 2 2 2" xfId="20333"/>
    <cellStyle name="_Costs not in AURORA 2007 Rate Case_Book2_Electric Rev Req Model (2009 GRC) Revised 01-18-2010 2 3" xfId="16258"/>
    <cellStyle name="_Costs not in AURORA 2007 Rate Case_Book2_Electric Rev Req Model (2009 GRC) Revised 01-18-2010 3" xfId="4287"/>
    <cellStyle name="_Costs not in AURORA 2007 Rate Case_Book2_Electric Rev Req Model (2009 GRC) Revised 01-18-2010 3 2" xfId="20334"/>
    <cellStyle name="_Costs not in AURORA 2007 Rate Case_Book2_Electric Rev Req Model (2009 GRC) Revised 01-18-2010 4" xfId="16257"/>
    <cellStyle name="_Costs not in AURORA 2007 Rate Case_Book2_Electric Rev Req Model (2009 GRC) Revised 01-18-2010_DEM-WP(C) ENERG10C--ctn Mid-C_042010 2010GRC" xfId="12358"/>
    <cellStyle name="_Costs not in AURORA 2007 Rate Case_Book2_Final Order Electric EXHIBIT A-1" xfId="912"/>
    <cellStyle name="_Costs not in AURORA 2007 Rate Case_Book2_Final Order Electric EXHIBIT A-1 2" xfId="4289"/>
    <cellStyle name="_Costs not in AURORA 2007 Rate Case_Book2_Final Order Electric EXHIBIT A-1 2 2" xfId="7022"/>
    <cellStyle name="_Costs not in AURORA 2007 Rate Case_Book2_Final Order Electric EXHIBIT A-1 2 2 2" xfId="20335"/>
    <cellStyle name="_Costs not in AURORA 2007 Rate Case_Book2_Final Order Electric EXHIBIT A-1 2 3" xfId="18347"/>
    <cellStyle name="_Costs not in AURORA 2007 Rate Case_Book2_Final Order Electric EXHIBIT A-1 3" xfId="7023"/>
    <cellStyle name="_Costs not in AURORA 2007 Rate Case_Book2_Final Order Electric EXHIBIT A-1 3 2" xfId="20336"/>
    <cellStyle name="_Costs not in AURORA 2007 Rate Case_Book2_Final Order Electric EXHIBIT A-1 4" xfId="16259"/>
    <cellStyle name="_Costs not in AURORA 2007 Rate Case_Book4" xfId="913"/>
    <cellStyle name="_Costs not in AURORA 2007 Rate Case_Book4 2" xfId="914"/>
    <cellStyle name="_Costs not in AURORA 2007 Rate Case_Book4 2 2" xfId="4291"/>
    <cellStyle name="_Costs not in AURORA 2007 Rate Case_Book4 2 2 2" xfId="20337"/>
    <cellStyle name="_Costs not in AURORA 2007 Rate Case_Book4 2 3" xfId="16261"/>
    <cellStyle name="_Costs not in AURORA 2007 Rate Case_Book4 3" xfId="4290"/>
    <cellStyle name="_Costs not in AURORA 2007 Rate Case_Book4 3 2" xfId="20338"/>
    <cellStyle name="_Costs not in AURORA 2007 Rate Case_Book4 4" xfId="16260"/>
    <cellStyle name="_Costs not in AURORA 2007 Rate Case_Book4_DEM-WP(C) ENERG10C--ctn Mid-C_042010 2010GRC" xfId="12359"/>
    <cellStyle name="_Costs not in AURORA 2007 Rate Case_Book9" xfId="915"/>
    <cellStyle name="_Costs not in AURORA 2007 Rate Case_Book9 2" xfId="916"/>
    <cellStyle name="_Costs not in AURORA 2007 Rate Case_Book9 2 2" xfId="4293"/>
    <cellStyle name="_Costs not in AURORA 2007 Rate Case_Book9 2 2 2" xfId="20339"/>
    <cellStyle name="_Costs not in AURORA 2007 Rate Case_Book9 2 3" xfId="16263"/>
    <cellStyle name="_Costs not in AURORA 2007 Rate Case_Book9 3" xfId="4292"/>
    <cellStyle name="_Costs not in AURORA 2007 Rate Case_Book9 3 2" xfId="20340"/>
    <cellStyle name="_Costs not in AURORA 2007 Rate Case_Book9 4" xfId="16262"/>
    <cellStyle name="_Costs not in AURORA 2007 Rate Case_Book9_DEM-WP(C) ENERG10C--ctn Mid-C_042010 2010GRC" xfId="12360"/>
    <cellStyle name="_Costs not in AURORA 2007 Rate Case_Chelan PUD Power Costs (8-10)" xfId="12361"/>
    <cellStyle name="_Costs not in AURORA 2007 Rate Case_Chelan PUD Power Costs (8-10) 2" xfId="23734"/>
    <cellStyle name="_Costs not in AURORA 2007 Rate Case_DEM-WP(C) Chelan Power Costs" xfId="12362"/>
    <cellStyle name="_Costs not in AURORA 2007 Rate Case_DEM-WP(C) Chelan Power Costs 2" xfId="23735"/>
    <cellStyle name="_Costs not in AURORA 2007 Rate Case_DEM-WP(C) ENERG10C--ctn Mid-C_042010 2010GRC" xfId="12363"/>
    <cellStyle name="_Costs not in AURORA 2007 Rate Case_DEM-WP(C) Gas Transport 2010GRC" xfId="12364"/>
    <cellStyle name="_Costs not in AURORA 2007 Rate Case_DEM-WP(C) Gas Transport 2010GRC 2" xfId="23736"/>
    <cellStyle name="_Costs not in AURORA 2007 Rate Case_Electric COS Inputs" xfId="7024"/>
    <cellStyle name="_Costs not in AURORA 2007 Rate Case_Electric COS Inputs 2" xfId="7025"/>
    <cellStyle name="_Costs not in AURORA 2007 Rate Case_Electric COS Inputs 2 2" xfId="7026"/>
    <cellStyle name="_Costs not in AURORA 2007 Rate Case_Electric COS Inputs 2 2 2" xfId="7027"/>
    <cellStyle name="_Costs not in AURORA 2007 Rate Case_Electric COS Inputs 2 2 2 2" xfId="20341"/>
    <cellStyle name="_Costs not in AURORA 2007 Rate Case_Electric COS Inputs 2 2 3" xfId="18350"/>
    <cellStyle name="_Costs not in AURORA 2007 Rate Case_Electric COS Inputs 2 3" xfId="7028"/>
    <cellStyle name="_Costs not in AURORA 2007 Rate Case_Electric COS Inputs 2 3 2" xfId="7029"/>
    <cellStyle name="_Costs not in AURORA 2007 Rate Case_Electric COS Inputs 2 3 2 2" xfId="20342"/>
    <cellStyle name="_Costs not in AURORA 2007 Rate Case_Electric COS Inputs 2 3 3" xfId="18351"/>
    <cellStyle name="_Costs not in AURORA 2007 Rate Case_Electric COS Inputs 2 4" xfId="7030"/>
    <cellStyle name="_Costs not in AURORA 2007 Rate Case_Electric COS Inputs 2 4 2" xfId="7031"/>
    <cellStyle name="_Costs not in AURORA 2007 Rate Case_Electric COS Inputs 2 4 2 2" xfId="20343"/>
    <cellStyle name="_Costs not in AURORA 2007 Rate Case_Electric COS Inputs 2 4 3" xfId="18352"/>
    <cellStyle name="_Costs not in AURORA 2007 Rate Case_Electric COS Inputs 2 5" xfId="18349"/>
    <cellStyle name="_Costs not in AURORA 2007 Rate Case_Electric COS Inputs 3" xfId="7032"/>
    <cellStyle name="_Costs not in AURORA 2007 Rate Case_Electric COS Inputs 3 2" xfId="7033"/>
    <cellStyle name="_Costs not in AURORA 2007 Rate Case_Electric COS Inputs 3 2 2" xfId="20344"/>
    <cellStyle name="_Costs not in AURORA 2007 Rate Case_Electric COS Inputs 3 3" xfId="18353"/>
    <cellStyle name="_Costs not in AURORA 2007 Rate Case_Electric COS Inputs 4" xfId="7034"/>
    <cellStyle name="_Costs not in AURORA 2007 Rate Case_Electric COS Inputs 4 2" xfId="7035"/>
    <cellStyle name="_Costs not in AURORA 2007 Rate Case_Electric COS Inputs 4 2 2" xfId="20345"/>
    <cellStyle name="_Costs not in AURORA 2007 Rate Case_Electric COS Inputs 4 3" xfId="18354"/>
    <cellStyle name="_Costs not in AURORA 2007 Rate Case_Electric COS Inputs 5" xfId="7036"/>
    <cellStyle name="_Costs not in AURORA 2007 Rate Case_Electric COS Inputs 5 2" xfId="20346"/>
    <cellStyle name="_Costs not in AURORA 2007 Rate Case_Electric COS Inputs 6" xfId="18348"/>
    <cellStyle name="_Costs not in AURORA 2007 Rate Case_Exh A-1 resulting from UE-112050 effective Jan 1 2012" xfId="14844"/>
    <cellStyle name="_Costs not in AURORA 2007 Rate Case_Exh G - Klamath Peaker PPA fr C Locke 2-12" xfId="14845"/>
    <cellStyle name="_Costs not in AURORA 2007 Rate Case_Exhibit A-1 effective 4-1-11 fr S Free 12-11" xfId="14846"/>
    <cellStyle name="_Costs not in AURORA 2007 Rate Case_LSRWEP LGIA like Acctg Petition Aug 2010" xfId="12365"/>
    <cellStyle name="_Costs not in AURORA 2007 Rate Case_LSRWEP LGIA like Acctg Petition Aug 2010 2" xfId="23737"/>
    <cellStyle name="_Costs not in AURORA 2007 Rate Case_Mint Farm Generation BPA" xfId="23738"/>
    <cellStyle name="_Costs not in AURORA 2007 Rate Case_NIM Summary" xfId="917"/>
    <cellStyle name="_Costs not in AURORA 2007 Rate Case_NIM Summary 09GRC" xfId="918"/>
    <cellStyle name="_Costs not in AURORA 2007 Rate Case_NIM Summary 09GRC 2" xfId="919"/>
    <cellStyle name="_Costs not in AURORA 2007 Rate Case_NIM Summary 09GRC 2 2" xfId="4296"/>
    <cellStyle name="_Costs not in AURORA 2007 Rate Case_NIM Summary 09GRC 3" xfId="4295"/>
    <cellStyle name="_Costs not in AURORA 2007 Rate Case_NIM Summary 09GRC_DEM-WP(C) ENERG10C--ctn Mid-C_042010 2010GRC" xfId="12366"/>
    <cellStyle name="_Costs not in AURORA 2007 Rate Case_NIM Summary 10" xfId="4294"/>
    <cellStyle name="_Costs not in AURORA 2007 Rate Case_NIM Summary 11" xfId="6224"/>
    <cellStyle name="_Costs not in AURORA 2007 Rate Case_NIM Summary 12" xfId="6264"/>
    <cellStyle name="_Costs not in AURORA 2007 Rate Case_NIM Summary 13" xfId="6223"/>
    <cellStyle name="_Costs not in AURORA 2007 Rate Case_NIM Summary 14" xfId="6315"/>
    <cellStyle name="_Costs not in AURORA 2007 Rate Case_NIM Summary 15" xfId="14847"/>
    <cellStyle name="_Costs not in AURORA 2007 Rate Case_NIM Summary 16" xfId="14848"/>
    <cellStyle name="_Costs not in AURORA 2007 Rate Case_NIM Summary 17" xfId="14849"/>
    <cellStyle name="_Costs not in AURORA 2007 Rate Case_NIM Summary 18" xfId="14850"/>
    <cellStyle name="_Costs not in AURORA 2007 Rate Case_NIM Summary 19" xfId="14851"/>
    <cellStyle name="_Costs not in AURORA 2007 Rate Case_NIM Summary 2" xfId="920"/>
    <cellStyle name="_Costs not in AURORA 2007 Rate Case_NIM Summary 2 2" xfId="4297"/>
    <cellStyle name="_Costs not in AURORA 2007 Rate Case_NIM Summary 20" xfId="14852"/>
    <cellStyle name="_Costs not in AURORA 2007 Rate Case_NIM Summary 21" xfId="14853"/>
    <cellStyle name="_Costs not in AURORA 2007 Rate Case_NIM Summary 22" xfId="14854"/>
    <cellStyle name="_Costs not in AURORA 2007 Rate Case_NIM Summary 23" xfId="14855"/>
    <cellStyle name="_Costs not in AURORA 2007 Rate Case_NIM Summary 24" xfId="14856"/>
    <cellStyle name="_Costs not in AURORA 2007 Rate Case_NIM Summary 25" xfId="14857"/>
    <cellStyle name="_Costs not in AURORA 2007 Rate Case_NIM Summary 26" xfId="14858"/>
    <cellStyle name="_Costs not in AURORA 2007 Rate Case_NIM Summary 27" xfId="14859"/>
    <cellStyle name="_Costs not in AURORA 2007 Rate Case_NIM Summary 28" xfId="14860"/>
    <cellStyle name="_Costs not in AURORA 2007 Rate Case_NIM Summary 29" xfId="14861"/>
    <cellStyle name="_Costs not in AURORA 2007 Rate Case_NIM Summary 3" xfId="921"/>
    <cellStyle name="_Costs not in AURORA 2007 Rate Case_NIM Summary 3 2" xfId="4298"/>
    <cellStyle name="_Costs not in AURORA 2007 Rate Case_NIM Summary 30" xfId="14862"/>
    <cellStyle name="_Costs not in AURORA 2007 Rate Case_NIM Summary 31" xfId="14863"/>
    <cellStyle name="_Costs not in AURORA 2007 Rate Case_NIM Summary 32" xfId="14864"/>
    <cellStyle name="_Costs not in AURORA 2007 Rate Case_NIM Summary 33" xfId="14865"/>
    <cellStyle name="_Costs not in AURORA 2007 Rate Case_NIM Summary 34" xfId="14866"/>
    <cellStyle name="_Costs not in AURORA 2007 Rate Case_NIM Summary 35" xfId="14867"/>
    <cellStyle name="_Costs not in AURORA 2007 Rate Case_NIM Summary 36" xfId="14868"/>
    <cellStyle name="_Costs not in AURORA 2007 Rate Case_NIM Summary 37" xfId="14869"/>
    <cellStyle name="_Costs not in AURORA 2007 Rate Case_NIM Summary 38" xfId="14870"/>
    <cellStyle name="_Costs not in AURORA 2007 Rate Case_NIM Summary 39" xfId="14871"/>
    <cellStyle name="_Costs not in AURORA 2007 Rate Case_NIM Summary 4" xfId="922"/>
    <cellStyle name="_Costs not in AURORA 2007 Rate Case_NIM Summary 4 2" xfId="4299"/>
    <cellStyle name="_Costs not in AURORA 2007 Rate Case_NIM Summary 40" xfId="14872"/>
    <cellStyle name="_Costs not in AURORA 2007 Rate Case_NIM Summary 41" xfId="14873"/>
    <cellStyle name="_Costs not in AURORA 2007 Rate Case_NIM Summary 42" xfId="16264"/>
    <cellStyle name="_Costs not in AURORA 2007 Rate Case_NIM Summary 43" xfId="22316"/>
    <cellStyle name="_Costs not in AURORA 2007 Rate Case_NIM Summary 44" xfId="23739"/>
    <cellStyle name="_Costs not in AURORA 2007 Rate Case_NIM Summary 45" xfId="23740"/>
    <cellStyle name="_Costs not in AURORA 2007 Rate Case_NIM Summary 46" xfId="23741"/>
    <cellStyle name="_Costs not in AURORA 2007 Rate Case_NIM Summary 47" xfId="23742"/>
    <cellStyle name="_Costs not in AURORA 2007 Rate Case_NIM Summary 48" xfId="23743"/>
    <cellStyle name="_Costs not in AURORA 2007 Rate Case_NIM Summary 49" xfId="23744"/>
    <cellStyle name="_Costs not in AURORA 2007 Rate Case_NIM Summary 5" xfId="923"/>
    <cellStyle name="_Costs not in AURORA 2007 Rate Case_NIM Summary 5 2" xfId="4300"/>
    <cellStyle name="_Costs not in AURORA 2007 Rate Case_NIM Summary 50" xfId="23745"/>
    <cellStyle name="_Costs not in AURORA 2007 Rate Case_NIM Summary 51" xfId="41139"/>
    <cellStyle name="_Costs not in AURORA 2007 Rate Case_NIM Summary 52" xfId="7037"/>
    <cellStyle name="_Costs not in AURORA 2007 Rate Case_NIM Summary 6" xfId="924"/>
    <cellStyle name="_Costs not in AURORA 2007 Rate Case_NIM Summary 6 2" xfId="4301"/>
    <cellStyle name="_Costs not in AURORA 2007 Rate Case_NIM Summary 7" xfId="925"/>
    <cellStyle name="_Costs not in AURORA 2007 Rate Case_NIM Summary 7 2" xfId="4302"/>
    <cellStyle name="_Costs not in AURORA 2007 Rate Case_NIM Summary 8" xfId="926"/>
    <cellStyle name="_Costs not in AURORA 2007 Rate Case_NIM Summary 8 2" xfId="4303"/>
    <cellStyle name="_Costs not in AURORA 2007 Rate Case_NIM Summary 9" xfId="927"/>
    <cellStyle name="_Costs not in AURORA 2007 Rate Case_NIM Summary 9 2" xfId="4304"/>
    <cellStyle name="_Costs not in AURORA 2007 Rate Case_NIM Summary_DEM-WP(C) ENERG10C--ctn Mid-C_042010 2010GRC" xfId="12367"/>
    <cellStyle name="_Costs not in AURORA 2007 Rate Case_PCA 10 -  Exhibit D Dec 2011" xfId="14874"/>
    <cellStyle name="_Costs not in AURORA 2007 Rate Case_PCA 10 -  Exhibit D from A Kellogg Jan 2011" xfId="14088"/>
    <cellStyle name="_Costs not in AURORA 2007 Rate Case_PCA 10 -  Exhibit D from A Kellogg July 2011" xfId="14089"/>
    <cellStyle name="_Costs not in AURORA 2007 Rate Case_PCA 10 -  Exhibit D from S Free Rcv'd 12-11" xfId="14090"/>
    <cellStyle name="_Costs not in AURORA 2007 Rate Case_PCA 11 -  Exhibit D Jan 2012 fr A Kellogg" xfId="14875"/>
    <cellStyle name="_Costs not in AURORA 2007 Rate Case_PCA 11 -  Exhibit D Jan 2012 WF" xfId="14876"/>
    <cellStyle name="_Costs not in AURORA 2007 Rate Case_PCA 9 -  Exhibit D April 2010" xfId="14091"/>
    <cellStyle name="_Costs not in AURORA 2007 Rate Case_PCA 9 -  Exhibit D April 2010 (3)" xfId="928"/>
    <cellStyle name="_Costs not in AURORA 2007 Rate Case_PCA 9 -  Exhibit D April 2010 (3) 2" xfId="929"/>
    <cellStyle name="_Costs not in AURORA 2007 Rate Case_PCA 9 -  Exhibit D April 2010 (3) 2 2" xfId="4306"/>
    <cellStyle name="_Costs not in AURORA 2007 Rate Case_PCA 9 -  Exhibit D April 2010 (3) 3" xfId="4305"/>
    <cellStyle name="_Costs not in AURORA 2007 Rate Case_PCA 9 -  Exhibit D April 2010 (3)_DEM-WP(C) ENERG10C--ctn Mid-C_042010 2010GRC" xfId="12368"/>
    <cellStyle name="_Costs not in AURORA 2007 Rate Case_PCA 9 -  Exhibit D April 2010 2" xfId="14877"/>
    <cellStyle name="_Costs not in AURORA 2007 Rate Case_PCA 9 -  Exhibit D April 2010 3" xfId="14878"/>
    <cellStyle name="_Costs not in AURORA 2007 Rate Case_PCA 9 -  Exhibit D April 2010 4" xfId="14879"/>
    <cellStyle name="_Costs not in AURORA 2007 Rate Case_PCA 9 -  Exhibit D April 2010 5" xfId="14880"/>
    <cellStyle name="_Costs not in AURORA 2007 Rate Case_PCA 9 -  Exhibit D April 2010 6" xfId="14881"/>
    <cellStyle name="_Costs not in AURORA 2007 Rate Case_PCA 9 -  Exhibit D Nov 2010" xfId="14092"/>
    <cellStyle name="_Costs not in AURORA 2007 Rate Case_PCA 9 -  Exhibit D Nov 2010 2" xfId="14882"/>
    <cellStyle name="_Costs not in AURORA 2007 Rate Case_PCA 9 - Exhibit D at August 2010" xfId="14093"/>
    <cellStyle name="_Costs not in AURORA 2007 Rate Case_PCA 9 - Exhibit D at August 2010 2" xfId="14883"/>
    <cellStyle name="_Costs not in AURORA 2007 Rate Case_PCA 9 - Exhibit D June 2010 GRC" xfId="14094"/>
    <cellStyle name="_Costs not in AURORA 2007 Rate Case_PCA 9 - Exhibit D June 2010 GRC 2" xfId="14884"/>
    <cellStyle name="_Costs not in AURORA 2007 Rate Case_Power Costs - Comparison bx Rbtl-Staff-Jt-PC" xfId="930"/>
    <cellStyle name="_Costs not in AURORA 2007 Rate Case_Power Costs - Comparison bx Rbtl-Staff-Jt-PC 2" xfId="931"/>
    <cellStyle name="_Costs not in AURORA 2007 Rate Case_Power Costs - Comparison bx Rbtl-Staff-Jt-PC 2 2" xfId="4308"/>
    <cellStyle name="_Costs not in AURORA 2007 Rate Case_Power Costs - Comparison bx Rbtl-Staff-Jt-PC 2 2 2" xfId="20347"/>
    <cellStyle name="_Costs not in AURORA 2007 Rate Case_Power Costs - Comparison bx Rbtl-Staff-Jt-PC 2 3" xfId="16266"/>
    <cellStyle name="_Costs not in AURORA 2007 Rate Case_Power Costs - Comparison bx Rbtl-Staff-Jt-PC 3" xfId="4307"/>
    <cellStyle name="_Costs not in AURORA 2007 Rate Case_Power Costs - Comparison bx Rbtl-Staff-Jt-PC 3 2" xfId="20348"/>
    <cellStyle name="_Costs not in AURORA 2007 Rate Case_Power Costs - Comparison bx Rbtl-Staff-Jt-PC 4" xfId="16265"/>
    <cellStyle name="_Costs not in AURORA 2007 Rate Case_Power Costs - Comparison bx Rbtl-Staff-Jt-PC_Adj Bench DR 3 for Initial Briefs (Electric)" xfId="932"/>
    <cellStyle name="_Costs not in AURORA 2007 Rate Case_Power Costs - Comparison bx Rbtl-Staff-Jt-PC_Adj Bench DR 3 for Initial Briefs (Electric) 2" xfId="933"/>
    <cellStyle name="_Costs not in AURORA 2007 Rate Case_Power Costs - Comparison bx Rbtl-Staff-Jt-PC_Adj Bench DR 3 for Initial Briefs (Electric) 2 2" xfId="4310"/>
    <cellStyle name="_Costs not in AURORA 2007 Rate Case_Power Costs - Comparison bx Rbtl-Staff-Jt-PC_Adj Bench DR 3 for Initial Briefs (Electric) 2 2 2" xfId="20349"/>
    <cellStyle name="_Costs not in AURORA 2007 Rate Case_Power Costs - Comparison bx Rbtl-Staff-Jt-PC_Adj Bench DR 3 for Initial Briefs (Electric) 2 3" xfId="16268"/>
    <cellStyle name="_Costs not in AURORA 2007 Rate Case_Power Costs - Comparison bx Rbtl-Staff-Jt-PC_Adj Bench DR 3 for Initial Briefs (Electric) 3" xfId="4309"/>
    <cellStyle name="_Costs not in AURORA 2007 Rate Case_Power Costs - Comparison bx Rbtl-Staff-Jt-PC_Adj Bench DR 3 for Initial Briefs (Electric) 3 2" xfId="20350"/>
    <cellStyle name="_Costs not in AURORA 2007 Rate Case_Power Costs - Comparison bx Rbtl-Staff-Jt-PC_Adj Bench DR 3 for Initial Briefs (Electric) 4" xfId="16267"/>
    <cellStyle name="_Costs not in AURORA 2007 Rate Case_Power Costs - Comparison bx Rbtl-Staff-Jt-PC_Adj Bench DR 3 for Initial Briefs (Electric)_DEM-WP(C) ENERG10C--ctn Mid-C_042010 2010GRC" xfId="12369"/>
    <cellStyle name="_Costs not in AURORA 2007 Rate Case_Power Costs - Comparison bx Rbtl-Staff-Jt-PC_DEM-WP(C) ENERG10C--ctn Mid-C_042010 2010GRC" xfId="12370"/>
    <cellStyle name="_Costs not in AURORA 2007 Rate Case_Power Costs - Comparison bx Rbtl-Staff-Jt-PC_Electric Rev Req Model (2009 GRC) Rebuttal" xfId="934"/>
    <cellStyle name="_Costs not in AURORA 2007 Rate Case_Power Costs - Comparison bx Rbtl-Staff-Jt-PC_Electric Rev Req Model (2009 GRC) Rebuttal 2" xfId="4311"/>
    <cellStyle name="_Costs not in AURORA 2007 Rate Case_Power Costs - Comparison bx Rbtl-Staff-Jt-PC_Electric Rev Req Model (2009 GRC) Rebuttal 2 2" xfId="7038"/>
    <cellStyle name="_Costs not in AURORA 2007 Rate Case_Power Costs - Comparison bx Rbtl-Staff-Jt-PC_Electric Rev Req Model (2009 GRC) Rebuttal 2 2 2" xfId="20351"/>
    <cellStyle name="_Costs not in AURORA 2007 Rate Case_Power Costs - Comparison bx Rbtl-Staff-Jt-PC_Electric Rev Req Model (2009 GRC) Rebuttal 2 3" xfId="18355"/>
    <cellStyle name="_Costs not in AURORA 2007 Rate Case_Power Costs - Comparison bx Rbtl-Staff-Jt-PC_Electric Rev Req Model (2009 GRC) Rebuttal 3" xfId="7039"/>
    <cellStyle name="_Costs not in AURORA 2007 Rate Case_Power Costs - Comparison bx Rbtl-Staff-Jt-PC_Electric Rev Req Model (2009 GRC) Rebuttal 3 2" xfId="20352"/>
    <cellStyle name="_Costs not in AURORA 2007 Rate Case_Power Costs - Comparison bx Rbtl-Staff-Jt-PC_Electric Rev Req Model (2009 GRC) Rebuttal 4" xfId="16269"/>
    <cellStyle name="_Costs not in AURORA 2007 Rate Case_Power Costs - Comparison bx Rbtl-Staff-Jt-PC_Electric Rev Req Model (2009 GRC) Rebuttal REmoval of New  WH Solar AdjustMI" xfId="935"/>
    <cellStyle name="_Costs not in AURORA 2007 Rate Case_Power Costs - Comparison bx Rbtl-Staff-Jt-PC_Electric Rev Req Model (2009 GRC) Rebuttal REmoval of New  WH Solar AdjustMI 2" xfId="936"/>
    <cellStyle name="_Costs not in AURORA 2007 Rate Case_Power Costs - Comparison bx Rbtl-Staff-Jt-PC_Electric Rev Req Model (2009 GRC) Rebuttal REmoval of New  WH Solar AdjustMI 2 2" xfId="4313"/>
    <cellStyle name="_Costs not in AURORA 2007 Rate Case_Power Costs - Comparison bx Rbtl-Staff-Jt-PC_Electric Rev Req Model (2009 GRC) Rebuttal REmoval of New  WH Solar AdjustMI 2 2 2" xfId="20353"/>
    <cellStyle name="_Costs not in AURORA 2007 Rate Case_Power Costs - Comparison bx Rbtl-Staff-Jt-PC_Electric Rev Req Model (2009 GRC) Rebuttal REmoval of New  WH Solar AdjustMI 2 3" xfId="16271"/>
    <cellStyle name="_Costs not in AURORA 2007 Rate Case_Power Costs - Comparison bx Rbtl-Staff-Jt-PC_Electric Rev Req Model (2009 GRC) Rebuttal REmoval of New  WH Solar AdjustMI 3" xfId="4312"/>
    <cellStyle name="_Costs not in AURORA 2007 Rate Case_Power Costs - Comparison bx Rbtl-Staff-Jt-PC_Electric Rev Req Model (2009 GRC) Rebuttal REmoval of New  WH Solar AdjustMI 3 2" xfId="20354"/>
    <cellStyle name="_Costs not in AURORA 2007 Rate Case_Power Costs - Comparison bx Rbtl-Staff-Jt-PC_Electric Rev Req Model (2009 GRC) Rebuttal REmoval of New  WH Solar AdjustMI 4" xfId="16270"/>
    <cellStyle name="_Costs not in AURORA 2007 Rate Case_Power Costs - Comparison bx Rbtl-Staff-Jt-PC_Electric Rev Req Model (2009 GRC) Rebuttal REmoval of New  WH Solar AdjustMI_DEM-WP(C) ENERG10C--ctn Mid-C_042010 2010GRC" xfId="12371"/>
    <cellStyle name="_Costs not in AURORA 2007 Rate Case_Power Costs - Comparison bx Rbtl-Staff-Jt-PC_Electric Rev Req Model (2009 GRC) Revised 01-18-2010" xfId="937"/>
    <cellStyle name="_Costs not in AURORA 2007 Rate Case_Power Costs - Comparison bx Rbtl-Staff-Jt-PC_Electric Rev Req Model (2009 GRC) Revised 01-18-2010 2" xfId="938"/>
    <cellStyle name="_Costs not in AURORA 2007 Rate Case_Power Costs - Comparison bx Rbtl-Staff-Jt-PC_Electric Rev Req Model (2009 GRC) Revised 01-18-2010 2 2" xfId="4315"/>
    <cellStyle name="_Costs not in AURORA 2007 Rate Case_Power Costs - Comparison bx Rbtl-Staff-Jt-PC_Electric Rev Req Model (2009 GRC) Revised 01-18-2010 2 2 2" xfId="20355"/>
    <cellStyle name="_Costs not in AURORA 2007 Rate Case_Power Costs - Comparison bx Rbtl-Staff-Jt-PC_Electric Rev Req Model (2009 GRC) Revised 01-18-2010 2 3" xfId="16273"/>
    <cellStyle name="_Costs not in AURORA 2007 Rate Case_Power Costs - Comparison bx Rbtl-Staff-Jt-PC_Electric Rev Req Model (2009 GRC) Revised 01-18-2010 3" xfId="4314"/>
    <cellStyle name="_Costs not in AURORA 2007 Rate Case_Power Costs - Comparison bx Rbtl-Staff-Jt-PC_Electric Rev Req Model (2009 GRC) Revised 01-18-2010 3 2" xfId="20356"/>
    <cellStyle name="_Costs not in AURORA 2007 Rate Case_Power Costs - Comparison bx Rbtl-Staff-Jt-PC_Electric Rev Req Model (2009 GRC) Revised 01-18-2010 4" xfId="16272"/>
    <cellStyle name="_Costs not in AURORA 2007 Rate Case_Power Costs - Comparison bx Rbtl-Staff-Jt-PC_Electric Rev Req Model (2009 GRC) Revised 01-18-2010_DEM-WP(C) ENERG10C--ctn Mid-C_042010 2010GRC" xfId="12372"/>
    <cellStyle name="_Costs not in AURORA 2007 Rate Case_Power Costs - Comparison bx Rbtl-Staff-Jt-PC_Final Order Electric EXHIBIT A-1" xfId="939"/>
    <cellStyle name="_Costs not in AURORA 2007 Rate Case_Power Costs - Comparison bx Rbtl-Staff-Jt-PC_Final Order Electric EXHIBIT A-1 2" xfId="4316"/>
    <cellStyle name="_Costs not in AURORA 2007 Rate Case_Power Costs - Comparison bx Rbtl-Staff-Jt-PC_Final Order Electric EXHIBIT A-1 2 2" xfId="7040"/>
    <cellStyle name="_Costs not in AURORA 2007 Rate Case_Power Costs - Comparison bx Rbtl-Staff-Jt-PC_Final Order Electric EXHIBIT A-1 2 2 2" xfId="20357"/>
    <cellStyle name="_Costs not in AURORA 2007 Rate Case_Power Costs - Comparison bx Rbtl-Staff-Jt-PC_Final Order Electric EXHIBIT A-1 2 3" xfId="18356"/>
    <cellStyle name="_Costs not in AURORA 2007 Rate Case_Power Costs - Comparison bx Rbtl-Staff-Jt-PC_Final Order Electric EXHIBIT A-1 3" xfId="7041"/>
    <cellStyle name="_Costs not in AURORA 2007 Rate Case_Power Costs - Comparison bx Rbtl-Staff-Jt-PC_Final Order Electric EXHIBIT A-1 3 2" xfId="20358"/>
    <cellStyle name="_Costs not in AURORA 2007 Rate Case_Power Costs - Comparison bx Rbtl-Staff-Jt-PC_Final Order Electric EXHIBIT A-1 4" xfId="16274"/>
    <cellStyle name="_Costs not in AURORA 2007 Rate Case_Production Adj 4.37" xfId="7042"/>
    <cellStyle name="_Costs not in AURORA 2007 Rate Case_Production Adj 4.37 2" xfId="7043"/>
    <cellStyle name="_Costs not in AURORA 2007 Rate Case_Production Adj 4.37 2 2" xfId="7044"/>
    <cellStyle name="_Costs not in AURORA 2007 Rate Case_Production Adj 4.37 2 2 2" xfId="20359"/>
    <cellStyle name="_Costs not in AURORA 2007 Rate Case_Production Adj 4.37 2 3" xfId="18358"/>
    <cellStyle name="_Costs not in AURORA 2007 Rate Case_Production Adj 4.37 3" xfId="7045"/>
    <cellStyle name="_Costs not in AURORA 2007 Rate Case_Production Adj 4.37 3 2" xfId="20360"/>
    <cellStyle name="_Costs not in AURORA 2007 Rate Case_Production Adj 4.37 4" xfId="18357"/>
    <cellStyle name="_Costs not in AURORA 2007 Rate Case_Purchased Power Adj 4.03" xfId="7046"/>
    <cellStyle name="_Costs not in AURORA 2007 Rate Case_Purchased Power Adj 4.03 2" xfId="7047"/>
    <cellStyle name="_Costs not in AURORA 2007 Rate Case_Purchased Power Adj 4.03 2 2" xfId="7048"/>
    <cellStyle name="_Costs not in AURORA 2007 Rate Case_Purchased Power Adj 4.03 2 2 2" xfId="20361"/>
    <cellStyle name="_Costs not in AURORA 2007 Rate Case_Purchased Power Adj 4.03 2 3" xfId="18360"/>
    <cellStyle name="_Costs not in AURORA 2007 Rate Case_Purchased Power Adj 4.03 3" xfId="7049"/>
    <cellStyle name="_Costs not in AURORA 2007 Rate Case_Purchased Power Adj 4.03 3 2" xfId="20362"/>
    <cellStyle name="_Costs not in AURORA 2007 Rate Case_Purchased Power Adj 4.03 4" xfId="18359"/>
    <cellStyle name="_Costs not in AURORA 2007 Rate Case_Rebuttal Power Costs" xfId="940"/>
    <cellStyle name="_Costs not in AURORA 2007 Rate Case_Rebuttal Power Costs 2" xfId="941"/>
    <cellStyle name="_Costs not in AURORA 2007 Rate Case_Rebuttal Power Costs 2 2" xfId="4318"/>
    <cellStyle name="_Costs not in AURORA 2007 Rate Case_Rebuttal Power Costs 2 2 2" xfId="20363"/>
    <cellStyle name="_Costs not in AURORA 2007 Rate Case_Rebuttal Power Costs 2 3" xfId="16276"/>
    <cellStyle name="_Costs not in AURORA 2007 Rate Case_Rebuttal Power Costs 3" xfId="4317"/>
    <cellStyle name="_Costs not in AURORA 2007 Rate Case_Rebuttal Power Costs 3 2" xfId="20364"/>
    <cellStyle name="_Costs not in AURORA 2007 Rate Case_Rebuttal Power Costs 4" xfId="16275"/>
    <cellStyle name="_Costs not in AURORA 2007 Rate Case_Rebuttal Power Costs_Adj Bench DR 3 for Initial Briefs (Electric)" xfId="942"/>
    <cellStyle name="_Costs not in AURORA 2007 Rate Case_Rebuttal Power Costs_Adj Bench DR 3 for Initial Briefs (Electric) 2" xfId="943"/>
    <cellStyle name="_Costs not in AURORA 2007 Rate Case_Rebuttal Power Costs_Adj Bench DR 3 for Initial Briefs (Electric) 2 2" xfId="4320"/>
    <cellStyle name="_Costs not in AURORA 2007 Rate Case_Rebuttal Power Costs_Adj Bench DR 3 for Initial Briefs (Electric) 2 2 2" xfId="20365"/>
    <cellStyle name="_Costs not in AURORA 2007 Rate Case_Rebuttal Power Costs_Adj Bench DR 3 for Initial Briefs (Electric) 2 3" xfId="16278"/>
    <cellStyle name="_Costs not in AURORA 2007 Rate Case_Rebuttal Power Costs_Adj Bench DR 3 for Initial Briefs (Electric) 3" xfId="4319"/>
    <cellStyle name="_Costs not in AURORA 2007 Rate Case_Rebuttal Power Costs_Adj Bench DR 3 for Initial Briefs (Electric) 3 2" xfId="20366"/>
    <cellStyle name="_Costs not in AURORA 2007 Rate Case_Rebuttal Power Costs_Adj Bench DR 3 for Initial Briefs (Electric) 4" xfId="16277"/>
    <cellStyle name="_Costs not in AURORA 2007 Rate Case_Rebuttal Power Costs_Adj Bench DR 3 for Initial Briefs (Electric)_DEM-WP(C) ENERG10C--ctn Mid-C_042010 2010GRC" xfId="12373"/>
    <cellStyle name="_Costs not in AURORA 2007 Rate Case_Rebuttal Power Costs_DEM-WP(C) ENERG10C--ctn Mid-C_042010 2010GRC" xfId="12374"/>
    <cellStyle name="_Costs not in AURORA 2007 Rate Case_Rebuttal Power Costs_Electric Rev Req Model (2009 GRC) Rebuttal" xfId="944"/>
    <cellStyle name="_Costs not in AURORA 2007 Rate Case_Rebuttal Power Costs_Electric Rev Req Model (2009 GRC) Rebuttal 2" xfId="4321"/>
    <cellStyle name="_Costs not in AURORA 2007 Rate Case_Rebuttal Power Costs_Electric Rev Req Model (2009 GRC) Rebuttal 2 2" xfId="7050"/>
    <cellStyle name="_Costs not in AURORA 2007 Rate Case_Rebuttal Power Costs_Electric Rev Req Model (2009 GRC) Rebuttal 2 2 2" xfId="20367"/>
    <cellStyle name="_Costs not in AURORA 2007 Rate Case_Rebuttal Power Costs_Electric Rev Req Model (2009 GRC) Rebuttal 2 3" xfId="18361"/>
    <cellStyle name="_Costs not in AURORA 2007 Rate Case_Rebuttal Power Costs_Electric Rev Req Model (2009 GRC) Rebuttal 3" xfId="7051"/>
    <cellStyle name="_Costs not in AURORA 2007 Rate Case_Rebuttal Power Costs_Electric Rev Req Model (2009 GRC) Rebuttal 3 2" xfId="20368"/>
    <cellStyle name="_Costs not in AURORA 2007 Rate Case_Rebuttal Power Costs_Electric Rev Req Model (2009 GRC) Rebuttal 4" xfId="16279"/>
    <cellStyle name="_Costs not in AURORA 2007 Rate Case_Rebuttal Power Costs_Electric Rev Req Model (2009 GRC) Rebuttal REmoval of New  WH Solar AdjustMI" xfId="945"/>
    <cellStyle name="_Costs not in AURORA 2007 Rate Case_Rebuttal Power Costs_Electric Rev Req Model (2009 GRC) Rebuttal REmoval of New  WH Solar AdjustMI 2" xfId="946"/>
    <cellStyle name="_Costs not in AURORA 2007 Rate Case_Rebuttal Power Costs_Electric Rev Req Model (2009 GRC) Rebuttal REmoval of New  WH Solar AdjustMI 2 2" xfId="4323"/>
    <cellStyle name="_Costs not in AURORA 2007 Rate Case_Rebuttal Power Costs_Electric Rev Req Model (2009 GRC) Rebuttal REmoval of New  WH Solar AdjustMI 2 2 2" xfId="20369"/>
    <cellStyle name="_Costs not in AURORA 2007 Rate Case_Rebuttal Power Costs_Electric Rev Req Model (2009 GRC) Rebuttal REmoval of New  WH Solar AdjustMI 2 3" xfId="16281"/>
    <cellStyle name="_Costs not in AURORA 2007 Rate Case_Rebuttal Power Costs_Electric Rev Req Model (2009 GRC) Rebuttal REmoval of New  WH Solar AdjustMI 3" xfId="4322"/>
    <cellStyle name="_Costs not in AURORA 2007 Rate Case_Rebuttal Power Costs_Electric Rev Req Model (2009 GRC) Rebuttal REmoval of New  WH Solar AdjustMI 3 2" xfId="20370"/>
    <cellStyle name="_Costs not in AURORA 2007 Rate Case_Rebuttal Power Costs_Electric Rev Req Model (2009 GRC) Rebuttal REmoval of New  WH Solar AdjustMI 4" xfId="16280"/>
    <cellStyle name="_Costs not in AURORA 2007 Rate Case_Rebuttal Power Costs_Electric Rev Req Model (2009 GRC) Rebuttal REmoval of New  WH Solar AdjustMI_DEM-WP(C) ENERG10C--ctn Mid-C_042010 2010GRC" xfId="12375"/>
    <cellStyle name="_Costs not in AURORA 2007 Rate Case_Rebuttal Power Costs_Electric Rev Req Model (2009 GRC) Revised 01-18-2010" xfId="947"/>
    <cellStyle name="_Costs not in AURORA 2007 Rate Case_Rebuttal Power Costs_Electric Rev Req Model (2009 GRC) Revised 01-18-2010 2" xfId="948"/>
    <cellStyle name="_Costs not in AURORA 2007 Rate Case_Rebuttal Power Costs_Electric Rev Req Model (2009 GRC) Revised 01-18-2010 2 2" xfId="4325"/>
    <cellStyle name="_Costs not in AURORA 2007 Rate Case_Rebuttal Power Costs_Electric Rev Req Model (2009 GRC) Revised 01-18-2010 2 2 2" xfId="20371"/>
    <cellStyle name="_Costs not in AURORA 2007 Rate Case_Rebuttal Power Costs_Electric Rev Req Model (2009 GRC) Revised 01-18-2010 2 3" xfId="16283"/>
    <cellStyle name="_Costs not in AURORA 2007 Rate Case_Rebuttal Power Costs_Electric Rev Req Model (2009 GRC) Revised 01-18-2010 3" xfId="4324"/>
    <cellStyle name="_Costs not in AURORA 2007 Rate Case_Rebuttal Power Costs_Electric Rev Req Model (2009 GRC) Revised 01-18-2010 3 2" xfId="20372"/>
    <cellStyle name="_Costs not in AURORA 2007 Rate Case_Rebuttal Power Costs_Electric Rev Req Model (2009 GRC) Revised 01-18-2010 4" xfId="16282"/>
    <cellStyle name="_Costs not in AURORA 2007 Rate Case_Rebuttal Power Costs_Electric Rev Req Model (2009 GRC) Revised 01-18-2010_DEM-WP(C) ENERG10C--ctn Mid-C_042010 2010GRC" xfId="12376"/>
    <cellStyle name="_Costs not in AURORA 2007 Rate Case_Rebuttal Power Costs_Final Order Electric EXHIBIT A-1" xfId="949"/>
    <cellStyle name="_Costs not in AURORA 2007 Rate Case_Rebuttal Power Costs_Final Order Electric EXHIBIT A-1 2" xfId="4326"/>
    <cellStyle name="_Costs not in AURORA 2007 Rate Case_Rebuttal Power Costs_Final Order Electric EXHIBIT A-1 2 2" xfId="7052"/>
    <cellStyle name="_Costs not in AURORA 2007 Rate Case_Rebuttal Power Costs_Final Order Electric EXHIBIT A-1 2 2 2" xfId="20373"/>
    <cellStyle name="_Costs not in AURORA 2007 Rate Case_Rebuttal Power Costs_Final Order Electric EXHIBIT A-1 2 3" xfId="18362"/>
    <cellStyle name="_Costs not in AURORA 2007 Rate Case_Rebuttal Power Costs_Final Order Electric EXHIBIT A-1 3" xfId="7053"/>
    <cellStyle name="_Costs not in AURORA 2007 Rate Case_Rebuttal Power Costs_Final Order Electric EXHIBIT A-1 3 2" xfId="20374"/>
    <cellStyle name="_Costs not in AURORA 2007 Rate Case_Rebuttal Power Costs_Final Order Electric EXHIBIT A-1 4" xfId="16284"/>
    <cellStyle name="_Costs not in AURORA 2007 Rate Case_ROR 5.02" xfId="7054"/>
    <cellStyle name="_Costs not in AURORA 2007 Rate Case_ROR 5.02 2" xfId="7055"/>
    <cellStyle name="_Costs not in AURORA 2007 Rate Case_ROR 5.02 2 2" xfId="7056"/>
    <cellStyle name="_Costs not in AURORA 2007 Rate Case_ROR 5.02 2 2 2" xfId="20375"/>
    <cellStyle name="_Costs not in AURORA 2007 Rate Case_ROR 5.02 2 3" xfId="18364"/>
    <cellStyle name="_Costs not in AURORA 2007 Rate Case_ROR 5.02 3" xfId="7057"/>
    <cellStyle name="_Costs not in AURORA 2007 Rate Case_ROR 5.02 3 2" xfId="20376"/>
    <cellStyle name="_Costs not in AURORA 2007 Rate Case_ROR 5.02 4" xfId="18363"/>
    <cellStyle name="_Costs not in AURORA 2007 Rate Case_Transmission Workbook for May BOD" xfId="950"/>
    <cellStyle name="_Costs not in AURORA 2007 Rate Case_Transmission Workbook for May BOD 2" xfId="951"/>
    <cellStyle name="_Costs not in AURORA 2007 Rate Case_Transmission Workbook for May BOD 2 2" xfId="4328"/>
    <cellStyle name="_Costs not in AURORA 2007 Rate Case_Transmission Workbook for May BOD 3" xfId="4327"/>
    <cellStyle name="_Costs not in AURORA 2007 Rate Case_Transmission Workbook for May BOD_DEM-WP(C) ENERG10C--ctn Mid-C_042010 2010GRC" xfId="12377"/>
    <cellStyle name="_Costs not in AURORA 2007 Rate Case_Wind Integration 10GRC" xfId="952"/>
    <cellStyle name="_Costs not in AURORA 2007 Rate Case_Wind Integration 10GRC 2" xfId="953"/>
    <cellStyle name="_Costs not in AURORA 2007 Rate Case_Wind Integration 10GRC 2 2" xfId="4330"/>
    <cellStyle name="_Costs not in AURORA 2007 Rate Case_Wind Integration 10GRC 3" xfId="4329"/>
    <cellStyle name="_Costs not in AURORA 2007 Rate Case_Wind Integration 10GRC_DEM-WP(C) ENERG10C--ctn Mid-C_042010 2010GRC" xfId="12378"/>
    <cellStyle name="_Costs not in KWI3000 '06Budget" xfId="954"/>
    <cellStyle name="_Costs not in KWI3000 '06Budget 10" xfId="23746"/>
    <cellStyle name="_Costs not in KWI3000 '06Budget 10 2" xfId="23747"/>
    <cellStyle name="_Costs not in KWI3000 '06Budget 2" xfId="955"/>
    <cellStyle name="_Costs not in KWI3000 '06Budget 2 2" xfId="956"/>
    <cellStyle name="_Costs not in KWI3000 '06Budget 2 2 2" xfId="4332"/>
    <cellStyle name="_Costs not in KWI3000 '06Budget 2 2 2 2" xfId="20377"/>
    <cellStyle name="_Costs not in KWI3000 '06Budget 2 2 3" xfId="16286"/>
    <cellStyle name="_Costs not in KWI3000 '06Budget 2 3" xfId="4331"/>
    <cellStyle name="_Costs not in KWI3000 '06Budget 2 3 2" xfId="20378"/>
    <cellStyle name="_Costs not in KWI3000 '06Budget 2 4" xfId="16285"/>
    <cellStyle name="_Costs not in KWI3000 '06Budget 3" xfId="957"/>
    <cellStyle name="_Costs not in KWI3000 '06Budget 3 2" xfId="4333"/>
    <cellStyle name="_Costs not in KWI3000 '06Budget 3 2 2" xfId="7058"/>
    <cellStyle name="_Costs not in KWI3000 '06Budget 3 2 2 2" xfId="20379"/>
    <cellStyle name="_Costs not in KWI3000 '06Budget 3 2 3" xfId="18365"/>
    <cellStyle name="_Costs not in KWI3000 '06Budget 3 3" xfId="7059"/>
    <cellStyle name="_Costs not in KWI3000 '06Budget 3 3 2" xfId="7060"/>
    <cellStyle name="_Costs not in KWI3000 '06Budget 3 3 2 2" xfId="20380"/>
    <cellStyle name="_Costs not in KWI3000 '06Budget 3 3 3" xfId="18366"/>
    <cellStyle name="_Costs not in KWI3000 '06Budget 3 4" xfId="7061"/>
    <cellStyle name="_Costs not in KWI3000 '06Budget 3 4 2" xfId="7062"/>
    <cellStyle name="_Costs not in KWI3000 '06Budget 3 4 2 2" xfId="20381"/>
    <cellStyle name="_Costs not in KWI3000 '06Budget 3 4 3" xfId="18367"/>
    <cellStyle name="_Costs not in KWI3000 '06Budget 3 5" xfId="16287"/>
    <cellStyle name="_Costs not in KWI3000 '06Budget 4" xfId="958"/>
    <cellStyle name="_Costs not in KWI3000 '06Budget 4 2" xfId="959"/>
    <cellStyle name="_Costs not in KWI3000 '06Budget 4 2 2" xfId="4335"/>
    <cellStyle name="_Costs not in KWI3000 '06Budget 4 3" xfId="4334"/>
    <cellStyle name="_Costs not in KWI3000 '06Budget 5" xfId="7063"/>
    <cellStyle name="_Costs not in KWI3000 '06Budget 5 2" xfId="12379"/>
    <cellStyle name="_Costs not in KWI3000 '06Budget 5 2 2" xfId="23748"/>
    <cellStyle name="_Costs not in KWI3000 '06Budget 5 2 3" xfId="23749"/>
    <cellStyle name="_Costs not in KWI3000 '06Budget 5 3" xfId="20382"/>
    <cellStyle name="_Costs not in KWI3000 '06Budget 5 3 2" xfId="23750"/>
    <cellStyle name="_Costs not in KWI3000 '06Budget 6" xfId="7064"/>
    <cellStyle name="_Costs not in KWI3000 '06Budget 6 2" xfId="23751"/>
    <cellStyle name="_Costs not in KWI3000 '06Budget 6 2 2" xfId="23752"/>
    <cellStyle name="_Costs not in KWI3000 '06Budget 6 3" xfId="23753"/>
    <cellStyle name="_Costs not in KWI3000 '06Budget 7" xfId="12380"/>
    <cellStyle name="_Costs not in KWI3000 '06Budget 7 2" xfId="12381"/>
    <cellStyle name="_Costs not in KWI3000 '06Budget 8" xfId="12382"/>
    <cellStyle name="_Costs not in KWI3000 '06Budget 8 2" xfId="12383"/>
    <cellStyle name="_Costs not in KWI3000 '06Budget 9" xfId="23754"/>
    <cellStyle name="_Costs not in KWI3000 '06Budget 9 2" xfId="23755"/>
    <cellStyle name="_Costs not in KWI3000 '06Budget_(C) WHE Proforma with ITC cash grant 10 Yr Amort_for deferral_102809" xfId="960"/>
    <cellStyle name="_Costs not in KWI3000 '06Budget_(C) WHE Proforma with ITC cash grant 10 Yr Amort_for deferral_102809 2" xfId="961"/>
    <cellStyle name="_Costs not in KWI3000 '06Budget_(C) WHE Proforma with ITC cash grant 10 Yr Amort_for deferral_102809 2 2" xfId="4337"/>
    <cellStyle name="_Costs not in KWI3000 '06Budget_(C) WHE Proforma with ITC cash grant 10 Yr Amort_for deferral_102809 2 2 2" xfId="20383"/>
    <cellStyle name="_Costs not in KWI3000 '06Budget_(C) WHE Proforma with ITC cash grant 10 Yr Amort_for deferral_102809 2 3" xfId="16289"/>
    <cellStyle name="_Costs not in KWI3000 '06Budget_(C) WHE Proforma with ITC cash grant 10 Yr Amort_for deferral_102809 3" xfId="4336"/>
    <cellStyle name="_Costs not in KWI3000 '06Budget_(C) WHE Proforma with ITC cash grant 10 Yr Amort_for deferral_102809 3 2" xfId="20384"/>
    <cellStyle name="_Costs not in KWI3000 '06Budget_(C) WHE Proforma with ITC cash grant 10 Yr Amort_for deferral_102809 4" xfId="16288"/>
    <cellStyle name="_Costs not in KWI3000 '06Budget_(C) WHE Proforma with ITC cash grant 10 Yr Amort_for deferral_102809_16.07E Wild Horse Wind Expansionwrkingfile" xfId="962"/>
    <cellStyle name="_Costs not in KWI3000 '06Budget_(C) WHE Proforma with ITC cash grant 10 Yr Amort_for deferral_102809_16.07E Wild Horse Wind Expansionwrkingfile 2" xfId="963"/>
    <cellStyle name="_Costs not in KWI3000 '06Budget_(C) WHE Proforma with ITC cash grant 10 Yr Amort_for deferral_102809_16.07E Wild Horse Wind Expansionwrkingfile 2 2" xfId="4339"/>
    <cellStyle name="_Costs not in KWI3000 '06Budget_(C) WHE Proforma with ITC cash grant 10 Yr Amort_for deferral_102809_16.07E Wild Horse Wind Expansionwrkingfile 2 2 2" xfId="20385"/>
    <cellStyle name="_Costs not in KWI3000 '06Budget_(C) WHE Proforma with ITC cash grant 10 Yr Amort_for deferral_102809_16.07E Wild Horse Wind Expansionwrkingfile 2 3" xfId="16291"/>
    <cellStyle name="_Costs not in KWI3000 '06Budget_(C) WHE Proforma with ITC cash grant 10 Yr Amort_for deferral_102809_16.07E Wild Horse Wind Expansionwrkingfile 3" xfId="4338"/>
    <cellStyle name="_Costs not in KWI3000 '06Budget_(C) WHE Proforma with ITC cash grant 10 Yr Amort_for deferral_102809_16.07E Wild Horse Wind Expansionwrkingfile 3 2" xfId="20386"/>
    <cellStyle name="_Costs not in KWI3000 '06Budget_(C) WHE Proforma with ITC cash grant 10 Yr Amort_for deferral_102809_16.07E Wild Horse Wind Expansionwrkingfile 4" xfId="16290"/>
    <cellStyle name="_Costs not in KWI3000 '06Budget_(C) WHE Proforma with ITC cash grant 10 Yr Amort_for deferral_102809_16.07E Wild Horse Wind Expansionwrkingfile SF" xfId="964"/>
    <cellStyle name="_Costs not in KWI3000 '06Budget_(C) WHE Proforma with ITC cash grant 10 Yr Amort_for deferral_102809_16.07E Wild Horse Wind Expansionwrkingfile SF 2" xfId="965"/>
    <cellStyle name="_Costs not in KWI3000 '06Budget_(C) WHE Proforma with ITC cash grant 10 Yr Amort_for deferral_102809_16.07E Wild Horse Wind Expansionwrkingfile SF 2 2" xfId="4341"/>
    <cellStyle name="_Costs not in KWI3000 '06Budget_(C) WHE Proforma with ITC cash grant 10 Yr Amort_for deferral_102809_16.07E Wild Horse Wind Expansionwrkingfile SF 2 2 2" xfId="20387"/>
    <cellStyle name="_Costs not in KWI3000 '06Budget_(C) WHE Proforma with ITC cash grant 10 Yr Amort_for deferral_102809_16.07E Wild Horse Wind Expansionwrkingfile SF 2 3" xfId="16293"/>
    <cellStyle name="_Costs not in KWI3000 '06Budget_(C) WHE Proforma with ITC cash grant 10 Yr Amort_for deferral_102809_16.07E Wild Horse Wind Expansionwrkingfile SF 3" xfId="4340"/>
    <cellStyle name="_Costs not in KWI3000 '06Budget_(C) WHE Proforma with ITC cash grant 10 Yr Amort_for deferral_102809_16.07E Wild Horse Wind Expansionwrkingfile SF 3 2" xfId="20388"/>
    <cellStyle name="_Costs not in KWI3000 '06Budget_(C) WHE Proforma with ITC cash grant 10 Yr Amort_for deferral_102809_16.07E Wild Horse Wind Expansionwrkingfile SF 4" xfId="16292"/>
    <cellStyle name="_Costs not in KWI3000 '06Budget_(C) WHE Proforma with ITC cash grant 10 Yr Amort_for deferral_102809_16.07E Wild Horse Wind Expansionwrkingfile SF_DEM-WP(C) ENERG10C--ctn Mid-C_042010 2010GRC" xfId="12384"/>
    <cellStyle name="_Costs not in KWI3000 '06Budget_(C) WHE Proforma with ITC cash grant 10 Yr Amort_for deferral_102809_16.07E Wild Horse Wind Expansionwrkingfile_DEM-WP(C) ENERG10C--ctn Mid-C_042010 2010GRC" xfId="12385"/>
    <cellStyle name="_Costs not in KWI3000 '06Budget_(C) WHE Proforma with ITC cash grant 10 Yr Amort_for deferral_102809_16.37E Wild Horse Expansion DeferralRevwrkingfile SF" xfId="966"/>
    <cellStyle name="_Costs not in KWI3000 '06Budget_(C) WHE Proforma with ITC cash grant 10 Yr Amort_for deferral_102809_16.37E Wild Horse Expansion DeferralRevwrkingfile SF 2" xfId="967"/>
    <cellStyle name="_Costs not in KWI3000 '06Budget_(C) WHE Proforma with ITC cash grant 10 Yr Amort_for deferral_102809_16.37E Wild Horse Expansion DeferralRevwrkingfile SF 2 2" xfId="4343"/>
    <cellStyle name="_Costs not in KWI3000 '06Budget_(C) WHE Proforma with ITC cash grant 10 Yr Amort_for deferral_102809_16.37E Wild Horse Expansion DeferralRevwrkingfile SF 2 2 2" xfId="20389"/>
    <cellStyle name="_Costs not in KWI3000 '06Budget_(C) WHE Proforma with ITC cash grant 10 Yr Amort_for deferral_102809_16.37E Wild Horse Expansion DeferralRevwrkingfile SF 2 3" xfId="16295"/>
    <cellStyle name="_Costs not in KWI3000 '06Budget_(C) WHE Proforma with ITC cash grant 10 Yr Amort_for deferral_102809_16.37E Wild Horse Expansion DeferralRevwrkingfile SF 3" xfId="4342"/>
    <cellStyle name="_Costs not in KWI3000 '06Budget_(C) WHE Proforma with ITC cash grant 10 Yr Amort_for deferral_102809_16.37E Wild Horse Expansion DeferralRevwrkingfile SF 3 2" xfId="20390"/>
    <cellStyle name="_Costs not in KWI3000 '06Budget_(C) WHE Proforma with ITC cash grant 10 Yr Amort_for deferral_102809_16.37E Wild Horse Expansion DeferralRevwrkingfile SF 4" xfId="16294"/>
    <cellStyle name="_Costs not in KWI3000 '06Budget_(C) WHE Proforma with ITC cash grant 10 Yr Amort_for deferral_102809_16.37E Wild Horse Expansion DeferralRevwrkingfile SF_DEM-WP(C) ENERG10C--ctn Mid-C_042010 2010GRC" xfId="12386"/>
    <cellStyle name="_Costs not in KWI3000 '06Budget_(C) WHE Proforma with ITC cash grant 10 Yr Amort_for deferral_102809_DEM-WP(C) ENERG10C--ctn Mid-C_042010 2010GRC" xfId="12387"/>
    <cellStyle name="_Costs not in KWI3000 '06Budget_(C) WHE Proforma with ITC cash grant 10 Yr Amort_for rebuttal_120709" xfId="968"/>
    <cellStyle name="_Costs not in KWI3000 '06Budget_(C) WHE Proforma with ITC cash grant 10 Yr Amort_for rebuttal_120709 2" xfId="969"/>
    <cellStyle name="_Costs not in KWI3000 '06Budget_(C) WHE Proforma with ITC cash grant 10 Yr Amort_for rebuttal_120709 2 2" xfId="4344"/>
    <cellStyle name="_Costs not in KWI3000 '06Budget_(C) WHE Proforma with ITC cash grant 10 Yr Amort_for rebuttal_120709 2 2 2" xfId="20391"/>
    <cellStyle name="_Costs not in KWI3000 '06Budget_(C) WHE Proforma with ITC cash grant 10 Yr Amort_for rebuttal_120709 2 3" xfId="16297"/>
    <cellStyle name="_Costs not in KWI3000 '06Budget_(C) WHE Proforma with ITC cash grant 10 Yr Amort_for rebuttal_120709 3" xfId="7065"/>
    <cellStyle name="_Costs not in KWI3000 '06Budget_(C) WHE Proforma with ITC cash grant 10 Yr Amort_for rebuttal_120709 3 2" xfId="20392"/>
    <cellStyle name="_Costs not in KWI3000 '06Budget_(C) WHE Proforma with ITC cash grant 10 Yr Amort_for rebuttal_120709 4" xfId="16296"/>
    <cellStyle name="_Costs not in KWI3000 '06Budget_(C) WHE Proforma with ITC cash grant 10 Yr Amort_for rebuttal_120709_DEM-WP(C) ENERG10C--ctn Mid-C_042010 2010GRC" xfId="12388"/>
    <cellStyle name="_Costs not in KWI3000 '06Budget_04.07E Wild Horse Wind Expansion" xfId="970"/>
    <cellStyle name="_Costs not in KWI3000 '06Budget_04.07E Wild Horse Wind Expansion 2" xfId="971"/>
    <cellStyle name="_Costs not in KWI3000 '06Budget_04.07E Wild Horse Wind Expansion 2 2" xfId="4346"/>
    <cellStyle name="_Costs not in KWI3000 '06Budget_04.07E Wild Horse Wind Expansion 2 2 2" xfId="20393"/>
    <cellStyle name="_Costs not in KWI3000 '06Budget_04.07E Wild Horse Wind Expansion 2 3" xfId="16299"/>
    <cellStyle name="_Costs not in KWI3000 '06Budget_04.07E Wild Horse Wind Expansion 3" xfId="4345"/>
    <cellStyle name="_Costs not in KWI3000 '06Budget_04.07E Wild Horse Wind Expansion 3 2" xfId="20394"/>
    <cellStyle name="_Costs not in KWI3000 '06Budget_04.07E Wild Horse Wind Expansion 4" xfId="16298"/>
    <cellStyle name="_Costs not in KWI3000 '06Budget_04.07E Wild Horse Wind Expansion_16.07E Wild Horse Wind Expansionwrkingfile" xfId="972"/>
    <cellStyle name="_Costs not in KWI3000 '06Budget_04.07E Wild Horse Wind Expansion_16.07E Wild Horse Wind Expansionwrkingfile 2" xfId="973"/>
    <cellStyle name="_Costs not in KWI3000 '06Budget_04.07E Wild Horse Wind Expansion_16.07E Wild Horse Wind Expansionwrkingfile 2 2" xfId="4348"/>
    <cellStyle name="_Costs not in KWI3000 '06Budget_04.07E Wild Horse Wind Expansion_16.07E Wild Horse Wind Expansionwrkingfile 2 2 2" xfId="20395"/>
    <cellStyle name="_Costs not in KWI3000 '06Budget_04.07E Wild Horse Wind Expansion_16.07E Wild Horse Wind Expansionwrkingfile 2 3" xfId="16301"/>
    <cellStyle name="_Costs not in KWI3000 '06Budget_04.07E Wild Horse Wind Expansion_16.07E Wild Horse Wind Expansionwrkingfile 3" xfId="4347"/>
    <cellStyle name="_Costs not in KWI3000 '06Budget_04.07E Wild Horse Wind Expansion_16.07E Wild Horse Wind Expansionwrkingfile 3 2" xfId="20396"/>
    <cellStyle name="_Costs not in KWI3000 '06Budget_04.07E Wild Horse Wind Expansion_16.07E Wild Horse Wind Expansionwrkingfile 4" xfId="16300"/>
    <cellStyle name="_Costs not in KWI3000 '06Budget_04.07E Wild Horse Wind Expansion_16.07E Wild Horse Wind Expansionwrkingfile SF" xfId="974"/>
    <cellStyle name="_Costs not in KWI3000 '06Budget_04.07E Wild Horse Wind Expansion_16.07E Wild Horse Wind Expansionwrkingfile SF 2" xfId="975"/>
    <cellStyle name="_Costs not in KWI3000 '06Budget_04.07E Wild Horse Wind Expansion_16.07E Wild Horse Wind Expansionwrkingfile SF 2 2" xfId="4350"/>
    <cellStyle name="_Costs not in KWI3000 '06Budget_04.07E Wild Horse Wind Expansion_16.07E Wild Horse Wind Expansionwrkingfile SF 2 2 2" xfId="20397"/>
    <cellStyle name="_Costs not in KWI3000 '06Budget_04.07E Wild Horse Wind Expansion_16.07E Wild Horse Wind Expansionwrkingfile SF 2 3" xfId="16303"/>
    <cellStyle name="_Costs not in KWI3000 '06Budget_04.07E Wild Horse Wind Expansion_16.07E Wild Horse Wind Expansionwrkingfile SF 3" xfId="4349"/>
    <cellStyle name="_Costs not in KWI3000 '06Budget_04.07E Wild Horse Wind Expansion_16.07E Wild Horse Wind Expansionwrkingfile SF 3 2" xfId="20398"/>
    <cellStyle name="_Costs not in KWI3000 '06Budget_04.07E Wild Horse Wind Expansion_16.07E Wild Horse Wind Expansionwrkingfile SF 4" xfId="16302"/>
    <cellStyle name="_Costs not in KWI3000 '06Budget_04.07E Wild Horse Wind Expansion_16.07E Wild Horse Wind Expansionwrkingfile SF_DEM-WP(C) ENERG10C--ctn Mid-C_042010 2010GRC" xfId="12389"/>
    <cellStyle name="_Costs not in KWI3000 '06Budget_04.07E Wild Horse Wind Expansion_16.07E Wild Horse Wind Expansionwrkingfile_DEM-WP(C) ENERG10C--ctn Mid-C_042010 2010GRC" xfId="12390"/>
    <cellStyle name="_Costs not in KWI3000 '06Budget_04.07E Wild Horse Wind Expansion_16.37E Wild Horse Expansion DeferralRevwrkingfile SF" xfId="976"/>
    <cellStyle name="_Costs not in KWI3000 '06Budget_04.07E Wild Horse Wind Expansion_16.37E Wild Horse Expansion DeferralRevwrkingfile SF 2" xfId="977"/>
    <cellStyle name="_Costs not in KWI3000 '06Budget_04.07E Wild Horse Wind Expansion_16.37E Wild Horse Expansion DeferralRevwrkingfile SF 2 2" xfId="4352"/>
    <cellStyle name="_Costs not in KWI3000 '06Budget_04.07E Wild Horse Wind Expansion_16.37E Wild Horse Expansion DeferralRevwrkingfile SF 2 2 2" xfId="20399"/>
    <cellStyle name="_Costs not in KWI3000 '06Budget_04.07E Wild Horse Wind Expansion_16.37E Wild Horse Expansion DeferralRevwrkingfile SF 2 3" xfId="16305"/>
    <cellStyle name="_Costs not in KWI3000 '06Budget_04.07E Wild Horse Wind Expansion_16.37E Wild Horse Expansion DeferralRevwrkingfile SF 3" xfId="4351"/>
    <cellStyle name="_Costs not in KWI3000 '06Budget_04.07E Wild Horse Wind Expansion_16.37E Wild Horse Expansion DeferralRevwrkingfile SF 3 2" xfId="20400"/>
    <cellStyle name="_Costs not in KWI3000 '06Budget_04.07E Wild Horse Wind Expansion_16.37E Wild Horse Expansion DeferralRevwrkingfile SF 4" xfId="16304"/>
    <cellStyle name="_Costs not in KWI3000 '06Budget_04.07E Wild Horse Wind Expansion_16.37E Wild Horse Expansion DeferralRevwrkingfile SF_DEM-WP(C) ENERG10C--ctn Mid-C_042010 2010GRC" xfId="12391"/>
    <cellStyle name="_Costs not in KWI3000 '06Budget_04.07E Wild Horse Wind Expansion_DEM-WP(C) ENERG10C--ctn Mid-C_042010 2010GRC" xfId="12392"/>
    <cellStyle name="_Costs not in KWI3000 '06Budget_16.07E Wild Horse Wind Expansionwrkingfile" xfId="978"/>
    <cellStyle name="_Costs not in KWI3000 '06Budget_16.07E Wild Horse Wind Expansionwrkingfile 2" xfId="979"/>
    <cellStyle name="_Costs not in KWI3000 '06Budget_16.07E Wild Horse Wind Expansionwrkingfile 2 2" xfId="4354"/>
    <cellStyle name="_Costs not in KWI3000 '06Budget_16.07E Wild Horse Wind Expansionwrkingfile 2 2 2" xfId="20401"/>
    <cellStyle name="_Costs not in KWI3000 '06Budget_16.07E Wild Horse Wind Expansionwrkingfile 2 3" xfId="16307"/>
    <cellStyle name="_Costs not in KWI3000 '06Budget_16.07E Wild Horse Wind Expansionwrkingfile 3" xfId="4353"/>
    <cellStyle name="_Costs not in KWI3000 '06Budget_16.07E Wild Horse Wind Expansionwrkingfile 3 2" xfId="20402"/>
    <cellStyle name="_Costs not in KWI3000 '06Budget_16.07E Wild Horse Wind Expansionwrkingfile 4" xfId="16306"/>
    <cellStyle name="_Costs not in KWI3000 '06Budget_16.07E Wild Horse Wind Expansionwrkingfile SF" xfId="980"/>
    <cellStyle name="_Costs not in KWI3000 '06Budget_16.07E Wild Horse Wind Expansionwrkingfile SF 2" xfId="981"/>
    <cellStyle name="_Costs not in KWI3000 '06Budget_16.07E Wild Horse Wind Expansionwrkingfile SF 2 2" xfId="4356"/>
    <cellStyle name="_Costs not in KWI3000 '06Budget_16.07E Wild Horse Wind Expansionwrkingfile SF 2 2 2" xfId="20403"/>
    <cellStyle name="_Costs not in KWI3000 '06Budget_16.07E Wild Horse Wind Expansionwrkingfile SF 2 3" xfId="16309"/>
    <cellStyle name="_Costs not in KWI3000 '06Budget_16.07E Wild Horse Wind Expansionwrkingfile SF 3" xfId="4355"/>
    <cellStyle name="_Costs not in KWI3000 '06Budget_16.07E Wild Horse Wind Expansionwrkingfile SF 3 2" xfId="20404"/>
    <cellStyle name="_Costs not in KWI3000 '06Budget_16.07E Wild Horse Wind Expansionwrkingfile SF 4" xfId="16308"/>
    <cellStyle name="_Costs not in KWI3000 '06Budget_16.07E Wild Horse Wind Expansionwrkingfile SF_DEM-WP(C) ENERG10C--ctn Mid-C_042010 2010GRC" xfId="12393"/>
    <cellStyle name="_Costs not in KWI3000 '06Budget_16.07E Wild Horse Wind Expansionwrkingfile_DEM-WP(C) ENERG10C--ctn Mid-C_042010 2010GRC" xfId="12394"/>
    <cellStyle name="_Costs not in KWI3000 '06Budget_16.37E Wild Horse Expansion DeferralRevwrkingfile SF" xfId="982"/>
    <cellStyle name="_Costs not in KWI3000 '06Budget_16.37E Wild Horse Expansion DeferralRevwrkingfile SF 2" xfId="983"/>
    <cellStyle name="_Costs not in KWI3000 '06Budget_16.37E Wild Horse Expansion DeferralRevwrkingfile SF 2 2" xfId="4358"/>
    <cellStyle name="_Costs not in KWI3000 '06Budget_16.37E Wild Horse Expansion DeferralRevwrkingfile SF 2 2 2" xfId="20405"/>
    <cellStyle name="_Costs not in KWI3000 '06Budget_16.37E Wild Horse Expansion DeferralRevwrkingfile SF 2 3" xfId="16311"/>
    <cellStyle name="_Costs not in KWI3000 '06Budget_16.37E Wild Horse Expansion DeferralRevwrkingfile SF 3" xfId="4357"/>
    <cellStyle name="_Costs not in KWI3000 '06Budget_16.37E Wild Horse Expansion DeferralRevwrkingfile SF 3 2" xfId="20406"/>
    <cellStyle name="_Costs not in KWI3000 '06Budget_16.37E Wild Horse Expansion DeferralRevwrkingfile SF 4" xfId="16310"/>
    <cellStyle name="_Costs not in KWI3000 '06Budget_16.37E Wild Horse Expansion DeferralRevwrkingfile SF_DEM-WP(C) ENERG10C--ctn Mid-C_042010 2010GRC" xfId="12395"/>
    <cellStyle name="_Costs not in KWI3000 '06Budget_2009 Compliance Filing PCA Exhibits for GRC" xfId="14095"/>
    <cellStyle name="_Costs not in KWI3000 '06Budget_2009 Compliance Filing PCA Exhibits for GRC 2" xfId="14885"/>
    <cellStyle name="_Costs not in KWI3000 '06Budget_2009 GRC Compl Filing - Exhibit D" xfId="984"/>
    <cellStyle name="_Costs not in KWI3000 '06Budget_2009 GRC Compl Filing - Exhibit D 2" xfId="985"/>
    <cellStyle name="_Costs not in KWI3000 '06Budget_2009 GRC Compl Filing - Exhibit D 2 2" xfId="4360"/>
    <cellStyle name="_Costs not in KWI3000 '06Budget_2009 GRC Compl Filing - Exhibit D 3" xfId="4359"/>
    <cellStyle name="_Costs not in KWI3000 '06Budget_2009 GRC Compl Filing - Exhibit D_DEM-WP(C) ENERG10C--ctn Mid-C_042010 2010GRC" xfId="12396"/>
    <cellStyle name="_Costs not in KWI3000 '06Budget_3.01 Income Statement" xfId="14096"/>
    <cellStyle name="_Costs not in KWI3000 '06Budget_4 31 Regulatory Assets and Liabilities  7 06- Exhibit D" xfId="986"/>
    <cellStyle name="_Costs not in KWI3000 '06Budget_4 31 Regulatory Assets and Liabilities  7 06- Exhibit D 2" xfId="987"/>
    <cellStyle name="_Costs not in KWI3000 '06Budget_4 31 Regulatory Assets and Liabilities  7 06- Exhibit D 2 2" xfId="4362"/>
    <cellStyle name="_Costs not in KWI3000 '06Budget_4 31 Regulatory Assets and Liabilities  7 06- Exhibit D 2 2 2" xfId="14886"/>
    <cellStyle name="_Costs not in KWI3000 '06Budget_4 31 Regulatory Assets and Liabilities  7 06- Exhibit D 3" xfId="4361"/>
    <cellStyle name="_Costs not in KWI3000 '06Budget_4 31 Regulatory Assets and Liabilities  7 06- Exhibit D 3 2" xfId="20407"/>
    <cellStyle name="_Costs not in KWI3000 '06Budget_4 31 Regulatory Assets and Liabilities  7 06- Exhibit D_DEM-WP(C) ENERG10C--ctn Mid-C_042010 2010GRC" xfId="12397"/>
    <cellStyle name="_Costs not in KWI3000 '06Budget_4 31 Regulatory Assets and Liabilities  7 06- Exhibit D_NIM Summary" xfId="988"/>
    <cellStyle name="_Costs not in KWI3000 '06Budget_4 31 Regulatory Assets and Liabilities  7 06- Exhibit D_NIM Summary 2" xfId="989"/>
    <cellStyle name="_Costs not in KWI3000 '06Budget_4 31 Regulatory Assets and Liabilities  7 06- Exhibit D_NIM Summary 2 2" xfId="4364"/>
    <cellStyle name="_Costs not in KWI3000 '06Budget_4 31 Regulatory Assets and Liabilities  7 06- Exhibit D_NIM Summary 3" xfId="4363"/>
    <cellStyle name="_Costs not in KWI3000 '06Budget_4 31 Regulatory Assets and Liabilities  7 06- Exhibit D_NIM Summary_DEM-WP(C) ENERG10C--ctn Mid-C_042010 2010GRC" xfId="12398"/>
    <cellStyle name="_Costs not in KWI3000 '06Budget_4 31 Regulatory Assets and Liabilities  7 06- Exhibit D_NIM+O&amp;M" xfId="12399"/>
    <cellStyle name="_Costs not in KWI3000 '06Budget_4 31 Regulatory Assets and Liabilities  7 06- Exhibit D_NIM+O&amp;M 2" xfId="23756"/>
    <cellStyle name="_Costs not in KWI3000 '06Budget_4 31 Regulatory Assets and Liabilities  7 06- Exhibit D_NIM+O&amp;M Monthly" xfId="12400"/>
    <cellStyle name="_Costs not in KWI3000 '06Budget_4 31 Regulatory Assets and Liabilities  7 06- Exhibit D_NIM+O&amp;M Monthly 2" xfId="23757"/>
    <cellStyle name="_Costs not in KWI3000 '06Budget_4 31E Reg Asset  Liab and EXH D" xfId="12401"/>
    <cellStyle name="_Costs not in KWI3000 '06Budget_4 31E Reg Asset  Liab and EXH D _ Aug 10 Filing (2)" xfId="12402"/>
    <cellStyle name="_Costs not in KWI3000 '06Budget_4 31E Reg Asset  Liab and EXH D _ Aug 10 Filing (2) 2" xfId="23758"/>
    <cellStyle name="_Costs not in KWI3000 '06Budget_4 31E Reg Asset  Liab and EXH D 10" xfId="23759"/>
    <cellStyle name="_Costs not in KWI3000 '06Budget_4 31E Reg Asset  Liab and EXH D 11" xfId="23760"/>
    <cellStyle name="_Costs not in KWI3000 '06Budget_4 31E Reg Asset  Liab and EXH D 12" xfId="23761"/>
    <cellStyle name="_Costs not in KWI3000 '06Budget_4 31E Reg Asset  Liab and EXH D 13" xfId="23762"/>
    <cellStyle name="_Costs not in KWI3000 '06Budget_4 31E Reg Asset  Liab and EXH D 14" xfId="23763"/>
    <cellStyle name="_Costs not in KWI3000 '06Budget_4 31E Reg Asset  Liab and EXH D 15" xfId="23764"/>
    <cellStyle name="_Costs not in KWI3000 '06Budget_4 31E Reg Asset  Liab and EXH D 16" xfId="23765"/>
    <cellStyle name="_Costs not in KWI3000 '06Budget_4 31E Reg Asset  Liab and EXH D 17" xfId="23766"/>
    <cellStyle name="_Costs not in KWI3000 '06Budget_4 31E Reg Asset  Liab and EXH D 18" xfId="23767"/>
    <cellStyle name="_Costs not in KWI3000 '06Budget_4 31E Reg Asset  Liab and EXH D 19" xfId="23768"/>
    <cellStyle name="_Costs not in KWI3000 '06Budget_4 31E Reg Asset  Liab and EXH D 2" xfId="23769"/>
    <cellStyle name="_Costs not in KWI3000 '06Budget_4 31E Reg Asset  Liab and EXH D 20" xfId="23770"/>
    <cellStyle name="_Costs not in KWI3000 '06Budget_4 31E Reg Asset  Liab and EXH D 21" xfId="23771"/>
    <cellStyle name="_Costs not in KWI3000 '06Budget_4 31E Reg Asset  Liab and EXH D 22" xfId="23772"/>
    <cellStyle name="_Costs not in KWI3000 '06Budget_4 31E Reg Asset  Liab and EXH D 23" xfId="23773"/>
    <cellStyle name="_Costs not in KWI3000 '06Budget_4 31E Reg Asset  Liab and EXH D 24" xfId="23774"/>
    <cellStyle name="_Costs not in KWI3000 '06Budget_4 31E Reg Asset  Liab and EXH D 25" xfId="23775"/>
    <cellStyle name="_Costs not in KWI3000 '06Budget_4 31E Reg Asset  Liab and EXH D 26" xfId="23776"/>
    <cellStyle name="_Costs not in KWI3000 '06Budget_4 31E Reg Asset  Liab and EXH D 27" xfId="23777"/>
    <cellStyle name="_Costs not in KWI3000 '06Budget_4 31E Reg Asset  Liab and EXH D 28" xfId="23778"/>
    <cellStyle name="_Costs not in KWI3000 '06Budget_4 31E Reg Asset  Liab and EXH D 29" xfId="23779"/>
    <cellStyle name="_Costs not in KWI3000 '06Budget_4 31E Reg Asset  Liab and EXH D 3" xfId="23780"/>
    <cellStyle name="_Costs not in KWI3000 '06Budget_4 31E Reg Asset  Liab and EXH D 30" xfId="23781"/>
    <cellStyle name="_Costs not in KWI3000 '06Budget_4 31E Reg Asset  Liab and EXH D 31" xfId="23782"/>
    <cellStyle name="_Costs not in KWI3000 '06Budget_4 31E Reg Asset  Liab and EXH D 32" xfId="23783"/>
    <cellStyle name="_Costs not in KWI3000 '06Budget_4 31E Reg Asset  Liab and EXH D 33" xfId="23784"/>
    <cellStyle name="_Costs not in KWI3000 '06Budget_4 31E Reg Asset  Liab and EXH D 34" xfId="23785"/>
    <cellStyle name="_Costs not in KWI3000 '06Budget_4 31E Reg Asset  Liab and EXH D 35" xfId="23786"/>
    <cellStyle name="_Costs not in KWI3000 '06Budget_4 31E Reg Asset  Liab and EXH D 36" xfId="23787"/>
    <cellStyle name="_Costs not in KWI3000 '06Budget_4 31E Reg Asset  Liab and EXH D 4" xfId="23788"/>
    <cellStyle name="_Costs not in KWI3000 '06Budget_4 31E Reg Asset  Liab and EXH D 5" xfId="23789"/>
    <cellStyle name="_Costs not in KWI3000 '06Budget_4 31E Reg Asset  Liab and EXH D 6" xfId="23790"/>
    <cellStyle name="_Costs not in KWI3000 '06Budget_4 31E Reg Asset  Liab and EXH D 7" xfId="23791"/>
    <cellStyle name="_Costs not in KWI3000 '06Budget_4 31E Reg Asset  Liab and EXH D 8" xfId="23792"/>
    <cellStyle name="_Costs not in KWI3000 '06Budget_4 31E Reg Asset  Liab and EXH D 9" xfId="23793"/>
    <cellStyle name="_Costs not in KWI3000 '06Budget_4 32 Regulatory Assets and Liabilities  7 06- Exhibit D" xfId="990"/>
    <cellStyle name="_Costs not in KWI3000 '06Budget_4 32 Regulatory Assets and Liabilities  7 06- Exhibit D 2" xfId="991"/>
    <cellStyle name="_Costs not in KWI3000 '06Budget_4 32 Regulatory Assets and Liabilities  7 06- Exhibit D 2 2" xfId="4366"/>
    <cellStyle name="_Costs not in KWI3000 '06Budget_4 32 Regulatory Assets and Liabilities  7 06- Exhibit D 2 2 2" xfId="14887"/>
    <cellStyle name="_Costs not in KWI3000 '06Budget_4 32 Regulatory Assets and Liabilities  7 06- Exhibit D 3" xfId="4365"/>
    <cellStyle name="_Costs not in KWI3000 '06Budget_4 32 Regulatory Assets and Liabilities  7 06- Exhibit D 3 2" xfId="20408"/>
    <cellStyle name="_Costs not in KWI3000 '06Budget_4 32 Regulatory Assets and Liabilities  7 06- Exhibit D_DEM-WP(C) ENERG10C--ctn Mid-C_042010 2010GRC" xfId="12403"/>
    <cellStyle name="_Costs not in KWI3000 '06Budget_4 32 Regulatory Assets and Liabilities  7 06- Exhibit D_NIM Summary" xfId="992"/>
    <cellStyle name="_Costs not in KWI3000 '06Budget_4 32 Regulatory Assets and Liabilities  7 06- Exhibit D_NIM Summary 2" xfId="993"/>
    <cellStyle name="_Costs not in KWI3000 '06Budget_4 32 Regulatory Assets and Liabilities  7 06- Exhibit D_NIM Summary 2 2" xfId="4368"/>
    <cellStyle name="_Costs not in KWI3000 '06Budget_4 32 Regulatory Assets and Liabilities  7 06- Exhibit D_NIM Summary 3" xfId="4367"/>
    <cellStyle name="_Costs not in KWI3000 '06Budget_4 32 Regulatory Assets and Liabilities  7 06- Exhibit D_NIM Summary_DEM-WP(C) ENERG10C--ctn Mid-C_042010 2010GRC" xfId="12404"/>
    <cellStyle name="_Costs not in KWI3000 '06Budget_4 32 Regulatory Assets and Liabilities  7 06- Exhibit D_NIM+O&amp;M" xfId="12405"/>
    <cellStyle name="_Costs not in KWI3000 '06Budget_4 32 Regulatory Assets and Liabilities  7 06- Exhibit D_NIM+O&amp;M 2" xfId="23794"/>
    <cellStyle name="_Costs not in KWI3000 '06Budget_4 32 Regulatory Assets and Liabilities  7 06- Exhibit D_NIM+O&amp;M Monthly" xfId="12406"/>
    <cellStyle name="_Costs not in KWI3000 '06Budget_4 32 Regulatory Assets and Liabilities  7 06- Exhibit D_NIM+O&amp;M Monthly 2" xfId="23795"/>
    <cellStyle name="_Costs not in KWI3000 '06Budget_AURORA Total New" xfId="994"/>
    <cellStyle name="_Costs not in KWI3000 '06Budget_AURORA Total New 2" xfId="995"/>
    <cellStyle name="_Costs not in KWI3000 '06Budget_AURORA Total New 2 2" xfId="4370"/>
    <cellStyle name="_Costs not in KWI3000 '06Budget_AURORA Total New 3" xfId="4369"/>
    <cellStyle name="_Costs not in KWI3000 '06Budget_Book2" xfId="996"/>
    <cellStyle name="_Costs not in KWI3000 '06Budget_Book2 2" xfId="997"/>
    <cellStyle name="_Costs not in KWI3000 '06Budget_Book2 2 2" xfId="4372"/>
    <cellStyle name="_Costs not in KWI3000 '06Budget_Book2 2 2 2" xfId="20409"/>
    <cellStyle name="_Costs not in KWI3000 '06Budget_Book2 2 3" xfId="16313"/>
    <cellStyle name="_Costs not in KWI3000 '06Budget_Book2 3" xfId="4371"/>
    <cellStyle name="_Costs not in KWI3000 '06Budget_Book2 3 2" xfId="20410"/>
    <cellStyle name="_Costs not in KWI3000 '06Budget_Book2 4" xfId="16312"/>
    <cellStyle name="_Costs not in KWI3000 '06Budget_Book2_Adj Bench DR 3 for Initial Briefs (Electric)" xfId="998"/>
    <cellStyle name="_Costs not in KWI3000 '06Budget_Book2_Adj Bench DR 3 for Initial Briefs (Electric) 2" xfId="999"/>
    <cellStyle name="_Costs not in KWI3000 '06Budget_Book2_Adj Bench DR 3 for Initial Briefs (Electric) 2 2" xfId="4374"/>
    <cellStyle name="_Costs not in KWI3000 '06Budget_Book2_Adj Bench DR 3 for Initial Briefs (Electric) 2 2 2" xfId="20411"/>
    <cellStyle name="_Costs not in KWI3000 '06Budget_Book2_Adj Bench DR 3 for Initial Briefs (Electric) 2 3" xfId="16315"/>
    <cellStyle name="_Costs not in KWI3000 '06Budget_Book2_Adj Bench DR 3 for Initial Briefs (Electric) 3" xfId="4373"/>
    <cellStyle name="_Costs not in KWI3000 '06Budget_Book2_Adj Bench DR 3 for Initial Briefs (Electric) 3 2" xfId="20412"/>
    <cellStyle name="_Costs not in KWI3000 '06Budget_Book2_Adj Bench DR 3 for Initial Briefs (Electric) 4" xfId="16314"/>
    <cellStyle name="_Costs not in KWI3000 '06Budget_Book2_Adj Bench DR 3 for Initial Briefs (Electric)_DEM-WP(C) ENERG10C--ctn Mid-C_042010 2010GRC" xfId="12407"/>
    <cellStyle name="_Costs not in KWI3000 '06Budget_Book2_DEM-WP(C) ENERG10C--ctn Mid-C_042010 2010GRC" xfId="12408"/>
    <cellStyle name="_Costs not in KWI3000 '06Budget_Book2_Electric Rev Req Model (2009 GRC) Rebuttal" xfId="1000"/>
    <cellStyle name="_Costs not in KWI3000 '06Budget_Book2_Electric Rev Req Model (2009 GRC) Rebuttal 2" xfId="4375"/>
    <cellStyle name="_Costs not in KWI3000 '06Budget_Book2_Electric Rev Req Model (2009 GRC) Rebuttal 2 2" xfId="7066"/>
    <cellStyle name="_Costs not in KWI3000 '06Budget_Book2_Electric Rev Req Model (2009 GRC) Rebuttal 2 2 2" xfId="20413"/>
    <cellStyle name="_Costs not in KWI3000 '06Budget_Book2_Electric Rev Req Model (2009 GRC) Rebuttal 2 3" xfId="18368"/>
    <cellStyle name="_Costs not in KWI3000 '06Budget_Book2_Electric Rev Req Model (2009 GRC) Rebuttal 3" xfId="7067"/>
    <cellStyle name="_Costs not in KWI3000 '06Budget_Book2_Electric Rev Req Model (2009 GRC) Rebuttal 3 2" xfId="20414"/>
    <cellStyle name="_Costs not in KWI3000 '06Budget_Book2_Electric Rev Req Model (2009 GRC) Rebuttal 4" xfId="16316"/>
    <cellStyle name="_Costs not in KWI3000 '06Budget_Book2_Electric Rev Req Model (2009 GRC) Rebuttal REmoval of New  WH Solar AdjustMI" xfId="1001"/>
    <cellStyle name="_Costs not in KWI3000 '06Budget_Book2_Electric Rev Req Model (2009 GRC) Rebuttal REmoval of New  WH Solar AdjustMI 2" xfId="1002"/>
    <cellStyle name="_Costs not in KWI3000 '06Budget_Book2_Electric Rev Req Model (2009 GRC) Rebuttal REmoval of New  WH Solar AdjustMI 2 2" xfId="4377"/>
    <cellStyle name="_Costs not in KWI3000 '06Budget_Book2_Electric Rev Req Model (2009 GRC) Rebuttal REmoval of New  WH Solar AdjustMI 2 2 2" xfId="20415"/>
    <cellStyle name="_Costs not in KWI3000 '06Budget_Book2_Electric Rev Req Model (2009 GRC) Rebuttal REmoval of New  WH Solar AdjustMI 2 3" xfId="16318"/>
    <cellStyle name="_Costs not in KWI3000 '06Budget_Book2_Electric Rev Req Model (2009 GRC) Rebuttal REmoval of New  WH Solar AdjustMI 3" xfId="4376"/>
    <cellStyle name="_Costs not in KWI3000 '06Budget_Book2_Electric Rev Req Model (2009 GRC) Rebuttal REmoval of New  WH Solar AdjustMI 3 2" xfId="20416"/>
    <cellStyle name="_Costs not in KWI3000 '06Budget_Book2_Electric Rev Req Model (2009 GRC) Rebuttal REmoval of New  WH Solar AdjustMI 4" xfId="16317"/>
    <cellStyle name="_Costs not in KWI3000 '06Budget_Book2_Electric Rev Req Model (2009 GRC) Rebuttal REmoval of New  WH Solar AdjustMI_DEM-WP(C) ENERG10C--ctn Mid-C_042010 2010GRC" xfId="12409"/>
    <cellStyle name="_Costs not in KWI3000 '06Budget_Book2_Electric Rev Req Model (2009 GRC) Revised 01-18-2010" xfId="1003"/>
    <cellStyle name="_Costs not in KWI3000 '06Budget_Book2_Electric Rev Req Model (2009 GRC) Revised 01-18-2010 2" xfId="1004"/>
    <cellStyle name="_Costs not in KWI3000 '06Budget_Book2_Electric Rev Req Model (2009 GRC) Revised 01-18-2010 2 2" xfId="4379"/>
    <cellStyle name="_Costs not in KWI3000 '06Budget_Book2_Electric Rev Req Model (2009 GRC) Revised 01-18-2010 2 2 2" xfId="20417"/>
    <cellStyle name="_Costs not in KWI3000 '06Budget_Book2_Electric Rev Req Model (2009 GRC) Revised 01-18-2010 2 3" xfId="16320"/>
    <cellStyle name="_Costs not in KWI3000 '06Budget_Book2_Electric Rev Req Model (2009 GRC) Revised 01-18-2010 3" xfId="4378"/>
    <cellStyle name="_Costs not in KWI3000 '06Budget_Book2_Electric Rev Req Model (2009 GRC) Revised 01-18-2010 3 2" xfId="20418"/>
    <cellStyle name="_Costs not in KWI3000 '06Budget_Book2_Electric Rev Req Model (2009 GRC) Revised 01-18-2010 4" xfId="16319"/>
    <cellStyle name="_Costs not in KWI3000 '06Budget_Book2_Electric Rev Req Model (2009 GRC) Revised 01-18-2010_DEM-WP(C) ENERG10C--ctn Mid-C_042010 2010GRC" xfId="12410"/>
    <cellStyle name="_Costs not in KWI3000 '06Budget_Book2_Final Order Electric EXHIBIT A-1" xfId="1005"/>
    <cellStyle name="_Costs not in KWI3000 '06Budget_Book2_Final Order Electric EXHIBIT A-1 2" xfId="4380"/>
    <cellStyle name="_Costs not in KWI3000 '06Budget_Book2_Final Order Electric EXHIBIT A-1 2 2" xfId="7068"/>
    <cellStyle name="_Costs not in KWI3000 '06Budget_Book2_Final Order Electric EXHIBIT A-1 2 2 2" xfId="20419"/>
    <cellStyle name="_Costs not in KWI3000 '06Budget_Book2_Final Order Electric EXHIBIT A-1 2 3" xfId="18369"/>
    <cellStyle name="_Costs not in KWI3000 '06Budget_Book2_Final Order Electric EXHIBIT A-1 3" xfId="7069"/>
    <cellStyle name="_Costs not in KWI3000 '06Budget_Book2_Final Order Electric EXHIBIT A-1 3 2" xfId="20420"/>
    <cellStyle name="_Costs not in KWI3000 '06Budget_Book2_Final Order Electric EXHIBIT A-1 4" xfId="16321"/>
    <cellStyle name="_Costs not in KWI3000 '06Budget_Book4" xfId="1006"/>
    <cellStyle name="_Costs not in KWI3000 '06Budget_Book4 2" xfId="1007"/>
    <cellStyle name="_Costs not in KWI3000 '06Budget_Book4 2 2" xfId="4382"/>
    <cellStyle name="_Costs not in KWI3000 '06Budget_Book4 2 2 2" xfId="20421"/>
    <cellStyle name="_Costs not in KWI3000 '06Budget_Book4 2 3" xfId="16323"/>
    <cellStyle name="_Costs not in KWI3000 '06Budget_Book4 3" xfId="4381"/>
    <cellStyle name="_Costs not in KWI3000 '06Budget_Book4 3 2" xfId="20422"/>
    <cellStyle name="_Costs not in KWI3000 '06Budget_Book4 4" xfId="16322"/>
    <cellStyle name="_Costs not in KWI3000 '06Budget_Book4_DEM-WP(C) ENERG10C--ctn Mid-C_042010 2010GRC" xfId="12411"/>
    <cellStyle name="_Costs not in KWI3000 '06Budget_Book9" xfId="1008"/>
    <cellStyle name="_Costs not in KWI3000 '06Budget_Book9 2" xfId="1009"/>
    <cellStyle name="_Costs not in KWI3000 '06Budget_Book9 2 2" xfId="4384"/>
    <cellStyle name="_Costs not in KWI3000 '06Budget_Book9 2 2 2" xfId="20423"/>
    <cellStyle name="_Costs not in KWI3000 '06Budget_Book9 2 3" xfId="16325"/>
    <cellStyle name="_Costs not in KWI3000 '06Budget_Book9 3" xfId="4383"/>
    <cellStyle name="_Costs not in KWI3000 '06Budget_Book9 3 2" xfId="20424"/>
    <cellStyle name="_Costs not in KWI3000 '06Budget_Book9 4" xfId="16324"/>
    <cellStyle name="_Costs not in KWI3000 '06Budget_Book9_DEM-WP(C) ENERG10C--ctn Mid-C_042010 2010GRC" xfId="12412"/>
    <cellStyle name="_Costs not in KWI3000 '06Budget_Check the Interest Calculation" xfId="14888"/>
    <cellStyle name="_Costs not in KWI3000 '06Budget_Check the Interest Calculation_Scenario 1 REC vs PTC Offset" xfId="14889"/>
    <cellStyle name="_Costs not in KWI3000 '06Budget_Check the Interest Calculation_Scenario 3" xfId="14890"/>
    <cellStyle name="_Costs not in KWI3000 '06Budget_Chelan PUD Power Costs (8-10)" xfId="12413"/>
    <cellStyle name="_Costs not in KWI3000 '06Budget_Chelan PUD Power Costs (8-10) 2" xfId="23796"/>
    <cellStyle name="_Costs not in KWI3000 '06Budget_DEM-WP(C) Chelan Power Costs" xfId="12414"/>
    <cellStyle name="_Costs not in KWI3000 '06Budget_DEM-WP(C) Chelan Power Costs 2" xfId="23797"/>
    <cellStyle name="_Costs not in KWI3000 '06Budget_DEM-WP(C) ENERG10C--ctn Mid-C_042010 2010GRC" xfId="12415"/>
    <cellStyle name="_Costs not in KWI3000 '06Budget_DEM-WP(C) Gas Transport 2010GRC" xfId="12416"/>
    <cellStyle name="_Costs not in KWI3000 '06Budget_DEM-WP(C) Gas Transport 2010GRC 2" xfId="23798"/>
    <cellStyle name="_Costs not in KWI3000 '06Budget_Exh A-1 resulting from UE-112050 effective Jan 1 2012" xfId="14891"/>
    <cellStyle name="_Costs not in KWI3000 '06Budget_Exh G - Klamath Peaker PPA fr C Locke 2-12" xfId="14892"/>
    <cellStyle name="_Costs not in KWI3000 '06Budget_Exhibit A-1 effective 4-1-11 fr S Free 12-11" xfId="14893"/>
    <cellStyle name="_Costs not in KWI3000 '06Budget_Exhibit D fr R Gho 12-31-08" xfId="1010"/>
    <cellStyle name="_Costs not in KWI3000 '06Budget_Exhibit D fr R Gho 12-31-08 2" xfId="1011"/>
    <cellStyle name="_Costs not in KWI3000 '06Budget_Exhibit D fr R Gho 12-31-08 2 2" xfId="4386"/>
    <cellStyle name="_Costs not in KWI3000 '06Budget_Exhibit D fr R Gho 12-31-08 3" xfId="4385"/>
    <cellStyle name="_Costs not in KWI3000 '06Budget_Exhibit D fr R Gho 12-31-08 v2" xfId="1012"/>
    <cellStyle name="_Costs not in KWI3000 '06Budget_Exhibit D fr R Gho 12-31-08 v2 2" xfId="1013"/>
    <cellStyle name="_Costs not in KWI3000 '06Budget_Exhibit D fr R Gho 12-31-08 v2 2 2" xfId="4388"/>
    <cellStyle name="_Costs not in KWI3000 '06Budget_Exhibit D fr R Gho 12-31-08 v2 3" xfId="4387"/>
    <cellStyle name="_Costs not in KWI3000 '06Budget_Exhibit D fr R Gho 12-31-08 v2_DEM-WP(C) ENERG10C--ctn Mid-C_042010 2010GRC" xfId="12417"/>
    <cellStyle name="_Costs not in KWI3000 '06Budget_Exhibit D fr R Gho 12-31-08 v2_NIM Summary" xfId="1014"/>
    <cellStyle name="_Costs not in KWI3000 '06Budget_Exhibit D fr R Gho 12-31-08 v2_NIM Summary 2" xfId="1015"/>
    <cellStyle name="_Costs not in KWI3000 '06Budget_Exhibit D fr R Gho 12-31-08 v2_NIM Summary 2 2" xfId="4390"/>
    <cellStyle name="_Costs not in KWI3000 '06Budget_Exhibit D fr R Gho 12-31-08 v2_NIM Summary 3" xfId="4389"/>
    <cellStyle name="_Costs not in KWI3000 '06Budget_Exhibit D fr R Gho 12-31-08 v2_NIM Summary_DEM-WP(C) ENERG10C--ctn Mid-C_042010 2010GRC" xfId="12418"/>
    <cellStyle name="_Costs not in KWI3000 '06Budget_Exhibit D fr R Gho 12-31-08_DEM-WP(C) ENERG10C--ctn Mid-C_042010 2010GRC" xfId="12419"/>
    <cellStyle name="_Costs not in KWI3000 '06Budget_Exhibit D fr R Gho 12-31-08_NIM Summary" xfId="1016"/>
    <cellStyle name="_Costs not in KWI3000 '06Budget_Exhibit D fr R Gho 12-31-08_NIM Summary 2" xfId="1017"/>
    <cellStyle name="_Costs not in KWI3000 '06Budget_Exhibit D fr R Gho 12-31-08_NIM Summary 2 2" xfId="4392"/>
    <cellStyle name="_Costs not in KWI3000 '06Budget_Exhibit D fr R Gho 12-31-08_NIM Summary 3" xfId="4391"/>
    <cellStyle name="_Costs not in KWI3000 '06Budget_Exhibit D fr R Gho 12-31-08_NIM Summary_DEM-WP(C) ENERG10C--ctn Mid-C_042010 2010GRC" xfId="12420"/>
    <cellStyle name="_Costs not in KWI3000 '06Budget_Hopkins Ridge Prepaid Tran - Interest Earned RY 12ME Feb  '11" xfId="1018"/>
    <cellStyle name="_Costs not in KWI3000 '06Budget_Hopkins Ridge Prepaid Tran - Interest Earned RY 12ME Feb  '11 2" xfId="1019"/>
    <cellStyle name="_Costs not in KWI3000 '06Budget_Hopkins Ridge Prepaid Tran - Interest Earned RY 12ME Feb  '11 2 2" xfId="4394"/>
    <cellStyle name="_Costs not in KWI3000 '06Budget_Hopkins Ridge Prepaid Tran - Interest Earned RY 12ME Feb  '11 3" xfId="4393"/>
    <cellStyle name="_Costs not in KWI3000 '06Budget_Hopkins Ridge Prepaid Tran - Interest Earned RY 12ME Feb  '11_DEM-WP(C) ENERG10C--ctn Mid-C_042010 2010GRC" xfId="12421"/>
    <cellStyle name="_Costs not in KWI3000 '06Budget_Hopkins Ridge Prepaid Tran - Interest Earned RY 12ME Feb  '11_NIM Summary" xfId="1020"/>
    <cellStyle name="_Costs not in KWI3000 '06Budget_Hopkins Ridge Prepaid Tran - Interest Earned RY 12ME Feb  '11_NIM Summary 2" xfId="1021"/>
    <cellStyle name="_Costs not in KWI3000 '06Budget_Hopkins Ridge Prepaid Tran - Interest Earned RY 12ME Feb  '11_NIM Summary 2 2" xfId="4396"/>
    <cellStyle name="_Costs not in KWI3000 '06Budget_Hopkins Ridge Prepaid Tran - Interest Earned RY 12ME Feb  '11_NIM Summary 3" xfId="4395"/>
    <cellStyle name="_Costs not in KWI3000 '06Budget_Hopkins Ridge Prepaid Tran - Interest Earned RY 12ME Feb  '11_NIM Summary_DEM-WP(C) ENERG10C--ctn Mid-C_042010 2010GRC" xfId="12422"/>
    <cellStyle name="_Costs not in KWI3000 '06Budget_Hopkins Ridge Prepaid Tran - Interest Earned RY 12ME Feb  '11_Transmission Workbook for May BOD" xfId="1022"/>
    <cellStyle name="_Costs not in KWI3000 '06Budget_Hopkins Ridge Prepaid Tran - Interest Earned RY 12ME Feb  '11_Transmission Workbook for May BOD 2" xfId="1023"/>
    <cellStyle name="_Costs not in KWI3000 '06Budget_Hopkins Ridge Prepaid Tran - Interest Earned RY 12ME Feb  '11_Transmission Workbook for May BOD 2 2" xfId="4398"/>
    <cellStyle name="_Costs not in KWI3000 '06Budget_Hopkins Ridge Prepaid Tran - Interest Earned RY 12ME Feb  '11_Transmission Workbook for May BOD 3" xfId="4397"/>
    <cellStyle name="_Costs not in KWI3000 '06Budget_Hopkins Ridge Prepaid Tran - Interest Earned RY 12ME Feb  '11_Transmission Workbook for May BOD_DEM-WP(C) ENERG10C--ctn Mid-C_042010 2010GRC" xfId="12423"/>
    <cellStyle name="_Costs not in KWI3000 '06Budget_INPUTS" xfId="7070"/>
    <cellStyle name="_Costs not in KWI3000 '06Budget_INPUTS 2" xfId="7071"/>
    <cellStyle name="_Costs not in KWI3000 '06Budget_INPUTS 2 2" xfId="7072"/>
    <cellStyle name="_Costs not in KWI3000 '06Budget_INPUTS 2 2 2" xfId="20425"/>
    <cellStyle name="_Costs not in KWI3000 '06Budget_INPUTS 2 3" xfId="18371"/>
    <cellStyle name="_Costs not in KWI3000 '06Budget_INPUTS 3" xfId="7073"/>
    <cellStyle name="_Costs not in KWI3000 '06Budget_INPUTS 3 2" xfId="20426"/>
    <cellStyle name="_Costs not in KWI3000 '06Budget_INPUTS 4" xfId="18370"/>
    <cellStyle name="_Costs not in KWI3000 '06Budget_LSRWEP LGIA like Acctg Petition Aug 2010" xfId="12424"/>
    <cellStyle name="_Costs not in KWI3000 '06Budget_LSRWEP LGIA like Acctg Petition Aug 2010 2" xfId="23799"/>
    <cellStyle name="_Costs not in KWI3000 '06Budget_Mint Farm Generation BPA" xfId="23800"/>
    <cellStyle name="_Costs not in KWI3000 '06Budget_NIM Summary" xfId="1024"/>
    <cellStyle name="_Costs not in KWI3000 '06Budget_NIM Summary 09GRC" xfId="1025"/>
    <cellStyle name="_Costs not in KWI3000 '06Budget_NIM Summary 09GRC 2" xfId="1026"/>
    <cellStyle name="_Costs not in KWI3000 '06Budget_NIM Summary 09GRC 2 2" xfId="4401"/>
    <cellStyle name="_Costs not in KWI3000 '06Budget_NIM Summary 09GRC 3" xfId="4400"/>
    <cellStyle name="_Costs not in KWI3000 '06Budget_NIM Summary 09GRC_DEM-WP(C) ENERG10C--ctn Mid-C_042010 2010GRC" xfId="12425"/>
    <cellStyle name="_Costs not in KWI3000 '06Budget_NIM Summary 10" xfId="4399"/>
    <cellStyle name="_Costs not in KWI3000 '06Budget_NIM Summary 11" xfId="6227"/>
    <cellStyle name="_Costs not in KWI3000 '06Budget_NIM Summary 12" xfId="6261"/>
    <cellStyle name="_Costs not in KWI3000 '06Budget_NIM Summary 13" xfId="6226"/>
    <cellStyle name="_Costs not in KWI3000 '06Budget_NIM Summary 14" xfId="6316"/>
    <cellStyle name="_Costs not in KWI3000 '06Budget_NIM Summary 15" xfId="14894"/>
    <cellStyle name="_Costs not in KWI3000 '06Budget_NIM Summary 16" xfId="14895"/>
    <cellStyle name="_Costs not in KWI3000 '06Budget_NIM Summary 17" xfId="14896"/>
    <cellStyle name="_Costs not in KWI3000 '06Budget_NIM Summary 18" xfId="14897"/>
    <cellStyle name="_Costs not in KWI3000 '06Budget_NIM Summary 19" xfId="14898"/>
    <cellStyle name="_Costs not in KWI3000 '06Budget_NIM Summary 2" xfId="1027"/>
    <cellStyle name="_Costs not in KWI3000 '06Budget_NIM Summary 2 2" xfId="4402"/>
    <cellStyle name="_Costs not in KWI3000 '06Budget_NIM Summary 20" xfId="14899"/>
    <cellStyle name="_Costs not in KWI3000 '06Budget_NIM Summary 21" xfId="14900"/>
    <cellStyle name="_Costs not in KWI3000 '06Budget_NIM Summary 22" xfId="14901"/>
    <cellStyle name="_Costs not in KWI3000 '06Budget_NIM Summary 23" xfId="14902"/>
    <cellStyle name="_Costs not in KWI3000 '06Budget_NIM Summary 24" xfId="14903"/>
    <cellStyle name="_Costs not in KWI3000 '06Budget_NIM Summary 25" xfId="14904"/>
    <cellStyle name="_Costs not in KWI3000 '06Budget_NIM Summary 26" xfId="14905"/>
    <cellStyle name="_Costs not in KWI3000 '06Budget_NIM Summary 27" xfId="14906"/>
    <cellStyle name="_Costs not in KWI3000 '06Budget_NIM Summary 28" xfId="14907"/>
    <cellStyle name="_Costs not in KWI3000 '06Budget_NIM Summary 29" xfId="14908"/>
    <cellStyle name="_Costs not in KWI3000 '06Budget_NIM Summary 3" xfId="1028"/>
    <cellStyle name="_Costs not in KWI3000 '06Budget_NIM Summary 3 2" xfId="4403"/>
    <cellStyle name="_Costs not in KWI3000 '06Budget_NIM Summary 30" xfId="14909"/>
    <cellStyle name="_Costs not in KWI3000 '06Budget_NIM Summary 31" xfId="14910"/>
    <cellStyle name="_Costs not in KWI3000 '06Budget_NIM Summary 32" xfId="14911"/>
    <cellStyle name="_Costs not in KWI3000 '06Budget_NIM Summary 33" xfId="14912"/>
    <cellStyle name="_Costs not in KWI3000 '06Budget_NIM Summary 34" xfId="14913"/>
    <cellStyle name="_Costs not in KWI3000 '06Budget_NIM Summary 35" xfId="14914"/>
    <cellStyle name="_Costs not in KWI3000 '06Budget_NIM Summary 36" xfId="14915"/>
    <cellStyle name="_Costs not in KWI3000 '06Budget_NIM Summary 37" xfId="14916"/>
    <cellStyle name="_Costs not in KWI3000 '06Budget_NIM Summary 38" xfId="14917"/>
    <cellStyle name="_Costs not in KWI3000 '06Budget_NIM Summary 39" xfId="14918"/>
    <cellStyle name="_Costs not in KWI3000 '06Budget_NIM Summary 4" xfId="1029"/>
    <cellStyle name="_Costs not in KWI3000 '06Budget_NIM Summary 4 2" xfId="4404"/>
    <cellStyle name="_Costs not in KWI3000 '06Budget_NIM Summary 40" xfId="14919"/>
    <cellStyle name="_Costs not in KWI3000 '06Budget_NIM Summary 41" xfId="14920"/>
    <cellStyle name="_Costs not in KWI3000 '06Budget_NIM Summary 42" xfId="16326"/>
    <cellStyle name="_Costs not in KWI3000 '06Budget_NIM Summary 43" xfId="22317"/>
    <cellStyle name="_Costs not in KWI3000 '06Budget_NIM Summary 44" xfId="23801"/>
    <cellStyle name="_Costs not in KWI3000 '06Budget_NIM Summary 45" xfId="23802"/>
    <cellStyle name="_Costs not in KWI3000 '06Budget_NIM Summary 46" xfId="23803"/>
    <cellStyle name="_Costs not in KWI3000 '06Budget_NIM Summary 47" xfId="23804"/>
    <cellStyle name="_Costs not in KWI3000 '06Budget_NIM Summary 48" xfId="23805"/>
    <cellStyle name="_Costs not in KWI3000 '06Budget_NIM Summary 49" xfId="23806"/>
    <cellStyle name="_Costs not in KWI3000 '06Budget_NIM Summary 5" xfId="1030"/>
    <cellStyle name="_Costs not in KWI3000 '06Budget_NIM Summary 5 2" xfId="4405"/>
    <cellStyle name="_Costs not in KWI3000 '06Budget_NIM Summary 50" xfId="23807"/>
    <cellStyle name="_Costs not in KWI3000 '06Budget_NIM Summary 51" xfId="41140"/>
    <cellStyle name="_Costs not in KWI3000 '06Budget_NIM Summary 52" xfId="7074"/>
    <cellStyle name="_Costs not in KWI3000 '06Budget_NIM Summary 6" xfId="1031"/>
    <cellStyle name="_Costs not in KWI3000 '06Budget_NIM Summary 6 2" xfId="4406"/>
    <cellStyle name="_Costs not in KWI3000 '06Budget_NIM Summary 7" xfId="1032"/>
    <cellStyle name="_Costs not in KWI3000 '06Budget_NIM Summary 7 2" xfId="4407"/>
    <cellStyle name="_Costs not in KWI3000 '06Budget_NIM Summary 8" xfId="1033"/>
    <cellStyle name="_Costs not in KWI3000 '06Budget_NIM Summary 8 2" xfId="4408"/>
    <cellStyle name="_Costs not in KWI3000 '06Budget_NIM Summary 9" xfId="1034"/>
    <cellStyle name="_Costs not in KWI3000 '06Budget_NIM Summary 9 2" xfId="4409"/>
    <cellStyle name="_Costs not in KWI3000 '06Budget_NIM Summary_DEM-WP(C) ENERG10C--ctn Mid-C_042010 2010GRC" xfId="12426"/>
    <cellStyle name="_Costs not in KWI3000 '06Budget_NIM+O&amp;M" xfId="12427"/>
    <cellStyle name="_Costs not in KWI3000 '06Budget_NIM+O&amp;M 2" xfId="12428"/>
    <cellStyle name="_Costs not in KWI3000 '06Budget_NIM+O&amp;M 2 2" xfId="23808"/>
    <cellStyle name="_Costs not in KWI3000 '06Budget_NIM+O&amp;M 3" xfId="23809"/>
    <cellStyle name="_Costs not in KWI3000 '06Budget_NIM+O&amp;M Monthly" xfId="12429"/>
    <cellStyle name="_Costs not in KWI3000 '06Budget_NIM+O&amp;M Monthly 2" xfId="12430"/>
    <cellStyle name="_Costs not in KWI3000 '06Budget_NIM+O&amp;M Monthly 2 2" xfId="23810"/>
    <cellStyle name="_Costs not in KWI3000 '06Budget_NIM+O&amp;M Monthly 3" xfId="23811"/>
    <cellStyle name="_Costs not in KWI3000 '06Budget_PCA 10 -  Exhibit D Dec 2011" xfId="14921"/>
    <cellStyle name="_Costs not in KWI3000 '06Budget_PCA 10 -  Exhibit D from A Kellogg Jan 2011" xfId="14097"/>
    <cellStyle name="_Costs not in KWI3000 '06Budget_PCA 10 -  Exhibit D from A Kellogg July 2011" xfId="14098"/>
    <cellStyle name="_Costs not in KWI3000 '06Budget_PCA 10 -  Exhibit D from S Free Rcv'd 12-11" xfId="14099"/>
    <cellStyle name="_Costs not in KWI3000 '06Budget_PCA 11 -  Exhibit D Jan 2012 fr A Kellogg" xfId="14922"/>
    <cellStyle name="_Costs not in KWI3000 '06Budget_PCA 11 -  Exhibit D Jan 2012 WF" xfId="14923"/>
    <cellStyle name="_Costs not in KWI3000 '06Budget_PCA 7 - Exhibit D update 11_30_08 (2)" xfId="1035"/>
    <cellStyle name="_Costs not in KWI3000 '06Budget_PCA 7 - Exhibit D update 11_30_08 (2) 2" xfId="1036"/>
    <cellStyle name="_Costs not in KWI3000 '06Budget_PCA 7 - Exhibit D update 11_30_08 (2) 2 2" xfId="1037"/>
    <cellStyle name="_Costs not in KWI3000 '06Budget_PCA 7 - Exhibit D update 11_30_08 (2) 2 2 2" xfId="4412"/>
    <cellStyle name="_Costs not in KWI3000 '06Budget_PCA 7 - Exhibit D update 11_30_08 (2) 2 3" xfId="4411"/>
    <cellStyle name="_Costs not in KWI3000 '06Budget_PCA 7 - Exhibit D update 11_30_08 (2) 3" xfId="1038"/>
    <cellStyle name="_Costs not in KWI3000 '06Budget_PCA 7 - Exhibit D update 11_30_08 (2) 3 2" xfId="4413"/>
    <cellStyle name="_Costs not in KWI3000 '06Budget_PCA 7 - Exhibit D update 11_30_08 (2) 4" xfId="4410"/>
    <cellStyle name="_Costs not in KWI3000 '06Budget_PCA 7 - Exhibit D update 11_30_08 (2)_DEM-WP(C) ENERG10C--ctn Mid-C_042010 2010GRC" xfId="12431"/>
    <cellStyle name="_Costs not in KWI3000 '06Budget_PCA 7 - Exhibit D update 11_30_08 (2)_NIM Summary" xfId="1039"/>
    <cellStyle name="_Costs not in KWI3000 '06Budget_PCA 7 - Exhibit D update 11_30_08 (2)_NIM Summary 2" xfId="1040"/>
    <cellStyle name="_Costs not in KWI3000 '06Budget_PCA 7 - Exhibit D update 11_30_08 (2)_NIM Summary 2 2" xfId="4415"/>
    <cellStyle name="_Costs not in KWI3000 '06Budget_PCA 7 - Exhibit D update 11_30_08 (2)_NIM Summary 3" xfId="4414"/>
    <cellStyle name="_Costs not in KWI3000 '06Budget_PCA 7 - Exhibit D update 11_30_08 (2)_NIM Summary_DEM-WP(C) ENERG10C--ctn Mid-C_042010 2010GRC" xfId="12432"/>
    <cellStyle name="_Costs not in KWI3000 '06Budget_PCA 8 - Exhibit D update 12_31_09" xfId="14100"/>
    <cellStyle name="_Costs not in KWI3000 '06Budget_PCA 8 - Exhibit D update 12_31_09 2" xfId="14924"/>
    <cellStyle name="_Costs not in KWI3000 '06Budget_PCA 9 -  Exhibit D April 2010" xfId="14101"/>
    <cellStyle name="_Costs not in KWI3000 '06Budget_PCA 9 -  Exhibit D April 2010 (3)" xfId="1041"/>
    <cellStyle name="_Costs not in KWI3000 '06Budget_PCA 9 -  Exhibit D April 2010 (3) 2" xfId="1042"/>
    <cellStyle name="_Costs not in KWI3000 '06Budget_PCA 9 -  Exhibit D April 2010 (3) 2 2" xfId="4417"/>
    <cellStyle name="_Costs not in KWI3000 '06Budget_PCA 9 -  Exhibit D April 2010 (3) 3" xfId="4416"/>
    <cellStyle name="_Costs not in KWI3000 '06Budget_PCA 9 -  Exhibit D April 2010 (3)_DEM-WP(C) ENERG10C--ctn Mid-C_042010 2010GRC" xfId="12433"/>
    <cellStyle name="_Costs not in KWI3000 '06Budget_PCA 9 -  Exhibit D April 2010 2" xfId="14925"/>
    <cellStyle name="_Costs not in KWI3000 '06Budget_PCA 9 -  Exhibit D April 2010 3" xfId="14926"/>
    <cellStyle name="_Costs not in KWI3000 '06Budget_PCA 9 -  Exhibit D April 2010 4" xfId="14927"/>
    <cellStyle name="_Costs not in KWI3000 '06Budget_PCA 9 -  Exhibit D April 2010 5" xfId="14928"/>
    <cellStyle name="_Costs not in KWI3000 '06Budget_PCA 9 -  Exhibit D April 2010 6" xfId="14929"/>
    <cellStyle name="_Costs not in KWI3000 '06Budget_PCA 9 -  Exhibit D Feb 2010" xfId="14102"/>
    <cellStyle name="_Costs not in KWI3000 '06Budget_PCA 9 -  Exhibit D Feb 2010 2" xfId="14930"/>
    <cellStyle name="_Costs not in KWI3000 '06Budget_PCA 9 -  Exhibit D Feb 2010 v2" xfId="14103"/>
    <cellStyle name="_Costs not in KWI3000 '06Budget_PCA 9 -  Exhibit D Feb 2010 v2 2" xfId="14931"/>
    <cellStyle name="_Costs not in KWI3000 '06Budget_PCA 9 -  Exhibit D Feb 2010 WF" xfId="14104"/>
    <cellStyle name="_Costs not in KWI3000 '06Budget_PCA 9 -  Exhibit D Feb 2010 WF 2" xfId="14932"/>
    <cellStyle name="_Costs not in KWI3000 '06Budget_PCA 9 -  Exhibit D Jan 2010" xfId="14105"/>
    <cellStyle name="_Costs not in KWI3000 '06Budget_PCA 9 -  Exhibit D Jan 2010 2" xfId="14933"/>
    <cellStyle name="_Costs not in KWI3000 '06Budget_PCA 9 -  Exhibit D March 2010 (2)" xfId="14106"/>
    <cellStyle name="_Costs not in KWI3000 '06Budget_PCA 9 -  Exhibit D March 2010 (2) 2" xfId="14934"/>
    <cellStyle name="_Costs not in KWI3000 '06Budget_PCA 9 -  Exhibit D Nov 2010" xfId="14107"/>
    <cellStyle name="_Costs not in KWI3000 '06Budget_PCA 9 -  Exhibit D Nov 2010 2" xfId="14935"/>
    <cellStyle name="_Costs not in KWI3000 '06Budget_PCA 9 - Exhibit D at August 2010" xfId="14108"/>
    <cellStyle name="_Costs not in KWI3000 '06Budget_PCA 9 - Exhibit D at August 2010 2" xfId="14936"/>
    <cellStyle name="_Costs not in KWI3000 '06Budget_PCA 9 - Exhibit D June 2010 GRC" xfId="14109"/>
    <cellStyle name="_Costs not in KWI3000 '06Budget_PCA 9 - Exhibit D June 2010 GRC 2" xfId="14937"/>
    <cellStyle name="_Costs not in KWI3000 '06Budget_Power Costs - Comparison bx Rbtl-Staff-Jt-PC" xfId="1043"/>
    <cellStyle name="_Costs not in KWI3000 '06Budget_Power Costs - Comparison bx Rbtl-Staff-Jt-PC 2" xfId="1044"/>
    <cellStyle name="_Costs not in KWI3000 '06Budget_Power Costs - Comparison bx Rbtl-Staff-Jt-PC 2 2" xfId="4419"/>
    <cellStyle name="_Costs not in KWI3000 '06Budget_Power Costs - Comparison bx Rbtl-Staff-Jt-PC 2 2 2" xfId="20427"/>
    <cellStyle name="_Costs not in KWI3000 '06Budget_Power Costs - Comparison bx Rbtl-Staff-Jt-PC 2 3" xfId="16328"/>
    <cellStyle name="_Costs not in KWI3000 '06Budget_Power Costs - Comparison bx Rbtl-Staff-Jt-PC 3" xfId="4418"/>
    <cellStyle name="_Costs not in KWI3000 '06Budget_Power Costs - Comparison bx Rbtl-Staff-Jt-PC 3 2" xfId="20428"/>
    <cellStyle name="_Costs not in KWI3000 '06Budget_Power Costs - Comparison bx Rbtl-Staff-Jt-PC 4" xfId="16327"/>
    <cellStyle name="_Costs not in KWI3000 '06Budget_Power Costs - Comparison bx Rbtl-Staff-Jt-PC_Adj Bench DR 3 for Initial Briefs (Electric)" xfId="1045"/>
    <cellStyle name="_Costs not in KWI3000 '06Budget_Power Costs - Comparison bx Rbtl-Staff-Jt-PC_Adj Bench DR 3 for Initial Briefs (Electric) 2" xfId="1046"/>
    <cellStyle name="_Costs not in KWI3000 '06Budget_Power Costs - Comparison bx Rbtl-Staff-Jt-PC_Adj Bench DR 3 for Initial Briefs (Electric) 2 2" xfId="4421"/>
    <cellStyle name="_Costs not in KWI3000 '06Budget_Power Costs - Comparison bx Rbtl-Staff-Jt-PC_Adj Bench DR 3 for Initial Briefs (Electric) 2 2 2" xfId="20429"/>
    <cellStyle name="_Costs not in KWI3000 '06Budget_Power Costs - Comparison bx Rbtl-Staff-Jt-PC_Adj Bench DR 3 for Initial Briefs (Electric) 2 3" xfId="16330"/>
    <cellStyle name="_Costs not in KWI3000 '06Budget_Power Costs - Comparison bx Rbtl-Staff-Jt-PC_Adj Bench DR 3 for Initial Briefs (Electric) 3" xfId="4420"/>
    <cellStyle name="_Costs not in KWI3000 '06Budget_Power Costs - Comparison bx Rbtl-Staff-Jt-PC_Adj Bench DR 3 for Initial Briefs (Electric) 3 2" xfId="20430"/>
    <cellStyle name="_Costs not in KWI3000 '06Budget_Power Costs - Comparison bx Rbtl-Staff-Jt-PC_Adj Bench DR 3 for Initial Briefs (Electric) 4" xfId="16329"/>
    <cellStyle name="_Costs not in KWI3000 '06Budget_Power Costs - Comparison bx Rbtl-Staff-Jt-PC_Adj Bench DR 3 for Initial Briefs (Electric)_DEM-WP(C) ENERG10C--ctn Mid-C_042010 2010GRC" xfId="12434"/>
    <cellStyle name="_Costs not in KWI3000 '06Budget_Power Costs - Comparison bx Rbtl-Staff-Jt-PC_DEM-WP(C) ENERG10C--ctn Mid-C_042010 2010GRC" xfId="12435"/>
    <cellStyle name="_Costs not in KWI3000 '06Budget_Power Costs - Comparison bx Rbtl-Staff-Jt-PC_Electric Rev Req Model (2009 GRC) Rebuttal" xfId="1047"/>
    <cellStyle name="_Costs not in KWI3000 '06Budget_Power Costs - Comparison bx Rbtl-Staff-Jt-PC_Electric Rev Req Model (2009 GRC) Rebuttal 2" xfId="4422"/>
    <cellStyle name="_Costs not in KWI3000 '06Budget_Power Costs - Comparison bx Rbtl-Staff-Jt-PC_Electric Rev Req Model (2009 GRC) Rebuttal 2 2" xfId="7075"/>
    <cellStyle name="_Costs not in KWI3000 '06Budget_Power Costs - Comparison bx Rbtl-Staff-Jt-PC_Electric Rev Req Model (2009 GRC) Rebuttal 2 2 2" xfId="20431"/>
    <cellStyle name="_Costs not in KWI3000 '06Budget_Power Costs - Comparison bx Rbtl-Staff-Jt-PC_Electric Rev Req Model (2009 GRC) Rebuttal 2 3" xfId="18372"/>
    <cellStyle name="_Costs not in KWI3000 '06Budget_Power Costs - Comparison bx Rbtl-Staff-Jt-PC_Electric Rev Req Model (2009 GRC) Rebuttal 3" xfId="7076"/>
    <cellStyle name="_Costs not in KWI3000 '06Budget_Power Costs - Comparison bx Rbtl-Staff-Jt-PC_Electric Rev Req Model (2009 GRC) Rebuttal 3 2" xfId="20432"/>
    <cellStyle name="_Costs not in KWI3000 '06Budget_Power Costs - Comparison bx Rbtl-Staff-Jt-PC_Electric Rev Req Model (2009 GRC) Rebuttal 4" xfId="16331"/>
    <cellStyle name="_Costs not in KWI3000 '06Budget_Power Costs - Comparison bx Rbtl-Staff-Jt-PC_Electric Rev Req Model (2009 GRC) Rebuttal REmoval of New  WH Solar AdjustMI" xfId="1048"/>
    <cellStyle name="_Costs not in KWI3000 '06Budget_Power Costs - Comparison bx Rbtl-Staff-Jt-PC_Electric Rev Req Model (2009 GRC) Rebuttal REmoval of New  WH Solar AdjustMI 2" xfId="1049"/>
    <cellStyle name="_Costs not in KWI3000 '06Budget_Power Costs - Comparison bx Rbtl-Staff-Jt-PC_Electric Rev Req Model (2009 GRC) Rebuttal REmoval of New  WH Solar AdjustMI 2 2" xfId="4424"/>
    <cellStyle name="_Costs not in KWI3000 '06Budget_Power Costs - Comparison bx Rbtl-Staff-Jt-PC_Electric Rev Req Model (2009 GRC) Rebuttal REmoval of New  WH Solar AdjustMI 2 2 2" xfId="20433"/>
    <cellStyle name="_Costs not in KWI3000 '06Budget_Power Costs - Comparison bx Rbtl-Staff-Jt-PC_Electric Rev Req Model (2009 GRC) Rebuttal REmoval of New  WH Solar AdjustMI 2 3" xfId="16333"/>
    <cellStyle name="_Costs not in KWI3000 '06Budget_Power Costs - Comparison bx Rbtl-Staff-Jt-PC_Electric Rev Req Model (2009 GRC) Rebuttal REmoval of New  WH Solar AdjustMI 3" xfId="4423"/>
    <cellStyle name="_Costs not in KWI3000 '06Budget_Power Costs - Comparison bx Rbtl-Staff-Jt-PC_Electric Rev Req Model (2009 GRC) Rebuttal REmoval of New  WH Solar AdjustMI 3 2" xfId="20434"/>
    <cellStyle name="_Costs not in KWI3000 '06Budget_Power Costs - Comparison bx Rbtl-Staff-Jt-PC_Electric Rev Req Model (2009 GRC) Rebuttal REmoval of New  WH Solar AdjustMI 4" xfId="16332"/>
    <cellStyle name="_Costs not in KWI3000 '06Budget_Power Costs - Comparison bx Rbtl-Staff-Jt-PC_Electric Rev Req Model (2009 GRC) Rebuttal REmoval of New  WH Solar AdjustMI_DEM-WP(C) ENERG10C--ctn Mid-C_042010 2010GRC" xfId="12436"/>
    <cellStyle name="_Costs not in KWI3000 '06Budget_Power Costs - Comparison bx Rbtl-Staff-Jt-PC_Electric Rev Req Model (2009 GRC) Revised 01-18-2010" xfId="1050"/>
    <cellStyle name="_Costs not in KWI3000 '06Budget_Power Costs - Comparison bx Rbtl-Staff-Jt-PC_Electric Rev Req Model (2009 GRC) Revised 01-18-2010 2" xfId="1051"/>
    <cellStyle name="_Costs not in KWI3000 '06Budget_Power Costs - Comparison bx Rbtl-Staff-Jt-PC_Electric Rev Req Model (2009 GRC) Revised 01-18-2010 2 2" xfId="4426"/>
    <cellStyle name="_Costs not in KWI3000 '06Budget_Power Costs - Comparison bx Rbtl-Staff-Jt-PC_Electric Rev Req Model (2009 GRC) Revised 01-18-2010 2 2 2" xfId="20435"/>
    <cellStyle name="_Costs not in KWI3000 '06Budget_Power Costs - Comparison bx Rbtl-Staff-Jt-PC_Electric Rev Req Model (2009 GRC) Revised 01-18-2010 2 3" xfId="16335"/>
    <cellStyle name="_Costs not in KWI3000 '06Budget_Power Costs - Comparison bx Rbtl-Staff-Jt-PC_Electric Rev Req Model (2009 GRC) Revised 01-18-2010 3" xfId="4425"/>
    <cellStyle name="_Costs not in KWI3000 '06Budget_Power Costs - Comparison bx Rbtl-Staff-Jt-PC_Electric Rev Req Model (2009 GRC) Revised 01-18-2010 3 2" xfId="20436"/>
    <cellStyle name="_Costs not in KWI3000 '06Budget_Power Costs - Comparison bx Rbtl-Staff-Jt-PC_Electric Rev Req Model (2009 GRC) Revised 01-18-2010 4" xfId="16334"/>
    <cellStyle name="_Costs not in KWI3000 '06Budget_Power Costs - Comparison bx Rbtl-Staff-Jt-PC_Electric Rev Req Model (2009 GRC) Revised 01-18-2010_DEM-WP(C) ENERG10C--ctn Mid-C_042010 2010GRC" xfId="12437"/>
    <cellStyle name="_Costs not in KWI3000 '06Budget_Power Costs - Comparison bx Rbtl-Staff-Jt-PC_Final Order Electric EXHIBIT A-1" xfId="1052"/>
    <cellStyle name="_Costs not in KWI3000 '06Budget_Power Costs - Comparison bx Rbtl-Staff-Jt-PC_Final Order Electric EXHIBIT A-1 2" xfId="4427"/>
    <cellStyle name="_Costs not in KWI3000 '06Budget_Power Costs - Comparison bx Rbtl-Staff-Jt-PC_Final Order Electric EXHIBIT A-1 2 2" xfId="7077"/>
    <cellStyle name="_Costs not in KWI3000 '06Budget_Power Costs - Comparison bx Rbtl-Staff-Jt-PC_Final Order Electric EXHIBIT A-1 2 2 2" xfId="20437"/>
    <cellStyle name="_Costs not in KWI3000 '06Budget_Power Costs - Comparison bx Rbtl-Staff-Jt-PC_Final Order Electric EXHIBIT A-1 2 3" xfId="18373"/>
    <cellStyle name="_Costs not in KWI3000 '06Budget_Power Costs - Comparison bx Rbtl-Staff-Jt-PC_Final Order Electric EXHIBIT A-1 3" xfId="7078"/>
    <cellStyle name="_Costs not in KWI3000 '06Budget_Power Costs - Comparison bx Rbtl-Staff-Jt-PC_Final Order Electric EXHIBIT A-1 3 2" xfId="20438"/>
    <cellStyle name="_Costs not in KWI3000 '06Budget_Power Costs - Comparison bx Rbtl-Staff-Jt-PC_Final Order Electric EXHIBIT A-1 4" xfId="16336"/>
    <cellStyle name="_Costs not in KWI3000 '06Budget_Production Adj 4.37" xfId="7079"/>
    <cellStyle name="_Costs not in KWI3000 '06Budget_Production Adj 4.37 2" xfId="7080"/>
    <cellStyle name="_Costs not in KWI3000 '06Budget_Production Adj 4.37 2 2" xfId="7081"/>
    <cellStyle name="_Costs not in KWI3000 '06Budget_Production Adj 4.37 2 2 2" xfId="20439"/>
    <cellStyle name="_Costs not in KWI3000 '06Budget_Production Adj 4.37 2 3" xfId="18375"/>
    <cellStyle name="_Costs not in KWI3000 '06Budget_Production Adj 4.37 3" xfId="7082"/>
    <cellStyle name="_Costs not in KWI3000 '06Budget_Production Adj 4.37 3 2" xfId="20440"/>
    <cellStyle name="_Costs not in KWI3000 '06Budget_Production Adj 4.37 4" xfId="18374"/>
    <cellStyle name="_Costs not in KWI3000 '06Budget_Purchased Power Adj 4.03" xfId="7083"/>
    <cellStyle name="_Costs not in KWI3000 '06Budget_Purchased Power Adj 4.03 2" xfId="7084"/>
    <cellStyle name="_Costs not in KWI3000 '06Budget_Purchased Power Adj 4.03 2 2" xfId="7085"/>
    <cellStyle name="_Costs not in KWI3000 '06Budget_Purchased Power Adj 4.03 2 2 2" xfId="20441"/>
    <cellStyle name="_Costs not in KWI3000 '06Budget_Purchased Power Adj 4.03 2 3" xfId="18377"/>
    <cellStyle name="_Costs not in KWI3000 '06Budget_Purchased Power Adj 4.03 3" xfId="7086"/>
    <cellStyle name="_Costs not in KWI3000 '06Budget_Purchased Power Adj 4.03 3 2" xfId="20442"/>
    <cellStyle name="_Costs not in KWI3000 '06Budget_Purchased Power Adj 4.03 4" xfId="18376"/>
    <cellStyle name="_Costs not in KWI3000 '06Budget_Rebuttal Power Costs" xfId="1053"/>
    <cellStyle name="_Costs not in KWI3000 '06Budget_Rebuttal Power Costs 2" xfId="1054"/>
    <cellStyle name="_Costs not in KWI3000 '06Budget_Rebuttal Power Costs 2 2" xfId="4429"/>
    <cellStyle name="_Costs not in KWI3000 '06Budget_Rebuttal Power Costs 2 2 2" xfId="20443"/>
    <cellStyle name="_Costs not in KWI3000 '06Budget_Rebuttal Power Costs 2 3" xfId="16338"/>
    <cellStyle name="_Costs not in KWI3000 '06Budget_Rebuttal Power Costs 3" xfId="4428"/>
    <cellStyle name="_Costs not in KWI3000 '06Budget_Rebuttal Power Costs 3 2" xfId="20444"/>
    <cellStyle name="_Costs not in KWI3000 '06Budget_Rebuttal Power Costs 4" xfId="16337"/>
    <cellStyle name="_Costs not in KWI3000 '06Budget_Rebuttal Power Costs_Adj Bench DR 3 for Initial Briefs (Electric)" xfId="1055"/>
    <cellStyle name="_Costs not in KWI3000 '06Budget_Rebuttal Power Costs_Adj Bench DR 3 for Initial Briefs (Electric) 2" xfId="1056"/>
    <cellStyle name="_Costs not in KWI3000 '06Budget_Rebuttal Power Costs_Adj Bench DR 3 for Initial Briefs (Electric) 2 2" xfId="4431"/>
    <cellStyle name="_Costs not in KWI3000 '06Budget_Rebuttal Power Costs_Adj Bench DR 3 for Initial Briefs (Electric) 2 2 2" xfId="20445"/>
    <cellStyle name="_Costs not in KWI3000 '06Budget_Rebuttal Power Costs_Adj Bench DR 3 for Initial Briefs (Electric) 2 3" xfId="16340"/>
    <cellStyle name="_Costs not in KWI3000 '06Budget_Rebuttal Power Costs_Adj Bench DR 3 for Initial Briefs (Electric) 3" xfId="4430"/>
    <cellStyle name="_Costs not in KWI3000 '06Budget_Rebuttal Power Costs_Adj Bench DR 3 for Initial Briefs (Electric) 3 2" xfId="20446"/>
    <cellStyle name="_Costs not in KWI3000 '06Budget_Rebuttal Power Costs_Adj Bench DR 3 for Initial Briefs (Electric) 4" xfId="16339"/>
    <cellStyle name="_Costs not in KWI3000 '06Budget_Rebuttal Power Costs_Adj Bench DR 3 for Initial Briefs (Electric)_DEM-WP(C) ENERG10C--ctn Mid-C_042010 2010GRC" xfId="12438"/>
    <cellStyle name="_Costs not in KWI3000 '06Budget_Rebuttal Power Costs_DEM-WP(C) ENERG10C--ctn Mid-C_042010 2010GRC" xfId="12439"/>
    <cellStyle name="_Costs not in KWI3000 '06Budget_Rebuttal Power Costs_Electric Rev Req Model (2009 GRC) Rebuttal" xfId="1057"/>
    <cellStyle name="_Costs not in KWI3000 '06Budget_Rebuttal Power Costs_Electric Rev Req Model (2009 GRC) Rebuttal 2" xfId="4432"/>
    <cellStyle name="_Costs not in KWI3000 '06Budget_Rebuttal Power Costs_Electric Rev Req Model (2009 GRC) Rebuttal 2 2" xfId="7087"/>
    <cellStyle name="_Costs not in KWI3000 '06Budget_Rebuttal Power Costs_Electric Rev Req Model (2009 GRC) Rebuttal 2 2 2" xfId="20447"/>
    <cellStyle name="_Costs not in KWI3000 '06Budget_Rebuttal Power Costs_Electric Rev Req Model (2009 GRC) Rebuttal 2 3" xfId="18378"/>
    <cellStyle name="_Costs not in KWI3000 '06Budget_Rebuttal Power Costs_Electric Rev Req Model (2009 GRC) Rebuttal 3" xfId="7088"/>
    <cellStyle name="_Costs not in KWI3000 '06Budget_Rebuttal Power Costs_Electric Rev Req Model (2009 GRC) Rebuttal 3 2" xfId="20448"/>
    <cellStyle name="_Costs not in KWI3000 '06Budget_Rebuttal Power Costs_Electric Rev Req Model (2009 GRC) Rebuttal 4" xfId="16341"/>
    <cellStyle name="_Costs not in KWI3000 '06Budget_Rebuttal Power Costs_Electric Rev Req Model (2009 GRC) Rebuttal REmoval of New  WH Solar AdjustMI" xfId="1058"/>
    <cellStyle name="_Costs not in KWI3000 '06Budget_Rebuttal Power Costs_Electric Rev Req Model (2009 GRC) Rebuttal REmoval of New  WH Solar AdjustMI 2" xfId="1059"/>
    <cellStyle name="_Costs not in KWI3000 '06Budget_Rebuttal Power Costs_Electric Rev Req Model (2009 GRC) Rebuttal REmoval of New  WH Solar AdjustMI 2 2" xfId="4434"/>
    <cellStyle name="_Costs not in KWI3000 '06Budget_Rebuttal Power Costs_Electric Rev Req Model (2009 GRC) Rebuttal REmoval of New  WH Solar AdjustMI 2 2 2" xfId="20449"/>
    <cellStyle name="_Costs not in KWI3000 '06Budget_Rebuttal Power Costs_Electric Rev Req Model (2009 GRC) Rebuttal REmoval of New  WH Solar AdjustMI 2 3" xfId="16343"/>
    <cellStyle name="_Costs not in KWI3000 '06Budget_Rebuttal Power Costs_Electric Rev Req Model (2009 GRC) Rebuttal REmoval of New  WH Solar AdjustMI 3" xfId="4433"/>
    <cellStyle name="_Costs not in KWI3000 '06Budget_Rebuttal Power Costs_Electric Rev Req Model (2009 GRC) Rebuttal REmoval of New  WH Solar AdjustMI 3 2" xfId="20450"/>
    <cellStyle name="_Costs not in KWI3000 '06Budget_Rebuttal Power Costs_Electric Rev Req Model (2009 GRC) Rebuttal REmoval of New  WH Solar AdjustMI 4" xfId="16342"/>
    <cellStyle name="_Costs not in KWI3000 '06Budget_Rebuttal Power Costs_Electric Rev Req Model (2009 GRC) Rebuttal REmoval of New  WH Solar AdjustMI_DEM-WP(C) ENERG10C--ctn Mid-C_042010 2010GRC" xfId="12440"/>
    <cellStyle name="_Costs not in KWI3000 '06Budget_Rebuttal Power Costs_Electric Rev Req Model (2009 GRC) Revised 01-18-2010" xfId="1060"/>
    <cellStyle name="_Costs not in KWI3000 '06Budget_Rebuttal Power Costs_Electric Rev Req Model (2009 GRC) Revised 01-18-2010 2" xfId="1061"/>
    <cellStyle name="_Costs not in KWI3000 '06Budget_Rebuttal Power Costs_Electric Rev Req Model (2009 GRC) Revised 01-18-2010 2 2" xfId="4436"/>
    <cellStyle name="_Costs not in KWI3000 '06Budget_Rebuttal Power Costs_Electric Rev Req Model (2009 GRC) Revised 01-18-2010 2 2 2" xfId="20451"/>
    <cellStyle name="_Costs not in KWI3000 '06Budget_Rebuttal Power Costs_Electric Rev Req Model (2009 GRC) Revised 01-18-2010 2 3" xfId="16345"/>
    <cellStyle name="_Costs not in KWI3000 '06Budget_Rebuttal Power Costs_Electric Rev Req Model (2009 GRC) Revised 01-18-2010 3" xfId="4435"/>
    <cellStyle name="_Costs not in KWI3000 '06Budget_Rebuttal Power Costs_Electric Rev Req Model (2009 GRC) Revised 01-18-2010 3 2" xfId="20452"/>
    <cellStyle name="_Costs not in KWI3000 '06Budget_Rebuttal Power Costs_Electric Rev Req Model (2009 GRC) Revised 01-18-2010 4" xfId="16344"/>
    <cellStyle name="_Costs not in KWI3000 '06Budget_Rebuttal Power Costs_Electric Rev Req Model (2009 GRC) Revised 01-18-2010_DEM-WP(C) ENERG10C--ctn Mid-C_042010 2010GRC" xfId="12441"/>
    <cellStyle name="_Costs not in KWI3000 '06Budget_Rebuttal Power Costs_Final Order Electric EXHIBIT A-1" xfId="1062"/>
    <cellStyle name="_Costs not in KWI3000 '06Budget_Rebuttal Power Costs_Final Order Electric EXHIBIT A-1 2" xfId="4437"/>
    <cellStyle name="_Costs not in KWI3000 '06Budget_Rebuttal Power Costs_Final Order Electric EXHIBIT A-1 2 2" xfId="7089"/>
    <cellStyle name="_Costs not in KWI3000 '06Budget_Rebuttal Power Costs_Final Order Electric EXHIBIT A-1 2 2 2" xfId="20453"/>
    <cellStyle name="_Costs not in KWI3000 '06Budget_Rebuttal Power Costs_Final Order Electric EXHIBIT A-1 2 3" xfId="18379"/>
    <cellStyle name="_Costs not in KWI3000 '06Budget_Rebuttal Power Costs_Final Order Electric EXHIBIT A-1 3" xfId="7090"/>
    <cellStyle name="_Costs not in KWI3000 '06Budget_Rebuttal Power Costs_Final Order Electric EXHIBIT A-1 3 2" xfId="20454"/>
    <cellStyle name="_Costs not in KWI3000 '06Budget_Rebuttal Power Costs_Final Order Electric EXHIBIT A-1 4" xfId="16346"/>
    <cellStyle name="_Costs not in KWI3000 '06Budget_ROR &amp; CONV FACTOR" xfId="7091"/>
    <cellStyle name="_Costs not in KWI3000 '06Budget_ROR &amp; CONV FACTOR 2" xfId="7092"/>
    <cellStyle name="_Costs not in KWI3000 '06Budget_ROR &amp; CONV FACTOR 2 2" xfId="7093"/>
    <cellStyle name="_Costs not in KWI3000 '06Budget_ROR &amp; CONV FACTOR 2 2 2" xfId="20455"/>
    <cellStyle name="_Costs not in KWI3000 '06Budget_ROR &amp; CONV FACTOR 2 3" xfId="18381"/>
    <cellStyle name="_Costs not in KWI3000 '06Budget_ROR &amp; CONV FACTOR 3" xfId="7094"/>
    <cellStyle name="_Costs not in KWI3000 '06Budget_ROR &amp; CONV FACTOR 3 2" xfId="20456"/>
    <cellStyle name="_Costs not in KWI3000 '06Budget_ROR &amp; CONV FACTOR 4" xfId="18380"/>
    <cellStyle name="_Costs not in KWI3000 '06Budget_ROR 5.02" xfId="7095"/>
    <cellStyle name="_Costs not in KWI3000 '06Budget_ROR 5.02 2" xfId="7096"/>
    <cellStyle name="_Costs not in KWI3000 '06Budget_ROR 5.02 2 2" xfId="7097"/>
    <cellStyle name="_Costs not in KWI3000 '06Budget_ROR 5.02 2 2 2" xfId="20457"/>
    <cellStyle name="_Costs not in KWI3000 '06Budget_ROR 5.02 2 3" xfId="18383"/>
    <cellStyle name="_Costs not in KWI3000 '06Budget_ROR 5.02 3" xfId="7098"/>
    <cellStyle name="_Costs not in KWI3000 '06Budget_ROR 5.02 3 2" xfId="20458"/>
    <cellStyle name="_Costs not in KWI3000 '06Budget_ROR 5.02 4" xfId="18382"/>
    <cellStyle name="_Costs not in KWI3000 '06Budget_Transmission Workbook for May BOD" xfId="1063"/>
    <cellStyle name="_Costs not in KWI3000 '06Budget_Transmission Workbook for May BOD 2" xfId="1064"/>
    <cellStyle name="_Costs not in KWI3000 '06Budget_Transmission Workbook for May BOD 2 2" xfId="4439"/>
    <cellStyle name="_Costs not in KWI3000 '06Budget_Transmission Workbook for May BOD 3" xfId="4438"/>
    <cellStyle name="_Costs not in KWI3000 '06Budget_Transmission Workbook for May BOD_DEM-WP(C) ENERG10C--ctn Mid-C_042010 2010GRC" xfId="12442"/>
    <cellStyle name="_Costs not in KWI3000 '06Budget_Wind Integration 10GRC" xfId="1065"/>
    <cellStyle name="_Costs not in KWI3000 '06Budget_Wind Integration 10GRC 2" xfId="1066"/>
    <cellStyle name="_Costs not in KWI3000 '06Budget_Wind Integration 10GRC 2 2" xfId="4441"/>
    <cellStyle name="_Costs not in KWI3000 '06Budget_Wind Integration 10GRC 3" xfId="4440"/>
    <cellStyle name="_Costs not in KWI3000 '06Budget_Wind Integration 10GRC_DEM-WP(C) ENERG10C--ctn Mid-C_042010 2010GRC" xfId="12443"/>
    <cellStyle name="_DEM-08C Power Cost Comparison" xfId="1067"/>
    <cellStyle name="_DEM-08C Power Cost Comparison 2" xfId="4442"/>
    <cellStyle name="_DEM-WP (C) Costs not in AURORA 2006GRC Order 11.30.06 Gas" xfId="1068"/>
    <cellStyle name="_DEM-WP (C) Costs not in AURORA 2006GRC Order 11.30.06 Gas 2" xfId="1069"/>
    <cellStyle name="_DEM-WP (C) Costs not in AURORA 2006GRC Order 11.30.06 Gas 2 2" xfId="4444"/>
    <cellStyle name="_DEM-WP (C) Costs not in AURORA 2006GRC Order 11.30.06 Gas 3" xfId="4443"/>
    <cellStyle name="_DEM-WP (C) Costs not in AURORA 2006GRC Order 11.30.06 Gas_Chelan PUD Power Costs (8-10)" xfId="12444"/>
    <cellStyle name="_DEM-WP (C) Costs not in AURORA 2006GRC Order 11.30.06 Gas_Chelan PUD Power Costs (8-10) 2" xfId="23812"/>
    <cellStyle name="_DEM-WP (C) Costs not in AURORA 2006GRC Order 11.30.06 Gas_DEM-WP(C) ENERG10C--ctn Mid-C_042010 2010GRC" xfId="12445"/>
    <cellStyle name="_DEM-WP (C) Costs not in AURORA 2006GRC Order 11.30.06 Gas_NIM Summary" xfId="1070"/>
    <cellStyle name="_DEM-WP (C) Costs not in AURORA 2006GRC Order 11.30.06 Gas_NIM Summary 2" xfId="1071"/>
    <cellStyle name="_DEM-WP (C) Costs not in AURORA 2006GRC Order 11.30.06 Gas_NIM Summary 2 2" xfId="4446"/>
    <cellStyle name="_DEM-WP (C) Costs not in AURORA 2006GRC Order 11.30.06 Gas_NIM Summary 3" xfId="4445"/>
    <cellStyle name="_DEM-WP (C) Costs not in AURORA 2006GRC Order 11.30.06 Gas_NIM Summary_DEM-WP(C) ENERG10C--ctn Mid-C_042010 2010GRC" xfId="12446"/>
    <cellStyle name="_DEM-WP (C) Power Cost 2006GRC Order" xfId="1072"/>
    <cellStyle name="_DEM-WP (C) Power Cost 2006GRC Order 10" xfId="23813"/>
    <cellStyle name="_DEM-WP (C) Power Cost 2006GRC Order 10 2" xfId="23814"/>
    <cellStyle name="_DEM-WP (C) Power Cost 2006GRC Order 2" xfId="1073"/>
    <cellStyle name="_DEM-WP (C) Power Cost 2006GRC Order 2 2" xfId="1074"/>
    <cellStyle name="_DEM-WP (C) Power Cost 2006GRC Order 2 2 2" xfId="4449"/>
    <cellStyle name="_DEM-WP (C) Power Cost 2006GRC Order 2 2 2 2" xfId="20459"/>
    <cellStyle name="_DEM-WP (C) Power Cost 2006GRC Order 2 2 3" xfId="16349"/>
    <cellStyle name="_DEM-WP (C) Power Cost 2006GRC Order 2 3" xfId="4448"/>
    <cellStyle name="_DEM-WP (C) Power Cost 2006GRC Order 2 3 2" xfId="20460"/>
    <cellStyle name="_DEM-WP (C) Power Cost 2006GRC Order 2 4" xfId="16348"/>
    <cellStyle name="_DEM-WP (C) Power Cost 2006GRC Order 3" xfId="1075"/>
    <cellStyle name="_DEM-WP (C) Power Cost 2006GRC Order 3 2" xfId="4450"/>
    <cellStyle name="_DEM-WP (C) Power Cost 2006GRC Order 3 2 2" xfId="20461"/>
    <cellStyle name="_DEM-WP (C) Power Cost 2006GRC Order 3 3" xfId="16350"/>
    <cellStyle name="_DEM-WP (C) Power Cost 2006GRC Order 4" xfId="1076"/>
    <cellStyle name="_DEM-WP (C) Power Cost 2006GRC Order 4 2" xfId="1077"/>
    <cellStyle name="_DEM-WP (C) Power Cost 2006GRC Order 4 2 2" xfId="4452"/>
    <cellStyle name="_DEM-WP (C) Power Cost 2006GRC Order 4 3" xfId="4451"/>
    <cellStyle name="_DEM-WP (C) Power Cost 2006GRC Order 5" xfId="4447"/>
    <cellStyle name="_DEM-WP (C) Power Cost 2006GRC Order 5 2" xfId="12448"/>
    <cellStyle name="_DEM-WP (C) Power Cost 2006GRC Order 5 2 2" xfId="23815"/>
    <cellStyle name="_DEM-WP (C) Power Cost 2006GRC Order 5 2 3" xfId="23816"/>
    <cellStyle name="_DEM-WP (C) Power Cost 2006GRC Order 5 3" xfId="23817"/>
    <cellStyle name="_DEM-WP (C) Power Cost 2006GRC Order 5 3 2" xfId="23818"/>
    <cellStyle name="_DEM-WP (C) Power Cost 2006GRC Order 5 4" xfId="12447"/>
    <cellStyle name="_DEM-WP (C) Power Cost 2006GRC Order 6" xfId="12449"/>
    <cellStyle name="_DEM-WP (C) Power Cost 2006GRC Order 6 2" xfId="23819"/>
    <cellStyle name="_DEM-WP (C) Power Cost 2006GRC Order 6 2 2" xfId="23820"/>
    <cellStyle name="_DEM-WP (C) Power Cost 2006GRC Order 6 3" xfId="23821"/>
    <cellStyle name="_DEM-WP (C) Power Cost 2006GRC Order 7" xfId="12450"/>
    <cellStyle name="_DEM-WP (C) Power Cost 2006GRC Order 7 2" xfId="12451"/>
    <cellStyle name="_DEM-WP (C) Power Cost 2006GRC Order 8" xfId="12452"/>
    <cellStyle name="_DEM-WP (C) Power Cost 2006GRC Order 8 2" xfId="12453"/>
    <cellStyle name="_DEM-WP (C) Power Cost 2006GRC Order 9" xfId="23822"/>
    <cellStyle name="_DEM-WP (C) Power Cost 2006GRC Order 9 2" xfId="23823"/>
    <cellStyle name="_DEM-WP (C) Power Cost 2006GRC Order_04 07E Wild Horse Wind Expansion (C) (2)" xfId="1078"/>
    <cellStyle name="_DEM-WP (C) Power Cost 2006GRC Order_04 07E Wild Horse Wind Expansion (C) (2) 2" xfId="1079"/>
    <cellStyle name="_DEM-WP (C) Power Cost 2006GRC Order_04 07E Wild Horse Wind Expansion (C) (2) 2 2" xfId="4454"/>
    <cellStyle name="_DEM-WP (C) Power Cost 2006GRC Order_04 07E Wild Horse Wind Expansion (C) (2) 2 2 2" xfId="20462"/>
    <cellStyle name="_DEM-WP (C) Power Cost 2006GRC Order_04 07E Wild Horse Wind Expansion (C) (2) 2 3" xfId="16352"/>
    <cellStyle name="_DEM-WP (C) Power Cost 2006GRC Order_04 07E Wild Horse Wind Expansion (C) (2) 3" xfId="4453"/>
    <cellStyle name="_DEM-WP (C) Power Cost 2006GRC Order_04 07E Wild Horse Wind Expansion (C) (2) 3 2" xfId="20463"/>
    <cellStyle name="_DEM-WP (C) Power Cost 2006GRC Order_04 07E Wild Horse Wind Expansion (C) (2) 4" xfId="16351"/>
    <cellStyle name="_DEM-WP (C) Power Cost 2006GRC Order_04 07E Wild Horse Wind Expansion (C) (2)_Adj Bench DR 3 for Initial Briefs (Electric)" xfId="1080"/>
    <cellStyle name="_DEM-WP (C) Power Cost 2006GRC Order_04 07E Wild Horse Wind Expansion (C) (2)_Adj Bench DR 3 for Initial Briefs (Electric) 2" xfId="1081"/>
    <cellStyle name="_DEM-WP (C) Power Cost 2006GRC Order_04 07E Wild Horse Wind Expansion (C) (2)_Adj Bench DR 3 for Initial Briefs (Electric) 2 2" xfId="4456"/>
    <cellStyle name="_DEM-WP (C) Power Cost 2006GRC Order_04 07E Wild Horse Wind Expansion (C) (2)_Adj Bench DR 3 for Initial Briefs (Electric) 2 2 2" xfId="20464"/>
    <cellStyle name="_DEM-WP (C) Power Cost 2006GRC Order_04 07E Wild Horse Wind Expansion (C) (2)_Adj Bench DR 3 for Initial Briefs (Electric) 2 3" xfId="16354"/>
    <cellStyle name="_DEM-WP (C) Power Cost 2006GRC Order_04 07E Wild Horse Wind Expansion (C) (2)_Adj Bench DR 3 for Initial Briefs (Electric) 3" xfId="4455"/>
    <cellStyle name="_DEM-WP (C) Power Cost 2006GRC Order_04 07E Wild Horse Wind Expansion (C) (2)_Adj Bench DR 3 for Initial Briefs (Electric) 3 2" xfId="20465"/>
    <cellStyle name="_DEM-WP (C) Power Cost 2006GRC Order_04 07E Wild Horse Wind Expansion (C) (2)_Adj Bench DR 3 for Initial Briefs (Electric) 4" xfId="16353"/>
    <cellStyle name="_DEM-WP (C) Power Cost 2006GRC Order_04 07E Wild Horse Wind Expansion (C) (2)_Adj Bench DR 3 for Initial Briefs (Electric)_DEM-WP(C) ENERG10C--ctn Mid-C_042010 2010GRC" xfId="12454"/>
    <cellStyle name="_DEM-WP (C) Power Cost 2006GRC Order_04 07E Wild Horse Wind Expansion (C) (2)_Book1" xfId="14253"/>
    <cellStyle name="_DEM-WP (C) Power Cost 2006GRC Order_04 07E Wild Horse Wind Expansion (C) (2)_DEM-WP(C) ENERG10C--ctn Mid-C_042010 2010GRC" xfId="12455"/>
    <cellStyle name="_DEM-WP (C) Power Cost 2006GRC Order_04 07E Wild Horse Wind Expansion (C) (2)_Electric Rev Req Model (2009 GRC) " xfId="1082"/>
    <cellStyle name="_DEM-WP (C) Power Cost 2006GRC Order_04 07E Wild Horse Wind Expansion (C) (2)_Electric Rev Req Model (2009 GRC)  2" xfId="1083"/>
    <cellStyle name="_DEM-WP (C) Power Cost 2006GRC Order_04 07E Wild Horse Wind Expansion (C) (2)_Electric Rev Req Model (2009 GRC)  2 2" xfId="4458"/>
    <cellStyle name="_DEM-WP (C) Power Cost 2006GRC Order_04 07E Wild Horse Wind Expansion (C) (2)_Electric Rev Req Model (2009 GRC)  2 2 2" xfId="20466"/>
    <cellStyle name="_DEM-WP (C) Power Cost 2006GRC Order_04 07E Wild Horse Wind Expansion (C) (2)_Electric Rev Req Model (2009 GRC)  2 3" xfId="16356"/>
    <cellStyle name="_DEM-WP (C) Power Cost 2006GRC Order_04 07E Wild Horse Wind Expansion (C) (2)_Electric Rev Req Model (2009 GRC)  3" xfId="4457"/>
    <cellStyle name="_DEM-WP (C) Power Cost 2006GRC Order_04 07E Wild Horse Wind Expansion (C) (2)_Electric Rev Req Model (2009 GRC)  3 2" xfId="20467"/>
    <cellStyle name="_DEM-WP (C) Power Cost 2006GRC Order_04 07E Wild Horse Wind Expansion (C) (2)_Electric Rev Req Model (2009 GRC)  4" xfId="16355"/>
    <cellStyle name="_DEM-WP (C) Power Cost 2006GRC Order_04 07E Wild Horse Wind Expansion (C) (2)_Electric Rev Req Model (2009 GRC) _DEM-WP(C) ENERG10C--ctn Mid-C_042010 2010GRC" xfId="12456"/>
    <cellStyle name="_DEM-WP (C) Power Cost 2006GRC Order_04 07E Wild Horse Wind Expansion (C) (2)_Electric Rev Req Model (2009 GRC) Rebuttal" xfId="1084"/>
    <cellStyle name="_DEM-WP (C) Power Cost 2006GRC Order_04 07E Wild Horse Wind Expansion (C) (2)_Electric Rev Req Model (2009 GRC) Rebuttal 2" xfId="4459"/>
    <cellStyle name="_DEM-WP (C) Power Cost 2006GRC Order_04 07E Wild Horse Wind Expansion (C) (2)_Electric Rev Req Model (2009 GRC) Rebuttal 2 2" xfId="7099"/>
    <cellStyle name="_DEM-WP (C) Power Cost 2006GRC Order_04 07E Wild Horse Wind Expansion (C) (2)_Electric Rev Req Model (2009 GRC) Rebuttal 2 2 2" xfId="20468"/>
    <cellStyle name="_DEM-WP (C) Power Cost 2006GRC Order_04 07E Wild Horse Wind Expansion (C) (2)_Electric Rev Req Model (2009 GRC) Rebuttal 2 3" xfId="18384"/>
    <cellStyle name="_DEM-WP (C) Power Cost 2006GRC Order_04 07E Wild Horse Wind Expansion (C) (2)_Electric Rev Req Model (2009 GRC) Rebuttal 3" xfId="7100"/>
    <cellStyle name="_DEM-WP (C) Power Cost 2006GRC Order_04 07E Wild Horse Wind Expansion (C) (2)_Electric Rev Req Model (2009 GRC) Rebuttal 3 2" xfId="20469"/>
    <cellStyle name="_DEM-WP (C) Power Cost 2006GRC Order_04 07E Wild Horse Wind Expansion (C) (2)_Electric Rev Req Model (2009 GRC) Rebuttal 4" xfId="16357"/>
    <cellStyle name="_DEM-WP (C) Power Cost 2006GRC Order_04 07E Wild Horse Wind Expansion (C) (2)_Electric Rev Req Model (2009 GRC) Rebuttal REmoval of New  WH Solar AdjustMI" xfId="1085"/>
    <cellStyle name="_DEM-WP (C) Power Cost 2006GRC Order_04 07E Wild Horse Wind Expansion (C) (2)_Electric Rev Req Model (2009 GRC) Rebuttal REmoval of New  WH Solar AdjustMI 2" xfId="1086"/>
    <cellStyle name="_DEM-WP (C) Power Cost 2006GRC Order_04 07E Wild Horse Wind Expansion (C) (2)_Electric Rev Req Model (2009 GRC) Rebuttal REmoval of New  WH Solar AdjustMI 2 2" xfId="4461"/>
    <cellStyle name="_DEM-WP (C) Power Cost 2006GRC Order_04 07E Wild Horse Wind Expansion (C) (2)_Electric Rev Req Model (2009 GRC) Rebuttal REmoval of New  WH Solar AdjustMI 2 2 2" xfId="20470"/>
    <cellStyle name="_DEM-WP (C) Power Cost 2006GRC Order_04 07E Wild Horse Wind Expansion (C) (2)_Electric Rev Req Model (2009 GRC) Rebuttal REmoval of New  WH Solar AdjustMI 2 3" xfId="16359"/>
    <cellStyle name="_DEM-WP (C) Power Cost 2006GRC Order_04 07E Wild Horse Wind Expansion (C) (2)_Electric Rev Req Model (2009 GRC) Rebuttal REmoval of New  WH Solar AdjustMI 3" xfId="4460"/>
    <cellStyle name="_DEM-WP (C) Power Cost 2006GRC Order_04 07E Wild Horse Wind Expansion (C) (2)_Electric Rev Req Model (2009 GRC) Rebuttal REmoval of New  WH Solar AdjustMI 3 2" xfId="20471"/>
    <cellStyle name="_DEM-WP (C) Power Cost 2006GRC Order_04 07E Wild Horse Wind Expansion (C) (2)_Electric Rev Req Model (2009 GRC) Rebuttal REmoval of New  WH Solar AdjustMI 4" xfId="16358"/>
    <cellStyle name="_DEM-WP (C) Power Cost 2006GRC Order_04 07E Wild Horse Wind Expansion (C) (2)_Electric Rev Req Model (2009 GRC) Rebuttal REmoval of New  WH Solar AdjustMI_DEM-WP(C) ENERG10C--ctn Mid-C_042010 2010GRC" xfId="12457"/>
    <cellStyle name="_DEM-WP (C) Power Cost 2006GRC Order_04 07E Wild Horse Wind Expansion (C) (2)_Electric Rev Req Model (2009 GRC) Revised 01-18-2010" xfId="1087"/>
    <cellStyle name="_DEM-WP (C) Power Cost 2006GRC Order_04 07E Wild Horse Wind Expansion (C) (2)_Electric Rev Req Model (2009 GRC) Revised 01-18-2010 2" xfId="1088"/>
    <cellStyle name="_DEM-WP (C) Power Cost 2006GRC Order_04 07E Wild Horse Wind Expansion (C) (2)_Electric Rev Req Model (2009 GRC) Revised 01-18-2010 2 2" xfId="4463"/>
    <cellStyle name="_DEM-WP (C) Power Cost 2006GRC Order_04 07E Wild Horse Wind Expansion (C) (2)_Electric Rev Req Model (2009 GRC) Revised 01-18-2010 2 2 2" xfId="20472"/>
    <cellStyle name="_DEM-WP (C) Power Cost 2006GRC Order_04 07E Wild Horse Wind Expansion (C) (2)_Electric Rev Req Model (2009 GRC) Revised 01-18-2010 2 3" xfId="16361"/>
    <cellStyle name="_DEM-WP (C) Power Cost 2006GRC Order_04 07E Wild Horse Wind Expansion (C) (2)_Electric Rev Req Model (2009 GRC) Revised 01-18-2010 3" xfId="4462"/>
    <cellStyle name="_DEM-WP (C) Power Cost 2006GRC Order_04 07E Wild Horse Wind Expansion (C) (2)_Electric Rev Req Model (2009 GRC) Revised 01-18-2010 3 2" xfId="20473"/>
    <cellStyle name="_DEM-WP (C) Power Cost 2006GRC Order_04 07E Wild Horse Wind Expansion (C) (2)_Electric Rev Req Model (2009 GRC) Revised 01-18-2010 4" xfId="16360"/>
    <cellStyle name="_DEM-WP (C) Power Cost 2006GRC Order_04 07E Wild Horse Wind Expansion (C) (2)_Electric Rev Req Model (2009 GRC) Revised 01-18-2010_DEM-WP(C) ENERG10C--ctn Mid-C_042010 2010GRC" xfId="12458"/>
    <cellStyle name="_DEM-WP (C) Power Cost 2006GRC Order_04 07E Wild Horse Wind Expansion (C) (2)_Electric Rev Req Model (2010 GRC)" xfId="14254"/>
    <cellStyle name="_DEM-WP (C) Power Cost 2006GRC Order_04 07E Wild Horse Wind Expansion (C) (2)_Electric Rev Req Model (2010 GRC) SF" xfId="14255"/>
    <cellStyle name="_DEM-WP (C) Power Cost 2006GRC Order_04 07E Wild Horse Wind Expansion (C) (2)_Final Order Electric EXHIBIT A-1" xfId="1089"/>
    <cellStyle name="_DEM-WP (C) Power Cost 2006GRC Order_04 07E Wild Horse Wind Expansion (C) (2)_Final Order Electric EXHIBIT A-1 2" xfId="4464"/>
    <cellStyle name="_DEM-WP (C) Power Cost 2006GRC Order_04 07E Wild Horse Wind Expansion (C) (2)_Final Order Electric EXHIBIT A-1 2 2" xfId="7101"/>
    <cellStyle name="_DEM-WP (C) Power Cost 2006GRC Order_04 07E Wild Horse Wind Expansion (C) (2)_Final Order Electric EXHIBIT A-1 2 2 2" xfId="20474"/>
    <cellStyle name="_DEM-WP (C) Power Cost 2006GRC Order_04 07E Wild Horse Wind Expansion (C) (2)_Final Order Electric EXHIBIT A-1 2 3" xfId="18385"/>
    <cellStyle name="_DEM-WP (C) Power Cost 2006GRC Order_04 07E Wild Horse Wind Expansion (C) (2)_Final Order Electric EXHIBIT A-1 3" xfId="7102"/>
    <cellStyle name="_DEM-WP (C) Power Cost 2006GRC Order_04 07E Wild Horse Wind Expansion (C) (2)_Final Order Electric EXHIBIT A-1 3 2" xfId="20475"/>
    <cellStyle name="_DEM-WP (C) Power Cost 2006GRC Order_04 07E Wild Horse Wind Expansion (C) (2)_Final Order Electric EXHIBIT A-1 4" xfId="16362"/>
    <cellStyle name="_DEM-WP (C) Power Cost 2006GRC Order_04 07E Wild Horse Wind Expansion (C) (2)_TENASKA REGULATORY ASSET" xfId="1090"/>
    <cellStyle name="_DEM-WP (C) Power Cost 2006GRC Order_04 07E Wild Horse Wind Expansion (C) (2)_TENASKA REGULATORY ASSET 2" xfId="4465"/>
    <cellStyle name="_DEM-WP (C) Power Cost 2006GRC Order_04 07E Wild Horse Wind Expansion (C) (2)_TENASKA REGULATORY ASSET 2 2" xfId="7103"/>
    <cellStyle name="_DEM-WP (C) Power Cost 2006GRC Order_04 07E Wild Horse Wind Expansion (C) (2)_TENASKA REGULATORY ASSET 2 2 2" xfId="20476"/>
    <cellStyle name="_DEM-WP (C) Power Cost 2006GRC Order_04 07E Wild Horse Wind Expansion (C) (2)_TENASKA REGULATORY ASSET 2 3" xfId="18386"/>
    <cellStyle name="_DEM-WP (C) Power Cost 2006GRC Order_04 07E Wild Horse Wind Expansion (C) (2)_TENASKA REGULATORY ASSET 3" xfId="7104"/>
    <cellStyle name="_DEM-WP (C) Power Cost 2006GRC Order_04 07E Wild Horse Wind Expansion (C) (2)_TENASKA REGULATORY ASSET 3 2" xfId="20477"/>
    <cellStyle name="_DEM-WP (C) Power Cost 2006GRC Order_04 07E Wild Horse Wind Expansion (C) (2)_TENASKA REGULATORY ASSET 4" xfId="16363"/>
    <cellStyle name="_DEM-WP (C) Power Cost 2006GRC Order_16.37E Wild Horse Expansion DeferralRevwrkingfile SF" xfId="1091"/>
    <cellStyle name="_DEM-WP (C) Power Cost 2006GRC Order_16.37E Wild Horse Expansion DeferralRevwrkingfile SF 2" xfId="1092"/>
    <cellStyle name="_DEM-WP (C) Power Cost 2006GRC Order_16.37E Wild Horse Expansion DeferralRevwrkingfile SF 2 2" xfId="4467"/>
    <cellStyle name="_DEM-WP (C) Power Cost 2006GRC Order_16.37E Wild Horse Expansion DeferralRevwrkingfile SF 2 2 2" xfId="20478"/>
    <cellStyle name="_DEM-WP (C) Power Cost 2006GRC Order_16.37E Wild Horse Expansion DeferralRevwrkingfile SF 2 3" xfId="16365"/>
    <cellStyle name="_DEM-WP (C) Power Cost 2006GRC Order_16.37E Wild Horse Expansion DeferralRevwrkingfile SF 3" xfId="4466"/>
    <cellStyle name="_DEM-WP (C) Power Cost 2006GRC Order_16.37E Wild Horse Expansion DeferralRevwrkingfile SF 3 2" xfId="20479"/>
    <cellStyle name="_DEM-WP (C) Power Cost 2006GRC Order_16.37E Wild Horse Expansion DeferralRevwrkingfile SF 4" xfId="16364"/>
    <cellStyle name="_DEM-WP (C) Power Cost 2006GRC Order_16.37E Wild Horse Expansion DeferralRevwrkingfile SF_DEM-WP(C) ENERG10C--ctn Mid-C_042010 2010GRC" xfId="12459"/>
    <cellStyle name="_DEM-WP (C) Power Cost 2006GRC Order_2009 Compliance Filing PCA Exhibits for GRC" xfId="14110"/>
    <cellStyle name="_DEM-WP (C) Power Cost 2006GRC Order_2009 Compliance Filing PCA Exhibits for GRC 2" xfId="14938"/>
    <cellStyle name="_DEM-WP (C) Power Cost 2006GRC Order_2009 GRC Compl Filing - Exhibit D" xfId="1093"/>
    <cellStyle name="_DEM-WP (C) Power Cost 2006GRC Order_2009 GRC Compl Filing - Exhibit D 2" xfId="1094"/>
    <cellStyle name="_DEM-WP (C) Power Cost 2006GRC Order_2009 GRC Compl Filing - Exhibit D 2 2" xfId="4469"/>
    <cellStyle name="_DEM-WP (C) Power Cost 2006GRC Order_2009 GRC Compl Filing - Exhibit D 3" xfId="4468"/>
    <cellStyle name="_DEM-WP (C) Power Cost 2006GRC Order_2009 GRC Compl Filing - Exhibit D_DEM-WP(C) ENERG10C--ctn Mid-C_042010 2010GRC" xfId="12460"/>
    <cellStyle name="_DEM-WP (C) Power Cost 2006GRC Order_3.01 Income Statement" xfId="14111"/>
    <cellStyle name="_DEM-WP (C) Power Cost 2006GRC Order_4 31 Regulatory Assets and Liabilities  7 06- Exhibit D" xfId="1095"/>
    <cellStyle name="_DEM-WP (C) Power Cost 2006GRC Order_4 31 Regulatory Assets and Liabilities  7 06- Exhibit D 2" xfId="1096"/>
    <cellStyle name="_DEM-WP (C) Power Cost 2006GRC Order_4 31 Regulatory Assets and Liabilities  7 06- Exhibit D 2 2" xfId="4471"/>
    <cellStyle name="_DEM-WP (C) Power Cost 2006GRC Order_4 31 Regulatory Assets and Liabilities  7 06- Exhibit D 2 2 2" xfId="14939"/>
    <cellStyle name="_DEM-WP (C) Power Cost 2006GRC Order_4 31 Regulatory Assets and Liabilities  7 06- Exhibit D 3" xfId="4470"/>
    <cellStyle name="_DEM-WP (C) Power Cost 2006GRC Order_4 31 Regulatory Assets and Liabilities  7 06- Exhibit D 3 2" xfId="20480"/>
    <cellStyle name="_DEM-WP (C) Power Cost 2006GRC Order_4 31 Regulatory Assets and Liabilities  7 06- Exhibit D_DEM-WP(C) ENERG10C--ctn Mid-C_042010 2010GRC" xfId="12461"/>
    <cellStyle name="_DEM-WP (C) Power Cost 2006GRC Order_4 31 Regulatory Assets and Liabilities  7 06- Exhibit D_NIM Summary" xfId="1097"/>
    <cellStyle name="_DEM-WP (C) Power Cost 2006GRC Order_4 31 Regulatory Assets and Liabilities  7 06- Exhibit D_NIM Summary 2" xfId="1098"/>
    <cellStyle name="_DEM-WP (C) Power Cost 2006GRC Order_4 31 Regulatory Assets and Liabilities  7 06- Exhibit D_NIM Summary 2 2" xfId="4473"/>
    <cellStyle name="_DEM-WP (C) Power Cost 2006GRC Order_4 31 Regulatory Assets and Liabilities  7 06- Exhibit D_NIM Summary 3" xfId="4472"/>
    <cellStyle name="_DEM-WP (C) Power Cost 2006GRC Order_4 31 Regulatory Assets and Liabilities  7 06- Exhibit D_NIM Summary_DEM-WP(C) ENERG10C--ctn Mid-C_042010 2010GRC" xfId="12462"/>
    <cellStyle name="_DEM-WP (C) Power Cost 2006GRC Order_4 31 Regulatory Assets and Liabilities  7 06- Exhibit D_NIM+O&amp;M" xfId="12463"/>
    <cellStyle name="_DEM-WP (C) Power Cost 2006GRC Order_4 31 Regulatory Assets and Liabilities  7 06- Exhibit D_NIM+O&amp;M 2" xfId="23824"/>
    <cellStyle name="_DEM-WP (C) Power Cost 2006GRC Order_4 31 Regulatory Assets and Liabilities  7 06- Exhibit D_NIM+O&amp;M Monthly" xfId="12464"/>
    <cellStyle name="_DEM-WP (C) Power Cost 2006GRC Order_4 31 Regulatory Assets and Liabilities  7 06- Exhibit D_NIM+O&amp;M Monthly 2" xfId="23825"/>
    <cellStyle name="_DEM-WP (C) Power Cost 2006GRC Order_4 31E Reg Asset  Liab and EXH D" xfId="12465"/>
    <cellStyle name="_DEM-WP (C) Power Cost 2006GRC Order_4 31E Reg Asset  Liab and EXH D _ Aug 10 Filing (2)" xfId="12466"/>
    <cellStyle name="_DEM-WP (C) Power Cost 2006GRC Order_4 31E Reg Asset  Liab and EXH D _ Aug 10 Filing (2) 2" xfId="23826"/>
    <cellStyle name="_DEM-WP (C) Power Cost 2006GRC Order_4 31E Reg Asset  Liab and EXH D 10" xfId="23827"/>
    <cellStyle name="_DEM-WP (C) Power Cost 2006GRC Order_4 31E Reg Asset  Liab and EXH D 11" xfId="23828"/>
    <cellStyle name="_DEM-WP (C) Power Cost 2006GRC Order_4 31E Reg Asset  Liab and EXH D 12" xfId="23829"/>
    <cellStyle name="_DEM-WP (C) Power Cost 2006GRC Order_4 31E Reg Asset  Liab and EXH D 13" xfId="23830"/>
    <cellStyle name="_DEM-WP (C) Power Cost 2006GRC Order_4 31E Reg Asset  Liab and EXH D 14" xfId="23831"/>
    <cellStyle name="_DEM-WP (C) Power Cost 2006GRC Order_4 31E Reg Asset  Liab and EXH D 15" xfId="23832"/>
    <cellStyle name="_DEM-WP (C) Power Cost 2006GRC Order_4 31E Reg Asset  Liab and EXH D 16" xfId="23833"/>
    <cellStyle name="_DEM-WP (C) Power Cost 2006GRC Order_4 31E Reg Asset  Liab and EXH D 17" xfId="23834"/>
    <cellStyle name="_DEM-WP (C) Power Cost 2006GRC Order_4 31E Reg Asset  Liab and EXH D 18" xfId="23835"/>
    <cellStyle name="_DEM-WP (C) Power Cost 2006GRC Order_4 31E Reg Asset  Liab and EXH D 19" xfId="23836"/>
    <cellStyle name="_DEM-WP (C) Power Cost 2006GRC Order_4 31E Reg Asset  Liab and EXH D 2" xfId="23837"/>
    <cellStyle name="_DEM-WP (C) Power Cost 2006GRC Order_4 31E Reg Asset  Liab and EXH D 20" xfId="23838"/>
    <cellStyle name="_DEM-WP (C) Power Cost 2006GRC Order_4 31E Reg Asset  Liab and EXH D 21" xfId="23839"/>
    <cellStyle name="_DEM-WP (C) Power Cost 2006GRC Order_4 31E Reg Asset  Liab and EXH D 22" xfId="23840"/>
    <cellStyle name="_DEM-WP (C) Power Cost 2006GRC Order_4 31E Reg Asset  Liab and EXH D 23" xfId="23841"/>
    <cellStyle name="_DEM-WP (C) Power Cost 2006GRC Order_4 31E Reg Asset  Liab and EXH D 24" xfId="23842"/>
    <cellStyle name="_DEM-WP (C) Power Cost 2006GRC Order_4 31E Reg Asset  Liab and EXH D 25" xfId="23843"/>
    <cellStyle name="_DEM-WP (C) Power Cost 2006GRC Order_4 31E Reg Asset  Liab and EXH D 26" xfId="23844"/>
    <cellStyle name="_DEM-WP (C) Power Cost 2006GRC Order_4 31E Reg Asset  Liab and EXH D 27" xfId="23845"/>
    <cellStyle name="_DEM-WP (C) Power Cost 2006GRC Order_4 31E Reg Asset  Liab and EXH D 28" xfId="23846"/>
    <cellStyle name="_DEM-WP (C) Power Cost 2006GRC Order_4 31E Reg Asset  Liab and EXH D 29" xfId="23847"/>
    <cellStyle name="_DEM-WP (C) Power Cost 2006GRC Order_4 31E Reg Asset  Liab and EXH D 3" xfId="23848"/>
    <cellStyle name="_DEM-WP (C) Power Cost 2006GRC Order_4 31E Reg Asset  Liab and EXH D 30" xfId="23849"/>
    <cellStyle name="_DEM-WP (C) Power Cost 2006GRC Order_4 31E Reg Asset  Liab and EXH D 31" xfId="23850"/>
    <cellStyle name="_DEM-WP (C) Power Cost 2006GRC Order_4 31E Reg Asset  Liab and EXH D 32" xfId="23851"/>
    <cellStyle name="_DEM-WP (C) Power Cost 2006GRC Order_4 31E Reg Asset  Liab and EXH D 33" xfId="23852"/>
    <cellStyle name="_DEM-WP (C) Power Cost 2006GRC Order_4 31E Reg Asset  Liab and EXH D 34" xfId="23853"/>
    <cellStyle name="_DEM-WP (C) Power Cost 2006GRC Order_4 31E Reg Asset  Liab and EXH D 35" xfId="23854"/>
    <cellStyle name="_DEM-WP (C) Power Cost 2006GRC Order_4 31E Reg Asset  Liab and EXH D 36" xfId="23855"/>
    <cellStyle name="_DEM-WP (C) Power Cost 2006GRC Order_4 31E Reg Asset  Liab and EXH D 4" xfId="23856"/>
    <cellStyle name="_DEM-WP (C) Power Cost 2006GRC Order_4 31E Reg Asset  Liab and EXH D 5" xfId="23857"/>
    <cellStyle name="_DEM-WP (C) Power Cost 2006GRC Order_4 31E Reg Asset  Liab and EXH D 6" xfId="23858"/>
    <cellStyle name="_DEM-WP (C) Power Cost 2006GRC Order_4 31E Reg Asset  Liab and EXH D 7" xfId="23859"/>
    <cellStyle name="_DEM-WP (C) Power Cost 2006GRC Order_4 31E Reg Asset  Liab and EXH D 8" xfId="23860"/>
    <cellStyle name="_DEM-WP (C) Power Cost 2006GRC Order_4 31E Reg Asset  Liab and EXH D 9" xfId="23861"/>
    <cellStyle name="_DEM-WP (C) Power Cost 2006GRC Order_4 32 Regulatory Assets and Liabilities  7 06- Exhibit D" xfId="1099"/>
    <cellStyle name="_DEM-WP (C) Power Cost 2006GRC Order_4 32 Regulatory Assets and Liabilities  7 06- Exhibit D 2" xfId="1100"/>
    <cellStyle name="_DEM-WP (C) Power Cost 2006GRC Order_4 32 Regulatory Assets and Liabilities  7 06- Exhibit D 2 2" xfId="4475"/>
    <cellStyle name="_DEM-WP (C) Power Cost 2006GRC Order_4 32 Regulatory Assets and Liabilities  7 06- Exhibit D 2 2 2" xfId="14940"/>
    <cellStyle name="_DEM-WP (C) Power Cost 2006GRC Order_4 32 Regulatory Assets and Liabilities  7 06- Exhibit D 3" xfId="4474"/>
    <cellStyle name="_DEM-WP (C) Power Cost 2006GRC Order_4 32 Regulatory Assets and Liabilities  7 06- Exhibit D 3 2" xfId="20481"/>
    <cellStyle name="_DEM-WP (C) Power Cost 2006GRC Order_4 32 Regulatory Assets and Liabilities  7 06- Exhibit D_DEM-WP(C) ENERG10C--ctn Mid-C_042010 2010GRC" xfId="12467"/>
    <cellStyle name="_DEM-WP (C) Power Cost 2006GRC Order_4 32 Regulatory Assets and Liabilities  7 06- Exhibit D_NIM Summary" xfId="1101"/>
    <cellStyle name="_DEM-WP (C) Power Cost 2006GRC Order_4 32 Regulatory Assets and Liabilities  7 06- Exhibit D_NIM Summary 2" xfId="1102"/>
    <cellStyle name="_DEM-WP (C) Power Cost 2006GRC Order_4 32 Regulatory Assets and Liabilities  7 06- Exhibit D_NIM Summary 2 2" xfId="4477"/>
    <cellStyle name="_DEM-WP (C) Power Cost 2006GRC Order_4 32 Regulatory Assets and Liabilities  7 06- Exhibit D_NIM Summary 3" xfId="4476"/>
    <cellStyle name="_DEM-WP (C) Power Cost 2006GRC Order_4 32 Regulatory Assets and Liabilities  7 06- Exhibit D_NIM Summary_DEM-WP(C) ENERG10C--ctn Mid-C_042010 2010GRC" xfId="12468"/>
    <cellStyle name="_DEM-WP (C) Power Cost 2006GRC Order_4 32 Regulatory Assets and Liabilities  7 06- Exhibit D_NIM+O&amp;M" xfId="12469"/>
    <cellStyle name="_DEM-WP (C) Power Cost 2006GRC Order_4 32 Regulatory Assets and Liabilities  7 06- Exhibit D_NIM+O&amp;M 2" xfId="23862"/>
    <cellStyle name="_DEM-WP (C) Power Cost 2006GRC Order_4 32 Regulatory Assets and Liabilities  7 06- Exhibit D_NIM+O&amp;M Monthly" xfId="12470"/>
    <cellStyle name="_DEM-WP (C) Power Cost 2006GRC Order_4 32 Regulatory Assets and Liabilities  7 06- Exhibit D_NIM+O&amp;M Monthly 2" xfId="23863"/>
    <cellStyle name="_DEM-WP (C) Power Cost 2006GRC Order_AURORA Total New" xfId="1103"/>
    <cellStyle name="_DEM-WP (C) Power Cost 2006GRC Order_AURORA Total New 2" xfId="1104"/>
    <cellStyle name="_DEM-WP (C) Power Cost 2006GRC Order_AURORA Total New 2 2" xfId="4479"/>
    <cellStyle name="_DEM-WP (C) Power Cost 2006GRC Order_AURORA Total New 3" xfId="4478"/>
    <cellStyle name="_DEM-WP (C) Power Cost 2006GRC Order_Book2" xfId="1105"/>
    <cellStyle name="_DEM-WP (C) Power Cost 2006GRC Order_Book2 2" xfId="1106"/>
    <cellStyle name="_DEM-WP (C) Power Cost 2006GRC Order_Book2 2 2" xfId="4481"/>
    <cellStyle name="_DEM-WP (C) Power Cost 2006GRC Order_Book2 2 2 2" xfId="20482"/>
    <cellStyle name="_DEM-WP (C) Power Cost 2006GRC Order_Book2 2 3" xfId="16367"/>
    <cellStyle name="_DEM-WP (C) Power Cost 2006GRC Order_Book2 3" xfId="4480"/>
    <cellStyle name="_DEM-WP (C) Power Cost 2006GRC Order_Book2 3 2" xfId="20483"/>
    <cellStyle name="_DEM-WP (C) Power Cost 2006GRC Order_Book2 4" xfId="16366"/>
    <cellStyle name="_DEM-WP (C) Power Cost 2006GRC Order_Book2_Adj Bench DR 3 for Initial Briefs (Electric)" xfId="1107"/>
    <cellStyle name="_DEM-WP (C) Power Cost 2006GRC Order_Book2_Adj Bench DR 3 for Initial Briefs (Electric) 2" xfId="1108"/>
    <cellStyle name="_DEM-WP (C) Power Cost 2006GRC Order_Book2_Adj Bench DR 3 for Initial Briefs (Electric) 2 2" xfId="4483"/>
    <cellStyle name="_DEM-WP (C) Power Cost 2006GRC Order_Book2_Adj Bench DR 3 for Initial Briefs (Electric) 2 2 2" xfId="20484"/>
    <cellStyle name="_DEM-WP (C) Power Cost 2006GRC Order_Book2_Adj Bench DR 3 for Initial Briefs (Electric) 2 3" xfId="16369"/>
    <cellStyle name="_DEM-WP (C) Power Cost 2006GRC Order_Book2_Adj Bench DR 3 for Initial Briefs (Electric) 3" xfId="4482"/>
    <cellStyle name="_DEM-WP (C) Power Cost 2006GRC Order_Book2_Adj Bench DR 3 for Initial Briefs (Electric) 3 2" xfId="20485"/>
    <cellStyle name="_DEM-WP (C) Power Cost 2006GRC Order_Book2_Adj Bench DR 3 for Initial Briefs (Electric) 4" xfId="16368"/>
    <cellStyle name="_DEM-WP (C) Power Cost 2006GRC Order_Book2_Adj Bench DR 3 for Initial Briefs (Electric)_DEM-WP(C) ENERG10C--ctn Mid-C_042010 2010GRC" xfId="12471"/>
    <cellStyle name="_DEM-WP (C) Power Cost 2006GRC Order_Book2_DEM-WP(C) ENERG10C--ctn Mid-C_042010 2010GRC" xfId="12472"/>
    <cellStyle name="_DEM-WP (C) Power Cost 2006GRC Order_Book2_Electric Rev Req Model (2009 GRC) Rebuttal" xfId="1109"/>
    <cellStyle name="_DEM-WP (C) Power Cost 2006GRC Order_Book2_Electric Rev Req Model (2009 GRC) Rebuttal 2" xfId="4484"/>
    <cellStyle name="_DEM-WP (C) Power Cost 2006GRC Order_Book2_Electric Rev Req Model (2009 GRC) Rebuttal 2 2" xfId="7105"/>
    <cellStyle name="_DEM-WP (C) Power Cost 2006GRC Order_Book2_Electric Rev Req Model (2009 GRC) Rebuttal 2 2 2" xfId="20486"/>
    <cellStyle name="_DEM-WP (C) Power Cost 2006GRC Order_Book2_Electric Rev Req Model (2009 GRC) Rebuttal 2 3" xfId="18387"/>
    <cellStyle name="_DEM-WP (C) Power Cost 2006GRC Order_Book2_Electric Rev Req Model (2009 GRC) Rebuttal 3" xfId="7106"/>
    <cellStyle name="_DEM-WP (C) Power Cost 2006GRC Order_Book2_Electric Rev Req Model (2009 GRC) Rebuttal 3 2" xfId="20487"/>
    <cellStyle name="_DEM-WP (C) Power Cost 2006GRC Order_Book2_Electric Rev Req Model (2009 GRC) Rebuttal 4" xfId="16370"/>
    <cellStyle name="_DEM-WP (C) Power Cost 2006GRC Order_Book2_Electric Rev Req Model (2009 GRC) Rebuttal REmoval of New  WH Solar AdjustMI" xfId="1110"/>
    <cellStyle name="_DEM-WP (C) Power Cost 2006GRC Order_Book2_Electric Rev Req Model (2009 GRC) Rebuttal REmoval of New  WH Solar AdjustMI 2" xfId="1111"/>
    <cellStyle name="_DEM-WP (C) Power Cost 2006GRC Order_Book2_Electric Rev Req Model (2009 GRC) Rebuttal REmoval of New  WH Solar AdjustMI 2 2" xfId="4486"/>
    <cellStyle name="_DEM-WP (C) Power Cost 2006GRC Order_Book2_Electric Rev Req Model (2009 GRC) Rebuttal REmoval of New  WH Solar AdjustMI 2 2 2" xfId="20488"/>
    <cellStyle name="_DEM-WP (C) Power Cost 2006GRC Order_Book2_Electric Rev Req Model (2009 GRC) Rebuttal REmoval of New  WH Solar AdjustMI 2 3" xfId="16372"/>
    <cellStyle name="_DEM-WP (C) Power Cost 2006GRC Order_Book2_Electric Rev Req Model (2009 GRC) Rebuttal REmoval of New  WH Solar AdjustMI 3" xfId="4485"/>
    <cellStyle name="_DEM-WP (C) Power Cost 2006GRC Order_Book2_Electric Rev Req Model (2009 GRC) Rebuttal REmoval of New  WH Solar AdjustMI 3 2" xfId="20489"/>
    <cellStyle name="_DEM-WP (C) Power Cost 2006GRC Order_Book2_Electric Rev Req Model (2009 GRC) Rebuttal REmoval of New  WH Solar AdjustMI 4" xfId="16371"/>
    <cellStyle name="_DEM-WP (C) Power Cost 2006GRC Order_Book2_Electric Rev Req Model (2009 GRC) Rebuttal REmoval of New  WH Solar AdjustMI_DEM-WP(C) ENERG10C--ctn Mid-C_042010 2010GRC" xfId="12473"/>
    <cellStyle name="_DEM-WP (C) Power Cost 2006GRC Order_Book2_Electric Rev Req Model (2009 GRC) Revised 01-18-2010" xfId="1112"/>
    <cellStyle name="_DEM-WP (C) Power Cost 2006GRC Order_Book2_Electric Rev Req Model (2009 GRC) Revised 01-18-2010 2" xfId="1113"/>
    <cellStyle name="_DEM-WP (C) Power Cost 2006GRC Order_Book2_Electric Rev Req Model (2009 GRC) Revised 01-18-2010 2 2" xfId="4488"/>
    <cellStyle name="_DEM-WP (C) Power Cost 2006GRC Order_Book2_Electric Rev Req Model (2009 GRC) Revised 01-18-2010 2 2 2" xfId="20490"/>
    <cellStyle name="_DEM-WP (C) Power Cost 2006GRC Order_Book2_Electric Rev Req Model (2009 GRC) Revised 01-18-2010 2 3" xfId="16374"/>
    <cellStyle name="_DEM-WP (C) Power Cost 2006GRC Order_Book2_Electric Rev Req Model (2009 GRC) Revised 01-18-2010 3" xfId="4487"/>
    <cellStyle name="_DEM-WP (C) Power Cost 2006GRC Order_Book2_Electric Rev Req Model (2009 GRC) Revised 01-18-2010 3 2" xfId="20491"/>
    <cellStyle name="_DEM-WP (C) Power Cost 2006GRC Order_Book2_Electric Rev Req Model (2009 GRC) Revised 01-18-2010 4" xfId="16373"/>
    <cellStyle name="_DEM-WP (C) Power Cost 2006GRC Order_Book2_Electric Rev Req Model (2009 GRC) Revised 01-18-2010_DEM-WP(C) ENERG10C--ctn Mid-C_042010 2010GRC" xfId="12474"/>
    <cellStyle name="_DEM-WP (C) Power Cost 2006GRC Order_Book2_Final Order Electric EXHIBIT A-1" xfId="1114"/>
    <cellStyle name="_DEM-WP (C) Power Cost 2006GRC Order_Book2_Final Order Electric EXHIBIT A-1 2" xfId="4489"/>
    <cellStyle name="_DEM-WP (C) Power Cost 2006GRC Order_Book2_Final Order Electric EXHIBIT A-1 2 2" xfId="7107"/>
    <cellStyle name="_DEM-WP (C) Power Cost 2006GRC Order_Book2_Final Order Electric EXHIBIT A-1 2 2 2" xfId="20492"/>
    <cellStyle name="_DEM-WP (C) Power Cost 2006GRC Order_Book2_Final Order Electric EXHIBIT A-1 2 3" xfId="18388"/>
    <cellStyle name="_DEM-WP (C) Power Cost 2006GRC Order_Book2_Final Order Electric EXHIBIT A-1 3" xfId="7108"/>
    <cellStyle name="_DEM-WP (C) Power Cost 2006GRC Order_Book2_Final Order Electric EXHIBIT A-1 3 2" xfId="20493"/>
    <cellStyle name="_DEM-WP (C) Power Cost 2006GRC Order_Book2_Final Order Electric EXHIBIT A-1 4" xfId="16375"/>
    <cellStyle name="_DEM-WP (C) Power Cost 2006GRC Order_Book4" xfId="1115"/>
    <cellStyle name="_DEM-WP (C) Power Cost 2006GRC Order_Book4 2" xfId="1116"/>
    <cellStyle name="_DEM-WP (C) Power Cost 2006GRC Order_Book4 2 2" xfId="4491"/>
    <cellStyle name="_DEM-WP (C) Power Cost 2006GRC Order_Book4 2 2 2" xfId="20494"/>
    <cellStyle name="_DEM-WP (C) Power Cost 2006GRC Order_Book4 2 3" xfId="16377"/>
    <cellStyle name="_DEM-WP (C) Power Cost 2006GRC Order_Book4 3" xfId="4490"/>
    <cellStyle name="_DEM-WP (C) Power Cost 2006GRC Order_Book4 3 2" xfId="20495"/>
    <cellStyle name="_DEM-WP (C) Power Cost 2006GRC Order_Book4 4" xfId="16376"/>
    <cellStyle name="_DEM-WP (C) Power Cost 2006GRC Order_Book4_DEM-WP(C) ENERG10C--ctn Mid-C_042010 2010GRC" xfId="12475"/>
    <cellStyle name="_DEM-WP (C) Power Cost 2006GRC Order_Book9" xfId="1117"/>
    <cellStyle name="_DEM-WP (C) Power Cost 2006GRC Order_Book9 2" xfId="1118"/>
    <cellStyle name="_DEM-WP (C) Power Cost 2006GRC Order_Book9 2 2" xfId="4493"/>
    <cellStyle name="_DEM-WP (C) Power Cost 2006GRC Order_Book9 2 2 2" xfId="20496"/>
    <cellStyle name="_DEM-WP (C) Power Cost 2006GRC Order_Book9 2 3" xfId="16379"/>
    <cellStyle name="_DEM-WP (C) Power Cost 2006GRC Order_Book9 3" xfId="4492"/>
    <cellStyle name="_DEM-WP (C) Power Cost 2006GRC Order_Book9 3 2" xfId="20497"/>
    <cellStyle name="_DEM-WP (C) Power Cost 2006GRC Order_Book9 4" xfId="16378"/>
    <cellStyle name="_DEM-WP (C) Power Cost 2006GRC Order_Book9_DEM-WP(C) ENERG10C--ctn Mid-C_042010 2010GRC" xfId="12476"/>
    <cellStyle name="_DEM-WP (C) Power Cost 2006GRC Order_Chelan PUD Power Costs (8-10)" xfId="12477"/>
    <cellStyle name="_DEM-WP (C) Power Cost 2006GRC Order_Chelan PUD Power Costs (8-10) 2" xfId="23864"/>
    <cellStyle name="_DEM-WP (C) Power Cost 2006GRC Order_DEM-WP(C) Chelan Power Costs" xfId="12478"/>
    <cellStyle name="_DEM-WP (C) Power Cost 2006GRC Order_DEM-WP(C) Chelan Power Costs 2" xfId="23865"/>
    <cellStyle name="_DEM-WP (C) Power Cost 2006GRC Order_DEM-WP(C) ENERG10C--ctn Mid-C_042010 2010GRC" xfId="12479"/>
    <cellStyle name="_DEM-WP (C) Power Cost 2006GRC Order_DEM-WP(C) Gas Transport 2010GRC" xfId="12480"/>
    <cellStyle name="_DEM-WP (C) Power Cost 2006GRC Order_DEM-WP(C) Gas Transport 2010GRC 2" xfId="23866"/>
    <cellStyle name="_DEM-WP (C) Power Cost 2006GRC Order_Electric COS Inputs" xfId="7109"/>
    <cellStyle name="_DEM-WP (C) Power Cost 2006GRC Order_Electric COS Inputs 2" xfId="7110"/>
    <cellStyle name="_DEM-WP (C) Power Cost 2006GRC Order_Electric COS Inputs 2 2" xfId="7111"/>
    <cellStyle name="_DEM-WP (C) Power Cost 2006GRC Order_Electric COS Inputs 2 2 2" xfId="7112"/>
    <cellStyle name="_DEM-WP (C) Power Cost 2006GRC Order_Electric COS Inputs 2 2 2 2" xfId="20498"/>
    <cellStyle name="_DEM-WP (C) Power Cost 2006GRC Order_Electric COS Inputs 2 2 3" xfId="18391"/>
    <cellStyle name="_DEM-WP (C) Power Cost 2006GRC Order_Electric COS Inputs 2 3" xfId="7113"/>
    <cellStyle name="_DEM-WP (C) Power Cost 2006GRC Order_Electric COS Inputs 2 3 2" xfId="7114"/>
    <cellStyle name="_DEM-WP (C) Power Cost 2006GRC Order_Electric COS Inputs 2 3 2 2" xfId="20499"/>
    <cellStyle name="_DEM-WP (C) Power Cost 2006GRC Order_Electric COS Inputs 2 3 3" xfId="18392"/>
    <cellStyle name="_DEM-WP (C) Power Cost 2006GRC Order_Electric COS Inputs 2 4" xfId="7115"/>
    <cellStyle name="_DEM-WP (C) Power Cost 2006GRC Order_Electric COS Inputs 2 4 2" xfId="7116"/>
    <cellStyle name="_DEM-WP (C) Power Cost 2006GRC Order_Electric COS Inputs 2 4 2 2" xfId="20500"/>
    <cellStyle name="_DEM-WP (C) Power Cost 2006GRC Order_Electric COS Inputs 2 4 3" xfId="18393"/>
    <cellStyle name="_DEM-WP (C) Power Cost 2006GRC Order_Electric COS Inputs 2 5" xfId="18390"/>
    <cellStyle name="_DEM-WP (C) Power Cost 2006GRC Order_Electric COS Inputs 3" xfId="7117"/>
    <cellStyle name="_DEM-WP (C) Power Cost 2006GRC Order_Electric COS Inputs 3 2" xfId="7118"/>
    <cellStyle name="_DEM-WP (C) Power Cost 2006GRC Order_Electric COS Inputs 3 2 2" xfId="20501"/>
    <cellStyle name="_DEM-WP (C) Power Cost 2006GRC Order_Electric COS Inputs 3 3" xfId="18394"/>
    <cellStyle name="_DEM-WP (C) Power Cost 2006GRC Order_Electric COS Inputs 4" xfId="7119"/>
    <cellStyle name="_DEM-WP (C) Power Cost 2006GRC Order_Electric COS Inputs 4 2" xfId="7120"/>
    <cellStyle name="_DEM-WP (C) Power Cost 2006GRC Order_Electric COS Inputs 4 2 2" xfId="20502"/>
    <cellStyle name="_DEM-WP (C) Power Cost 2006GRC Order_Electric COS Inputs 4 3" xfId="18395"/>
    <cellStyle name="_DEM-WP (C) Power Cost 2006GRC Order_Electric COS Inputs 5" xfId="7121"/>
    <cellStyle name="_DEM-WP (C) Power Cost 2006GRC Order_Electric COS Inputs 5 2" xfId="20503"/>
    <cellStyle name="_DEM-WP (C) Power Cost 2006GRC Order_Electric COS Inputs 6" xfId="18389"/>
    <cellStyle name="_DEM-WP (C) Power Cost 2006GRC Order_Exh A-1 resulting from UE-112050 effective Jan 1 2012" xfId="14941"/>
    <cellStyle name="_DEM-WP (C) Power Cost 2006GRC Order_Exh G - Klamath Peaker PPA fr C Locke 2-12" xfId="14942"/>
    <cellStyle name="_DEM-WP (C) Power Cost 2006GRC Order_Exhibit A-1 effective 4-1-11 fr S Free 12-11" xfId="14943"/>
    <cellStyle name="_DEM-WP (C) Power Cost 2006GRC Order_Mint Farm Generation BPA" xfId="23867"/>
    <cellStyle name="_DEM-WP (C) Power Cost 2006GRC Order_NIM Summary" xfId="1119"/>
    <cellStyle name="_DEM-WP (C) Power Cost 2006GRC Order_NIM Summary 09GRC" xfId="1120"/>
    <cellStyle name="_DEM-WP (C) Power Cost 2006GRC Order_NIM Summary 09GRC 2" xfId="1121"/>
    <cellStyle name="_DEM-WP (C) Power Cost 2006GRC Order_NIM Summary 09GRC 2 2" xfId="4496"/>
    <cellStyle name="_DEM-WP (C) Power Cost 2006GRC Order_NIM Summary 09GRC 3" xfId="4495"/>
    <cellStyle name="_DEM-WP (C) Power Cost 2006GRC Order_NIM Summary 09GRC_DEM-WP(C) ENERG10C--ctn Mid-C_042010 2010GRC" xfId="12481"/>
    <cellStyle name="_DEM-WP (C) Power Cost 2006GRC Order_NIM Summary 10" xfId="4494"/>
    <cellStyle name="_DEM-WP (C) Power Cost 2006GRC Order_NIM Summary 11" xfId="6230"/>
    <cellStyle name="_DEM-WP (C) Power Cost 2006GRC Order_NIM Summary 12" xfId="6258"/>
    <cellStyle name="_DEM-WP (C) Power Cost 2006GRC Order_NIM Summary 13" xfId="6229"/>
    <cellStyle name="_DEM-WP (C) Power Cost 2006GRC Order_NIM Summary 14" xfId="6317"/>
    <cellStyle name="_DEM-WP (C) Power Cost 2006GRC Order_NIM Summary 15" xfId="14944"/>
    <cellStyle name="_DEM-WP (C) Power Cost 2006GRC Order_NIM Summary 16" xfId="14945"/>
    <cellStyle name="_DEM-WP (C) Power Cost 2006GRC Order_NIM Summary 17" xfId="14946"/>
    <cellStyle name="_DEM-WP (C) Power Cost 2006GRC Order_NIM Summary 18" xfId="14947"/>
    <cellStyle name="_DEM-WP (C) Power Cost 2006GRC Order_NIM Summary 19" xfId="14948"/>
    <cellStyle name="_DEM-WP (C) Power Cost 2006GRC Order_NIM Summary 2" xfId="1122"/>
    <cellStyle name="_DEM-WP (C) Power Cost 2006GRC Order_NIM Summary 2 2" xfId="4497"/>
    <cellStyle name="_DEM-WP (C) Power Cost 2006GRC Order_NIM Summary 20" xfId="14949"/>
    <cellStyle name="_DEM-WP (C) Power Cost 2006GRC Order_NIM Summary 21" xfId="14950"/>
    <cellStyle name="_DEM-WP (C) Power Cost 2006GRC Order_NIM Summary 22" xfId="14951"/>
    <cellStyle name="_DEM-WP (C) Power Cost 2006GRC Order_NIM Summary 23" xfId="14952"/>
    <cellStyle name="_DEM-WP (C) Power Cost 2006GRC Order_NIM Summary 24" xfId="14953"/>
    <cellStyle name="_DEM-WP (C) Power Cost 2006GRC Order_NIM Summary 25" xfId="14954"/>
    <cellStyle name="_DEM-WP (C) Power Cost 2006GRC Order_NIM Summary 26" xfId="14955"/>
    <cellStyle name="_DEM-WP (C) Power Cost 2006GRC Order_NIM Summary 27" xfId="14956"/>
    <cellStyle name="_DEM-WP (C) Power Cost 2006GRC Order_NIM Summary 28" xfId="14957"/>
    <cellStyle name="_DEM-WP (C) Power Cost 2006GRC Order_NIM Summary 29" xfId="14958"/>
    <cellStyle name="_DEM-WP (C) Power Cost 2006GRC Order_NIM Summary 3" xfId="1123"/>
    <cellStyle name="_DEM-WP (C) Power Cost 2006GRC Order_NIM Summary 3 2" xfId="4498"/>
    <cellStyle name="_DEM-WP (C) Power Cost 2006GRC Order_NIM Summary 30" xfId="14959"/>
    <cellStyle name="_DEM-WP (C) Power Cost 2006GRC Order_NIM Summary 31" xfId="14960"/>
    <cellStyle name="_DEM-WP (C) Power Cost 2006GRC Order_NIM Summary 32" xfId="14961"/>
    <cellStyle name="_DEM-WP (C) Power Cost 2006GRC Order_NIM Summary 33" xfId="14962"/>
    <cellStyle name="_DEM-WP (C) Power Cost 2006GRC Order_NIM Summary 34" xfId="14963"/>
    <cellStyle name="_DEM-WP (C) Power Cost 2006GRC Order_NIM Summary 35" xfId="14964"/>
    <cellStyle name="_DEM-WP (C) Power Cost 2006GRC Order_NIM Summary 36" xfId="14965"/>
    <cellStyle name="_DEM-WP (C) Power Cost 2006GRC Order_NIM Summary 37" xfId="14966"/>
    <cellStyle name="_DEM-WP (C) Power Cost 2006GRC Order_NIM Summary 38" xfId="14967"/>
    <cellStyle name="_DEM-WP (C) Power Cost 2006GRC Order_NIM Summary 39" xfId="14968"/>
    <cellStyle name="_DEM-WP (C) Power Cost 2006GRC Order_NIM Summary 4" xfId="1124"/>
    <cellStyle name="_DEM-WP (C) Power Cost 2006GRC Order_NIM Summary 4 2" xfId="4499"/>
    <cellStyle name="_DEM-WP (C) Power Cost 2006GRC Order_NIM Summary 40" xfId="14969"/>
    <cellStyle name="_DEM-WP (C) Power Cost 2006GRC Order_NIM Summary 41" xfId="14970"/>
    <cellStyle name="_DEM-WP (C) Power Cost 2006GRC Order_NIM Summary 42" xfId="16380"/>
    <cellStyle name="_DEM-WP (C) Power Cost 2006GRC Order_NIM Summary 43" xfId="22318"/>
    <cellStyle name="_DEM-WP (C) Power Cost 2006GRC Order_NIM Summary 44" xfId="23868"/>
    <cellStyle name="_DEM-WP (C) Power Cost 2006GRC Order_NIM Summary 45" xfId="23869"/>
    <cellStyle name="_DEM-WP (C) Power Cost 2006GRC Order_NIM Summary 46" xfId="23870"/>
    <cellStyle name="_DEM-WP (C) Power Cost 2006GRC Order_NIM Summary 47" xfId="23871"/>
    <cellStyle name="_DEM-WP (C) Power Cost 2006GRC Order_NIM Summary 48" xfId="23872"/>
    <cellStyle name="_DEM-WP (C) Power Cost 2006GRC Order_NIM Summary 49" xfId="23873"/>
    <cellStyle name="_DEM-WP (C) Power Cost 2006GRC Order_NIM Summary 5" xfId="1125"/>
    <cellStyle name="_DEM-WP (C) Power Cost 2006GRC Order_NIM Summary 5 2" xfId="4500"/>
    <cellStyle name="_DEM-WP (C) Power Cost 2006GRC Order_NIM Summary 50" xfId="23874"/>
    <cellStyle name="_DEM-WP (C) Power Cost 2006GRC Order_NIM Summary 51" xfId="41141"/>
    <cellStyle name="_DEM-WP (C) Power Cost 2006GRC Order_NIM Summary 52" xfId="7122"/>
    <cellStyle name="_DEM-WP (C) Power Cost 2006GRC Order_NIM Summary 6" xfId="1126"/>
    <cellStyle name="_DEM-WP (C) Power Cost 2006GRC Order_NIM Summary 6 2" xfId="4501"/>
    <cellStyle name="_DEM-WP (C) Power Cost 2006GRC Order_NIM Summary 7" xfId="1127"/>
    <cellStyle name="_DEM-WP (C) Power Cost 2006GRC Order_NIM Summary 7 2" xfId="4502"/>
    <cellStyle name="_DEM-WP (C) Power Cost 2006GRC Order_NIM Summary 8" xfId="1128"/>
    <cellStyle name="_DEM-WP (C) Power Cost 2006GRC Order_NIM Summary 8 2" xfId="4503"/>
    <cellStyle name="_DEM-WP (C) Power Cost 2006GRC Order_NIM Summary 9" xfId="1129"/>
    <cellStyle name="_DEM-WP (C) Power Cost 2006GRC Order_NIM Summary 9 2" xfId="4504"/>
    <cellStyle name="_DEM-WP (C) Power Cost 2006GRC Order_NIM Summary_DEM-WP(C) ENERG10C--ctn Mid-C_042010 2010GRC" xfId="12482"/>
    <cellStyle name="_DEM-WP (C) Power Cost 2006GRC Order_NIM+O&amp;M" xfId="12483"/>
    <cellStyle name="_DEM-WP (C) Power Cost 2006GRC Order_NIM+O&amp;M 2" xfId="12484"/>
    <cellStyle name="_DEM-WP (C) Power Cost 2006GRC Order_NIM+O&amp;M 2 2" xfId="23875"/>
    <cellStyle name="_DEM-WP (C) Power Cost 2006GRC Order_NIM+O&amp;M 3" xfId="23876"/>
    <cellStyle name="_DEM-WP (C) Power Cost 2006GRC Order_NIM+O&amp;M Monthly" xfId="12485"/>
    <cellStyle name="_DEM-WP (C) Power Cost 2006GRC Order_NIM+O&amp;M Monthly 2" xfId="12486"/>
    <cellStyle name="_DEM-WP (C) Power Cost 2006GRC Order_NIM+O&amp;M Monthly 2 2" xfId="23877"/>
    <cellStyle name="_DEM-WP (C) Power Cost 2006GRC Order_NIM+O&amp;M Monthly 3" xfId="23878"/>
    <cellStyle name="_DEM-WP (C) Power Cost 2006GRC Order_PCA 10 -  Exhibit D Dec 2011" xfId="14971"/>
    <cellStyle name="_DEM-WP (C) Power Cost 2006GRC Order_PCA 10 -  Exhibit D from A Kellogg Jan 2011" xfId="14112"/>
    <cellStyle name="_DEM-WP (C) Power Cost 2006GRC Order_PCA 10 -  Exhibit D from A Kellogg July 2011" xfId="14113"/>
    <cellStyle name="_DEM-WP (C) Power Cost 2006GRC Order_PCA 10 -  Exhibit D from S Free Rcv'd 12-11" xfId="14114"/>
    <cellStyle name="_DEM-WP (C) Power Cost 2006GRC Order_PCA 11 -  Exhibit D Jan 2012 fr A Kellogg" xfId="14972"/>
    <cellStyle name="_DEM-WP (C) Power Cost 2006GRC Order_PCA 11 -  Exhibit D Jan 2012 WF" xfId="14973"/>
    <cellStyle name="_DEM-WP (C) Power Cost 2006GRC Order_PCA 9 -  Exhibit D April 2010" xfId="14115"/>
    <cellStyle name="_DEM-WP (C) Power Cost 2006GRC Order_PCA 9 -  Exhibit D April 2010 (3)" xfId="1130"/>
    <cellStyle name="_DEM-WP (C) Power Cost 2006GRC Order_PCA 9 -  Exhibit D April 2010 (3) 2" xfId="1131"/>
    <cellStyle name="_DEM-WP (C) Power Cost 2006GRC Order_PCA 9 -  Exhibit D April 2010 (3) 2 2" xfId="4506"/>
    <cellStyle name="_DEM-WP (C) Power Cost 2006GRC Order_PCA 9 -  Exhibit D April 2010 (3) 3" xfId="4505"/>
    <cellStyle name="_DEM-WP (C) Power Cost 2006GRC Order_PCA 9 -  Exhibit D April 2010 (3)_DEM-WP(C) ENERG10C--ctn Mid-C_042010 2010GRC" xfId="12487"/>
    <cellStyle name="_DEM-WP (C) Power Cost 2006GRC Order_PCA 9 -  Exhibit D April 2010 2" xfId="14974"/>
    <cellStyle name="_DEM-WP (C) Power Cost 2006GRC Order_PCA 9 -  Exhibit D April 2010 3" xfId="14975"/>
    <cellStyle name="_DEM-WP (C) Power Cost 2006GRC Order_PCA 9 -  Exhibit D April 2010 4" xfId="14976"/>
    <cellStyle name="_DEM-WP (C) Power Cost 2006GRC Order_PCA 9 -  Exhibit D April 2010 5" xfId="14977"/>
    <cellStyle name="_DEM-WP (C) Power Cost 2006GRC Order_PCA 9 -  Exhibit D April 2010 6" xfId="14978"/>
    <cellStyle name="_DEM-WP (C) Power Cost 2006GRC Order_PCA 9 -  Exhibit D Nov 2010" xfId="14116"/>
    <cellStyle name="_DEM-WP (C) Power Cost 2006GRC Order_PCA 9 -  Exhibit D Nov 2010 2" xfId="14979"/>
    <cellStyle name="_DEM-WP (C) Power Cost 2006GRC Order_PCA 9 - Exhibit D at August 2010" xfId="14117"/>
    <cellStyle name="_DEM-WP (C) Power Cost 2006GRC Order_PCA 9 - Exhibit D at August 2010 2" xfId="14980"/>
    <cellStyle name="_DEM-WP (C) Power Cost 2006GRC Order_PCA 9 - Exhibit D June 2010 GRC" xfId="14118"/>
    <cellStyle name="_DEM-WP (C) Power Cost 2006GRC Order_PCA 9 - Exhibit D June 2010 GRC 2" xfId="14981"/>
    <cellStyle name="_DEM-WP (C) Power Cost 2006GRC Order_Power Costs - Comparison bx Rbtl-Staff-Jt-PC" xfId="1132"/>
    <cellStyle name="_DEM-WP (C) Power Cost 2006GRC Order_Power Costs - Comparison bx Rbtl-Staff-Jt-PC 2" xfId="1133"/>
    <cellStyle name="_DEM-WP (C) Power Cost 2006GRC Order_Power Costs - Comparison bx Rbtl-Staff-Jt-PC 2 2" xfId="4508"/>
    <cellStyle name="_DEM-WP (C) Power Cost 2006GRC Order_Power Costs - Comparison bx Rbtl-Staff-Jt-PC 2 2 2" xfId="20504"/>
    <cellStyle name="_DEM-WP (C) Power Cost 2006GRC Order_Power Costs - Comparison bx Rbtl-Staff-Jt-PC 2 3" xfId="16382"/>
    <cellStyle name="_DEM-WP (C) Power Cost 2006GRC Order_Power Costs - Comparison bx Rbtl-Staff-Jt-PC 3" xfId="4507"/>
    <cellStyle name="_DEM-WP (C) Power Cost 2006GRC Order_Power Costs - Comparison bx Rbtl-Staff-Jt-PC 3 2" xfId="20505"/>
    <cellStyle name="_DEM-WP (C) Power Cost 2006GRC Order_Power Costs - Comparison bx Rbtl-Staff-Jt-PC 4" xfId="16381"/>
    <cellStyle name="_DEM-WP (C) Power Cost 2006GRC Order_Power Costs - Comparison bx Rbtl-Staff-Jt-PC_Adj Bench DR 3 for Initial Briefs (Electric)" xfId="1134"/>
    <cellStyle name="_DEM-WP (C) Power Cost 2006GRC Order_Power Costs - Comparison bx Rbtl-Staff-Jt-PC_Adj Bench DR 3 for Initial Briefs (Electric) 2" xfId="1135"/>
    <cellStyle name="_DEM-WP (C) Power Cost 2006GRC Order_Power Costs - Comparison bx Rbtl-Staff-Jt-PC_Adj Bench DR 3 for Initial Briefs (Electric) 2 2" xfId="4510"/>
    <cellStyle name="_DEM-WP (C) Power Cost 2006GRC Order_Power Costs - Comparison bx Rbtl-Staff-Jt-PC_Adj Bench DR 3 for Initial Briefs (Electric) 2 2 2" xfId="20506"/>
    <cellStyle name="_DEM-WP (C) Power Cost 2006GRC Order_Power Costs - Comparison bx Rbtl-Staff-Jt-PC_Adj Bench DR 3 for Initial Briefs (Electric) 2 3" xfId="16384"/>
    <cellStyle name="_DEM-WP (C) Power Cost 2006GRC Order_Power Costs - Comparison bx Rbtl-Staff-Jt-PC_Adj Bench DR 3 for Initial Briefs (Electric) 3" xfId="4509"/>
    <cellStyle name="_DEM-WP (C) Power Cost 2006GRC Order_Power Costs - Comparison bx Rbtl-Staff-Jt-PC_Adj Bench DR 3 for Initial Briefs (Electric) 3 2" xfId="20507"/>
    <cellStyle name="_DEM-WP (C) Power Cost 2006GRC Order_Power Costs - Comparison bx Rbtl-Staff-Jt-PC_Adj Bench DR 3 for Initial Briefs (Electric) 4" xfId="16383"/>
    <cellStyle name="_DEM-WP (C) Power Cost 2006GRC Order_Power Costs - Comparison bx Rbtl-Staff-Jt-PC_Adj Bench DR 3 for Initial Briefs (Electric)_DEM-WP(C) ENERG10C--ctn Mid-C_042010 2010GRC" xfId="12488"/>
    <cellStyle name="_DEM-WP (C) Power Cost 2006GRC Order_Power Costs - Comparison bx Rbtl-Staff-Jt-PC_DEM-WP(C) ENERG10C--ctn Mid-C_042010 2010GRC" xfId="12489"/>
    <cellStyle name="_DEM-WP (C) Power Cost 2006GRC Order_Power Costs - Comparison bx Rbtl-Staff-Jt-PC_Electric Rev Req Model (2009 GRC) Rebuttal" xfId="1136"/>
    <cellStyle name="_DEM-WP (C) Power Cost 2006GRC Order_Power Costs - Comparison bx Rbtl-Staff-Jt-PC_Electric Rev Req Model (2009 GRC) Rebuttal 2" xfId="4511"/>
    <cellStyle name="_DEM-WP (C) Power Cost 2006GRC Order_Power Costs - Comparison bx Rbtl-Staff-Jt-PC_Electric Rev Req Model (2009 GRC) Rebuttal 2 2" xfId="7123"/>
    <cellStyle name="_DEM-WP (C) Power Cost 2006GRC Order_Power Costs - Comparison bx Rbtl-Staff-Jt-PC_Electric Rev Req Model (2009 GRC) Rebuttal 2 2 2" xfId="20508"/>
    <cellStyle name="_DEM-WP (C) Power Cost 2006GRC Order_Power Costs - Comparison bx Rbtl-Staff-Jt-PC_Electric Rev Req Model (2009 GRC) Rebuttal 2 3" xfId="18396"/>
    <cellStyle name="_DEM-WP (C) Power Cost 2006GRC Order_Power Costs - Comparison bx Rbtl-Staff-Jt-PC_Electric Rev Req Model (2009 GRC) Rebuttal 3" xfId="7124"/>
    <cellStyle name="_DEM-WP (C) Power Cost 2006GRC Order_Power Costs - Comparison bx Rbtl-Staff-Jt-PC_Electric Rev Req Model (2009 GRC) Rebuttal 3 2" xfId="20509"/>
    <cellStyle name="_DEM-WP (C) Power Cost 2006GRC Order_Power Costs - Comparison bx Rbtl-Staff-Jt-PC_Electric Rev Req Model (2009 GRC) Rebuttal 4" xfId="16385"/>
    <cellStyle name="_DEM-WP (C) Power Cost 2006GRC Order_Power Costs - Comparison bx Rbtl-Staff-Jt-PC_Electric Rev Req Model (2009 GRC) Rebuttal REmoval of New  WH Solar AdjustMI" xfId="1137"/>
    <cellStyle name="_DEM-WP (C) Power Cost 2006GRC Order_Power Costs - Comparison bx Rbtl-Staff-Jt-PC_Electric Rev Req Model (2009 GRC) Rebuttal REmoval of New  WH Solar AdjustMI 2" xfId="1138"/>
    <cellStyle name="_DEM-WP (C) Power Cost 2006GRC Order_Power Costs - Comparison bx Rbtl-Staff-Jt-PC_Electric Rev Req Model (2009 GRC) Rebuttal REmoval of New  WH Solar AdjustMI 2 2" xfId="4513"/>
    <cellStyle name="_DEM-WP (C) Power Cost 2006GRC Order_Power Costs - Comparison bx Rbtl-Staff-Jt-PC_Electric Rev Req Model (2009 GRC) Rebuttal REmoval of New  WH Solar AdjustMI 2 2 2" xfId="20510"/>
    <cellStyle name="_DEM-WP (C) Power Cost 2006GRC Order_Power Costs - Comparison bx Rbtl-Staff-Jt-PC_Electric Rev Req Model (2009 GRC) Rebuttal REmoval of New  WH Solar AdjustMI 2 3" xfId="16387"/>
    <cellStyle name="_DEM-WP (C) Power Cost 2006GRC Order_Power Costs - Comparison bx Rbtl-Staff-Jt-PC_Electric Rev Req Model (2009 GRC) Rebuttal REmoval of New  WH Solar AdjustMI 3" xfId="4512"/>
    <cellStyle name="_DEM-WP (C) Power Cost 2006GRC Order_Power Costs - Comparison bx Rbtl-Staff-Jt-PC_Electric Rev Req Model (2009 GRC) Rebuttal REmoval of New  WH Solar AdjustMI 3 2" xfId="20511"/>
    <cellStyle name="_DEM-WP (C) Power Cost 2006GRC Order_Power Costs - Comparison bx Rbtl-Staff-Jt-PC_Electric Rev Req Model (2009 GRC) Rebuttal REmoval of New  WH Solar AdjustMI 4" xfId="16386"/>
    <cellStyle name="_DEM-WP (C) Power Cost 2006GRC Order_Power Costs - Comparison bx Rbtl-Staff-Jt-PC_Electric Rev Req Model (2009 GRC) Rebuttal REmoval of New  WH Solar AdjustMI_DEM-WP(C) ENERG10C--ctn Mid-C_042010 2010GRC" xfId="12490"/>
    <cellStyle name="_DEM-WP (C) Power Cost 2006GRC Order_Power Costs - Comparison bx Rbtl-Staff-Jt-PC_Electric Rev Req Model (2009 GRC) Revised 01-18-2010" xfId="1139"/>
    <cellStyle name="_DEM-WP (C) Power Cost 2006GRC Order_Power Costs - Comparison bx Rbtl-Staff-Jt-PC_Electric Rev Req Model (2009 GRC) Revised 01-18-2010 2" xfId="1140"/>
    <cellStyle name="_DEM-WP (C) Power Cost 2006GRC Order_Power Costs - Comparison bx Rbtl-Staff-Jt-PC_Electric Rev Req Model (2009 GRC) Revised 01-18-2010 2 2" xfId="4515"/>
    <cellStyle name="_DEM-WP (C) Power Cost 2006GRC Order_Power Costs - Comparison bx Rbtl-Staff-Jt-PC_Electric Rev Req Model (2009 GRC) Revised 01-18-2010 2 2 2" xfId="20512"/>
    <cellStyle name="_DEM-WP (C) Power Cost 2006GRC Order_Power Costs - Comparison bx Rbtl-Staff-Jt-PC_Electric Rev Req Model (2009 GRC) Revised 01-18-2010 2 3" xfId="16389"/>
    <cellStyle name="_DEM-WP (C) Power Cost 2006GRC Order_Power Costs - Comparison bx Rbtl-Staff-Jt-PC_Electric Rev Req Model (2009 GRC) Revised 01-18-2010 3" xfId="4514"/>
    <cellStyle name="_DEM-WP (C) Power Cost 2006GRC Order_Power Costs - Comparison bx Rbtl-Staff-Jt-PC_Electric Rev Req Model (2009 GRC) Revised 01-18-2010 3 2" xfId="20513"/>
    <cellStyle name="_DEM-WP (C) Power Cost 2006GRC Order_Power Costs - Comparison bx Rbtl-Staff-Jt-PC_Electric Rev Req Model (2009 GRC) Revised 01-18-2010 4" xfId="16388"/>
    <cellStyle name="_DEM-WP (C) Power Cost 2006GRC Order_Power Costs - Comparison bx Rbtl-Staff-Jt-PC_Electric Rev Req Model (2009 GRC) Revised 01-18-2010_DEM-WP(C) ENERG10C--ctn Mid-C_042010 2010GRC" xfId="12491"/>
    <cellStyle name="_DEM-WP (C) Power Cost 2006GRC Order_Power Costs - Comparison bx Rbtl-Staff-Jt-PC_Final Order Electric EXHIBIT A-1" xfId="1141"/>
    <cellStyle name="_DEM-WP (C) Power Cost 2006GRC Order_Power Costs - Comparison bx Rbtl-Staff-Jt-PC_Final Order Electric EXHIBIT A-1 2" xfId="4516"/>
    <cellStyle name="_DEM-WP (C) Power Cost 2006GRC Order_Power Costs - Comparison bx Rbtl-Staff-Jt-PC_Final Order Electric EXHIBIT A-1 2 2" xfId="7125"/>
    <cellStyle name="_DEM-WP (C) Power Cost 2006GRC Order_Power Costs - Comparison bx Rbtl-Staff-Jt-PC_Final Order Electric EXHIBIT A-1 2 2 2" xfId="20514"/>
    <cellStyle name="_DEM-WP (C) Power Cost 2006GRC Order_Power Costs - Comparison bx Rbtl-Staff-Jt-PC_Final Order Electric EXHIBIT A-1 2 3" xfId="18397"/>
    <cellStyle name="_DEM-WP (C) Power Cost 2006GRC Order_Power Costs - Comparison bx Rbtl-Staff-Jt-PC_Final Order Electric EXHIBIT A-1 3" xfId="7126"/>
    <cellStyle name="_DEM-WP (C) Power Cost 2006GRC Order_Power Costs - Comparison bx Rbtl-Staff-Jt-PC_Final Order Electric EXHIBIT A-1 3 2" xfId="20515"/>
    <cellStyle name="_DEM-WP (C) Power Cost 2006GRC Order_Power Costs - Comparison bx Rbtl-Staff-Jt-PC_Final Order Electric EXHIBIT A-1 4" xfId="16390"/>
    <cellStyle name="_DEM-WP (C) Power Cost 2006GRC Order_Production Adj 4.37" xfId="7127"/>
    <cellStyle name="_DEM-WP (C) Power Cost 2006GRC Order_Production Adj 4.37 2" xfId="7128"/>
    <cellStyle name="_DEM-WP (C) Power Cost 2006GRC Order_Production Adj 4.37 2 2" xfId="7129"/>
    <cellStyle name="_DEM-WP (C) Power Cost 2006GRC Order_Production Adj 4.37 2 2 2" xfId="20516"/>
    <cellStyle name="_DEM-WP (C) Power Cost 2006GRC Order_Production Adj 4.37 2 3" xfId="18399"/>
    <cellStyle name="_DEM-WP (C) Power Cost 2006GRC Order_Production Adj 4.37 3" xfId="7130"/>
    <cellStyle name="_DEM-WP (C) Power Cost 2006GRC Order_Production Adj 4.37 3 2" xfId="20517"/>
    <cellStyle name="_DEM-WP (C) Power Cost 2006GRC Order_Production Adj 4.37 4" xfId="18398"/>
    <cellStyle name="_DEM-WP (C) Power Cost 2006GRC Order_Purchased Power Adj 4.03" xfId="7131"/>
    <cellStyle name="_DEM-WP (C) Power Cost 2006GRC Order_Purchased Power Adj 4.03 2" xfId="7132"/>
    <cellStyle name="_DEM-WP (C) Power Cost 2006GRC Order_Purchased Power Adj 4.03 2 2" xfId="7133"/>
    <cellStyle name="_DEM-WP (C) Power Cost 2006GRC Order_Purchased Power Adj 4.03 2 2 2" xfId="20518"/>
    <cellStyle name="_DEM-WP (C) Power Cost 2006GRC Order_Purchased Power Adj 4.03 2 3" xfId="18401"/>
    <cellStyle name="_DEM-WP (C) Power Cost 2006GRC Order_Purchased Power Adj 4.03 3" xfId="7134"/>
    <cellStyle name="_DEM-WP (C) Power Cost 2006GRC Order_Purchased Power Adj 4.03 3 2" xfId="20519"/>
    <cellStyle name="_DEM-WP (C) Power Cost 2006GRC Order_Purchased Power Adj 4.03 4" xfId="18400"/>
    <cellStyle name="_DEM-WP (C) Power Cost 2006GRC Order_Rebuttal Power Costs" xfId="1142"/>
    <cellStyle name="_DEM-WP (C) Power Cost 2006GRC Order_Rebuttal Power Costs 2" xfId="1143"/>
    <cellStyle name="_DEM-WP (C) Power Cost 2006GRC Order_Rebuttal Power Costs 2 2" xfId="4518"/>
    <cellStyle name="_DEM-WP (C) Power Cost 2006GRC Order_Rebuttal Power Costs 2 2 2" xfId="20520"/>
    <cellStyle name="_DEM-WP (C) Power Cost 2006GRC Order_Rebuttal Power Costs 2 3" xfId="16392"/>
    <cellStyle name="_DEM-WP (C) Power Cost 2006GRC Order_Rebuttal Power Costs 3" xfId="4517"/>
    <cellStyle name="_DEM-WP (C) Power Cost 2006GRC Order_Rebuttal Power Costs 3 2" xfId="20521"/>
    <cellStyle name="_DEM-WP (C) Power Cost 2006GRC Order_Rebuttal Power Costs 4" xfId="16391"/>
    <cellStyle name="_DEM-WP (C) Power Cost 2006GRC Order_Rebuttal Power Costs_Adj Bench DR 3 for Initial Briefs (Electric)" xfId="1144"/>
    <cellStyle name="_DEM-WP (C) Power Cost 2006GRC Order_Rebuttal Power Costs_Adj Bench DR 3 for Initial Briefs (Electric) 2" xfId="1145"/>
    <cellStyle name="_DEM-WP (C) Power Cost 2006GRC Order_Rebuttal Power Costs_Adj Bench DR 3 for Initial Briefs (Electric) 2 2" xfId="4520"/>
    <cellStyle name="_DEM-WP (C) Power Cost 2006GRC Order_Rebuttal Power Costs_Adj Bench DR 3 for Initial Briefs (Electric) 2 2 2" xfId="20522"/>
    <cellStyle name="_DEM-WP (C) Power Cost 2006GRC Order_Rebuttal Power Costs_Adj Bench DR 3 for Initial Briefs (Electric) 2 3" xfId="16394"/>
    <cellStyle name="_DEM-WP (C) Power Cost 2006GRC Order_Rebuttal Power Costs_Adj Bench DR 3 for Initial Briefs (Electric) 3" xfId="4519"/>
    <cellStyle name="_DEM-WP (C) Power Cost 2006GRC Order_Rebuttal Power Costs_Adj Bench DR 3 for Initial Briefs (Electric) 3 2" xfId="20523"/>
    <cellStyle name="_DEM-WP (C) Power Cost 2006GRC Order_Rebuttal Power Costs_Adj Bench DR 3 for Initial Briefs (Electric) 4" xfId="16393"/>
    <cellStyle name="_DEM-WP (C) Power Cost 2006GRC Order_Rebuttal Power Costs_Adj Bench DR 3 for Initial Briefs (Electric)_DEM-WP(C) ENERG10C--ctn Mid-C_042010 2010GRC" xfId="12492"/>
    <cellStyle name="_DEM-WP (C) Power Cost 2006GRC Order_Rebuttal Power Costs_DEM-WP(C) ENERG10C--ctn Mid-C_042010 2010GRC" xfId="12493"/>
    <cellStyle name="_DEM-WP (C) Power Cost 2006GRC Order_Rebuttal Power Costs_Electric Rev Req Model (2009 GRC) Rebuttal" xfId="1146"/>
    <cellStyle name="_DEM-WP (C) Power Cost 2006GRC Order_Rebuttal Power Costs_Electric Rev Req Model (2009 GRC) Rebuttal 2" xfId="4521"/>
    <cellStyle name="_DEM-WP (C) Power Cost 2006GRC Order_Rebuttal Power Costs_Electric Rev Req Model (2009 GRC) Rebuttal 2 2" xfId="7135"/>
    <cellStyle name="_DEM-WP (C) Power Cost 2006GRC Order_Rebuttal Power Costs_Electric Rev Req Model (2009 GRC) Rebuttal 2 2 2" xfId="20524"/>
    <cellStyle name="_DEM-WP (C) Power Cost 2006GRC Order_Rebuttal Power Costs_Electric Rev Req Model (2009 GRC) Rebuttal 2 3" xfId="18402"/>
    <cellStyle name="_DEM-WP (C) Power Cost 2006GRC Order_Rebuttal Power Costs_Electric Rev Req Model (2009 GRC) Rebuttal 3" xfId="7136"/>
    <cellStyle name="_DEM-WP (C) Power Cost 2006GRC Order_Rebuttal Power Costs_Electric Rev Req Model (2009 GRC) Rebuttal 3 2" xfId="20525"/>
    <cellStyle name="_DEM-WP (C) Power Cost 2006GRC Order_Rebuttal Power Costs_Electric Rev Req Model (2009 GRC) Rebuttal 4" xfId="16395"/>
    <cellStyle name="_DEM-WP (C) Power Cost 2006GRC Order_Rebuttal Power Costs_Electric Rev Req Model (2009 GRC) Rebuttal REmoval of New  WH Solar AdjustMI" xfId="1147"/>
    <cellStyle name="_DEM-WP (C) Power Cost 2006GRC Order_Rebuttal Power Costs_Electric Rev Req Model (2009 GRC) Rebuttal REmoval of New  WH Solar AdjustMI 2" xfId="1148"/>
    <cellStyle name="_DEM-WP (C) Power Cost 2006GRC Order_Rebuttal Power Costs_Electric Rev Req Model (2009 GRC) Rebuttal REmoval of New  WH Solar AdjustMI 2 2" xfId="4523"/>
    <cellStyle name="_DEM-WP (C) Power Cost 2006GRC Order_Rebuttal Power Costs_Electric Rev Req Model (2009 GRC) Rebuttal REmoval of New  WH Solar AdjustMI 2 2 2" xfId="20526"/>
    <cellStyle name="_DEM-WP (C) Power Cost 2006GRC Order_Rebuttal Power Costs_Electric Rev Req Model (2009 GRC) Rebuttal REmoval of New  WH Solar AdjustMI 2 3" xfId="16397"/>
    <cellStyle name="_DEM-WP (C) Power Cost 2006GRC Order_Rebuttal Power Costs_Electric Rev Req Model (2009 GRC) Rebuttal REmoval of New  WH Solar AdjustMI 3" xfId="4522"/>
    <cellStyle name="_DEM-WP (C) Power Cost 2006GRC Order_Rebuttal Power Costs_Electric Rev Req Model (2009 GRC) Rebuttal REmoval of New  WH Solar AdjustMI 3 2" xfId="20527"/>
    <cellStyle name="_DEM-WP (C) Power Cost 2006GRC Order_Rebuttal Power Costs_Electric Rev Req Model (2009 GRC) Rebuttal REmoval of New  WH Solar AdjustMI 4" xfId="16396"/>
    <cellStyle name="_DEM-WP (C) Power Cost 2006GRC Order_Rebuttal Power Costs_Electric Rev Req Model (2009 GRC) Rebuttal REmoval of New  WH Solar AdjustMI_DEM-WP(C) ENERG10C--ctn Mid-C_042010 2010GRC" xfId="12494"/>
    <cellStyle name="_DEM-WP (C) Power Cost 2006GRC Order_Rebuttal Power Costs_Electric Rev Req Model (2009 GRC) Revised 01-18-2010" xfId="1149"/>
    <cellStyle name="_DEM-WP (C) Power Cost 2006GRC Order_Rebuttal Power Costs_Electric Rev Req Model (2009 GRC) Revised 01-18-2010 2" xfId="1150"/>
    <cellStyle name="_DEM-WP (C) Power Cost 2006GRC Order_Rebuttal Power Costs_Electric Rev Req Model (2009 GRC) Revised 01-18-2010 2 2" xfId="4525"/>
    <cellStyle name="_DEM-WP (C) Power Cost 2006GRC Order_Rebuttal Power Costs_Electric Rev Req Model (2009 GRC) Revised 01-18-2010 2 2 2" xfId="20528"/>
    <cellStyle name="_DEM-WP (C) Power Cost 2006GRC Order_Rebuttal Power Costs_Electric Rev Req Model (2009 GRC) Revised 01-18-2010 2 3" xfId="16399"/>
    <cellStyle name="_DEM-WP (C) Power Cost 2006GRC Order_Rebuttal Power Costs_Electric Rev Req Model (2009 GRC) Revised 01-18-2010 3" xfId="4524"/>
    <cellStyle name="_DEM-WP (C) Power Cost 2006GRC Order_Rebuttal Power Costs_Electric Rev Req Model (2009 GRC) Revised 01-18-2010 3 2" xfId="20529"/>
    <cellStyle name="_DEM-WP (C) Power Cost 2006GRC Order_Rebuttal Power Costs_Electric Rev Req Model (2009 GRC) Revised 01-18-2010 4" xfId="16398"/>
    <cellStyle name="_DEM-WP (C) Power Cost 2006GRC Order_Rebuttal Power Costs_Electric Rev Req Model (2009 GRC) Revised 01-18-2010_DEM-WP(C) ENERG10C--ctn Mid-C_042010 2010GRC" xfId="12495"/>
    <cellStyle name="_DEM-WP (C) Power Cost 2006GRC Order_Rebuttal Power Costs_Final Order Electric EXHIBIT A-1" xfId="1151"/>
    <cellStyle name="_DEM-WP (C) Power Cost 2006GRC Order_Rebuttal Power Costs_Final Order Electric EXHIBIT A-1 2" xfId="4526"/>
    <cellStyle name="_DEM-WP (C) Power Cost 2006GRC Order_Rebuttal Power Costs_Final Order Electric EXHIBIT A-1 2 2" xfId="7137"/>
    <cellStyle name="_DEM-WP (C) Power Cost 2006GRC Order_Rebuttal Power Costs_Final Order Electric EXHIBIT A-1 2 2 2" xfId="20530"/>
    <cellStyle name="_DEM-WP (C) Power Cost 2006GRC Order_Rebuttal Power Costs_Final Order Electric EXHIBIT A-1 2 3" xfId="18403"/>
    <cellStyle name="_DEM-WP (C) Power Cost 2006GRC Order_Rebuttal Power Costs_Final Order Electric EXHIBIT A-1 3" xfId="7138"/>
    <cellStyle name="_DEM-WP (C) Power Cost 2006GRC Order_Rebuttal Power Costs_Final Order Electric EXHIBIT A-1 3 2" xfId="20531"/>
    <cellStyle name="_DEM-WP (C) Power Cost 2006GRC Order_Rebuttal Power Costs_Final Order Electric EXHIBIT A-1 4" xfId="16400"/>
    <cellStyle name="_DEM-WP (C) Power Cost 2006GRC Order_ROR 5.02" xfId="7139"/>
    <cellStyle name="_DEM-WP (C) Power Cost 2006GRC Order_ROR 5.02 2" xfId="7140"/>
    <cellStyle name="_DEM-WP (C) Power Cost 2006GRC Order_ROR 5.02 2 2" xfId="7141"/>
    <cellStyle name="_DEM-WP (C) Power Cost 2006GRC Order_ROR 5.02 2 2 2" xfId="20532"/>
    <cellStyle name="_DEM-WP (C) Power Cost 2006GRC Order_ROR 5.02 2 3" xfId="18405"/>
    <cellStyle name="_DEM-WP (C) Power Cost 2006GRC Order_ROR 5.02 3" xfId="7142"/>
    <cellStyle name="_DEM-WP (C) Power Cost 2006GRC Order_ROR 5.02 3 2" xfId="20533"/>
    <cellStyle name="_DEM-WP (C) Power Cost 2006GRC Order_ROR 5.02 4" xfId="18404"/>
    <cellStyle name="_DEM-WP (C) Power Cost 2006GRC Order_Scenario 1 REC vs PTC Offset" xfId="14982"/>
    <cellStyle name="_DEM-WP (C) Power Cost 2006GRC Order_Scenario 3" xfId="14983"/>
    <cellStyle name="_DEM-WP (C) Power Cost 2006GRC Order_Wind Integration 10GRC" xfId="1152"/>
    <cellStyle name="_DEM-WP (C) Power Cost 2006GRC Order_Wind Integration 10GRC 2" xfId="1153"/>
    <cellStyle name="_DEM-WP (C) Power Cost 2006GRC Order_Wind Integration 10GRC 2 2" xfId="4528"/>
    <cellStyle name="_DEM-WP (C) Power Cost 2006GRC Order_Wind Integration 10GRC 3" xfId="4527"/>
    <cellStyle name="_DEM-WP (C) Power Cost 2006GRC Order_Wind Integration 10GRC_DEM-WP(C) ENERG10C--ctn Mid-C_042010 2010GRC" xfId="12496"/>
    <cellStyle name="_DEM-WP Revised (HC) Wild Horse 2006GRC" xfId="1154"/>
    <cellStyle name="_DEM-WP Revised (HC) Wild Horse 2006GRC 2" xfId="1155"/>
    <cellStyle name="_DEM-WP Revised (HC) Wild Horse 2006GRC 2 2" xfId="4530"/>
    <cellStyle name="_DEM-WP Revised (HC) Wild Horse 2006GRC 2 2 2" xfId="20534"/>
    <cellStyle name="_DEM-WP Revised (HC) Wild Horse 2006GRC 2 3" xfId="16402"/>
    <cellStyle name="_DEM-WP Revised (HC) Wild Horse 2006GRC 3" xfId="4529"/>
    <cellStyle name="_DEM-WP Revised (HC) Wild Horse 2006GRC 3 2" xfId="20535"/>
    <cellStyle name="_DEM-WP Revised (HC) Wild Horse 2006GRC 4" xfId="16401"/>
    <cellStyle name="_DEM-WP Revised (HC) Wild Horse 2006GRC_16.37E Wild Horse Expansion DeferralRevwrkingfile SF" xfId="1156"/>
    <cellStyle name="_DEM-WP Revised (HC) Wild Horse 2006GRC_16.37E Wild Horse Expansion DeferralRevwrkingfile SF 2" xfId="1157"/>
    <cellStyle name="_DEM-WP Revised (HC) Wild Horse 2006GRC_16.37E Wild Horse Expansion DeferralRevwrkingfile SF 2 2" xfId="4532"/>
    <cellStyle name="_DEM-WP Revised (HC) Wild Horse 2006GRC_16.37E Wild Horse Expansion DeferralRevwrkingfile SF 2 2 2" xfId="20536"/>
    <cellStyle name="_DEM-WP Revised (HC) Wild Horse 2006GRC_16.37E Wild Horse Expansion DeferralRevwrkingfile SF 2 3" xfId="16404"/>
    <cellStyle name="_DEM-WP Revised (HC) Wild Horse 2006GRC_16.37E Wild Horse Expansion DeferralRevwrkingfile SF 3" xfId="4531"/>
    <cellStyle name="_DEM-WP Revised (HC) Wild Horse 2006GRC_16.37E Wild Horse Expansion DeferralRevwrkingfile SF 3 2" xfId="20537"/>
    <cellStyle name="_DEM-WP Revised (HC) Wild Horse 2006GRC_16.37E Wild Horse Expansion DeferralRevwrkingfile SF 4" xfId="16403"/>
    <cellStyle name="_DEM-WP Revised (HC) Wild Horse 2006GRC_16.37E Wild Horse Expansion DeferralRevwrkingfile SF_DEM-WP(C) ENERG10C--ctn Mid-C_042010 2010GRC" xfId="12497"/>
    <cellStyle name="_DEM-WP Revised (HC) Wild Horse 2006GRC_2009 GRC Compl Filing - Exhibit D" xfId="1158"/>
    <cellStyle name="_DEM-WP Revised (HC) Wild Horse 2006GRC_2009 GRC Compl Filing - Exhibit D 2" xfId="1159"/>
    <cellStyle name="_DEM-WP Revised (HC) Wild Horse 2006GRC_2009 GRC Compl Filing - Exhibit D 2 2" xfId="4534"/>
    <cellStyle name="_DEM-WP Revised (HC) Wild Horse 2006GRC_2009 GRC Compl Filing - Exhibit D 3" xfId="4533"/>
    <cellStyle name="_DEM-WP Revised (HC) Wild Horse 2006GRC_2009 GRC Compl Filing - Exhibit D_DEM-WP(C) ENERG10C--ctn Mid-C_042010 2010GRC" xfId="12498"/>
    <cellStyle name="_DEM-WP Revised (HC) Wild Horse 2006GRC_Adj Bench DR 3 for Initial Briefs (Electric)" xfId="1160"/>
    <cellStyle name="_DEM-WP Revised (HC) Wild Horse 2006GRC_Adj Bench DR 3 for Initial Briefs (Electric) 2" xfId="1161"/>
    <cellStyle name="_DEM-WP Revised (HC) Wild Horse 2006GRC_Adj Bench DR 3 for Initial Briefs (Electric) 2 2" xfId="4536"/>
    <cellStyle name="_DEM-WP Revised (HC) Wild Horse 2006GRC_Adj Bench DR 3 for Initial Briefs (Electric) 2 2 2" xfId="20538"/>
    <cellStyle name="_DEM-WP Revised (HC) Wild Horse 2006GRC_Adj Bench DR 3 for Initial Briefs (Electric) 2 3" xfId="16406"/>
    <cellStyle name="_DEM-WP Revised (HC) Wild Horse 2006GRC_Adj Bench DR 3 for Initial Briefs (Electric) 3" xfId="4535"/>
    <cellStyle name="_DEM-WP Revised (HC) Wild Horse 2006GRC_Adj Bench DR 3 for Initial Briefs (Electric) 3 2" xfId="20539"/>
    <cellStyle name="_DEM-WP Revised (HC) Wild Horse 2006GRC_Adj Bench DR 3 for Initial Briefs (Electric) 4" xfId="16405"/>
    <cellStyle name="_DEM-WP Revised (HC) Wild Horse 2006GRC_Adj Bench DR 3 for Initial Briefs (Electric)_DEM-WP(C) ENERG10C--ctn Mid-C_042010 2010GRC" xfId="12499"/>
    <cellStyle name="_DEM-WP Revised (HC) Wild Horse 2006GRC_Book1" xfId="14256"/>
    <cellStyle name="_DEM-WP Revised (HC) Wild Horse 2006GRC_Book2" xfId="1162"/>
    <cellStyle name="_DEM-WP Revised (HC) Wild Horse 2006GRC_Book2 2" xfId="1163"/>
    <cellStyle name="_DEM-WP Revised (HC) Wild Horse 2006GRC_Book2 2 2" xfId="4538"/>
    <cellStyle name="_DEM-WP Revised (HC) Wild Horse 2006GRC_Book2 2 2 2" xfId="20540"/>
    <cellStyle name="_DEM-WP Revised (HC) Wild Horse 2006GRC_Book2 2 3" xfId="16408"/>
    <cellStyle name="_DEM-WP Revised (HC) Wild Horse 2006GRC_Book2 3" xfId="4537"/>
    <cellStyle name="_DEM-WP Revised (HC) Wild Horse 2006GRC_Book2 3 2" xfId="20541"/>
    <cellStyle name="_DEM-WP Revised (HC) Wild Horse 2006GRC_Book2 4" xfId="16407"/>
    <cellStyle name="_DEM-WP Revised (HC) Wild Horse 2006GRC_Book2_DEM-WP(C) ENERG10C--ctn Mid-C_042010 2010GRC" xfId="12500"/>
    <cellStyle name="_DEM-WP Revised (HC) Wild Horse 2006GRC_Book4" xfId="1164"/>
    <cellStyle name="_DEM-WP Revised (HC) Wild Horse 2006GRC_Book4 2" xfId="1165"/>
    <cellStyle name="_DEM-WP Revised (HC) Wild Horse 2006GRC_Book4 2 2" xfId="4540"/>
    <cellStyle name="_DEM-WP Revised (HC) Wild Horse 2006GRC_Book4 2 2 2" xfId="20542"/>
    <cellStyle name="_DEM-WP Revised (HC) Wild Horse 2006GRC_Book4 2 3" xfId="16410"/>
    <cellStyle name="_DEM-WP Revised (HC) Wild Horse 2006GRC_Book4 3" xfId="4539"/>
    <cellStyle name="_DEM-WP Revised (HC) Wild Horse 2006GRC_Book4 3 2" xfId="20543"/>
    <cellStyle name="_DEM-WP Revised (HC) Wild Horse 2006GRC_Book4 4" xfId="16409"/>
    <cellStyle name="_DEM-WP Revised (HC) Wild Horse 2006GRC_Book4_DEM-WP(C) ENERG10C--ctn Mid-C_042010 2010GRC" xfId="12501"/>
    <cellStyle name="_DEM-WP Revised (HC) Wild Horse 2006GRC_DEM-WP(C) ENERG10C--ctn Mid-C_042010 2010GRC" xfId="12502"/>
    <cellStyle name="_DEM-WP Revised (HC) Wild Horse 2006GRC_Electric Rev Req Model (2009 GRC) " xfId="1166"/>
    <cellStyle name="_DEM-WP Revised (HC) Wild Horse 2006GRC_Electric Rev Req Model (2009 GRC)  2" xfId="1167"/>
    <cellStyle name="_DEM-WP Revised (HC) Wild Horse 2006GRC_Electric Rev Req Model (2009 GRC)  2 2" xfId="4542"/>
    <cellStyle name="_DEM-WP Revised (HC) Wild Horse 2006GRC_Electric Rev Req Model (2009 GRC)  2 2 2" xfId="20544"/>
    <cellStyle name="_DEM-WP Revised (HC) Wild Horse 2006GRC_Electric Rev Req Model (2009 GRC)  2 3" xfId="16412"/>
    <cellStyle name="_DEM-WP Revised (HC) Wild Horse 2006GRC_Electric Rev Req Model (2009 GRC)  3" xfId="4541"/>
    <cellStyle name="_DEM-WP Revised (HC) Wild Horse 2006GRC_Electric Rev Req Model (2009 GRC)  3 2" xfId="20545"/>
    <cellStyle name="_DEM-WP Revised (HC) Wild Horse 2006GRC_Electric Rev Req Model (2009 GRC)  4" xfId="16411"/>
    <cellStyle name="_DEM-WP Revised (HC) Wild Horse 2006GRC_Electric Rev Req Model (2009 GRC) _DEM-WP(C) ENERG10C--ctn Mid-C_042010 2010GRC" xfId="12503"/>
    <cellStyle name="_DEM-WP Revised (HC) Wild Horse 2006GRC_Electric Rev Req Model (2009 GRC) Rebuttal" xfId="1168"/>
    <cellStyle name="_DEM-WP Revised (HC) Wild Horse 2006GRC_Electric Rev Req Model (2009 GRC) Rebuttal 2" xfId="4543"/>
    <cellStyle name="_DEM-WP Revised (HC) Wild Horse 2006GRC_Electric Rev Req Model (2009 GRC) Rebuttal 2 2" xfId="7143"/>
    <cellStyle name="_DEM-WP Revised (HC) Wild Horse 2006GRC_Electric Rev Req Model (2009 GRC) Rebuttal 2 2 2" xfId="20546"/>
    <cellStyle name="_DEM-WP Revised (HC) Wild Horse 2006GRC_Electric Rev Req Model (2009 GRC) Rebuttal 2 3" xfId="18406"/>
    <cellStyle name="_DEM-WP Revised (HC) Wild Horse 2006GRC_Electric Rev Req Model (2009 GRC) Rebuttal 3" xfId="7144"/>
    <cellStyle name="_DEM-WP Revised (HC) Wild Horse 2006GRC_Electric Rev Req Model (2009 GRC) Rebuttal 3 2" xfId="20547"/>
    <cellStyle name="_DEM-WP Revised (HC) Wild Horse 2006GRC_Electric Rev Req Model (2009 GRC) Rebuttal 4" xfId="16413"/>
    <cellStyle name="_DEM-WP Revised (HC) Wild Horse 2006GRC_Electric Rev Req Model (2009 GRC) Rebuttal REmoval of New  WH Solar AdjustMI" xfId="1169"/>
    <cellStyle name="_DEM-WP Revised (HC) Wild Horse 2006GRC_Electric Rev Req Model (2009 GRC) Rebuttal REmoval of New  WH Solar AdjustMI 2" xfId="1170"/>
    <cellStyle name="_DEM-WP Revised (HC) Wild Horse 2006GRC_Electric Rev Req Model (2009 GRC) Rebuttal REmoval of New  WH Solar AdjustMI 2 2" xfId="4545"/>
    <cellStyle name="_DEM-WP Revised (HC) Wild Horse 2006GRC_Electric Rev Req Model (2009 GRC) Rebuttal REmoval of New  WH Solar AdjustMI 2 2 2" xfId="20548"/>
    <cellStyle name="_DEM-WP Revised (HC) Wild Horse 2006GRC_Electric Rev Req Model (2009 GRC) Rebuttal REmoval of New  WH Solar AdjustMI 2 3" xfId="16415"/>
    <cellStyle name="_DEM-WP Revised (HC) Wild Horse 2006GRC_Electric Rev Req Model (2009 GRC) Rebuttal REmoval of New  WH Solar AdjustMI 3" xfId="4544"/>
    <cellStyle name="_DEM-WP Revised (HC) Wild Horse 2006GRC_Electric Rev Req Model (2009 GRC) Rebuttal REmoval of New  WH Solar AdjustMI 3 2" xfId="20549"/>
    <cellStyle name="_DEM-WP Revised (HC) Wild Horse 2006GRC_Electric Rev Req Model (2009 GRC) Rebuttal REmoval of New  WH Solar AdjustMI 4" xfId="16414"/>
    <cellStyle name="_DEM-WP Revised (HC) Wild Horse 2006GRC_Electric Rev Req Model (2009 GRC) Rebuttal REmoval of New  WH Solar AdjustMI_DEM-WP(C) ENERG10C--ctn Mid-C_042010 2010GRC" xfId="12504"/>
    <cellStyle name="_DEM-WP Revised (HC) Wild Horse 2006GRC_Electric Rev Req Model (2009 GRC) Revised 01-18-2010" xfId="1171"/>
    <cellStyle name="_DEM-WP Revised (HC) Wild Horse 2006GRC_Electric Rev Req Model (2009 GRC) Revised 01-18-2010 2" xfId="1172"/>
    <cellStyle name="_DEM-WP Revised (HC) Wild Horse 2006GRC_Electric Rev Req Model (2009 GRC) Revised 01-18-2010 2 2" xfId="4547"/>
    <cellStyle name="_DEM-WP Revised (HC) Wild Horse 2006GRC_Electric Rev Req Model (2009 GRC) Revised 01-18-2010 2 2 2" xfId="20550"/>
    <cellStyle name="_DEM-WP Revised (HC) Wild Horse 2006GRC_Electric Rev Req Model (2009 GRC) Revised 01-18-2010 2 3" xfId="16417"/>
    <cellStyle name="_DEM-WP Revised (HC) Wild Horse 2006GRC_Electric Rev Req Model (2009 GRC) Revised 01-18-2010 3" xfId="4546"/>
    <cellStyle name="_DEM-WP Revised (HC) Wild Horse 2006GRC_Electric Rev Req Model (2009 GRC) Revised 01-18-2010 3 2" xfId="20551"/>
    <cellStyle name="_DEM-WP Revised (HC) Wild Horse 2006GRC_Electric Rev Req Model (2009 GRC) Revised 01-18-2010 4" xfId="16416"/>
    <cellStyle name="_DEM-WP Revised (HC) Wild Horse 2006GRC_Electric Rev Req Model (2009 GRC) Revised 01-18-2010_DEM-WP(C) ENERG10C--ctn Mid-C_042010 2010GRC" xfId="12505"/>
    <cellStyle name="_DEM-WP Revised (HC) Wild Horse 2006GRC_Electric Rev Req Model (2010 GRC)" xfId="14257"/>
    <cellStyle name="_DEM-WP Revised (HC) Wild Horse 2006GRC_Electric Rev Req Model (2010 GRC) SF" xfId="14258"/>
    <cellStyle name="_DEM-WP Revised (HC) Wild Horse 2006GRC_Final Order Electric EXHIBIT A-1" xfId="1173"/>
    <cellStyle name="_DEM-WP Revised (HC) Wild Horse 2006GRC_Final Order Electric EXHIBIT A-1 2" xfId="4548"/>
    <cellStyle name="_DEM-WP Revised (HC) Wild Horse 2006GRC_Final Order Electric EXHIBIT A-1 2 2" xfId="7145"/>
    <cellStyle name="_DEM-WP Revised (HC) Wild Horse 2006GRC_Final Order Electric EXHIBIT A-1 2 2 2" xfId="20552"/>
    <cellStyle name="_DEM-WP Revised (HC) Wild Horse 2006GRC_Final Order Electric EXHIBIT A-1 2 3" xfId="18407"/>
    <cellStyle name="_DEM-WP Revised (HC) Wild Horse 2006GRC_Final Order Electric EXHIBIT A-1 3" xfId="7146"/>
    <cellStyle name="_DEM-WP Revised (HC) Wild Horse 2006GRC_Final Order Electric EXHIBIT A-1 3 2" xfId="20553"/>
    <cellStyle name="_DEM-WP Revised (HC) Wild Horse 2006GRC_Final Order Electric EXHIBIT A-1 4" xfId="16418"/>
    <cellStyle name="_DEM-WP Revised (HC) Wild Horse 2006GRC_NIM Summary" xfId="1174"/>
    <cellStyle name="_DEM-WP Revised (HC) Wild Horse 2006GRC_NIM Summary 2" xfId="1175"/>
    <cellStyle name="_DEM-WP Revised (HC) Wild Horse 2006GRC_NIM Summary 2 2" xfId="4550"/>
    <cellStyle name="_DEM-WP Revised (HC) Wild Horse 2006GRC_NIM Summary 3" xfId="4549"/>
    <cellStyle name="_DEM-WP Revised (HC) Wild Horse 2006GRC_NIM Summary_DEM-WP(C) ENERG10C--ctn Mid-C_042010 2010GRC" xfId="12506"/>
    <cellStyle name="_DEM-WP Revised (HC) Wild Horse 2006GRC_Power Costs - Comparison bx Rbtl-Staff-Jt-PC" xfId="1176"/>
    <cellStyle name="_DEM-WP Revised (HC) Wild Horse 2006GRC_Power Costs - Comparison bx Rbtl-Staff-Jt-PC 2" xfId="1177"/>
    <cellStyle name="_DEM-WP Revised (HC) Wild Horse 2006GRC_Power Costs - Comparison bx Rbtl-Staff-Jt-PC 2 2" xfId="4552"/>
    <cellStyle name="_DEM-WP Revised (HC) Wild Horse 2006GRC_Power Costs - Comparison bx Rbtl-Staff-Jt-PC 2 2 2" xfId="20554"/>
    <cellStyle name="_DEM-WP Revised (HC) Wild Horse 2006GRC_Power Costs - Comparison bx Rbtl-Staff-Jt-PC 2 3" xfId="16420"/>
    <cellStyle name="_DEM-WP Revised (HC) Wild Horse 2006GRC_Power Costs - Comparison bx Rbtl-Staff-Jt-PC 3" xfId="4551"/>
    <cellStyle name="_DEM-WP Revised (HC) Wild Horse 2006GRC_Power Costs - Comparison bx Rbtl-Staff-Jt-PC 3 2" xfId="20555"/>
    <cellStyle name="_DEM-WP Revised (HC) Wild Horse 2006GRC_Power Costs - Comparison bx Rbtl-Staff-Jt-PC 4" xfId="16419"/>
    <cellStyle name="_DEM-WP Revised (HC) Wild Horse 2006GRC_Power Costs - Comparison bx Rbtl-Staff-Jt-PC_DEM-WP(C) ENERG10C--ctn Mid-C_042010 2010GRC" xfId="12507"/>
    <cellStyle name="_DEM-WP Revised (HC) Wild Horse 2006GRC_Rebuttal Power Costs" xfId="1178"/>
    <cellStyle name="_DEM-WP Revised (HC) Wild Horse 2006GRC_Rebuttal Power Costs 2" xfId="1179"/>
    <cellStyle name="_DEM-WP Revised (HC) Wild Horse 2006GRC_Rebuttal Power Costs 2 2" xfId="4554"/>
    <cellStyle name="_DEM-WP Revised (HC) Wild Horse 2006GRC_Rebuttal Power Costs 2 2 2" xfId="20556"/>
    <cellStyle name="_DEM-WP Revised (HC) Wild Horse 2006GRC_Rebuttal Power Costs 2 3" xfId="16422"/>
    <cellStyle name="_DEM-WP Revised (HC) Wild Horse 2006GRC_Rebuttal Power Costs 3" xfId="4553"/>
    <cellStyle name="_DEM-WP Revised (HC) Wild Horse 2006GRC_Rebuttal Power Costs 3 2" xfId="20557"/>
    <cellStyle name="_DEM-WP Revised (HC) Wild Horse 2006GRC_Rebuttal Power Costs 4" xfId="16421"/>
    <cellStyle name="_DEM-WP Revised (HC) Wild Horse 2006GRC_Rebuttal Power Costs_DEM-WP(C) ENERG10C--ctn Mid-C_042010 2010GRC" xfId="12508"/>
    <cellStyle name="_DEM-WP Revised (HC) Wild Horse 2006GRC_TENASKA REGULATORY ASSET" xfId="1180"/>
    <cellStyle name="_DEM-WP Revised (HC) Wild Horse 2006GRC_TENASKA REGULATORY ASSET 2" xfId="4555"/>
    <cellStyle name="_DEM-WP Revised (HC) Wild Horse 2006GRC_TENASKA REGULATORY ASSET 2 2" xfId="7147"/>
    <cellStyle name="_DEM-WP Revised (HC) Wild Horse 2006GRC_TENASKA REGULATORY ASSET 2 2 2" xfId="20558"/>
    <cellStyle name="_DEM-WP Revised (HC) Wild Horse 2006GRC_TENASKA REGULATORY ASSET 2 3" xfId="18408"/>
    <cellStyle name="_DEM-WP Revised (HC) Wild Horse 2006GRC_TENASKA REGULATORY ASSET 3" xfId="7148"/>
    <cellStyle name="_DEM-WP Revised (HC) Wild Horse 2006GRC_TENASKA REGULATORY ASSET 3 2" xfId="20559"/>
    <cellStyle name="_DEM-WP Revised (HC) Wild Horse 2006GRC_TENASKA REGULATORY ASSET 4" xfId="16423"/>
    <cellStyle name="_x0013__DEM-WP(C) Colstrip 12 Coal Cost Forecast 2010GRC" xfId="12509"/>
    <cellStyle name="_x0013__DEM-WP(C) Colstrip 12 Coal Cost Forecast 2010GRC 2" xfId="23879"/>
    <cellStyle name="_DEM-WP(C) Colstrip FOR" xfId="1181"/>
    <cellStyle name="_DEM-WP(C) Colstrip FOR 2" xfId="1182"/>
    <cellStyle name="_DEM-WP(C) Colstrip FOR 2 2" xfId="4557"/>
    <cellStyle name="_DEM-WP(C) Colstrip FOR 2 2 2" xfId="20560"/>
    <cellStyle name="_DEM-WP(C) Colstrip FOR 2 3" xfId="16425"/>
    <cellStyle name="_DEM-WP(C) Colstrip FOR 3" xfId="4556"/>
    <cellStyle name="_DEM-WP(C) Colstrip FOR 3 2" xfId="20561"/>
    <cellStyle name="_DEM-WP(C) Colstrip FOR 4" xfId="16424"/>
    <cellStyle name="_DEM-WP(C) Colstrip FOR 4 2" xfId="23880"/>
    <cellStyle name="_DEM-WP(C) Colstrip FOR 5" xfId="23881"/>
    <cellStyle name="_DEM-WP(C) Colstrip FOR 5 2" xfId="23882"/>
    <cellStyle name="_DEM-WP(C) Colstrip FOR 6" xfId="23883"/>
    <cellStyle name="_DEM-WP(C) Colstrip FOR 6 2" xfId="23884"/>
    <cellStyle name="_DEM-WP(C) Colstrip FOR Apr08 update" xfId="14119"/>
    <cellStyle name="_DEM-WP(C) Colstrip FOR_(C) WHE Proforma with ITC cash grant 10 Yr Amort_for rebuttal_120709" xfId="1183"/>
    <cellStyle name="_DEM-WP(C) Colstrip FOR_(C) WHE Proforma with ITC cash grant 10 Yr Amort_for rebuttal_120709 2" xfId="1184"/>
    <cellStyle name="_DEM-WP(C) Colstrip FOR_(C) WHE Proforma with ITC cash grant 10 Yr Amort_for rebuttal_120709 2 2" xfId="4558"/>
    <cellStyle name="_DEM-WP(C) Colstrip FOR_(C) WHE Proforma with ITC cash grant 10 Yr Amort_for rebuttal_120709 2 2 2" xfId="20562"/>
    <cellStyle name="_DEM-WP(C) Colstrip FOR_(C) WHE Proforma with ITC cash grant 10 Yr Amort_for rebuttal_120709 2 3" xfId="16427"/>
    <cellStyle name="_DEM-WP(C) Colstrip FOR_(C) WHE Proforma with ITC cash grant 10 Yr Amort_for rebuttal_120709 3" xfId="7149"/>
    <cellStyle name="_DEM-WP(C) Colstrip FOR_(C) WHE Proforma with ITC cash grant 10 Yr Amort_for rebuttal_120709 3 2" xfId="20563"/>
    <cellStyle name="_DEM-WP(C) Colstrip FOR_(C) WHE Proforma with ITC cash grant 10 Yr Amort_for rebuttal_120709 4" xfId="16426"/>
    <cellStyle name="_DEM-WP(C) Colstrip FOR_(C) WHE Proforma with ITC cash grant 10 Yr Amort_for rebuttal_120709_DEM-WP(C) ENERG10C--ctn Mid-C_042010 2010GRC" xfId="12510"/>
    <cellStyle name="_DEM-WP(C) Colstrip FOR_16.07E Wild Horse Wind Expansionwrkingfile" xfId="1185"/>
    <cellStyle name="_DEM-WP(C) Colstrip FOR_16.07E Wild Horse Wind Expansionwrkingfile 2" xfId="1186"/>
    <cellStyle name="_DEM-WP(C) Colstrip FOR_16.07E Wild Horse Wind Expansionwrkingfile 2 2" xfId="4560"/>
    <cellStyle name="_DEM-WP(C) Colstrip FOR_16.07E Wild Horse Wind Expansionwrkingfile 2 2 2" xfId="20564"/>
    <cellStyle name="_DEM-WP(C) Colstrip FOR_16.07E Wild Horse Wind Expansionwrkingfile 2 3" xfId="16429"/>
    <cellStyle name="_DEM-WP(C) Colstrip FOR_16.07E Wild Horse Wind Expansionwrkingfile 3" xfId="4559"/>
    <cellStyle name="_DEM-WP(C) Colstrip FOR_16.07E Wild Horse Wind Expansionwrkingfile 3 2" xfId="20565"/>
    <cellStyle name="_DEM-WP(C) Colstrip FOR_16.07E Wild Horse Wind Expansionwrkingfile 4" xfId="16428"/>
    <cellStyle name="_DEM-WP(C) Colstrip FOR_16.07E Wild Horse Wind Expansionwrkingfile SF" xfId="1187"/>
    <cellStyle name="_DEM-WP(C) Colstrip FOR_16.07E Wild Horse Wind Expansionwrkingfile SF 2" xfId="1188"/>
    <cellStyle name="_DEM-WP(C) Colstrip FOR_16.07E Wild Horse Wind Expansionwrkingfile SF 2 2" xfId="4562"/>
    <cellStyle name="_DEM-WP(C) Colstrip FOR_16.07E Wild Horse Wind Expansionwrkingfile SF 2 2 2" xfId="20566"/>
    <cellStyle name="_DEM-WP(C) Colstrip FOR_16.07E Wild Horse Wind Expansionwrkingfile SF 2 3" xfId="16431"/>
    <cellStyle name="_DEM-WP(C) Colstrip FOR_16.07E Wild Horse Wind Expansionwrkingfile SF 3" xfId="4561"/>
    <cellStyle name="_DEM-WP(C) Colstrip FOR_16.07E Wild Horse Wind Expansionwrkingfile SF 3 2" xfId="20567"/>
    <cellStyle name="_DEM-WP(C) Colstrip FOR_16.07E Wild Horse Wind Expansionwrkingfile SF 4" xfId="16430"/>
    <cellStyle name="_DEM-WP(C) Colstrip FOR_16.07E Wild Horse Wind Expansionwrkingfile SF_DEM-WP(C) ENERG10C--ctn Mid-C_042010 2010GRC" xfId="12511"/>
    <cellStyle name="_DEM-WP(C) Colstrip FOR_16.07E Wild Horse Wind Expansionwrkingfile_DEM-WP(C) ENERG10C--ctn Mid-C_042010 2010GRC" xfId="12512"/>
    <cellStyle name="_DEM-WP(C) Colstrip FOR_16.37E Wild Horse Expansion DeferralRevwrkingfile SF" xfId="1189"/>
    <cellStyle name="_DEM-WP(C) Colstrip FOR_16.37E Wild Horse Expansion DeferralRevwrkingfile SF 2" xfId="1190"/>
    <cellStyle name="_DEM-WP(C) Colstrip FOR_16.37E Wild Horse Expansion DeferralRevwrkingfile SF 2 2" xfId="4564"/>
    <cellStyle name="_DEM-WP(C) Colstrip FOR_16.37E Wild Horse Expansion DeferralRevwrkingfile SF 2 2 2" xfId="20568"/>
    <cellStyle name="_DEM-WP(C) Colstrip FOR_16.37E Wild Horse Expansion DeferralRevwrkingfile SF 2 3" xfId="16433"/>
    <cellStyle name="_DEM-WP(C) Colstrip FOR_16.37E Wild Horse Expansion DeferralRevwrkingfile SF 3" xfId="4563"/>
    <cellStyle name="_DEM-WP(C) Colstrip FOR_16.37E Wild Horse Expansion DeferralRevwrkingfile SF 3 2" xfId="20569"/>
    <cellStyle name="_DEM-WP(C) Colstrip FOR_16.37E Wild Horse Expansion DeferralRevwrkingfile SF 4" xfId="16432"/>
    <cellStyle name="_DEM-WP(C) Colstrip FOR_16.37E Wild Horse Expansion DeferralRevwrkingfile SF_DEM-WP(C) ENERG10C--ctn Mid-C_042010 2010GRC" xfId="12513"/>
    <cellStyle name="_DEM-WP(C) Colstrip FOR_Adj Bench DR 3 for Initial Briefs (Electric)" xfId="1191"/>
    <cellStyle name="_DEM-WP(C) Colstrip FOR_Adj Bench DR 3 for Initial Briefs (Electric) 2" xfId="1192"/>
    <cellStyle name="_DEM-WP(C) Colstrip FOR_Adj Bench DR 3 for Initial Briefs (Electric) 2 2" xfId="4566"/>
    <cellStyle name="_DEM-WP(C) Colstrip FOR_Adj Bench DR 3 for Initial Briefs (Electric) 2 2 2" xfId="20570"/>
    <cellStyle name="_DEM-WP(C) Colstrip FOR_Adj Bench DR 3 for Initial Briefs (Electric) 2 3" xfId="16435"/>
    <cellStyle name="_DEM-WP(C) Colstrip FOR_Adj Bench DR 3 for Initial Briefs (Electric) 3" xfId="4565"/>
    <cellStyle name="_DEM-WP(C) Colstrip FOR_Adj Bench DR 3 for Initial Briefs (Electric) 3 2" xfId="20571"/>
    <cellStyle name="_DEM-WP(C) Colstrip FOR_Adj Bench DR 3 for Initial Briefs (Electric) 4" xfId="16434"/>
    <cellStyle name="_DEM-WP(C) Colstrip FOR_Adj Bench DR 3 for Initial Briefs (Electric)_DEM-WP(C) ENERG10C--ctn Mid-C_042010 2010GRC" xfId="12514"/>
    <cellStyle name="_DEM-WP(C) Colstrip FOR_Book2" xfId="1193"/>
    <cellStyle name="_DEM-WP(C) Colstrip FOR_Book2 2" xfId="1194"/>
    <cellStyle name="_DEM-WP(C) Colstrip FOR_Book2 2 2" xfId="4568"/>
    <cellStyle name="_DEM-WP(C) Colstrip FOR_Book2 2 2 2" xfId="20572"/>
    <cellStyle name="_DEM-WP(C) Colstrip FOR_Book2 2 3" xfId="16437"/>
    <cellStyle name="_DEM-WP(C) Colstrip FOR_Book2 3" xfId="4567"/>
    <cellStyle name="_DEM-WP(C) Colstrip FOR_Book2 3 2" xfId="20573"/>
    <cellStyle name="_DEM-WP(C) Colstrip FOR_Book2 4" xfId="16436"/>
    <cellStyle name="_DEM-WP(C) Colstrip FOR_Book2_Adj Bench DR 3 for Initial Briefs (Electric)" xfId="1195"/>
    <cellStyle name="_DEM-WP(C) Colstrip FOR_Book2_Adj Bench DR 3 for Initial Briefs (Electric) 2" xfId="1196"/>
    <cellStyle name="_DEM-WP(C) Colstrip FOR_Book2_Adj Bench DR 3 for Initial Briefs (Electric) 2 2" xfId="4570"/>
    <cellStyle name="_DEM-WP(C) Colstrip FOR_Book2_Adj Bench DR 3 for Initial Briefs (Electric) 2 2 2" xfId="20574"/>
    <cellStyle name="_DEM-WP(C) Colstrip FOR_Book2_Adj Bench DR 3 for Initial Briefs (Electric) 2 3" xfId="16439"/>
    <cellStyle name="_DEM-WP(C) Colstrip FOR_Book2_Adj Bench DR 3 for Initial Briefs (Electric) 3" xfId="4569"/>
    <cellStyle name="_DEM-WP(C) Colstrip FOR_Book2_Adj Bench DR 3 for Initial Briefs (Electric) 3 2" xfId="20575"/>
    <cellStyle name="_DEM-WP(C) Colstrip FOR_Book2_Adj Bench DR 3 for Initial Briefs (Electric) 4" xfId="16438"/>
    <cellStyle name="_DEM-WP(C) Colstrip FOR_Book2_Adj Bench DR 3 for Initial Briefs (Electric)_DEM-WP(C) ENERG10C--ctn Mid-C_042010 2010GRC" xfId="12515"/>
    <cellStyle name="_DEM-WP(C) Colstrip FOR_Book2_DEM-WP(C) ENERG10C--ctn Mid-C_042010 2010GRC" xfId="12516"/>
    <cellStyle name="_DEM-WP(C) Colstrip FOR_Book2_Electric Rev Req Model (2009 GRC) Rebuttal" xfId="1197"/>
    <cellStyle name="_DEM-WP(C) Colstrip FOR_Book2_Electric Rev Req Model (2009 GRC) Rebuttal 2" xfId="4571"/>
    <cellStyle name="_DEM-WP(C) Colstrip FOR_Book2_Electric Rev Req Model (2009 GRC) Rebuttal 2 2" xfId="7150"/>
    <cellStyle name="_DEM-WP(C) Colstrip FOR_Book2_Electric Rev Req Model (2009 GRC) Rebuttal 2 2 2" xfId="20576"/>
    <cellStyle name="_DEM-WP(C) Colstrip FOR_Book2_Electric Rev Req Model (2009 GRC) Rebuttal 2 3" xfId="18409"/>
    <cellStyle name="_DEM-WP(C) Colstrip FOR_Book2_Electric Rev Req Model (2009 GRC) Rebuttal 3" xfId="7151"/>
    <cellStyle name="_DEM-WP(C) Colstrip FOR_Book2_Electric Rev Req Model (2009 GRC) Rebuttal 3 2" xfId="20577"/>
    <cellStyle name="_DEM-WP(C) Colstrip FOR_Book2_Electric Rev Req Model (2009 GRC) Rebuttal 4" xfId="16440"/>
    <cellStyle name="_DEM-WP(C) Colstrip FOR_Book2_Electric Rev Req Model (2009 GRC) Rebuttal REmoval of New  WH Solar AdjustMI" xfId="1198"/>
    <cellStyle name="_DEM-WP(C) Colstrip FOR_Book2_Electric Rev Req Model (2009 GRC) Rebuttal REmoval of New  WH Solar AdjustMI 2" xfId="1199"/>
    <cellStyle name="_DEM-WP(C) Colstrip FOR_Book2_Electric Rev Req Model (2009 GRC) Rebuttal REmoval of New  WH Solar AdjustMI 2 2" xfId="4573"/>
    <cellStyle name="_DEM-WP(C) Colstrip FOR_Book2_Electric Rev Req Model (2009 GRC) Rebuttal REmoval of New  WH Solar AdjustMI 2 2 2" xfId="20578"/>
    <cellStyle name="_DEM-WP(C) Colstrip FOR_Book2_Electric Rev Req Model (2009 GRC) Rebuttal REmoval of New  WH Solar AdjustMI 2 3" xfId="16442"/>
    <cellStyle name="_DEM-WP(C) Colstrip FOR_Book2_Electric Rev Req Model (2009 GRC) Rebuttal REmoval of New  WH Solar AdjustMI 3" xfId="4572"/>
    <cellStyle name="_DEM-WP(C) Colstrip FOR_Book2_Electric Rev Req Model (2009 GRC) Rebuttal REmoval of New  WH Solar AdjustMI 3 2" xfId="20579"/>
    <cellStyle name="_DEM-WP(C) Colstrip FOR_Book2_Electric Rev Req Model (2009 GRC) Rebuttal REmoval of New  WH Solar AdjustMI 4" xfId="16441"/>
    <cellStyle name="_DEM-WP(C) Colstrip FOR_Book2_Electric Rev Req Model (2009 GRC) Rebuttal REmoval of New  WH Solar AdjustMI_DEM-WP(C) ENERG10C--ctn Mid-C_042010 2010GRC" xfId="12517"/>
    <cellStyle name="_DEM-WP(C) Colstrip FOR_Book2_Electric Rev Req Model (2009 GRC) Revised 01-18-2010" xfId="1200"/>
    <cellStyle name="_DEM-WP(C) Colstrip FOR_Book2_Electric Rev Req Model (2009 GRC) Revised 01-18-2010 2" xfId="1201"/>
    <cellStyle name="_DEM-WP(C) Colstrip FOR_Book2_Electric Rev Req Model (2009 GRC) Revised 01-18-2010 2 2" xfId="4575"/>
    <cellStyle name="_DEM-WP(C) Colstrip FOR_Book2_Electric Rev Req Model (2009 GRC) Revised 01-18-2010 2 2 2" xfId="20580"/>
    <cellStyle name="_DEM-WP(C) Colstrip FOR_Book2_Electric Rev Req Model (2009 GRC) Revised 01-18-2010 2 3" xfId="16444"/>
    <cellStyle name="_DEM-WP(C) Colstrip FOR_Book2_Electric Rev Req Model (2009 GRC) Revised 01-18-2010 3" xfId="4574"/>
    <cellStyle name="_DEM-WP(C) Colstrip FOR_Book2_Electric Rev Req Model (2009 GRC) Revised 01-18-2010 3 2" xfId="20581"/>
    <cellStyle name="_DEM-WP(C) Colstrip FOR_Book2_Electric Rev Req Model (2009 GRC) Revised 01-18-2010 4" xfId="16443"/>
    <cellStyle name="_DEM-WP(C) Colstrip FOR_Book2_Electric Rev Req Model (2009 GRC) Revised 01-18-2010_DEM-WP(C) ENERG10C--ctn Mid-C_042010 2010GRC" xfId="12518"/>
    <cellStyle name="_DEM-WP(C) Colstrip FOR_Book2_Final Order Electric EXHIBIT A-1" xfId="1202"/>
    <cellStyle name="_DEM-WP(C) Colstrip FOR_Book2_Final Order Electric EXHIBIT A-1 2" xfId="4576"/>
    <cellStyle name="_DEM-WP(C) Colstrip FOR_Book2_Final Order Electric EXHIBIT A-1 2 2" xfId="7152"/>
    <cellStyle name="_DEM-WP(C) Colstrip FOR_Book2_Final Order Electric EXHIBIT A-1 2 2 2" xfId="20582"/>
    <cellStyle name="_DEM-WP(C) Colstrip FOR_Book2_Final Order Electric EXHIBIT A-1 2 3" xfId="18410"/>
    <cellStyle name="_DEM-WP(C) Colstrip FOR_Book2_Final Order Electric EXHIBIT A-1 3" xfId="7153"/>
    <cellStyle name="_DEM-WP(C) Colstrip FOR_Book2_Final Order Electric EXHIBIT A-1 3 2" xfId="20583"/>
    <cellStyle name="_DEM-WP(C) Colstrip FOR_Book2_Final Order Electric EXHIBIT A-1 4" xfId="16445"/>
    <cellStyle name="_DEM-WP(C) Colstrip FOR_Colstrip 1&amp;2 Annual O&amp;M Budgets" xfId="23885"/>
    <cellStyle name="_DEM-WP(C) Colstrip FOR_Confidential Material" xfId="12519"/>
    <cellStyle name="_DEM-WP(C) Colstrip FOR_Confidential Material 2" xfId="23886"/>
    <cellStyle name="_DEM-WP(C) Colstrip FOR_DEM-WP(C) Colstrip 12 Coal Cost Forecast 2010GRC" xfId="12520"/>
    <cellStyle name="_DEM-WP(C) Colstrip FOR_DEM-WP(C) Colstrip 12 Coal Cost Forecast 2010GRC 2" xfId="23887"/>
    <cellStyle name="_DEM-WP(C) Colstrip FOR_DEM-WP(C) ENERG10C--ctn Mid-C_042010 2010GRC" xfId="12521"/>
    <cellStyle name="_DEM-WP(C) Colstrip FOR_DEM-WP(C) Production O&amp;M 2010GRC As-Filed" xfId="12522"/>
    <cellStyle name="_DEM-WP(C) Colstrip FOR_DEM-WP(C) Production O&amp;M 2010GRC As-Filed 2" xfId="12523"/>
    <cellStyle name="_DEM-WP(C) Colstrip FOR_DEM-WP(C) Production O&amp;M 2010GRC As-Filed 2 2" xfId="23888"/>
    <cellStyle name="_DEM-WP(C) Colstrip FOR_DEM-WP(C) Production O&amp;M 2010GRC As-Filed 3" xfId="12524"/>
    <cellStyle name="_DEM-WP(C) Colstrip FOR_DEM-WP(C) Production O&amp;M 2010GRC As-Filed 3 2" xfId="23889"/>
    <cellStyle name="_DEM-WP(C) Colstrip FOR_DEM-WP(C) Production O&amp;M 2010GRC As-Filed 4" xfId="23890"/>
    <cellStyle name="_DEM-WP(C) Colstrip FOR_DEM-WP(C) Production O&amp;M 2010GRC As-Filed 4 2" xfId="23891"/>
    <cellStyle name="_DEM-WP(C) Colstrip FOR_DEM-WP(C) Production O&amp;M 2010GRC As-Filed 5" xfId="23892"/>
    <cellStyle name="_DEM-WP(C) Colstrip FOR_DEM-WP(C) Production O&amp;M 2010GRC As-Filed 5 2" xfId="23893"/>
    <cellStyle name="_DEM-WP(C) Colstrip FOR_DEM-WP(C) Production O&amp;M 2010GRC As-Filed 6" xfId="23894"/>
    <cellStyle name="_DEM-WP(C) Colstrip FOR_DEM-WP(C) Production O&amp;M 2010GRC As-Filed 6 2" xfId="23895"/>
    <cellStyle name="_DEM-WP(C) Colstrip FOR_Electric Rev Req Model (2009 GRC) Rebuttal" xfId="1203"/>
    <cellStyle name="_DEM-WP(C) Colstrip FOR_Electric Rev Req Model (2009 GRC) Rebuttal 2" xfId="4577"/>
    <cellStyle name="_DEM-WP(C) Colstrip FOR_Electric Rev Req Model (2009 GRC) Rebuttal 2 2" xfId="7154"/>
    <cellStyle name="_DEM-WP(C) Colstrip FOR_Electric Rev Req Model (2009 GRC) Rebuttal 2 2 2" xfId="20584"/>
    <cellStyle name="_DEM-WP(C) Colstrip FOR_Electric Rev Req Model (2009 GRC) Rebuttal 2 3" xfId="18411"/>
    <cellStyle name="_DEM-WP(C) Colstrip FOR_Electric Rev Req Model (2009 GRC) Rebuttal 3" xfId="7155"/>
    <cellStyle name="_DEM-WP(C) Colstrip FOR_Electric Rev Req Model (2009 GRC) Rebuttal 3 2" xfId="20585"/>
    <cellStyle name="_DEM-WP(C) Colstrip FOR_Electric Rev Req Model (2009 GRC) Rebuttal 4" xfId="16446"/>
    <cellStyle name="_DEM-WP(C) Colstrip FOR_Electric Rev Req Model (2009 GRC) Rebuttal REmoval of New  WH Solar AdjustMI" xfId="1204"/>
    <cellStyle name="_DEM-WP(C) Colstrip FOR_Electric Rev Req Model (2009 GRC) Rebuttal REmoval of New  WH Solar AdjustMI 2" xfId="1205"/>
    <cellStyle name="_DEM-WP(C) Colstrip FOR_Electric Rev Req Model (2009 GRC) Rebuttal REmoval of New  WH Solar AdjustMI 2 2" xfId="4579"/>
    <cellStyle name="_DEM-WP(C) Colstrip FOR_Electric Rev Req Model (2009 GRC) Rebuttal REmoval of New  WH Solar AdjustMI 2 2 2" xfId="20586"/>
    <cellStyle name="_DEM-WP(C) Colstrip FOR_Electric Rev Req Model (2009 GRC) Rebuttal REmoval of New  WH Solar AdjustMI 2 3" xfId="16448"/>
    <cellStyle name="_DEM-WP(C) Colstrip FOR_Electric Rev Req Model (2009 GRC) Rebuttal REmoval of New  WH Solar AdjustMI 3" xfId="4578"/>
    <cellStyle name="_DEM-WP(C) Colstrip FOR_Electric Rev Req Model (2009 GRC) Rebuttal REmoval of New  WH Solar AdjustMI 3 2" xfId="20587"/>
    <cellStyle name="_DEM-WP(C) Colstrip FOR_Electric Rev Req Model (2009 GRC) Rebuttal REmoval of New  WH Solar AdjustMI 4" xfId="16447"/>
    <cellStyle name="_DEM-WP(C) Colstrip FOR_Electric Rev Req Model (2009 GRC) Rebuttal REmoval of New  WH Solar AdjustMI_DEM-WP(C) ENERG10C--ctn Mid-C_042010 2010GRC" xfId="12525"/>
    <cellStyle name="_DEM-WP(C) Colstrip FOR_Electric Rev Req Model (2009 GRC) Revised 01-18-2010" xfId="1206"/>
    <cellStyle name="_DEM-WP(C) Colstrip FOR_Electric Rev Req Model (2009 GRC) Revised 01-18-2010 2" xfId="1207"/>
    <cellStyle name="_DEM-WP(C) Colstrip FOR_Electric Rev Req Model (2009 GRC) Revised 01-18-2010 2 2" xfId="4581"/>
    <cellStyle name="_DEM-WP(C) Colstrip FOR_Electric Rev Req Model (2009 GRC) Revised 01-18-2010 2 2 2" xfId="20588"/>
    <cellStyle name="_DEM-WP(C) Colstrip FOR_Electric Rev Req Model (2009 GRC) Revised 01-18-2010 2 3" xfId="16450"/>
    <cellStyle name="_DEM-WP(C) Colstrip FOR_Electric Rev Req Model (2009 GRC) Revised 01-18-2010 3" xfId="4580"/>
    <cellStyle name="_DEM-WP(C) Colstrip FOR_Electric Rev Req Model (2009 GRC) Revised 01-18-2010 3 2" xfId="20589"/>
    <cellStyle name="_DEM-WP(C) Colstrip FOR_Electric Rev Req Model (2009 GRC) Revised 01-18-2010 4" xfId="16449"/>
    <cellStyle name="_DEM-WP(C) Colstrip FOR_Electric Rev Req Model (2009 GRC) Revised 01-18-2010_DEM-WP(C) ENERG10C--ctn Mid-C_042010 2010GRC" xfId="12526"/>
    <cellStyle name="_DEM-WP(C) Colstrip FOR_Final Order Electric EXHIBIT A-1" xfId="1208"/>
    <cellStyle name="_DEM-WP(C) Colstrip FOR_Final Order Electric EXHIBIT A-1 2" xfId="4582"/>
    <cellStyle name="_DEM-WP(C) Colstrip FOR_Final Order Electric EXHIBIT A-1 2 2" xfId="7156"/>
    <cellStyle name="_DEM-WP(C) Colstrip FOR_Final Order Electric EXHIBIT A-1 2 2 2" xfId="20590"/>
    <cellStyle name="_DEM-WP(C) Colstrip FOR_Final Order Electric EXHIBIT A-1 2 3" xfId="18412"/>
    <cellStyle name="_DEM-WP(C) Colstrip FOR_Final Order Electric EXHIBIT A-1 3" xfId="7157"/>
    <cellStyle name="_DEM-WP(C) Colstrip FOR_Final Order Electric EXHIBIT A-1 3 2" xfId="20591"/>
    <cellStyle name="_DEM-WP(C) Colstrip FOR_Final Order Electric EXHIBIT A-1 4" xfId="16451"/>
    <cellStyle name="_DEM-WP(C) Colstrip FOR_Rebuttal Power Costs" xfId="1209"/>
    <cellStyle name="_DEM-WP(C) Colstrip FOR_Rebuttal Power Costs 2" xfId="1210"/>
    <cellStyle name="_DEM-WP(C) Colstrip FOR_Rebuttal Power Costs 2 2" xfId="4584"/>
    <cellStyle name="_DEM-WP(C) Colstrip FOR_Rebuttal Power Costs 2 2 2" xfId="20592"/>
    <cellStyle name="_DEM-WP(C) Colstrip FOR_Rebuttal Power Costs 2 3" xfId="16453"/>
    <cellStyle name="_DEM-WP(C) Colstrip FOR_Rebuttal Power Costs 3" xfId="4583"/>
    <cellStyle name="_DEM-WP(C) Colstrip FOR_Rebuttal Power Costs 3 2" xfId="20593"/>
    <cellStyle name="_DEM-WP(C) Colstrip FOR_Rebuttal Power Costs 4" xfId="16452"/>
    <cellStyle name="_DEM-WP(C) Colstrip FOR_Rebuttal Power Costs_Adj Bench DR 3 for Initial Briefs (Electric)" xfId="1211"/>
    <cellStyle name="_DEM-WP(C) Colstrip FOR_Rebuttal Power Costs_Adj Bench DR 3 for Initial Briefs (Electric) 2" xfId="1212"/>
    <cellStyle name="_DEM-WP(C) Colstrip FOR_Rebuttal Power Costs_Adj Bench DR 3 for Initial Briefs (Electric) 2 2" xfId="4586"/>
    <cellStyle name="_DEM-WP(C) Colstrip FOR_Rebuttal Power Costs_Adj Bench DR 3 for Initial Briefs (Electric) 2 2 2" xfId="20594"/>
    <cellStyle name="_DEM-WP(C) Colstrip FOR_Rebuttal Power Costs_Adj Bench DR 3 for Initial Briefs (Electric) 2 3" xfId="16455"/>
    <cellStyle name="_DEM-WP(C) Colstrip FOR_Rebuttal Power Costs_Adj Bench DR 3 for Initial Briefs (Electric) 3" xfId="4585"/>
    <cellStyle name="_DEM-WP(C) Colstrip FOR_Rebuttal Power Costs_Adj Bench DR 3 for Initial Briefs (Electric) 3 2" xfId="20595"/>
    <cellStyle name="_DEM-WP(C) Colstrip FOR_Rebuttal Power Costs_Adj Bench DR 3 for Initial Briefs (Electric) 4" xfId="16454"/>
    <cellStyle name="_DEM-WP(C) Colstrip FOR_Rebuttal Power Costs_Adj Bench DR 3 for Initial Briefs (Electric)_DEM-WP(C) ENERG10C--ctn Mid-C_042010 2010GRC" xfId="12527"/>
    <cellStyle name="_DEM-WP(C) Colstrip FOR_Rebuttal Power Costs_DEM-WP(C) ENERG10C--ctn Mid-C_042010 2010GRC" xfId="12528"/>
    <cellStyle name="_DEM-WP(C) Colstrip FOR_Rebuttal Power Costs_Electric Rev Req Model (2009 GRC) Rebuttal" xfId="1213"/>
    <cellStyle name="_DEM-WP(C) Colstrip FOR_Rebuttal Power Costs_Electric Rev Req Model (2009 GRC) Rebuttal 2" xfId="4587"/>
    <cellStyle name="_DEM-WP(C) Colstrip FOR_Rebuttal Power Costs_Electric Rev Req Model (2009 GRC) Rebuttal 2 2" xfId="7158"/>
    <cellStyle name="_DEM-WP(C) Colstrip FOR_Rebuttal Power Costs_Electric Rev Req Model (2009 GRC) Rebuttal 2 2 2" xfId="20596"/>
    <cellStyle name="_DEM-WP(C) Colstrip FOR_Rebuttal Power Costs_Electric Rev Req Model (2009 GRC) Rebuttal 2 3" xfId="18413"/>
    <cellStyle name="_DEM-WP(C) Colstrip FOR_Rebuttal Power Costs_Electric Rev Req Model (2009 GRC) Rebuttal 3" xfId="7159"/>
    <cellStyle name="_DEM-WP(C) Colstrip FOR_Rebuttal Power Costs_Electric Rev Req Model (2009 GRC) Rebuttal 3 2" xfId="20597"/>
    <cellStyle name="_DEM-WP(C) Colstrip FOR_Rebuttal Power Costs_Electric Rev Req Model (2009 GRC) Rebuttal 4" xfId="16456"/>
    <cellStyle name="_DEM-WP(C) Colstrip FOR_Rebuttal Power Costs_Electric Rev Req Model (2009 GRC) Rebuttal REmoval of New  WH Solar AdjustMI" xfId="1214"/>
    <cellStyle name="_DEM-WP(C) Colstrip FOR_Rebuttal Power Costs_Electric Rev Req Model (2009 GRC) Rebuttal REmoval of New  WH Solar AdjustMI 2" xfId="1215"/>
    <cellStyle name="_DEM-WP(C) Colstrip FOR_Rebuttal Power Costs_Electric Rev Req Model (2009 GRC) Rebuttal REmoval of New  WH Solar AdjustMI 2 2" xfId="4589"/>
    <cellStyle name="_DEM-WP(C) Colstrip FOR_Rebuttal Power Costs_Electric Rev Req Model (2009 GRC) Rebuttal REmoval of New  WH Solar AdjustMI 2 2 2" xfId="20598"/>
    <cellStyle name="_DEM-WP(C) Colstrip FOR_Rebuttal Power Costs_Electric Rev Req Model (2009 GRC) Rebuttal REmoval of New  WH Solar AdjustMI 2 3" xfId="16458"/>
    <cellStyle name="_DEM-WP(C) Colstrip FOR_Rebuttal Power Costs_Electric Rev Req Model (2009 GRC) Rebuttal REmoval of New  WH Solar AdjustMI 3" xfId="4588"/>
    <cellStyle name="_DEM-WP(C) Colstrip FOR_Rebuttal Power Costs_Electric Rev Req Model (2009 GRC) Rebuttal REmoval of New  WH Solar AdjustMI 3 2" xfId="20599"/>
    <cellStyle name="_DEM-WP(C) Colstrip FOR_Rebuttal Power Costs_Electric Rev Req Model (2009 GRC) Rebuttal REmoval of New  WH Solar AdjustMI 4" xfId="16457"/>
    <cellStyle name="_DEM-WP(C) Colstrip FOR_Rebuttal Power Costs_Electric Rev Req Model (2009 GRC) Rebuttal REmoval of New  WH Solar AdjustMI_DEM-WP(C) ENERG10C--ctn Mid-C_042010 2010GRC" xfId="12529"/>
    <cellStyle name="_DEM-WP(C) Colstrip FOR_Rebuttal Power Costs_Electric Rev Req Model (2009 GRC) Revised 01-18-2010" xfId="1216"/>
    <cellStyle name="_DEM-WP(C) Colstrip FOR_Rebuttal Power Costs_Electric Rev Req Model (2009 GRC) Revised 01-18-2010 2" xfId="1217"/>
    <cellStyle name="_DEM-WP(C) Colstrip FOR_Rebuttal Power Costs_Electric Rev Req Model (2009 GRC) Revised 01-18-2010 2 2" xfId="4591"/>
    <cellStyle name="_DEM-WP(C) Colstrip FOR_Rebuttal Power Costs_Electric Rev Req Model (2009 GRC) Revised 01-18-2010 2 2 2" xfId="20600"/>
    <cellStyle name="_DEM-WP(C) Colstrip FOR_Rebuttal Power Costs_Electric Rev Req Model (2009 GRC) Revised 01-18-2010 2 3" xfId="16460"/>
    <cellStyle name="_DEM-WP(C) Colstrip FOR_Rebuttal Power Costs_Electric Rev Req Model (2009 GRC) Revised 01-18-2010 3" xfId="4590"/>
    <cellStyle name="_DEM-WP(C) Colstrip FOR_Rebuttal Power Costs_Electric Rev Req Model (2009 GRC) Revised 01-18-2010 3 2" xfId="20601"/>
    <cellStyle name="_DEM-WP(C) Colstrip FOR_Rebuttal Power Costs_Electric Rev Req Model (2009 GRC) Revised 01-18-2010 4" xfId="16459"/>
    <cellStyle name="_DEM-WP(C) Colstrip FOR_Rebuttal Power Costs_Electric Rev Req Model (2009 GRC) Revised 01-18-2010_DEM-WP(C) ENERG10C--ctn Mid-C_042010 2010GRC" xfId="12530"/>
    <cellStyle name="_DEM-WP(C) Colstrip FOR_Rebuttal Power Costs_Final Order Electric EXHIBIT A-1" xfId="1218"/>
    <cellStyle name="_DEM-WP(C) Colstrip FOR_Rebuttal Power Costs_Final Order Electric EXHIBIT A-1 2" xfId="4592"/>
    <cellStyle name="_DEM-WP(C) Colstrip FOR_Rebuttal Power Costs_Final Order Electric EXHIBIT A-1 2 2" xfId="7160"/>
    <cellStyle name="_DEM-WP(C) Colstrip FOR_Rebuttal Power Costs_Final Order Electric EXHIBIT A-1 2 2 2" xfId="20602"/>
    <cellStyle name="_DEM-WP(C) Colstrip FOR_Rebuttal Power Costs_Final Order Electric EXHIBIT A-1 2 3" xfId="18414"/>
    <cellStyle name="_DEM-WP(C) Colstrip FOR_Rebuttal Power Costs_Final Order Electric EXHIBIT A-1 3" xfId="7161"/>
    <cellStyle name="_DEM-WP(C) Colstrip FOR_Rebuttal Power Costs_Final Order Electric EXHIBIT A-1 3 2" xfId="20603"/>
    <cellStyle name="_DEM-WP(C) Colstrip FOR_Rebuttal Power Costs_Final Order Electric EXHIBIT A-1 4" xfId="16461"/>
    <cellStyle name="_DEM-WP(C) Colstrip FOR_TENASKA REGULATORY ASSET" xfId="1219"/>
    <cellStyle name="_DEM-WP(C) Colstrip FOR_TENASKA REGULATORY ASSET 2" xfId="4593"/>
    <cellStyle name="_DEM-WP(C) Colstrip FOR_TENASKA REGULATORY ASSET 2 2" xfId="7162"/>
    <cellStyle name="_DEM-WP(C) Colstrip FOR_TENASKA REGULATORY ASSET 2 2 2" xfId="20604"/>
    <cellStyle name="_DEM-WP(C) Colstrip FOR_TENASKA REGULATORY ASSET 2 3" xfId="18415"/>
    <cellStyle name="_DEM-WP(C) Colstrip FOR_TENASKA REGULATORY ASSET 3" xfId="7163"/>
    <cellStyle name="_DEM-WP(C) Colstrip FOR_TENASKA REGULATORY ASSET 3 2" xfId="20605"/>
    <cellStyle name="_DEM-WP(C) Colstrip FOR_TENASKA REGULATORY ASSET 4" xfId="16462"/>
    <cellStyle name="_DEM-WP(C) Costs not in AURORA 2006GRC" xfId="1220"/>
    <cellStyle name="_DEM-WP(C) Costs not in AURORA 2006GRC 2" xfId="1221"/>
    <cellStyle name="_DEM-WP(C) Costs not in AURORA 2006GRC 2 2" xfId="1222"/>
    <cellStyle name="_DEM-WP(C) Costs not in AURORA 2006GRC 2 2 2" xfId="4595"/>
    <cellStyle name="_DEM-WP(C) Costs not in AURORA 2006GRC 2 2 2 2" xfId="20606"/>
    <cellStyle name="_DEM-WP(C) Costs not in AURORA 2006GRC 2 2 3" xfId="16464"/>
    <cellStyle name="_DEM-WP(C) Costs not in AURORA 2006GRC 2 3" xfId="4594"/>
    <cellStyle name="_DEM-WP(C) Costs not in AURORA 2006GRC 2 3 2" xfId="20607"/>
    <cellStyle name="_DEM-WP(C) Costs not in AURORA 2006GRC 2 4" xfId="16463"/>
    <cellStyle name="_DEM-WP(C) Costs not in AURORA 2006GRC 3" xfId="1223"/>
    <cellStyle name="_DEM-WP(C) Costs not in AURORA 2006GRC 3 2" xfId="4596"/>
    <cellStyle name="_DEM-WP(C) Costs not in AURORA 2006GRC 3 2 2" xfId="20608"/>
    <cellStyle name="_DEM-WP(C) Costs not in AURORA 2006GRC 3 3" xfId="16465"/>
    <cellStyle name="_DEM-WP(C) Costs not in AURORA 2006GRC 4" xfId="1224"/>
    <cellStyle name="_DEM-WP(C) Costs not in AURORA 2006GRC 4 2" xfId="1225"/>
    <cellStyle name="_DEM-WP(C) Costs not in AURORA 2006GRC 4 2 2" xfId="4598"/>
    <cellStyle name="_DEM-WP(C) Costs not in AURORA 2006GRC 4 3" xfId="4597"/>
    <cellStyle name="_DEM-WP(C) Costs not in AURORA 2006GRC 5" xfId="12531"/>
    <cellStyle name="_DEM-WP(C) Costs not in AURORA 2006GRC 5 2" xfId="23896"/>
    <cellStyle name="_DEM-WP(C) Costs not in AURORA 2006GRC 5 2 2" xfId="23897"/>
    <cellStyle name="_DEM-WP(C) Costs not in AURORA 2006GRC 5 3" xfId="23898"/>
    <cellStyle name="_DEM-WP(C) Costs not in AURORA 2006GRC 6" xfId="12532"/>
    <cellStyle name="_DEM-WP(C) Costs not in AURORA 2006GRC 6 2" xfId="12533"/>
    <cellStyle name="_DEM-WP(C) Costs not in AURORA 2006GRC 7" xfId="12534"/>
    <cellStyle name="_DEM-WP(C) Costs not in AURORA 2006GRC 7 2" xfId="12535"/>
    <cellStyle name="_DEM-WP(C) Costs not in AURORA 2006GRC 8" xfId="23899"/>
    <cellStyle name="_DEM-WP(C) Costs not in AURORA 2006GRC 8 2" xfId="23900"/>
    <cellStyle name="_DEM-WP(C) Costs not in AURORA 2006GRC 9" xfId="23901"/>
    <cellStyle name="_DEM-WP(C) Costs not in AURORA 2006GRC 9 2" xfId="23902"/>
    <cellStyle name="_DEM-WP(C) Costs not in AURORA 2006GRC_(C) WHE Proforma with ITC cash grant 10 Yr Amort_for deferral_102809" xfId="1226"/>
    <cellStyle name="_DEM-WP(C) Costs not in AURORA 2006GRC_(C) WHE Proforma with ITC cash grant 10 Yr Amort_for deferral_102809 2" xfId="1227"/>
    <cellStyle name="_DEM-WP(C) Costs not in AURORA 2006GRC_(C) WHE Proforma with ITC cash grant 10 Yr Amort_for deferral_102809 2 2" xfId="4600"/>
    <cellStyle name="_DEM-WP(C) Costs not in AURORA 2006GRC_(C) WHE Proforma with ITC cash grant 10 Yr Amort_for deferral_102809 2 2 2" xfId="20609"/>
    <cellStyle name="_DEM-WP(C) Costs not in AURORA 2006GRC_(C) WHE Proforma with ITC cash grant 10 Yr Amort_for deferral_102809 2 3" xfId="16467"/>
    <cellStyle name="_DEM-WP(C) Costs not in AURORA 2006GRC_(C) WHE Proforma with ITC cash grant 10 Yr Amort_for deferral_102809 3" xfId="4599"/>
    <cellStyle name="_DEM-WP(C) Costs not in AURORA 2006GRC_(C) WHE Proforma with ITC cash grant 10 Yr Amort_for deferral_102809 3 2" xfId="20610"/>
    <cellStyle name="_DEM-WP(C) Costs not in AURORA 2006GRC_(C) WHE Proforma with ITC cash grant 10 Yr Amort_for deferral_102809 4" xfId="16466"/>
    <cellStyle name="_DEM-WP(C) Costs not in AURORA 2006GRC_(C) WHE Proforma with ITC cash grant 10 Yr Amort_for deferral_102809_16.07E Wild Horse Wind Expansionwrkingfile" xfId="1228"/>
    <cellStyle name="_DEM-WP(C) Costs not in AURORA 2006GRC_(C) WHE Proforma with ITC cash grant 10 Yr Amort_for deferral_102809_16.07E Wild Horse Wind Expansionwrkingfile 2" xfId="1229"/>
    <cellStyle name="_DEM-WP(C) Costs not in AURORA 2006GRC_(C) WHE Proforma with ITC cash grant 10 Yr Amort_for deferral_102809_16.07E Wild Horse Wind Expansionwrkingfile 2 2" xfId="4602"/>
    <cellStyle name="_DEM-WP(C) Costs not in AURORA 2006GRC_(C) WHE Proforma with ITC cash grant 10 Yr Amort_for deferral_102809_16.07E Wild Horse Wind Expansionwrkingfile 2 2 2" xfId="20611"/>
    <cellStyle name="_DEM-WP(C) Costs not in AURORA 2006GRC_(C) WHE Proforma with ITC cash grant 10 Yr Amort_for deferral_102809_16.07E Wild Horse Wind Expansionwrkingfile 2 3" xfId="16469"/>
    <cellStyle name="_DEM-WP(C) Costs not in AURORA 2006GRC_(C) WHE Proforma with ITC cash grant 10 Yr Amort_for deferral_102809_16.07E Wild Horse Wind Expansionwrkingfile 3" xfId="4601"/>
    <cellStyle name="_DEM-WP(C) Costs not in AURORA 2006GRC_(C) WHE Proforma with ITC cash grant 10 Yr Amort_for deferral_102809_16.07E Wild Horse Wind Expansionwrkingfile 3 2" xfId="20612"/>
    <cellStyle name="_DEM-WP(C) Costs not in AURORA 2006GRC_(C) WHE Proforma with ITC cash grant 10 Yr Amort_for deferral_102809_16.07E Wild Horse Wind Expansionwrkingfile 4" xfId="16468"/>
    <cellStyle name="_DEM-WP(C) Costs not in AURORA 2006GRC_(C) WHE Proforma with ITC cash grant 10 Yr Amort_for deferral_102809_16.07E Wild Horse Wind Expansionwrkingfile SF" xfId="1230"/>
    <cellStyle name="_DEM-WP(C) Costs not in AURORA 2006GRC_(C) WHE Proforma with ITC cash grant 10 Yr Amort_for deferral_102809_16.07E Wild Horse Wind Expansionwrkingfile SF 2" xfId="1231"/>
    <cellStyle name="_DEM-WP(C) Costs not in AURORA 2006GRC_(C) WHE Proforma with ITC cash grant 10 Yr Amort_for deferral_102809_16.07E Wild Horse Wind Expansionwrkingfile SF 2 2" xfId="4604"/>
    <cellStyle name="_DEM-WP(C) Costs not in AURORA 2006GRC_(C) WHE Proforma with ITC cash grant 10 Yr Amort_for deferral_102809_16.07E Wild Horse Wind Expansionwrkingfile SF 2 2 2" xfId="20613"/>
    <cellStyle name="_DEM-WP(C) Costs not in AURORA 2006GRC_(C) WHE Proforma with ITC cash grant 10 Yr Amort_for deferral_102809_16.07E Wild Horse Wind Expansionwrkingfile SF 2 3" xfId="16471"/>
    <cellStyle name="_DEM-WP(C) Costs not in AURORA 2006GRC_(C) WHE Proforma with ITC cash grant 10 Yr Amort_for deferral_102809_16.07E Wild Horse Wind Expansionwrkingfile SF 3" xfId="4603"/>
    <cellStyle name="_DEM-WP(C) Costs not in AURORA 2006GRC_(C) WHE Proforma with ITC cash grant 10 Yr Amort_for deferral_102809_16.07E Wild Horse Wind Expansionwrkingfile SF 3 2" xfId="20614"/>
    <cellStyle name="_DEM-WP(C) Costs not in AURORA 2006GRC_(C) WHE Proforma with ITC cash grant 10 Yr Amort_for deferral_102809_16.07E Wild Horse Wind Expansionwrkingfile SF 4" xfId="16470"/>
    <cellStyle name="_DEM-WP(C) Costs not in AURORA 2006GRC_(C) WHE Proforma with ITC cash grant 10 Yr Amort_for deferral_102809_16.07E Wild Horse Wind Expansionwrkingfile SF_DEM-WP(C) ENERG10C--ctn Mid-C_042010 2010GRC" xfId="12536"/>
    <cellStyle name="_DEM-WP(C) Costs not in AURORA 2006GRC_(C) WHE Proforma with ITC cash grant 10 Yr Amort_for deferral_102809_16.07E Wild Horse Wind Expansionwrkingfile_DEM-WP(C) ENERG10C--ctn Mid-C_042010 2010GRC" xfId="12537"/>
    <cellStyle name="_DEM-WP(C) Costs not in AURORA 2006GRC_(C) WHE Proforma with ITC cash grant 10 Yr Amort_for deferral_102809_16.37E Wild Horse Expansion DeferralRevwrkingfile SF" xfId="1232"/>
    <cellStyle name="_DEM-WP(C) Costs not in AURORA 2006GRC_(C) WHE Proforma with ITC cash grant 10 Yr Amort_for deferral_102809_16.37E Wild Horse Expansion DeferralRevwrkingfile SF 2" xfId="1233"/>
    <cellStyle name="_DEM-WP(C) Costs not in AURORA 2006GRC_(C) WHE Proforma with ITC cash grant 10 Yr Amort_for deferral_102809_16.37E Wild Horse Expansion DeferralRevwrkingfile SF 2 2" xfId="4606"/>
    <cellStyle name="_DEM-WP(C) Costs not in AURORA 2006GRC_(C) WHE Proforma with ITC cash grant 10 Yr Amort_for deferral_102809_16.37E Wild Horse Expansion DeferralRevwrkingfile SF 2 2 2" xfId="20615"/>
    <cellStyle name="_DEM-WP(C) Costs not in AURORA 2006GRC_(C) WHE Proforma with ITC cash grant 10 Yr Amort_for deferral_102809_16.37E Wild Horse Expansion DeferralRevwrkingfile SF 2 3" xfId="16473"/>
    <cellStyle name="_DEM-WP(C) Costs not in AURORA 2006GRC_(C) WHE Proforma with ITC cash grant 10 Yr Amort_for deferral_102809_16.37E Wild Horse Expansion DeferralRevwrkingfile SF 3" xfId="4605"/>
    <cellStyle name="_DEM-WP(C) Costs not in AURORA 2006GRC_(C) WHE Proforma with ITC cash grant 10 Yr Amort_for deferral_102809_16.37E Wild Horse Expansion DeferralRevwrkingfile SF 3 2" xfId="20616"/>
    <cellStyle name="_DEM-WP(C) Costs not in AURORA 2006GRC_(C) WHE Proforma with ITC cash grant 10 Yr Amort_for deferral_102809_16.37E Wild Horse Expansion DeferralRevwrkingfile SF 4" xfId="16472"/>
    <cellStyle name="_DEM-WP(C) Costs not in AURORA 2006GRC_(C) WHE Proforma with ITC cash grant 10 Yr Amort_for deferral_102809_16.37E Wild Horse Expansion DeferralRevwrkingfile SF_DEM-WP(C) ENERG10C--ctn Mid-C_042010 2010GRC" xfId="12538"/>
    <cellStyle name="_DEM-WP(C) Costs not in AURORA 2006GRC_(C) WHE Proforma with ITC cash grant 10 Yr Amort_for deferral_102809_DEM-WP(C) ENERG10C--ctn Mid-C_042010 2010GRC" xfId="12539"/>
    <cellStyle name="_DEM-WP(C) Costs not in AURORA 2006GRC_(C) WHE Proforma with ITC cash grant 10 Yr Amort_for rebuttal_120709" xfId="1234"/>
    <cellStyle name="_DEM-WP(C) Costs not in AURORA 2006GRC_(C) WHE Proforma with ITC cash grant 10 Yr Amort_for rebuttal_120709 2" xfId="1235"/>
    <cellStyle name="_DEM-WP(C) Costs not in AURORA 2006GRC_(C) WHE Proforma with ITC cash grant 10 Yr Amort_for rebuttal_120709 2 2" xfId="4607"/>
    <cellStyle name="_DEM-WP(C) Costs not in AURORA 2006GRC_(C) WHE Proforma with ITC cash grant 10 Yr Amort_for rebuttal_120709 2 2 2" xfId="20617"/>
    <cellStyle name="_DEM-WP(C) Costs not in AURORA 2006GRC_(C) WHE Proforma with ITC cash grant 10 Yr Amort_for rebuttal_120709 2 3" xfId="16475"/>
    <cellStyle name="_DEM-WP(C) Costs not in AURORA 2006GRC_(C) WHE Proforma with ITC cash grant 10 Yr Amort_for rebuttal_120709 3" xfId="7164"/>
    <cellStyle name="_DEM-WP(C) Costs not in AURORA 2006GRC_(C) WHE Proforma with ITC cash grant 10 Yr Amort_for rebuttal_120709 3 2" xfId="20618"/>
    <cellStyle name="_DEM-WP(C) Costs not in AURORA 2006GRC_(C) WHE Proforma with ITC cash grant 10 Yr Amort_for rebuttal_120709 4" xfId="16474"/>
    <cellStyle name="_DEM-WP(C) Costs not in AURORA 2006GRC_(C) WHE Proforma with ITC cash grant 10 Yr Amort_for rebuttal_120709_DEM-WP(C) ENERG10C--ctn Mid-C_042010 2010GRC" xfId="12540"/>
    <cellStyle name="_DEM-WP(C) Costs not in AURORA 2006GRC_04.07E Wild Horse Wind Expansion" xfId="1236"/>
    <cellStyle name="_DEM-WP(C) Costs not in AURORA 2006GRC_04.07E Wild Horse Wind Expansion 2" xfId="1237"/>
    <cellStyle name="_DEM-WP(C) Costs not in AURORA 2006GRC_04.07E Wild Horse Wind Expansion 2 2" xfId="4609"/>
    <cellStyle name="_DEM-WP(C) Costs not in AURORA 2006GRC_04.07E Wild Horse Wind Expansion 2 2 2" xfId="20619"/>
    <cellStyle name="_DEM-WP(C) Costs not in AURORA 2006GRC_04.07E Wild Horse Wind Expansion 2 3" xfId="16477"/>
    <cellStyle name="_DEM-WP(C) Costs not in AURORA 2006GRC_04.07E Wild Horse Wind Expansion 3" xfId="4608"/>
    <cellStyle name="_DEM-WP(C) Costs not in AURORA 2006GRC_04.07E Wild Horse Wind Expansion 3 2" xfId="20620"/>
    <cellStyle name="_DEM-WP(C) Costs not in AURORA 2006GRC_04.07E Wild Horse Wind Expansion 4" xfId="16476"/>
    <cellStyle name="_DEM-WP(C) Costs not in AURORA 2006GRC_04.07E Wild Horse Wind Expansion_16.07E Wild Horse Wind Expansionwrkingfile" xfId="1238"/>
    <cellStyle name="_DEM-WP(C) Costs not in AURORA 2006GRC_04.07E Wild Horse Wind Expansion_16.07E Wild Horse Wind Expansionwrkingfile 2" xfId="1239"/>
    <cellStyle name="_DEM-WP(C) Costs not in AURORA 2006GRC_04.07E Wild Horse Wind Expansion_16.07E Wild Horse Wind Expansionwrkingfile 2 2" xfId="4611"/>
    <cellStyle name="_DEM-WP(C) Costs not in AURORA 2006GRC_04.07E Wild Horse Wind Expansion_16.07E Wild Horse Wind Expansionwrkingfile 2 2 2" xfId="20621"/>
    <cellStyle name="_DEM-WP(C) Costs not in AURORA 2006GRC_04.07E Wild Horse Wind Expansion_16.07E Wild Horse Wind Expansionwrkingfile 2 3" xfId="16479"/>
    <cellStyle name="_DEM-WP(C) Costs not in AURORA 2006GRC_04.07E Wild Horse Wind Expansion_16.07E Wild Horse Wind Expansionwrkingfile 3" xfId="4610"/>
    <cellStyle name="_DEM-WP(C) Costs not in AURORA 2006GRC_04.07E Wild Horse Wind Expansion_16.07E Wild Horse Wind Expansionwrkingfile 3 2" xfId="20622"/>
    <cellStyle name="_DEM-WP(C) Costs not in AURORA 2006GRC_04.07E Wild Horse Wind Expansion_16.07E Wild Horse Wind Expansionwrkingfile 4" xfId="16478"/>
    <cellStyle name="_DEM-WP(C) Costs not in AURORA 2006GRC_04.07E Wild Horse Wind Expansion_16.07E Wild Horse Wind Expansionwrkingfile SF" xfId="1240"/>
    <cellStyle name="_DEM-WP(C) Costs not in AURORA 2006GRC_04.07E Wild Horse Wind Expansion_16.07E Wild Horse Wind Expansionwrkingfile SF 2" xfId="1241"/>
    <cellStyle name="_DEM-WP(C) Costs not in AURORA 2006GRC_04.07E Wild Horse Wind Expansion_16.07E Wild Horse Wind Expansionwrkingfile SF 2 2" xfId="4613"/>
    <cellStyle name="_DEM-WP(C) Costs not in AURORA 2006GRC_04.07E Wild Horse Wind Expansion_16.07E Wild Horse Wind Expansionwrkingfile SF 2 2 2" xfId="20623"/>
    <cellStyle name="_DEM-WP(C) Costs not in AURORA 2006GRC_04.07E Wild Horse Wind Expansion_16.07E Wild Horse Wind Expansionwrkingfile SF 2 3" xfId="16481"/>
    <cellStyle name="_DEM-WP(C) Costs not in AURORA 2006GRC_04.07E Wild Horse Wind Expansion_16.07E Wild Horse Wind Expansionwrkingfile SF 3" xfId="4612"/>
    <cellStyle name="_DEM-WP(C) Costs not in AURORA 2006GRC_04.07E Wild Horse Wind Expansion_16.07E Wild Horse Wind Expansionwrkingfile SF 3 2" xfId="20624"/>
    <cellStyle name="_DEM-WP(C) Costs not in AURORA 2006GRC_04.07E Wild Horse Wind Expansion_16.07E Wild Horse Wind Expansionwrkingfile SF 4" xfId="16480"/>
    <cellStyle name="_DEM-WP(C) Costs not in AURORA 2006GRC_04.07E Wild Horse Wind Expansion_16.07E Wild Horse Wind Expansionwrkingfile SF_DEM-WP(C) ENERG10C--ctn Mid-C_042010 2010GRC" xfId="12541"/>
    <cellStyle name="_DEM-WP(C) Costs not in AURORA 2006GRC_04.07E Wild Horse Wind Expansion_16.07E Wild Horse Wind Expansionwrkingfile_DEM-WP(C) ENERG10C--ctn Mid-C_042010 2010GRC" xfId="12542"/>
    <cellStyle name="_DEM-WP(C) Costs not in AURORA 2006GRC_04.07E Wild Horse Wind Expansion_16.37E Wild Horse Expansion DeferralRevwrkingfile SF" xfId="1242"/>
    <cellStyle name="_DEM-WP(C) Costs not in AURORA 2006GRC_04.07E Wild Horse Wind Expansion_16.37E Wild Horse Expansion DeferralRevwrkingfile SF 2" xfId="1243"/>
    <cellStyle name="_DEM-WP(C) Costs not in AURORA 2006GRC_04.07E Wild Horse Wind Expansion_16.37E Wild Horse Expansion DeferralRevwrkingfile SF 2 2" xfId="4615"/>
    <cellStyle name="_DEM-WP(C) Costs not in AURORA 2006GRC_04.07E Wild Horse Wind Expansion_16.37E Wild Horse Expansion DeferralRevwrkingfile SF 2 2 2" xfId="20625"/>
    <cellStyle name="_DEM-WP(C) Costs not in AURORA 2006GRC_04.07E Wild Horse Wind Expansion_16.37E Wild Horse Expansion DeferralRevwrkingfile SF 2 3" xfId="16483"/>
    <cellStyle name="_DEM-WP(C) Costs not in AURORA 2006GRC_04.07E Wild Horse Wind Expansion_16.37E Wild Horse Expansion DeferralRevwrkingfile SF 3" xfId="4614"/>
    <cellStyle name="_DEM-WP(C) Costs not in AURORA 2006GRC_04.07E Wild Horse Wind Expansion_16.37E Wild Horse Expansion DeferralRevwrkingfile SF 3 2" xfId="20626"/>
    <cellStyle name="_DEM-WP(C) Costs not in AURORA 2006GRC_04.07E Wild Horse Wind Expansion_16.37E Wild Horse Expansion DeferralRevwrkingfile SF 4" xfId="16482"/>
    <cellStyle name="_DEM-WP(C) Costs not in AURORA 2006GRC_04.07E Wild Horse Wind Expansion_16.37E Wild Horse Expansion DeferralRevwrkingfile SF_DEM-WP(C) ENERG10C--ctn Mid-C_042010 2010GRC" xfId="12543"/>
    <cellStyle name="_DEM-WP(C) Costs not in AURORA 2006GRC_04.07E Wild Horse Wind Expansion_DEM-WP(C) ENERG10C--ctn Mid-C_042010 2010GRC" xfId="12544"/>
    <cellStyle name="_DEM-WP(C) Costs not in AURORA 2006GRC_16.07E Wild Horse Wind Expansionwrkingfile" xfId="1244"/>
    <cellStyle name="_DEM-WP(C) Costs not in AURORA 2006GRC_16.07E Wild Horse Wind Expansionwrkingfile 2" xfId="1245"/>
    <cellStyle name="_DEM-WP(C) Costs not in AURORA 2006GRC_16.07E Wild Horse Wind Expansionwrkingfile 2 2" xfId="4617"/>
    <cellStyle name="_DEM-WP(C) Costs not in AURORA 2006GRC_16.07E Wild Horse Wind Expansionwrkingfile 2 2 2" xfId="20627"/>
    <cellStyle name="_DEM-WP(C) Costs not in AURORA 2006GRC_16.07E Wild Horse Wind Expansionwrkingfile 2 3" xfId="16485"/>
    <cellStyle name="_DEM-WP(C) Costs not in AURORA 2006GRC_16.07E Wild Horse Wind Expansionwrkingfile 3" xfId="4616"/>
    <cellStyle name="_DEM-WP(C) Costs not in AURORA 2006GRC_16.07E Wild Horse Wind Expansionwrkingfile 3 2" xfId="20628"/>
    <cellStyle name="_DEM-WP(C) Costs not in AURORA 2006GRC_16.07E Wild Horse Wind Expansionwrkingfile 4" xfId="16484"/>
    <cellStyle name="_DEM-WP(C) Costs not in AURORA 2006GRC_16.07E Wild Horse Wind Expansionwrkingfile SF" xfId="1246"/>
    <cellStyle name="_DEM-WP(C) Costs not in AURORA 2006GRC_16.07E Wild Horse Wind Expansionwrkingfile SF 2" xfId="1247"/>
    <cellStyle name="_DEM-WP(C) Costs not in AURORA 2006GRC_16.07E Wild Horse Wind Expansionwrkingfile SF 2 2" xfId="4619"/>
    <cellStyle name="_DEM-WP(C) Costs not in AURORA 2006GRC_16.07E Wild Horse Wind Expansionwrkingfile SF 2 2 2" xfId="20629"/>
    <cellStyle name="_DEM-WP(C) Costs not in AURORA 2006GRC_16.07E Wild Horse Wind Expansionwrkingfile SF 2 3" xfId="16487"/>
    <cellStyle name="_DEM-WP(C) Costs not in AURORA 2006GRC_16.07E Wild Horse Wind Expansionwrkingfile SF 3" xfId="4618"/>
    <cellStyle name="_DEM-WP(C) Costs not in AURORA 2006GRC_16.07E Wild Horse Wind Expansionwrkingfile SF 3 2" xfId="20630"/>
    <cellStyle name="_DEM-WP(C) Costs not in AURORA 2006GRC_16.07E Wild Horse Wind Expansionwrkingfile SF 4" xfId="16486"/>
    <cellStyle name="_DEM-WP(C) Costs not in AURORA 2006GRC_16.07E Wild Horse Wind Expansionwrkingfile SF_DEM-WP(C) ENERG10C--ctn Mid-C_042010 2010GRC" xfId="12545"/>
    <cellStyle name="_DEM-WP(C) Costs not in AURORA 2006GRC_16.07E Wild Horse Wind Expansionwrkingfile_DEM-WP(C) ENERG10C--ctn Mid-C_042010 2010GRC" xfId="12546"/>
    <cellStyle name="_DEM-WP(C) Costs not in AURORA 2006GRC_16.37E Wild Horse Expansion DeferralRevwrkingfile SF" xfId="1248"/>
    <cellStyle name="_DEM-WP(C) Costs not in AURORA 2006GRC_16.37E Wild Horse Expansion DeferralRevwrkingfile SF 2" xfId="1249"/>
    <cellStyle name="_DEM-WP(C) Costs not in AURORA 2006GRC_16.37E Wild Horse Expansion DeferralRevwrkingfile SF 2 2" xfId="4621"/>
    <cellStyle name="_DEM-WP(C) Costs not in AURORA 2006GRC_16.37E Wild Horse Expansion DeferralRevwrkingfile SF 2 2 2" xfId="20631"/>
    <cellStyle name="_DEM-WP(C) Costs not in AURORA 2006GRC_16.37E Wild Horse Expansion DeferralRevwrkingfile SF 2 3" xfId="16489"/>
    <cellStyle name="_DEM-WP(C) Costs not in AURORA 2006GRC_16.37E Wild Horse Expansion DeferralRevwrkingfile SF 3" xfId="4620"/>
    <cellStyle name="_DEM-WP(C) Costs not in AURORA 2006GRC_16.37E Wild Horse Expansion DeferralRevwrkingfile SF 3 2" xfId="20632"/>
    <cellStyle name="_DEM-WP(C) Costs not in AURORA 2006GRC_16.37E Wild Horse Expansion DeferralRevwrkingfile SF 4" xfId="16488"/>
    <cellStyle name="_DEM-WP(C) Costs not in AURORA 2006GRC_16.37E Wild Horse Expansion DeferralRevwrkingfile SF_DEM-WP(C) ENERG10C--ctn Mid-C_042010 2010GRC" xfId="12547"/>
    <cellStyle name="_DEM-WP(C) Costs not in AURORA 2006GRC_2009 Compliance Filing PCA Exhibits for GRC" xfId="14120"/>
    <cellStyle name="_DEM-WP(C) Costs not in AURORA 2006GRC_2009 Compliance Filing PCA Exhibits for GRC 2" xfId="14984"/>
    <cellStyle name="_DEM-WP(C) Costs not in AURORA 2006GRC_2009 GRC Compl Filing - Exhibit D" xfId="1250"/>
    <cellStyle name="_DEM-WP(C) Costs not in AURORA 2006GRC_2009 GRC Compl Filing - Exhibit D 2" xfId="1251"/>
    <cellStyle name="_DEM-WP(C) Costs not in AURORA 2006GRC_2009 GRC Compl Filing - Exhibit D 2 2" xfId="4623"/>
    <cellStyle name="_DEM-WP(C) Costs not in AURORA 2006GRC_2009 GRC Compl Filing - Exhibit D 3" xfId="4622"/>
    <cellStyle name="_DEM-WP(C) Costs not in AURORA 2006GRC_2009 GRC Compl Filing - Exhibit D_DEM-WP(C) ENERG10C--ctn Mid-C_042010 2010GRC" xfId="12548"/>
    <cellStyle name="_DEM-WP(C) Costs not in AURORA 2006GRC_3.01 Income Statement" xfId="14121"/>
    <cellStyle name="_DEM-WP(C) Costs not in AURORA 2006GRC_4 31 Regulatory Assets and Liabilities  7 06- Exhibit D" xfId="1252"/>
    <cellStyle name="_DEM-WP(C) Costs not in AURORA 2006GRC_4 31 Regulatory Assets and Liabilities  7 06- Exhibit D 2" xfId="1253"/>
    <cellStyle name="_DEM-WP(C) Costs not in AURORA 2006GRC_4 31 Regulatory Assets and Liabilities  7 06- Exhibit D 2 2" xfId="4625"/>
    <cellStyle name="_DEM-WP(C) Costs not in AURORA 2006GRC_4 31 Regulatory Assets and Liabilities  7 06- Exhibit D 2 2 2" xfId="20633"/>
    <cellStyle name="_DEM-WP(C) Costs not in AURORA 2006GRC_4 31 Regulatory Assets and Liabilities  7 06- Exhibit D 2 3" xfId="16491"/>
    <cellStyle name="_DEM-WP(C) Costs not in AURORA 2006GRC_4 31 Regulatory Assets and Liabilities  7 06- Exhibit D 3" xfId="4624"/>
    <cellStyle name="_DEM-WP(C) Costs not in AURORA 2006GRC_4 31 Regulatory Assets and Liabilities  7 06- Exhibit D 3 2" xfId="20634"/>
    <cellStyle name="_DEM-WP(C) Costs not in AURORA 2006GRC_4 31 Regulatory Assets and Liabilities  7 06- Exhibit D 4" xfId="16490"/>
    <cellStyle name="_DEM-WP(C) Costs not in AURORA 2006GRC_4 31 Regulatory Assets and Liabilities  7 06- Exhibit D_DEM-WP(C) ENERG10C--ctn Mid-C_042010 2010GRC" xfId="12549"/>
    <cellStyle name="_DEM-WP(C) Costs not in AURORA 2006GRC_4 31 Regulatory Assets and Liabilities  7 06- Exhibit D_NIM Summary" xfId="1254"/>
    <cellStyle name="_DEM-WP(C) Costs not in AURORA 2006GRC_4 31 Regulatory Assets and Liabilities  7 06- Exhibit D_NIM Summary 2" xfId="1255"/>
    <cellStyle name="_DEM-WP(C) Costs not in AURORA 2006GRC_4 31 Regulatory Assets and Liabilities  7 06- Exhibit D_NIM Summary 2 2" xfId="4627"/>
    <cellStyle name="_DEM-WP(C) Costs not in AURORA 2006GRC_4 31 Regulatory Assets and Liabilities  7 06- Exhibit D_NIM Summary 3" xfId="4626"/>
    <cellStyle name="_DEM-WP(C) Costs not in AURORA 2006GRC_4 31 Regulatory Assets and Liabilities  7 06- Exhibit D_NIM Summary_DEM-WP(C) ENERG10C--ctn Mid-C_042010 2010GRC" xfId="12550"/>
    <cellStyle name="_DEM-WP(C) Costs not in AURORA 2006GRC_4 31E Reg Asset  Liab and EXH D" xfId="12551"/>
    <cellStyle name="_DEM-WP(C) Costs not in AURORA 2006GRC_4 31E Reg Asset  Liab and EXH D _ Aug 10 Filing (2)" xfId="12552"/>
    <cellStyle name="_DEM-WP(C) Costs not in AURORA 2006GRC_4 31E Reg Asset  Liab and EXH D _ Aug 10 Filing (2) 2" xfId="23903"/>
    <cellStyle name="_DEM-WP(C) Costs not in AURORA 2006GRC_4 31E Reg Asset  Liab and EXH D 10" xfId="23904"/>
    <cellStyle name="_DEM-WP(C) Costs not in AURORA 2006GRC_4 31E Reg Asset  Liab and EXH D 11" xfId="23905"/>
    <cellStyle name="_DEM-WP(C) Costs not in AURORA 2006GRC_4 31E Reg Asset  Liab and EXH D 12" xfId="23906"/>
    <cellStyle name="_DEM-WP(C) Costs not in AURORA 2006GRC_4 31E Reg Asset  Liab and EXH D 13" xfId="23907"/>
    <cellStyle name="_DEM-WP(C) Costs not in AURORA 2006GRC_4 31E Reg Asset  Liab and EXH D 14" xfId="23908"/>
    <cellStyle name="_DEM-WP(C) Costs not in AURORA 2006GRC_4 31E Reg Asset  Liab and EXH D 15" xfId="23909"/>
    <cellStyle name="_DEM-WP(C) Costs not in AURORA 2006GRC_4 31E Reg Asset  Liab and EXH D 16" xfId="23910"/>
    <cellStyle name="_DEM-WP(C) Costs not in AURORA 2006GRC_4 31E Reg Asset  Liab and EXH D 17" xfId="23911"/>
    <cellStyle name="_DEM-WP(C) Costs not in AURORA 2006GRC_4 31E Reg Asset  Liab and EXH D 18" xfId="23912"/>
    <cellStyle name="_DEM-WP(C) Costs not in AURORA 2006GRC_4 31E Reg Asset  Liab and EXH D 19" xfId="23913"/>
    <cellStyle name="_DEM-WP(C) Costs not in AURORA 2006GRC_4 31E Reg Asset  Liab and EXH D 2" xfId="23914"/>
    <cellStyle name="_DEM-WP(C) Costs not in AURORA 2006GRC_4 31E Reg Asset  Liab and EXH D 20" xfId="23915"/>
    <cellStyle name="_DEM-WP(C) Costs not in AURORA 2006GRC_4 31E Reg Asset  Liab and EXH D 21" xfId="23916"/>
    <cellStyle name="_DEM-WP(C) Costs not in AURORA 2006GRC_4 31E Reg Asset  Liab and EXH D 22" xfId="23917"/>
    <cellStyle name="_DEM-WP(C) Costs not in AURORA 2006GRC_4 31E Reg Asset  Liab and EXH D 23" xfId="23918"/>
    <cellStyle name="_DEM-WP(C) Costs not in AURORA 2006GRC_4 31E Reg Asset  Liab and EXH D 24" xfId="23919"/>
    <cellStyle name="_DEM-WP(C) Costs not in AURORA 2006GRC_4 31E Reg Asset  Liab and EXH D 25" xfId="23920"/>
    <cellStyle name="_DEM-WP(C) Costs not in AURORA 2006GRC_4 31E Reg Asset  Liab and EXH D 26" xfId="23921"/>
    <cellStyle name="_DEM-WP(C) Costs not in AURORA 2006GRC_4 31E Reg Asset  Liab and EXH D 27" xfId="23922"/>
    <cellStyle name="_DEM-WP(C) Costs not in AURORA 2006GRC_4 31E Reg Asset  Liab and EXH D 28" xfId="23923"/>
    <cellStyle name="_DEM-WP(C) Costs not in AURORA 2006GRC_4 31E Reg Asset  Liab and EXH D 29" xfId="23924"/>
    <cellStyle name="_DEM-WP(C) Costs not in AURORA 2006GRC_4 31E Reg Asset  Liab and EXH D 3" xfId="23925"/>
    <cellStyle name="_DEM-WP(C) Costs not in AURORA 2006GRC_4 31E Reg Asset  Liab and EXH D 30" xfId="23926"/>
    <cellStyle name="_DEM-WP(C) Costs not in AURORA 2006GRC_4 31E Reg Asset  Liab and EXH D 31" xfId="23927"/>
    <cellStyle name="_DEM-WP(C) Costs not in AURORA 2006GRC_4 31E Reg Asset  Liab and EXH D 32" xfId="23928"/>
    <cellStyle name="_DEM-WP(C) Costs not in AURORA 2006GRC_4 31E Reg Asset  Liab and EXH D 33" xfId="23929"/>
    <cellStyle name="_DEM-WP(C) Costs not in AURORA 2006GRC_4 31E Reg Asset  Liab and EXH D 34" xfId="23930"/>
    <cellStyle name="_DEM-WP(C) Costs not in AURORA 2006GRC_4 31E Reg Asset  Liab and EXH D 35" xfId="23931"/>
    <cellStyle name="_DEM-WP(C) Costs not in AURORA 2006GRC_4 31E Reg Asset  Liab and EXH D 36" xfId="23932"/>
    <cellStyle name="_DEM-WP(C) Costs not in AURORA 2006GRC_4 31E Reg Asset  Liab and EXH D 4" xfId="23933"/>
    <cellStyle name="_DEM-WP(C) Costs not in AURORA 2006GRC_4 31E Reg Asset  Liab and EXH D 5" xfId="23934"/>
    <cellStyle name="_DEM-WP(C) Costs not in AURORA 2006GRC_4 31E Reg Asset  Liab and EXH D 6" xfId="23935"/>
    <cellStyle name="_DEM-WP(C) Costs not in AURORA 2006GRC_4 31E Reg Asset  Liab and EXH D 7" xfId="23936"/>
    <cellStyle name="_DEM-WP(C) Costs not in AURORA 2006GRC_4 31E Reg Asset  Liab and EXH D 8" xfId="23937"/>
    <cellStyle name="_DEM-WP(C) Costs not in AURORA 2006GRC_4 31E Reg Asset  Liab and EXH D 9" xfId="23938"/>
    <cellStyle name="_DEM-WP(C) Costs not in AURORA 2006GRC_4 32 Regulatory Assets and Liabilities  7 06- Exhibit D" xfId="1256"/>
    <cellStyle name="_DEM-WP(C) Costs not in AURORA 2006GRC_4 32 Regulatory Assets and Liabilities  7 06- Exhibit D 2" xfId="1257"/>
    <cellStyle name="_DEM-WP(C) Costs not in AURORA 2006GRC_4 32 Regulatory Assets and Liabilities  7 06- Exhibit D 2 2" xfId="4629"/>
    <cellStyle name="_DEM-WP(C) Costs not in AURORA 2006GRC_4 32 Regulatory Assets and Liabilities  7 06- Exhibit D 2 2 2" xfId="20635"/>
    <cellStyle name="_DEM-WP(C) Costs not in AURORA 2006GRC_4 32 Regulatory Assets and Liabilities  7 06- Exhibit D 2 3" xfId="16494"/>
    <cellStyle name="_DEM-WP(C) Costs not in AURORA 2006GRC_4 32 Regulatory Assets and Liabilities  7 06- Exhibit D 3" xfId="4628"/>
    <cellStyle name="_DEM-WP(C) Costs not in AURORA 2006GRC_4 32 Regulatory Assets and Liabilities  7 06- Exhibit D 3 2" xfId="20636"/>
    <cellStyle name="_DEM-WP(C) Costs not in AURORA 2006GRC_4 32 Regulatory Assets and Liabilities  7 06- Exhibit D 4" xfId="16493"/>
    <cellStyle name="_DEM-WP(C) Costs not in AURORA 2006GRC_4 32 Regulatory Assets and Liabilities  7 06- Exhibit D_DEM-WP(C) ENERG10C--ctn Mid-C_042010 2010GRC" xfId="12553"/>
    <cellStyle name="_DEM-WP(C) Costs not in AURORA 2006GRC_4 32 Regulatory Assets and Liabilities  7 06- Exhibit D_DEM-WP(C) ENERG10C--ctn Mid-C_042010 2010GRC 2" xfId="41142"/>
    <cellStyle name="_DEM-WP(C) Costs not in AURORA 2006GRC_4 32 Regulatory Assets and Liabilities  7 06- Exhibit D_NIM Summary" xfId="1258"/>
    <cellStyle name="_DEM-WP(C) Costs not in AURORA 2006GRC_4 32 Regulatory Assets and Liabilities  7 06- Exhibit D_NIM Summary 2" xfId="1259"/>
    <cellStyle name="_DEM-WP(C) Costs not in AURORA 2006GRC_4 32 Regulatory Assets and Liabilities  7 06- Exhibit D_NIM Summary 2 2" xfId="4631"/>
    <cellStyle name="_DEM-WP(C) Costs not in AURORA 2006GRC_4 32 Regulatory Assets and Liabilities  7 06- Exhibit D_NIM Summary 2 2 2" xfId="41143"/>
    <cellStyle name="_DEM-WP(C) Costs not in AURORA 2006GRC_4 32 Regulatory Assets and Liabilities  7 06- Exhibit D_NIM Summary 2 3" xfId="41144"/>
    <cellStyle name="_DEM-WP(C) Costs not in AURORA 2006GRC_4 32 Regulatory Assets and Liabilities  7 06- Exhibit D_NIM Summary 3" xfId="4630"/>
    <cellStyle name="_DEM-WP(C) Costs not in AURORA 2006GRC_4 32 Regulatory Assets and Liabilities  7 06- Exhibit D_NIM Summary 3 2" xfId="41145"/>
    <cellStyle name="_DEM-WP(C) Costs not in AURORA 2006GRC_4 32 Regulatory Assets and Liabilities  7 06- Exhibit D_NIM Summary 4" xfId="41146"/>
    <cellStyle name="_DEM-WP(C) Costs not in AURORA 2006GRC_4 32 Regulatory Assets and Liabilities  7 06- Exhibit D_NIM Summary_DEM-WP(C) ENERG10C--ctn Mid-C_042010 2010GRC" xfId="12554"/>
    <cellStyle name="_DEM-WP(C) Costs not in AURORA 2006GRC_4 32 Regulatory Assets and Liabilities  7 06- Exhibit D_NIM Summary_DEM-WP(C) ENERG10C--ctn Mid-C_042010 2010GRC 2" xfId="41147"/>
    <cellStyle name="_DEM-WP(C) Costs not in AURORA 2006GRC_AURORA Total New" xfId="1260"/>
    <cellStyle name="_DEM-WP(C) Costs not in AURORA 2006GRC_AURORA Total New 2" xfId="1261"/>
    <cellStyle name="_DEM-WP(C) Costs not in AURORA 2006GRC_AURORA Total New 2 2" xfId="4633"/>
    <cellStyle name="_DEM-WP(C) Costs not in AURORA 2006GRC_AURORA Total New 2 2 2" xfId="41148"/>
    <cellStyle name="_DEM-WP(C) Costs not in AURORA 2006GRC_AURORA Total New 2 3" xfId="41149"/>
    <cellStyle name="_DEM-WP(C) Costs not in AURORA 2006GRC_AURORA Total New 3" xfId="4632"/>
    <cellStyle name="_DEM-WP(C) Costs not in AURORA 2006GRC_AURORA Total New 3 2" xfId="41150"/>
    <cellStyle name="_DEM-WP(C) Costs not in AURORA 2006GRC_AURORA Total New 4" xfId="41151"/>
    <cellStyle name="_DEM-WP(C) Costs not in AURORA 2006GRC_Book2" xfId="1262"/>
    <cellStyle name="_DEM-WP(C) Costs not in AURORA 2006GRC_Book2 2" xfId="1263"/>
    <cellStyle name="_DEM-WP(C) Costs not in AURORA 2006GRC_Book2 2 2" xfId="4635"/>
    <cellStyle name="_DEM-WP(C) Costs not in AURORA 2006GRC_Book2 2 2 2" xfId="20637"/>
    <cellStyle name="_DEM-WP(C) Costs not in AURORA 2006GRC_Book2 2 3" xfId="16496"/>
    <cellStyle name="_DEM-WP(C) Costs not in AURORA 2006GRC_Book2 3" xfId="4634"/>
    <cellStyle name="_DEM-WP(C) Costs not in AURORA 2006GRC_Book2 3 2" xfId="20638"/>
    <cellStyle name="_DEM-WP(C) Costs not in AURORA 2006GRC_Book2 4" xfId="16495"/>
    <cellStyle name="_DEM-WP(C) Costs not in AURORA 2006GRC_Book2_Adj Bench DR 3 for Initial Briefs (Electric)" xfId="1264"/>
    <cellStyle name="_DEM-WP(C) Costs not in AURORA 2006GRC_Book2_Adj Bench DR 3 for Initial Briefs (Electric) 2" xfId="1265"/>
    <cellStyle name="_DEM-WP(C) Costs not in AURORA 2006GRC_Book2_Adj Bench DR 3 for Initial Briefs (Electric) 2 2" xfId="4637"/>
    <cellStyle name="_DEM-WP(C) Costs not in AURORA 2006GRC_Book2_Adj Bench DR 3 for Initial Briefs (Electric) 2 2 2" xfId="20639"/>
    <cellStyle name="_DEM-WP(C) Costs not in AURORA 2006GRC_Book2_Adj Bench DR 3 for Initial Briefs (Electric) 2 3" xfId="16498"/>
    <cellStyle name="_DEM-WP(C) Costs not in AURORA 2006GRC_Book2_Adj Bench DR 3 for Initial Briefs (Electric) 3" xfId="4636"/>
    <cellStyle name="_DEM-WP(C) Costs not in AURORA 2006GRC_Book2_Adj Bench DR 3 for Initial Briefs (Electric) 3 2" xfId="20640"/>
    <cellStyle name="_DEM-WP(C) Costs not in AURORA 2006GRC_Book2_Adj Bench DR 3 for Initial Briefs (Electric) 4" xfId="16497"/>
    <cellStyle name="_DEM-WP(C) Costs not in AURORA 2006GRC_Book2_Adj Bench DR 3 for Initial Briefs (Electric)_DEM-WP(C) ENERG10C--ctn Mid-C_042010 2010GRC" xfId="12555"/>
    <cellStyle name="_DEM-WP(C) Costs not in AURORA 2006GRC_Book2_Adj Bench DR 3 for Initial Briefs (Electric)_DEM-WP(C) ENERG10C--ctn Mid-C_042010 2010GRC 2" xfId="41152"/>
    <cellStyle name="_DEM-WP(C) Costs not in AURORA 2006GRC_Book2_DEM-WP(C) ENERG10C--ctn Mid-C_042010 2010GRC" xfId="12556"/>
    <cellStyle name="_DEM-WP(C) Costs not in AURORA 2006GRC_Book2_DEM-WP(C) ENERG10C--ctn Mid-C_042010 2010GRC 2" xfId="41153"/>
    <cellStyle name="_DEM-WP(C) Costs not in AURORA 2006GRC_Book2_Electric Rev Req Model (2009 GRC) Rebuttal" xfId="1266"/>
    <cellStyle name="_DEM-WP(C) Costs not in AURORA 2006GRC_Book2_Electric Rev Req Model (2009 GRC) Rebuttal 2" xfId="4638"/>
    <cellStyle name="_DEM-WP(C) Costs not in AURORA 2006GRC_Book2_Electric Rev Req Model (2009 GRC) Rebuttal 2 2" xfId="7165"/>
    <cellStyle name="_DEM-WP(C) Costs not in AURORA 2006GRC_Book2_Electric Rev Req Model (2009 GRC) Rebuttal 2 2 2" xfId="20641"/>
    <cellStyle name="_DEM-WP(C) Costs not in AURORA 2006GRC_Book2_Electric Rev Req Model (2009 GRC) Rebuttal 2 3" xfId="18416"/>
    <cellStyle name="_DEM-WP(C) Costs not in AURORA 2006GRC_Book2_Electric Rev Req Model (2009 GRC) Rebuttal 3" xfId="7166"/>
    <cellStyle name="_DEM-WP(C) Costs not in AURORA 2006GRC_Book2_Electric Rev Req Model (2009 GRC) Rebuttal 3 2" xfId="20642"/>
    <cellStyle name="_DEM-WP(C) Costs not in AURORA 2006GRC_Book2_Electric Rev Req Model (2009 GRC) Rebuttal 4" xfId="16499"/>
    <cellStyle name="_DEM-WP(C) Costs not in AURORA 2006GRC_Book2_Electric Rev Req Model (2009 GRC) Rebuttal REmoval of New  WH Solar AdjustMI" xfId="1267"/>
    <cellStyle name="_DEM-WP(C) Costs not in AURORA 2006GRC_Book2_Electric Rev Req Model (2009 GRC) Rebuttal REmoval of New  WH Solar AdjustMI 2" xfId="1268"/>
    <cellStyle name="_DEM-WP(C) Costs not in AURORA 2006GRC_Book2_Electric Rev Req Model (2009 GRC) Rebuttal REmoval of New  WH Solar AdjustMI 2 2" xfId="4640"/>
    <cellStyle name="_DEM-WP(C) Costs not in AURORA 2006GRC_Book2_Electric Rev Req Model (2009 GRC) Rebuttal REmoval of New  WH Solar AdjustMI 2 2 2" xfId="20643"/>
    <cellStyle name="_DEM-WP(C) Costs not in AURORA 2006GRC_Book2_Electric Rev Req Model (2009 GRC) Rebuttal REmoval of New  WH Solar AdjustMI 2 3" xfId="16501"/>
    <cellStyle name="_DEM-WP(C) Costs not in AURORA 2006GRC_Book2_Electric Rev Req Model (2009 GRC) Rebuttal REmoval of New  WH Solar AdjustMI 3" xfId="4639"/>
    <cellStyle name="_DEM-WP(C) Costs not in AURORA 2006GRC_Book2_Electric Rev Req Model (2009 GRC) Rebuttal REmoval of New  WH Solar AdjustMI 3 2" xfId="20644"/>
    <cellStyle name="_DEM-WP(C) Costs not in AURORA 2006GRC_Book2_Electric Rev Req Model (2009 GRC) Rebuttal REmoval of New  WH Solar AdjustMI 4" xfId="16500"/>
    <cellStyle name="_DEM-WP(C) Costs not in AURORA 2006GRC_Book2_Electric Rev Req Model (2009 GRC) Rebuttal REmoval of New  WH Solar AdjustMI_DEM-WP(C) ENERG10C--ctn Mid-C_042010 2010GRC" xfId="12557"/>
    <cellStyle name="_DEM-WP(C) Costs not in AURORA 2006GRC_Book2_Electric Rev Req Model (2009 GRC) Rebuttal REmoval of New  WH Solar AdjustMI_DEM-WP(C) ENERG10C--ctn Mid-C_042010 2010GRC 2" xfId="41154"/>
    <cellStyle name="_DEM-WP(C) Costs not in AURORA 2006GRC_Book2_Electric Rev Req Model (2009 GRC) Revised 01-18-2010" xfId="1269"/>
    <cellStyle name="_DEM-WP(C) Costs not in AURORA 2006GRC_Book2_Electric Rev Req Model (2009 GRC) Revised 01-18-2010 2" xfId="1270"/>
    <cellStyle name="_DEM-WP(C) Costs not in AURORA 2006GRC_Book2_Electric Rev Req Model (2009 GRC) Revised 01-18-2010 2 2" xfId="4642"/>
    <cellStyle name="_DEM-WP(C) Costs not in AURORA 2006GRC_Book2_Electric Rev Req Model (2009 GRC) Revised 01-18-2010 2 2 2" xfId="20645"/>
    <cellStyle name="_DEM-WP(C) Costs not in AURORA 2006GRC_Book2_Electric Rev Req Model (2009 GRC) Revised 01-18-2010 2 3" xfId="16503"/>
    <cellStyle name="_DEM-WP(C) Costs not in AURORA 2006GRC_Book2_Electric Rev Req Model (2009 GRC) Revised 01-18-2010 3" xfId="4641"/>
    <cellStyle name="_DEM-WP(C) Costs not in AURORA 2006GRC_Book2_Electric Rev Req Model (2009 GRC) Revised 01-18-2010 3 2" xfId="20646"/>
    <cellStyle name="_DEM-WP(C) Costs not in AURORA 2006GRC_Book2_Electric Rev Req Model (2009 GRC) Revised 01-18-2010 4" xfId="16502"/>
    <cellStyle name="_DEM-WP(C) Costs not in AURORA 2006GRC_Book2_Electric Rev Req Model (2009 GRC) Revised 01-18-2010_DEM-WP(C) ENERG10C--ctn Mid-C_042010 2010GRC" xfId="12558"/>
    <cellStyle name="_DEM-WP(C) Costs not in AURORA 2006GRC_Book2_Electric Rev Req Model (2009 GRC) Revised 01-18-2010_DEM-WP(C) ENERG10C--ctn Mid-C_042010 2010GRC 2" xfId="41155"/>
    <cellStyle name="_DEM-WP(C) Costs not in AURORA 2006GRC_Book2_Final Order Electric EXHIBIT A-1" xfId="1271"/>
    <cellStyle name="_DEM-WP(C) Costs not in AURORA 2006GRC_Book2_Final Order Electric EXHIBIT A-1 2" xfId="4643"/>
    <cellStyle name="_DEM-WP(C) Costs not in AURORA 2006GRC_Book2_Final Order Electric EXHIBIT A-1 2 2" xfId="7167"/>
    <cellStyle name="_DEM-WP(C) Costs not in AURORA 2006GRC_Book2_Final Order Electric EXHIBIT A-1 2 2 2" xfId="20647"/>
    <cellStyle name="_DEM-WP(C) Costs not in AURORA 2006GRC_Book2_Final Order Electric EXHIBIT A-1 2 3" xfId="18417"/>
    <cellStyle name="_DEM-WP(C) Costs not in AURORA 2006GRC_Book2_Final Order Electric EXHIBIT A-1 3" xfId="7168"/>
    <cellStyle name="_DEM-WP(C) Costs not in AURORA 2006GRC_Book2_Final Order Electric EXHIBIT A-1 3 2" xfId="20648"/>
    <cellStyle name="_DEM-WP(C) Costs not in AURORA 2006GRC_Book2_Final Order Electric EXHIBIT A-1 4" xfId="16504"/>
    <cellStyle name="_DEM-WP(C) Costs not in AURORA 2006GRC_Book4" xfId="1272"/>
    <cellStyle name="_DEM-WP(C) Costs not in AURORA 2006GRC_Book4 2" xfId="1273"/>
    <cellStyle name="_DEM-WP(C) Costs not in AURORA 2006GRC_Book4 2 2" xfId="4645"/>
    <cellStyle name="_DEM-WP(C) Costs not in AURORA 2006GRC_Book4 2 2 2" xfId="20649"/>
    <cellStyle name="_DEM-WP(C) Costs not in AURORA 2006GRC_Book4 2 3" xfId="16506"/>
    <cellStyle name="_DEM-WP(C) Costs not in AURORA 2006GRC_Book4 3" xfId="4644"/>
    <cellStyle name="_DEM-WP(C) Costs not in AURORA 2006GRC_Book4 3 2" xfId="20650"/>
    <cellStyle name="_DEM-WP(C) Costs not in AURORA 2006GRC_Book4 4" xfId="16505"/>
    <cellStyle name="_DEM-WP(C) Costs not in AURORA 2006GRC_Book4_DEM-WP(C) ENERG10C--ctn Mid-C_042010 2010GRC" xfId="12559"/>
    <cellStyle name="_DEM-WP(C) Costs not in AURORA 2006GRC_Book4_DEM-WP(C) ENERG10C--ctn Mid-C_042010 2010GRC 2" xfId="41156"/>
    <cellStyle name="_DEM-WP(C) Costs not in AURORA 2006GRC_Book9" xfId="1274"/>
    <cellStyle name="_DEM-WP(C) Costs not in AURORA 2006GRC_Book9 2" xfId="1275"/>
    <cellStyle name="_DEM-WP(C) Costs not in AURORA 2006GRC_Book9 2 2" xfId="4647"/>
    <cellStyle name="_DEM-WP(C) Costs not in AURORA 2006GRC_Book9 2 2 2" xfId="20651"/>
    <cellStyle name="_DEM-WP(C) Costs not in AURORA 2006GRC_Book9 2 3" xfId="16508"/>
    <cellStyle name="_DEM-WP(C) Costs not in AURORA 2006GRC_Book9 3" xfId="4646"/>
    <cellStyle name="_DEM-WP(C) Costs not in AURORA 2006GRC_Book9 3 2" xfId="20652"/>
    <cellStyle name="_DEM-WP(C) Costs not in AURORA 2006GRC_Book9 4" xfId="16507"/>
    <cellStyle name="_DEM-WP(C) Costs not in AURORA 2006GRC_Book9_DEM-WP(C) ENERG10C--ctn Mid-C_042010 2010GRC" xfId="12560"/>
    <cellStyle name="_DEM-WP(C) Costs not in AURORA 2006GRC_Book9_DEM-WP(C) ENERG10C--ctn Mid-C_042010 2010GRC 2" xfId="41157"/>
    <cellStyle name="_DEM-WP(C) Costs not in AURORA 2006GRC_Chelan PUD Power Costs (8-10)" xfId="12561"/>
    <cellStyle name="_DEM-WP(C) Costs not in AURORA 2006GRC_Chelan PUD Power Costs (8-10) 2" xfId="23939"/>
    <cellStyle name="_DEM-WP(C) Costs not in AURORA 2006GRC_DEM-WP(C) Chelan Power Costs" xfId="12562"/>
    <cellStyle name="_DEM-WP(C) Costs not in AURORA 2006GRC_DEM-WP(C) Chelan Power Costs 2" xfId="23940"/>
    <cellStyle name="_DEM-WP(C) Costs not in AURORA 2006GRC_DEM-WP(C) ENERG10C--ctn Mid-C_042010 2010GRC" xfId="12563"/>
    <cellStyle name="_DEM-WP(C) Costs not in AURORA 2006GRC_DEM-WP(C) ENERG10C--ctn Mid-C_042010 2010GRC 2" xfId="41158"/>
    <cellStyle name="_DEM-WP(C) Costs not in AURORA 2006GRC_DEM-WP(C) Gas Transport 2010GRC" xfId="12564"/>
    <cellStyle name="_DEM-WP(C) Costs not in AURORA 2006GRC_DEM-WP(C) Gas Transport 2010GRC 2" xfId="23941"/>
    <cellStyle name="_DEM-WP(C) Costs not in AURORA 2006GRC_Electric COS Inputs" xfId="7169"/>
    <cellStyle name="_DEM-WP(C) Costs not in AURORA 2006GRC_Electric COS Inputs 2" xfId="7170"/>
    <cellStyle name="_DEM-WP(C) Costs not in AURORA 2006GRC_Electric COS Inputs 2 2" xfId="7171"/>
    <cellStyle name="_DEM-WP(C) Costs not in AURORA 2006GRC_Electric COS Inputs 2 2 2" xfId="7172"/>
    <cellStyle name="_DEM-WP(C) Costs not in AURORA 2006GRC_Electric COS Inputs 2 2 2 2" xfId="20653"/>
    <cellStyle name="_DEM-WP(C) Costs not in AURORA 2006GRC_Electric COS Inputs 2 2 3" xfId="18420"/>
    <cellStyle name="_DEM-WP(C) Costs not in AURORA 2006GRC_Electric COS Inputs 2 3" xfId="7173"/>
    <cellStyle name="_DEM-WP(C) Costs not in AURORA 2006GRC_Electric COS Inputs 2 3 2" xfId="7174"/>
    <cellStyle name="_DEM-WP(C) Costs not in AURORA 2006GRC_Electric COS Inputs 2 3 2 2" xfId="20654"/>
    <cellStyle name="_DEM-WP(C) Costs not in AURORA 2006GRC_Electric COS Inputs 2 3 3" xfId="18421"/>
    <cellStyle name="_DEM-WP(C) Costs not in AURORA 2006GRC_Electric COS Inputs 2 4" xfId="7175"/>
    <cellStyle name="_DEM-WP(C) Costs not in AURORA 2006GRC_Electric COS Inputs 2 4 2" xfId="7176"/>
    <cellStyle name="_DEM-WP(C) Costs not in AURORA 2006GRC_Electric COS Inputs 2 4 2 2" xfId="20655"/>
    <cellStyle name="_DEM-WP(C) Costs not in AURORA 2006GRC_Electric COS Inputs 2 4 3" xfId="18422"/>
    <cellStyle name="_DEM-WP(C) Costs not in AURORA 2006GRC_Electric COS Inputs 2 5" xfId="18419"/>
    <cellStyle name="_DEM-WP(C) Costs not in AURORA 2006GRC_Electric COS Inputs 3" xfId="7177"/>
    <cellStyle name="_DEM-WP(C) Costs not in AURORA 2006GRC_Electric COS Inputs 3 2" xfId="7178"/>
    <cellStyle name="_DEM-WP(C) Costs not in AURORA 2006GRC_Electric COS Inputs 3 2 2" xfId="20656"/>
    <cellStyle name="_DEM-WP(C) Costs not in AURORA 2006GRC_Electric COS Inputs 3 3" xfId="18423"/>
    <cellStyle name="_DEM-WP(C) Costs not in AURORA 2006GRC_Electric COS Inputs 4" xfId="7179"/>
    <cellStyle name="_DEM-WP(C) Costs not in AURORA 2006GRC_Electric COS Inputs 4 2" xfId="7180"/>
    <cellStyle name="_DEM-WP(C) Costs not in AURORA 2006GRC_Electric COS Inputs 4 2 2" xfId="20657"/>
    <cellStyle name="_DEM-WP(C) Costs not in AURORA 2006GRC_Electric COS Inputs 4 3" xfId="18424"/>
    <cellStyle name="_DEM-WP(C) Costs not in AURORA 2006GRC_Electric COS Inputs 5" xfId="7181"/>
    <cellStyle name="_DEM-WP(C) Costs not in AURORA 2006GRC_Electric COS Inputs 5 2" xfId="20658"/>
    <cellStyle name="_DEM-WP(C) Costs not in AURORA 2006GRC_Electric COS Inputs 6" xfId="18418"/>
    <cellStyle name="_DEM-WP(C) Costs not in AURORA 2006GRC_Exh A-1 resulting from UE-112050 effective Jan 1 2012" xfId="14985"/>
    <cellStyle name="_DEM-WP(C) Costs not in AURORA 2006GRC_Exh A-1 resulting from UE-112050 effective Jan 1 2012 2" xfId="41159"/>
    <cellStyle name="_DEM-WP(C) Costs not in AURORA 2006GRC_Exh G - Klamath Peaker PPA fr C Locke 2-12" xfId="14986"/>
    <cellStyle name="_DEM-WP(C) Costs not in AURORA 2006GRC_Exh G - Klamath Peaker PPA fr C Locke 2-12 2" xfId="41160"/>
    <cellStyle name="_DEM-WP(C) Costs not in AURORA 2006GRC_Exhibit A-1 effective 4-1-11 fr S Free 12-11" xfId="14987"/>
    <cellStyle name="_DEM-WP(C) Costs not in AURORA 2006GRC_Exhibit A-1 effective 4-1-11 fr S Free 12-11 2" xfId="41161"/>
    <cellStyle name="_DEM-WP(C) Costs not in AURORA 2006GRC_LSRWEP LGIA like Acctg Petition Aug 2010" xfId="12565"/>
    <cellStyle name="_DEM-WP(C) Costs not in AURORA 2006GRC_LSRWEP LGIA like Acctg Petition Aug 2010 2" xfId="23942"/>
    <cellStyle name="_DEM-WP(C) Costs not in AURORA 2006GRC_Mint Farm Generation BPA" xfId="23943"/>
    <cellStyle name="_DEM-WP(C) Costs not in AURORA 2006GRC_NIM Summary" xfId="1276"/>
    <cellStyle name="_DEM-WP(C) Costs not in AURORA 2006GRC_NIM Summary 09GRC" xfId="1277"/>
    <cellStyle name="_DEM-WP(C) Costs not in AURORA 2006GRC_NIM Summary 09GRC 2" xfId="1278"/>
    <cellStyle name="_DEM-WP(C) Costs not in AURORA 2006GRC_NIM Summary 09GRC 2 2" xfId="4650"/>
    <cellStyle name="_DEM-WP(C) Costs not in AURORA 2006GRC_NIM Summary 09GRC 2 2 2" xfId="41162"/>
    <cellStyle name="_DEM-WP(C) Costs not in AURORA 2006GRC_NIM Summary 09GRC 2 3" xfId="41163"/>
    <cellStyle name="_DEM-WP(C) Costs not in AURORA 2006GRC_NIM Summary 09GRC 3" xfId="4649"/>
    <cellStyle name="_DEM-WP(C) Costs not in AURORA 2006GRC_NIM Summary 09GRC 3 2" xfId="41164"/>
    <cellStyle name="_DEM-WP(C) Costs not in AURORA 2006GRC_NIM Summary 09GRC 4" xfId="41165"/>
    <cellStyle name="_DEM-WP(C) Costs not in AURORA 2006GRC_NIM Summary 09GRC_DEM-WP(C) ENERG10C--ctn Mid-C_042010 2010GRC" xfId="12566"/>
    <cellStyle name="_DEM-WP(C) Costs not in AURORA 2006GRC_NIM Summary 09GRC_DEM-WP(C) ENERG10C--ctn Mid-C_042010 2010GRC 2" xfId="41166"/>
    <cellStyle name="_DEM-WP(C) Costs not in AURORA 2006GRC_NIM Summary 10" xfId="4648"/>
    <cellStyle name="_DEM-WP(C) Costs not in AURORA 2006GRC_NIM Summary 10 2" xfId="41167"/>
    <cellStyle name="_DEM-WP(C) Costs not in AURORA 2006GRC_NIM Summary 11" xfId="6234"/>
    <cellStyle name="_DEM-WP(C) Costs not in AURORA 2006GRC_NIM Summary 11 2" xfId="41168"/>
    <cellStyle name="_DEM-WP(C) Costs not in AURORA 2006GRC_NIM Summary 12" xfId="6253"/>
    <cellStyle name="_DEM-WP(C) Costs not in AURORA 2006GRC_NIM Summary 12 2" xfId="41169"/>
    <cellStyle name="_DEM-WP(C) Costs not in AURORA 2006GRC_NIM Summary 13" xfId="6233"/>
    <cellStyle name="_DEM-WP(C) Costs not in AURORA 2006GRC_NIM Summary 13 2" xfId="41170"/>
    <cellStyle name="_DEM-WP(C) Costs not in AURORA 2006GRC_NIM Summary 14" xfId="6318"/>
    <cellStyle name="_DEM-WP(C) Costs not in AURORA 2006GRC_NIM Summary 14 2" xfId="41171"/>
    <cellStyle name="_DEM-WP(C) Costs not in AURORA 2006GRC_NIM Summary 15" xfId="14988"/>
    <cellStyle name="_DEM-WP(C) Costs not in AURORA 2006GRC_NIM Summary 15 2" xfId="41172"/>
    <cellStyle name="_DEM-WP(C) Costs not in AURORA 2006GRC_NIM Summary 16" xfId="14989"/>
    <cellStyle name="_DEM-WP(C) Costs not in AURORA 2006GRC_NIM Summary 16 2" xfId="41173"/>
    <cellStyle name="_DEM-WP(C) Costs not in AURORA 2006GRC_NIM Summary 17" xfId="14990"/>
    <cellStyle name="_DEM-WP(C) Costs not in AURORA 2006GRC_NIM Summary 17 2" xfId="23944"/>
    <cellStyle name="_DEM-WP(C) Costs not in AURORA 2006GRC_NIM Summary 18" xfId="14991"/>
    <cellStyle name="_DEM-WP(C) Costs not in AURORA 2006GRC_NIM Summary 18 2" xfId="23945"/>
    <cellStyle name="_DEM-WP(C) Costs not in AURORA 2006GRC_NIM Summary 19" xfId="14992"/>
    <cellStyle name="_DEM-WP(C) Costs not in AURORA 2006GRC_NIM Summary 19 2" xfId="23946"/>
    <cellStyle name="_DEM-WP(C) Costs not in AURORA 2006GRC_NIM Summary 2" xfId="1279"/>
    <cellStyle name="_DEM-WP(C) Costs not in AURORA 2006GRC_NIM Summary 2 2" xfId="4651"/>
    <cellStyle name="_DEM-WP(C) Costs not in AURORA 2006GRC_NIM Summary 2 2 2" xfId="23947"/>
    <cellStyle name="_DEM-WP(C) Costs not in AURORA 2006GRC_NIM Summary 2 3" xfId="23948"/>
    <cellStyle name="_DEM-WP(C) Costs not in AURORA 2006GRC_NIM Summary 20" xfId="14993"/>
    <cellStyle name="_DEM-WP(C) Costs not in AURORA 2006GRC_NIM Summary 20 2" xfId="23949"/>
    <cellStyle name="_DEM-WP(C) Costs not in AURORA 2006GRC_NIM Summary 21" xfId="14994"/>
    <cellStyle name="_DEM-WP(C) Costs not in AURORA 2006GRC_NIM Summary 21 2" xfId="23950"/>
    <cellStyle name="_DEM-WP(C) Costs not in AURORA 2006GRC_NIM Summary 22" xfId="14995"/>
    <cellStyle name="_DEM-WP(C) Costs not in AURORA 2006GRC_NIM Summary 22 2" xfId="23951"/>
    <cellStyle name="_DEM-WP(C) Costs not in AURORA 2006GRC_NIM Summary 23" xfId="14996"/>
    <cellStyle name="_DEM-WP(C) Costs not in AURORA 2006GRC_NIM Summary 23 2" xfId="23952"/>
    <cellStyle name="_DEM-WP(C) Costs not in AURORA 2006GRC_NIM Summary 24" xfId="14997"/>
    <cellStyle name="_DEM-WP(C) Costs not in AURORA 2006GRC_NIM Summary 24 2" xfId="23953"/>
    <cellStyle name="_DEM-WP(C) Costs not in AURORA 2006GRC_NIM Summary 25" xfId="14998"/>
    <cellStyle name="_DEM-WP(C) Costs not in AURORA 2006GRC_NIM Summary 25 2" xfId="23954"/>
    <cellStyle name="_DEM-WP(C) Costs not in AURORA 2006GRC_NIM Summary 26" xfId="14999"/>
    <cellStyle name="_DEM-WP(C) Costs not in AURORA 2006GRC_NIM Summary 26 2" xfId="23955"/>
    <cellStyle name="_DEM-WP(C) Costs not in AURORA 2006GRC_NIM Summary 27" xfId="15000"/>
    <cellStyle name="_DEM-WP(C) Costs not in AURORA 2006GRC_NIM Summary 27 2" xfId="23956"/>
    <cellStyle name="_DEM-WP(C) Costs not in AURORA 2006GRC_NIM Summary 28" xfId="15001"/>
    <cellStyle name="_DEM-WP(C) Costs not in AURORA 2006GRC_NIM Summary 28 2" xfId="23957"/>
    <cellStyle name="_DEM-WP(C) Costs not in AURORA 2006GRC_NIM Summary 29" xfId="15002"/>
    <cellStyle name="_DEM-WP(C) Costs not in AURORA 2006GRC_NIM Summary 29 2" xfId="23958"/>
    <cellStyle name="_DEM-WP(C) Costs not in AURORA 2006GRC_NIM Summary 3" xfId="1280"/>
    <cellStyle name="_DEM-WP(C) Costs not in AURORA 2006GRC_NIM Summary 3 2" xfId="4652"/>
    <cellStyle name="_DEM-WP(C) Costs not in AURORA 2006GRC_NIM Summary 30" xfId="15003"/>
    <cellStyle name="_DEM-WP(C) Costs not in AURORA 2006GRC_NIM Summary 30 2" xfId="23959"/>
    <cellStyle name="_DEM-WP(C) Costs not in AURORA 2006GRC_NIM Summary 31" xfId="15004"/>
    <cellStyle name="_DEM-WP(C) Costs not in AURORA 2006GRC_NIM Summary 31 2" xfId="23960"/>
    <cellStyle name="_DEM-WP(C) Costs not in AURORA 2006GRC_NIM Summary 32" xfId="15005"/>
    <cellStyle name="_DEM-WP(C) Costs not in AURORA 2006GRC_NIM Summary 32 2" xfId="23961"/>
    <cellStyle name="_DEM-WP(C) Costs not in AURORA 2006GRC_NIM Summary 33" xfId="15006"/>
    <cellStyle name="_DEM-WP(C) Costs not in AURORA 2006GRC_NIM Summary 33 2" xfId="41174"/>
    <cellStyle name="_DEM-WP(C) Costs not in AURORA 2006GRC_NIM Summary 34" xfId="15007"/>
    <cellStyle name="_DEM-WP(C) Costs not in AURORA 2006GRC_NIM Summary 34 2" xfId="41175"/>
    <cellStyle name="_DEM-WP(C) Costs not in AURORA 2006GRC_NIM Summary 35" xfId="15008"/>
    <cellStyle name="_DEM-WP(C) Costs not in AURORA 2006GRC_NIM Summary 35 2" xfId="41176"/>
    <cellStyle name="_DEM-WP(C) Costs not in AURORA 2006GRC_NIM Summary 36" xfId="15009"/>
    <cellStyle name="_DEM-WP(C) Costs not in AURORA 2006GRC_NIM Summary 36 2" xfId="41177"/>
    <cellStyle name="_DEM-WP(C) Costs not in AURORA 2006GRC_NIM Summary 37" xfId="15010"/>
    <cellStyle name="_DEM-WP(C) Costs not in AURORA 2006GRC_NIM Summary 37 2" xfId="41178"/>
    <cellStyle name="_DEM-WP(C) Costs not in AURORA 2006GRC_NIM Summary 38" xfId="15011"/>
    <cellStyle name="_DEM-WP(C) Costs not in AURORA 2006GRC_NIM Summary 38 2" xfId="41179"/>
    <cellStyle name="_DEM-WP(C) Costs not in AURORA 2006GRC_NIM Summary 39" xfId="15012"/>
    <cellStyle name="_DEM-WP(C) Costs not in AURORA 2006GRC_NIM Summary 39 2" xfId="41180"/>
    <cellStyle name="_DEM-WP(C) Costs not in AURORA 2006GRC_NIM Summary 4" xfId="1281"/>
    <cellStyle name="_DEM-WP(C) Costs not in AURORA 2006GRC_NIM Summary 4 2" xfId="4653"/>
    <cellStyle name="_DEM-WP(C) Costs not in AURORA 2006GRC_NIM Summary 40" xfId="15013"/>
    <cellStyle name="_DEM-WP(C) Costs not in AURORA 2006GRC_NIM Summary 40 2" xfId="41181"/>
    <cellStyle name="_DEM-WP(C) Costs not in AURORA 2006GRC_NIM Summary 41" xfId="15014"/>
    <cellStyle name="_DEM-WP(C) Costs not in AURORA 2006GRC_NIM Summary 41 2" xfId="41182"/>
    <cellStyle name="_DEM-WP(C) Costs not in AURORA 2006GRC_NIM Summary 42" xfId="16509"/>
    <cellStyle name="_DEM-WP(C) Costs not in AURORA 2006GRC_NIM Summary 42 2" xfId="41183"/>
    <cellStyle name="_DEM-WP(C) Costs not in AURORA 2006GRC_NIM Summary 43" xfId="22319"/>
    <cellStyle name="_DEM-WP(C) Costs not in AURORA 2006GRC_NIM Summary 43 2" xfId="41184"/>
    <cellStyle name="_DEM-WP(C) Costs not in AURORA 2006GRC_NIM Summary 44" xfId="23962"/>
    <cellStyle name="_DEM-WP(C) Costs not in AURORA 2006GRC_NIM Summary 44 2" xfId="41185"/>
    <cellStyle name="_DEM-WP(C) Costs not in AURORA 2006GRC_NIM Summary 45" xfId="23963"/>
    <cellStyle name="_DEM-WP(C) Costs not in AURORA 2006GRC_NIM Summary 45 2" xfId="41186"/>
    <cellStyle name="_DEM-WP(C) Costs not in AURORA 2006GRC_NIM Summary 46" xfId="23964"/>
    <cellStyle name="_DEM-WP(C) Costs not in AURORA 2006GRC_NIM Summary 46 2" xfId="41187"/>
    <cellStyle name="_DEM-WP(C) Costs not in AURORA 2006GRC_NIM Summary 47" xfId="23965"/>
    <cellStyle name="_DEM-WP(C) Costs not in AURORA 2006GRC_NIM Summary 47 2" xfId="41188"/>
    <cellStyle name="_DEM-WP(C) Costs not in AURORA 2006GRC_NIM Summary 48" xfId="23966"/>
    <cellStyle name="_DEM-WP(C) Costs not in AURORA 2006GRC_NIM Summary 49" xfId="23967"/>
    <cellStyle name="_DEM-WP(C) Costs not in AURORA 2006GRC_NIM Summary 5" xfId="1282"/>
    <cellStyle name="_DEM-WP(C) Costs not in AURORA 2006GRC_NIM Summary 5 2" xfId="4654"/>
    <cellStyle name="_DEM-WP(C) Costs not in AURORA 2006GRC_NIM Summary 50" xfId="23968"/>
    <cellStyle name="_DEM-WP(C) Costs not in AURORA 2006GRC_NIM Summary 51" xfId="41189"/>
    <cellStyle name="_DEM-WP(C) Costs not in AURORA 2006GRC_NIM Summary 52" xfId="7182"/>
    <cellStyle name="_DEM-WP(C) Costs not in AURORA 2006GRC_NIM Summary 6" xfId="1283"/>
    <cellStyle name="_DEM-WP(C) Costs not in AURORA 2006GRC_NIM Summary 6 2" xfId="4655"/>
    <cellStyle name="_DEM-WP(C) Costs not in AURORA 2006GRC_NIM Summary 7" xfId="1284"/>
    <cellStyle name="_DEM-WP(C) Costs not in AURORA 2006GRC_NIM Summary 7 2" xfId="4656"/>
    <cellStyle name="_DEM-WP(C) Costs not in AURORA 2006GRC_NIM Summary 8" xfId="1285"/>
    <cellStyle name="_DEM-WP(C) Costs not in AURORA 2006GRC_NIM Summary 8 2" xfId="4657"/>
    <cellStyle name="_DEM-WP(C) Costs not in AURORA 2006GRC_NIM Summary 9" xfId="1286"/>
    <cellStyle name="_DEM-WP(C) Costs not in AURORA 2006GRC_NIM Summary 9 2" xfId="4658"/>
    <cellStyle name="_DEM-WP(C) Costs not in AURORA 2006GRC_NIM Summary_DEM-WP(C) ENERG10C--ctn Mid-C_042010 2010GRC" xfId="12567"/>
    <cellStyle name="_DEM-WP(C) Costs not in AURORA 2006GRC_NIM Summary_DEM-WP(C) ENERG10C--ctn Mid-C_042010 2010GRC 2" xfId="41190"/>
    <cellStyle name="_DEM-WP(C) Costs not in AURORA 2006GRC_PCA 10 -  Exhibit D Dec 2011" xfId="15015"/>
    <cellStyle name="_DEM-WP(C) Costs not in AURORA 2006GRC_PCA 10 -  Exhibit D Dec 2011 2" xfId="41191"/>
    <cellStyle name="_DEM-WP(C) Costs not in AURORA 2006GRC_PCA 10 -  Exhibit D from A Kellogg Jan 2011" xfId="14122"/>
    <cellStyle name="_DEM-WP(C) Costs not in AURORA 2006GRC_PCA 10 -  Exhibit D from A Kellogg Jan 2011 2" xfId="41192"/>
    <cellStyle name="_DEM-WP(C) Costs not in AURORA 2006GRC_PCA 10 -  Exhibit D from A Kellogg July 2011" xfId="14123"/>
    <cellStyle name="_DEM-WP(C) Costs not in AURORA 2006GRC_PCA 10 -  Exhibit D from A Kellogg July 2011 2" xfId="41193"/>
    <cellStyle name="_DEM-WP(C) Costs not in AURORA 2006GRC_PCA 10 -  Exhibit D from S Free Rcv'd 12-11" xfId="14124"/>
    <cellStyle name="_DEM-WP(C) Costs not in AURORA 2006GRC_PCA 10 -  Exhibit D from S Free Rcv'd 12-11 2" xfId="41194"/>
    <cellStyle name="_DEM-WP(C) Costs not in AURORA 2006GRC_PCA 11 -  Exhibit D Jan 2012 fr A Kellogg" xfId="15016"/>
    <cellStyle name="_DEM-WP(C) Costs not in AURORA 2006GRC_PCA 11 -  Exhibit D Jan 2012 fr A Kellogg 2" xfId="41195"/>
    <cellStyle name="_DEM-WP(C) Costs not in AURORA 2006GRC_PCA 11 -  Exhibit D Jan 2012 WF" xfId="15017"/>
    <cellStyle name="_DEM-WP(C) Costs not in AURORA 2006GRC_PCA 11 -  Exhibit D Jan 2012 WF 2" xfId="41196"/>
    <cellStyle name="_DEM-WP(C) Costs not in AURORA 2006GRC_PCA 9 -  Exhibit D April 2010" xfId="14125"/>
    <cellStyle name="_DEM-WP(C) Costs not in AURORA 2006GRC_PCA 9 -  Exhibit D April 2010 (3)" xfId="1287"/>
    <cellStyle name="_DEM-WP(C) Costs not in AURORA 2006GRC_PCA 9 -  Exhibit D April 2010 (3) 2" xfId="1288"/>
    <cellStyle name="_DEM-WP(C) Costs not in AURORA 2006GRC_PCA 9 -  Exhibit D April 2010 (3) 2 2" xfId="4660"/>
    <cellStyle name="_DEM-WP(C) Costs not in AURORA 2006GRC_PCA 9 -  Exhibit D April 2010 (3) 2 2 2" xfId="23969"/>
    <cellStyle name="_DEM-WP(C) Costs not in AURORA 2006GRC_PCA 9 -  Exhibit D April 2010 (3) 2 3" xfId="23970"/>
    <cellStyle name="_DEM-WP(C) Costs not in AURORA 2006GRC_PCA 9 -  Exhibit D April 2010 (3) 3" xfId="4659"/>
    <cellStyle name="_DEM-WP(C) Costs not in AURORA 2006GRC_PCA 9 -  Exhibit D April 2010 (3) 3 2" xfId="23971"/>
    <cellStyle name="_DEM-WP(C) Costs not in AURORA 2006GRC_PCA 9 -  Exhibit D April 2010 (3) 4" xfId="23972"/>
    <cellStyle name="_DEM-WP(C) Costs not in AURORA 2006GRC_PCA 9 -  Exhibit D April 2010 (3)_DEM-WP(C) ENERG10C--ctn Mid-C_042010 2010GRC" xfId="12568"/>
    <cellStyle name="_DEM-WP(C) Costs not in AURORA 2006GRC_PCA 9 -  Exhibit D April 2010 (3)_DEM-WP(C) ENERG10C--ctn Mid-C_042010 2010GRC 2" xfId="41197"/>
    <cellStyle name="_DEM-WP(C) Costs not in AURORA 2006GRC_PCA 9 -  Exhibit D April 2010 2" xfId="15018"/>
    <cellStyle name="_DEM-WP(C) Costs not in AURORA 2006GRC_PCA 9 -  Exhibit D April 2010 2 2" xfId="41198"/>
    <cellStyle name="_DEM-WP(C) Costs not in AURORA 2006GRC_PCA 9 -  Exhibit D April 2010 3" xfId="15019"/>
    <cellStyle name="_DEM-WP(C) Costs not in AURORA 2006GRC_PCA 9 -  Exhibit D April 2010 3 2" xfId="41199"/>
    <cellStyle name="_DEM-WP(C) Costs not in AURORA 2006GRC_PCA 9 -  Exhibit D April 2010 4" xfId="15020"/>
    <cellStyle name="_DEM-WP(C) Costs not in AURORA 2006GRC_PCA 9 -  Exhibit D April 2010 4 2" xfId="41200"/>
    <cellStyle name="_DEM-WP(C) Costs not in AURORA 2006GRC_PCA 9 -  Exhibit D April 2010 5" xfId="15021"/>
    <cellStyle name="_DEM-WP(C) Costs not in AURORA 2006GRC_PCA 9 -  Exhibit D April 2010 5 2" xfId="41201"/>
    <cellStyle name="_DEM-WP(C) Costs not in AURORA 2006GRC_PCA 9 -  Exhibit D April 2010 6" xfId="15022"/>
    <cellStyle name="_DEM-WP(C) Costs not in AURORA 2006GRC_PCA 9 -  Exhibit D April 2010 6 2" xfId="41202"/>
    <cellStyle name="_DEM-WP(C) Costs not in AURORA 2006GRC_PCA 9 -  Exhibit D April 2010 7" xfId="41203"/>
    <cellStyle name="_DEM-WP(C) Costs not in AURORA 2006GRC_PCA 9 -  Exhibit D Nov 2010" xfId="14126"/>
    <cellStyle name="_DEM-WP(C) Costs not in AURORA 2006GRC_PCA 9 -  Exhibit D Nov 2010 2" xfId="15023"/>
    <cellStyle name="_DEM-WP(C) Costs not in AURORA 2006GRC_PCA 9 -  Exhibit D Nov 2010 2 2" xfId="41204"/>
    <cellStyle name="_DEM-WP(C) Costs not in AURORA 2006GRC_PCA 9 -  Exhibit D Nov 2010 3" xfId="41205"/>
    <cellStyle name="_DEM-WP(C) Costs not in AURORA 2006GRC_PCA 9 - Exhibit D at August 2010" xfId="14127"/>
    <cellStyle name="_DEM-WP(C) Costs not in AURORA 2006GRC_PCA 9 - Exhibit D at August 2010 2" xfId="15024"/>
    <cellStyle name="_DEM-WP(C) Costs not in AURORA 2006GRC_PCA 9 - Exhibit D at August 2010 2 2" xfId="41206"/>
    <cellStyle name="_DEM-WP(C) Costs not in AURORA 2006GRC_PCA 9 - Exhibit D at August 2010 3" xfId="41207"/>
    <cellStyle name="_DEM-WP(C) Costs not in AURORA 2006GRC_PCA 9 - Exhibit D June 2010 GRC" xfId="14128"/>
    <cellStyle name="_DEM-WP(C) Costs not in AURORA 2006GRC_PCA 9 - Exhibit D June 2010 GRC 2" xfId="15025"/>
    <cellStyle name="_DEM-WP(C) Costs not in AURORA 2006GRC_PCA 9 - Exhibit D June 2010 GRC 2 2" xfId="41208"/>
    <cellStyle name="_DEM-WP(C) Costs not in AURORA 2006GRC_PCA 9 - Exhibit D June 2010 GRC 3" xfId="41209"/>
    <cellStyle name="_DEM-WP(C) Costs not in AURORA 2006GRC_Power Costs - Comparison bx Rbtl-Staff-Jt-PC" xfId="1289"/>
    <cellStyle name="_DEM-WP(C) Costs not in AURORA 2006GRC_Power Costs - Comparison bx Rbtl-Staff-Jt-PC 2" xfId="1290"/>
    <cellStyle name="_DEM-WP(C) Costs not in AURORA 2006GRC_Power Costs - Comparison bx Rbtl-Staff-Jt-PC 2 2" xfId="4662"/>
    <cellStyle name="_DEM-WP(C) Costs not in AURORA 2006GRC_Power Costs - Comparison bx Rbtl-Staff-Jt-PC 2 2 2" xfId="20659"/>
    <cellStyle name="_DEM-WP(C) Costs not in AURORA 2006GRC_Power Costs - Comparison bx Rbtl-Staff-Jt-PC 2 3" xfId="16511"/>
    <cellStyle name="_DEM-WP(C) Costs not in AURORA 2006GRC_Power Costs - Comparison bx Rbtl-Staff-Jt-PC 3" xfId="4661"/>
    <cellStyle name="_DEM-WP(C) Costs not in AURORA 2006GRC_Power Costs - Comparison bx Rbtl-Staff-Jt-PC 3 2" xfId="20660"/>
    <cellStyle name="_DEM-WP(C) Costs not in AURORA 2006GRC_Power Costs - Comparison bx Rbtl-Staff-Jt-PC 4" xfId="16510"/>
    <cellStyle name="_DEM-WP(C) Costs not in AURORA 2006GRC_Power Costs - Comparison bx Rbtl-Staff-Jt-PC_Adj Bench DR 3 for Initial Briefs (Electric)" xfId="1291"/>
    <cellStyle name="_DEM-WP(C) Costs not in AURORA 2006GRC_Power Costs - Comparison bx Rbtl-Staff-Jt-PC_Adj Bench DR 3 for Initial Briefs (Electric) 2" xfId="1292"/>
    <cellStyle name="_DEM-WP(C) Costs not in AURORA 2006GRC_Power Costs - Comparison bx Rbtl-Staff-Jt-PC_Adj Bench DR 3 for Initial Briefs (Electric) 2 2" xfId="4664"/>
    <cellStyle name="_DEM-WP(C) Costs not in AURORA 2006GRC_Power Costs - Comparison bx Rbtl-Staff-Jt-PC_Adj Bench DR 3 for Initial Briefs (Electric) 2 2 2" xfId="20661"/>
    <cellStyle name="_DEM-WP(C) Costs not in AURORA 2006GRC_Power Costs - Comparison bx Rbtl-Staff-Jt-PC_Adj Bench DR 3 for Initial Briefs (Electric) 2 3" xfId="16513"/>
    <cellStyle name="_DEM-WP(C) Costs not in AURORA 2006GRC_Power Costs - Comparison bx Rbtl-Staff-Jt-PC_Adj Bench DR 3 for Initial Briefs (Electric) 3" xfId="4663"/>
    <cellStyle name="_DEM-WP(C) Costs not in AURORA 2006GRC_Power Costs - Comparison bx Rbtl-Staff-Jt-PC_Adj Bench DR 3 for Initial Briefs (Electric) 3 2" xfId="20662"/>
    <cellStyle name="_DEM-WP(C) Costs not in AURORA 2006GRC_Power Costs - Comparison bx Rbtl-Staff-Jt-PC_Adj Bench DR 3 for Initial Briefs (Electric) 4" xfId="16512"/>
    <cellStyle name="_DEM-WP(C) Costs not in AURORA 2006GRC_Power Costs - Comparison bx Rbtl-Staff-Jt-PC_Adj Bench DR 3 for Initial Briefs (Electric)_DEM-WP(C) ENERG10C--ctn Mid-C_042010 2010GRC" xfId="12569"/>
    <cellStyle name="_DEM-WP(C) Costs not in AURORA 2006GRC_Power Costs - Comparison bx Rbtl-Staff-Jt-PC_Adj Bench DR 3 for Initial Briefs (Electric)_DEM-WP(C) ENERG10C--ctn Mid-C_042010 2010GRC 2" xfId="41210"/>
    <cellStyle name="_DEM-WP(C) Costs not in AURORA 2006GRC_Power Costs - Comparison bx Rbtl-Staff-Jt-PC_DEM-WP(C) ENERG10C--ctn Mid-C_042010 2010GRC" xfId="12570"/>
    <cellStyle name="_DEM-WP(C) Costs not in AURORA 2006GRC_Power Costs - Comparison bx Rbtl-Staff-Jt-PC_DEM-WP(C) ENERG10C--ctn Mid-C_042010 2010GRC 2" xfId="41211"/>
    <cellStyle name="_DEM-WP(C) Costs not in AURORA 2006GRC_Power Costs - Comparison bx Rbtl-Staff-Jt-PC_Electric Rev Req Model (2009 GRC) Rebuttal" xfId="1293"/>
    <cellStyle name="_DEM-WP(C) Costs not in AURORA 2006GRC_Power Costs - Comparison bx Rbtl-Staff-Jt-PC_Electric Rev Req Model (2009 GRC) Rebuttal 2" xfId="4665"/>
    <cellStyle name="_DEM-WP(C) Costs not in AURORA 2006GRC_Power Costs - Comparison bx Rbtl-Staff-Jt-PC_Electric Rev Req Model (2009 GRC) Rebuttal 2 2" xfId="7183"/>
    <cellStyle name="_DEM-WP(C) Costs not in AURORA 2006GRC_Power Costs - Comparison bx Rbtl-Staff-Jt-PC_Electric Rev Req Model (2009 GRC) Rebuttal 2 2 2" xfId="20663"/>
    <cellStyle name="_DEM-WP(C) Costs not in AURORA 2006GRC_Power Costs - Comparison bx Rbtl-Staff-Jt-PC_Electric Rev Req Model (2009 GRC) Rebuttal 2 3" xfId="18425"/>
    <cellStyle name="_DEM-WP(C) Costs not in AURORA 2006GRC_Power Costs - Comparison bx Rbtl-Staff-Jt-PC_Electric Rev Req Model (2009 GRC) Rebuttal 3" xfId="7184"/>
    <cellStyle name="_DEM-WP(C) Costs not in AURORA 2006GRC_Power Costs - Comparison bx Rbtl-Staff-Jt-PC_Electric Rev Req Model (2009 GRC) Rebuttal 3 2" xfId="20664"/>
    <cellStyle name="_DEM-WP(C) Costs not in AURORA 2006GRC_Power Costs - Comparison bx Rbtl-Staff-Jt-PC_Electric Rev Req Model (2009 GRC) Rebuttal 4" xfId="16514"/>
    <cellStyle name="_DEM-WP(C) Costs not in AURORA 2006GRC_Power Costs - Comparison bx Rbtl-Staff-Jt-PC_Electric Rev Req Model (2009 GRC) Rebuttal REmoval of New  WH Solar AdjustMI" xfId="1294"/>
    <cellStyle name="_DEM-WP(C) Costs not in AURORA 2006GRC_Power Costs - Comparison bx Rbtl-Staff-Jt-PC_Electric Rev Req Model (2009 GRC) Rebuttal REmoval of New  WH Solar AdjustMI 2" xfId="1295"/>
    <cellStyle name="_DEM-WP(C) Costs not in AURORA 2006GRC_Power Costs - Comparison bx Rbtl-Staff-Jt-PC_Electric Rev Req Model (2009 GRC) Rebuttal REmoval of New  WH Solar AdjustMI 2 2" xfId="4667"/>
    <cellStyle name="_DEM-WP(C) Costs not in AURORA 2006GRC_Power Costs - Comparison bx Rbtl-Staff-Jt-PC_Electric Rev Req Model (2009 GRC) Rebuttal REmoval of New  WH Solar AdjustMI 2 2 2" xfId="20665"/>
    <cellStyle name="_DEM-WP(C) Costs not in AURORA 2006GRC_Power Costs - Comparison bx Rbtl-Staff-Jt-PC_Electric Rev Req Model (2009 GRC) Rebuttal REmoval of New  WH Solar AdjustMI 2 3" xfId="16516"/>
    <cellStyle name="_DEM-WP(C) Costs not in AURORA 2006GRC_Power Costs - Comparison bx Rbtl-Staff-Jt-PC_Electric Rev Req Model (2009 GRC) Rebuttal REmoval of New  WH Solar AdjustMI 3" xfId="4666"/>
    <cellStyle name="_DEM-WP(C) Costs not in AURORA 2006GRC_Power Costs - Comparison bx Rbtl-Staff-Jt-PC_Electric Rev Req Model (2009 GRC) Rebuttal REmoval of New  WH Solar AdjustMI 3 2" xfId="20666"/>
    <cellStyle name="_DEM-WP(C) Costs not in AURORA 2006GRC_Power Costs - Comparison bx Rbtl-Staff-Jt-PC_Electric Rev Req Model (2009 GRC) Rebuttal REmoval of New  WH Solar AdjustMI 4" xfId="16515"/>
    <cellStyle name="_DEM-WP(C) Costs not in AURORA 2006GRC_Power Costs - Comparison bx Rbtl-Staff-Jt-PC_Electric Rev Req Model (2009 GRC) Rebuttal REmoval of New  WH Solar AdjustMI_DEM-WP(C) ENERG10C--ctn Mid-C_042010 2010GRC" xfId="12571"/>
    <cellStyle name="_DEM-WP(C) Costs not in AURORA 2006GRC_Power Costs - Comparison bx Rbtl-Staff-Jt-PC_Electric Rev Req Model (2009 GRC) Rebuttal REmoval of New  WH Solar AdjustMI_DEM-WP(C) ENERG10C--ctn Mid-C_042010 2010GRC 2" xfId="41212"/>
    <cellStyle name="_DEM-WP(C) Costs not in AURORA 2006GRC_Power Costs - Comparison bx Rbtl-Staff-Jt-PC_Electric Rev Req Model (2009 GRC) Revised 01-18-2010" xfId="1296"/>
    <cellStyle name="_DEM-WP(C) Costs not in AURORA 2006GRC_Power Costs - Comparison bx Rbtl-Staff-Jt-PC_Electric Rev Req Model (2009 GRC) Revised 01-18-2010 2" xfId="1297"/>
    <cellStyle name="_DEM-WP(C) Costs not in AURORA 2006GRC_Power Costs - Comparison bx Rbtl-Staff-Jt-PC_Electric Rev Req Model (2009 GRC) Revised 01-18-2010 2 2" xfId="4669"/>
    <cellStyle name="_DEM-WP(C) Costs not in AURORA 2006GRC_Power Costs - Comparison bx Rbtl-Staff-Jt-PC_Electric Rev Req Model (2009 GRC) Revised 01-18-2010 2 2 2" xfId="20667"/>
    <cellStyle name="_DEM-WP(C) Costs not in AURORA 2006GRC_Power Costs - Comparison bx Rbtl-Staff-Jt-PC_Electric Rev Req Model (2009 GRC) Revised 01-18-2010 2 3" xfId="16518"/>
    <cellStyle name="_DEM-WP(C) Costs not in AURORA 2006GRC_Power Costs - Comparison bx Rbtl-Staff-Jt-PC_Electric Rev Req Model (2009 GRC) Revised 01-18-2010 3" xfId="4668"/>
    <cellStyle name="_DEM-WP(C) Costs not in AURORA 2006GRC_Power Costs - Comparison bx Rbtl-Staff-Jt-PC_Electric Rev Req Model (2009 GRC) Revised 01-18-2010 3 2" xfId="20668"/>
    <cellStyle name="_DEM-WP(C) Costs not in AURORA 2006GRC_Power Costs - Comparison bx Rbtl-Staff-Jt-PC_Electric Rev Req Model (2009 GRC) Revised 01-18-2010 4" xfId="16517"/>
    <cellStyle name="_DEM-WP(C) Costs not in AURORA 2006GRC_Power Costs - Comparison bx Rbtl-Staff-Jt-PC_Electric Rev Req Model (2009 GRC) Revised 01-18-2010_DEM-WP(C) ENERG10C--ctn Mid-C_042010 2010GRC" xfId="12572"/>
    <cellStyle name="_DEM-WP(C) Costs not in AURORA 2006GRC_Power Costs - Comparison bx Rbtl-Staff-Jt-PC_Electric Rev Req Model (2009 GRC) Revised 01-18-2010_DEM-WP(C) ENERG10C--ctn Mid-C_042010 2010GRC 2" xfId="41213"/>
    <cellStyle name="_DEM-WP(C) Costs not in AURORA 2006GRC_Power Costs - Comparison bx Rbtl-Staff-Jt-PC_Final Order Electric EXHIBIT A-1" xfId="1298"/>
    <cellStyle name="_DEM-WP(C) Costs not in AURORA 2006GRC_Power Costs - Comparison bx Rbtl-Staff-Jt-PC_Final Order Electric EXHIBIT A-1 2" xfId="4670"/>
    <cellStyle name="_DEM-WP(C) Costs not in AURORA 2006GRC_Power Costs - Comparison bx Rbtl-Staff-Jt-PC_Final Order Electric EXHIBIT A-1 2 2" xfId="7185"/>
    <cellStyle name="_DEM-WP(C) Costs not in AURORA 2006GRC_Power Costs - Comparison bx Rbtl-Staff-Jt-PC_Final Order Electric EXHIBIT A-1 2 2 2" xfId="20669"/>
    <cellStyle name="_DEM-WP(C) Costs not in AURORA 2006GRC_Power Costs - Comparison bx Rbtl-Staff-Jt-PC_Final Order Electric EXHIBIT A-1 2 3" xfId="18426"/>
    <cellStyle name="_DEM-WP(C) Costs not in AURORA 2006GRC_Power Costs - Comparison bx Rbtl-Staff-Jt-PC_Final Order Electric EXHIBIT A-1 3" xfId="7186"/>
    <cellStyle name="_DEM-WP(C) Costs not in AURORA 2006GRC_Power Costs - Comparison bx Rbtl-Staff-Jt-PC_Final Order Electric EXHIBIT A-1 3 2" xfId="20670"/>
    <cellStyle name="_DEM-WP(C) Costs not in AURORA 2006GRC_Power Costs - Comparison bx Rbtl-Staff-Jt-PC_Final Order Electric EXHIBIT A-1 4" xfId="16519"/>
    <cellStyle name="_DEM-WP(C) Costs not in AURORA 2006GRC_Production Adj 4.37" xfId="7187"/>
    <cellStyle name="_DEM-WP(C) Costs not in AURORA 2006GRC_Production Adj 4.37 2" xfId="7188"/>
    <cellStyle name="_DEM-WP(C) Costs not in AURORA 2006GRC_Production Adj 4.37 2 2" xfId="7189"/>
    <cellStyle name="_DEM-WP(C) Costs not in AURORA 2006GRC_Production Adj 4.37 2 2 2" xfId="20671"/>
    <cellStyle name="_DEM-WP(C) Costs not in AURORA 2006GRC_Production Adj 4.37 2 3" xfId="18428"/>
    <cellStyle name="_DEM-WP(C) Costs not in AURORA 2006GRC_Production Adj 4.37 3" xfId="7190"/>
    <cellStyle name="_DEM-WP(C) Costs not in AURORA 2006GRC_Production Adj 4.37 3 2" xfId="20672"/>
    <cellStyle name="_DEM-WP(C) Costs not in AURORA 2006GRC_Production Adj 4.37 4" xfId="18427"/>
    <cellStyle name="_DEM-WP(C) Costs not in AURORA 2006GRC_Purchased Power Adj 4.03" xfId="7191"/>
    <cellStyle name="_DEM-WP(C) Costs not in AURORA 2006GRC_Purchased Power Adj 4.03 2" xfId="7192"/>
    <cellStyle name="_DEM-WP(C) Costs not in AURORA 2006GRC_Purchased Power Adj 4.03 2 2" xfId="7193"/>
    <cellStyle name="_DEM-WP(C) Costs not in AURORA 2006GRC_Purchased Power Adj 4.03 2 2 2" xfId="20673"/>
    <cellStyle name="_DEM-WP(C) Costs not in AURORA 2006GRC_Purchased Power Adj 4.03 2 3" xfId="18430"/>
    <cellStyle name="_DEM-WP(C) Costs not in AURORA 2006GRC_Purchased Power Adj 4.03 3" xfId="7194"/>
    <cellStyle name="_DEM-WP(C) Costs not in AURORA 2006GRC_Purchased Power Adj 4.03 3 2" xfId="20674"/>
    <cellStyle name="_DEM-WP(C) Costs not in AURORA 2006GRC_Purchased Power Adj 4.03 4" xfId="18429"/>
    <cellStyle name="_DEM-WP(C) Costs not in AURORA 2006GRC_Rebuttal Power Costs" xfId="1299"/>
    <cellStyle name="_DEM-WP(C) Costs not in AURORA 2006GRC_Rebuttal Power Costs 2" xfId="1300"/>
    <cellStyle name="_DEM-WP(C) Costs not in AURORA 2006GRC_Rebuttal Power Costs 2 2" xfId="4672"/>
    <cellStyle name="_DEM-WP(C) Costs not in AURORA 2006GRC_Rebuttal Power Costs 2 2 2" xfId="20675"/>
    <cellStyle name="_DEM-WP(C) Costs not in AURORA 2006GRC_Rebuttal Power Costs 2 3" xfId="16521"/>
    <cellStyle name="_DEM-WP(C) Costs not in AURORA 2006GRC_Rebuttal Power Costs 3" xfId="4671"/>
    <cellStyle name="_DEM-WP(C) Costs not in AURORA 2006GRC_Rebuttal Power Costs 3 2" xfId="20676"/>
    <cellStyle name="_DEM-WP(C) Costs not in AURORA 2006GRC_Rebuttal Power Costs 4" xfId="16520"/>
    <cellStyle name="_DEM-WP(C) Costs not in AURORA 2006GRC_Rebuttal Power Costs_Adj Bench DR 3 for Initial Briefs (Electric)" xfId="1301"/>
    <cellStyle name="_DEM-WP(C) Costs not in AURORA 2006GRC_Rebuttal Power Costs_Adj Bench DR 3 for Initial Briefs (Electric) 2" xfId="1302"/>
    <cellStyle name="_DEM-WP(C) Costs not in AURORA 2006GRC_Rebuttal Power Costs_Adj Bench DR 3 for Initial Briefs (Electric) 2 2" xfId="4674"/>
    <cellStyle name="_DEM-WP(C) Costs not in AURORA 2006GRC_Rebuttal Power Costs_Adj Bench DR 3 for Initial Briefs (Electric) 2 2 2" xfId="20677"/>
    <cellStyle name="_DEM-WP(C) Costs not in AURORA 2006GRC_Rebuttal Power Costs_Adj Bench DR 3 for Initial Briefs (Electric) 2 3" xfId="16523"/>
    <cellStyle name="_DEM-WP(C) Costs not in AURORA 2006GRC_Rebuttal Power Costs_Adj Bench DR 3 for Initial Briefs (Electric) 3" xfId="4673"/>
    <cellStyle name="_DEM-WP(C) Costs not in AURORA 2006GRC_Rebuttal Power Costs_Adj Bench DR 3 for Initial Briefs (Electric) 3 2" xfId="20678"/>
    <cellStyle name="_DEM-WP(C) Costs not in AURORA 2006GRC_Rebuttal Power Costs_Adj Bench DR 3 for Initial Briefs (Electric) 4" xfId="16522"/>
    <cellStyle name="_DEM-WP(C) Costs not in AURORA 2006GRC_Rebuttal Power Costs_Adj Bench DR 3 for Initial Briefs (Electric)_DEM-WP(C) ENERG10C--ctn Mid-C_042010 2010GRC" xfId="12573"/>
    <cellStyle name="_DEM-WP(C) Costs not in AURORA 2006GRC_Rebuttal Power Costs_Adj Bench DR 3 for Initial Briefs (Electric)_DEM-WP(C) ENERG10C--ctn Mid-C_042010 2010GRC 2" xfId="41214"/>
    <cellStyle name="_DEM-WP(C) Costs not in AURORA 2006GRC_Rebuttal Power Costs_DEM-WP(C) ENERG10C--ctn Mid-C_042010 2010GRC" xfId="12574"/>
    <cellStyle name="_DEM-WP(C) Costs not in AURORA 2006GRC_Rebuttal Power Costs_DEM-WP(C) ENERG10C--ctn Mid-C_042010 2010GRC 2" xfId="41215"/>
    <cellStyle name="_DEM-WP(C) Costs not in AURORA 2006GRC_Rebuttal Power Costs_Electric Rev Req Model (2009 GRC) Rebuttal" xfId="1303"/>
    <cellStyle name="_DEM-WP(C) Costs not in AURORA 2006GRC_Rebuttal Power Costs_Electric Rev Req Model (2009 GRC) Rebuttal 2" xfId="4675"/>
    <cellStyle name="_DEM-WP(C) Costs not in AURORA 2006GRC_Rebuttal Power Costs_Electric Rev Req Model (2009 GRC) Rebuttal 2 2" xfId="7195"/>
    <cellStyle name="_DEM-WP(C) Costs not in AURORA 2006GRC_Rebuttal Power Costs_Electric Rev Req Model (2009 GRC) Rebuttal 2 2 2" xfId="20679"/>
    <cellStyle name="_DEM-WP(C) Costs not in AURORA 2006GRC_Rebuttal Power Costs_Electric Rev Req Model (2009 GRC) Rebuttal 2 3" xfId="18431"/>
    <cellStyle name="_DEM-WP(C) Costs not in AURORA 2006GRC_Rebuttal Power Costs_Electric Rev Req Model (2009 GRC) Rebuttal 3" xfId="7196"/>
    <cellStyle name="_DEM-WP(C) Costs not in AURORA 2006GRC_Rebuttal Power Costs_Electric Rev Req Model (2009 GRC) Rebuttal 3 2" xfId="20680"/>
    <cellStyle name="_DEM-WP(C) Costs not in AURORA 2006GRC_Rebuttal Power Costs_Electric Rev Req Model (2009 GRC) Rebuttal 4" xfId="16524"/>
    <cellStyle name="_DEM-WP(C) Costs not in AURORA 2006GRC_Rebuttal Power Costs_Electric Rev Req Model (2009 GRC) Rebuttal REmoval of New  WH Solar AdjustMI" xfId="1304"/>
    <cellStyle name="_DEM-WP(C) Costs not in AURORA 2006GRC_Rebuttal Power Costs_Electric Rev Req Model (2009 GRC) Rebuttal REmoval of New  WH Solar AdjustMI 2" xfId="1305"/>
    <cellStyle name="_DEM-WP(C) Costs not in AURORA 2006GRC_Rebuttal Power Costs_Electric Rev Req Model (2009 GRC) Rebuttal REmoval of New  WH Solar AdjustMI 2 2" xfId="4677"/>
    <cellStyle name="_DEM-WP(C) Costs not in AURORA 2006GRC_Rebuttal Power Costs_Electric Rev Req Model (2009 GRC) Rebuttal REmoval of New  WH Solar AdjustMI 2 2 2" xfId="20681"/>
    <cellStyle name="_DEM-WP(C) Costs not in AURORA 2006GRC_Rebuttal Power Costs_Electric Rev Req Model (2009 GRC) Rebuttal REmoval of New  WH Solar AdjustMI 2 3" xfId="16526"/>
    <cellStyle name="_DEM-WP(C) Costs not in AURORA 2006GRC_Rebuttal Power Costs_Electric Rev Req Model (2009 GRC) Rebuttal REmoval of New  WH Solar AdjustMI 3" xfId="4676"/>
    <cellStyle name="_DEM-WP(C) Costs not in AURORA 2006GRC_Rebuttal Power Costs_Electric Rev Req Model (2009 GRC) Rebuttal REmoval of New  WH Solar AdjustMI 3 2" xfId="20682"/>
    <cellStyle name="_DEM-WP(C) Costs not in AURORA 2006GRC_Rebuttal Power Costs_Electric Rev Req Model (2009 GRC) Rebuttal REmoval of New  WH Solar AdjustMI 4" xfId="16525"/>
    <cellStyle name="_DEM-WP(C) Costs not in AURORA 2006GRC_Rebuttal Power Costs_Electric Rev Req Model (2009 GRC) Rebuttal REmoval of New  WH Solar AdjustMI_DEM-WP(C) ENERG10C--ctn Mid-C_042010 2010GRC" xfId="12575"/>
    <cellStyle name="_DEM-WP(C) Costs not in AURORA 2006GRC_Rebuttal Power Costs_Electric Rev Req Model (2009 GRC) Rebuttal REmoval of New  WH Solar AdjustMI_DEM-WP(C) ENERG10C--ctn Mid-C_042010 2010GRC 2" xfId="41216"/>
    <cellStyle name="_DEM-WP(C) Costs not in AURORA 2006GRC_Rebuttal Power Costs_Electric Rev Req Model (2009 GRC) Revised 01-18-2010" xfId="1306"/>
    <cellStyle name="_DEM-WP(C) Costs not in AURORA 2006GRC_Rebuttal Power Costs_Electric Rev Req Model (2009 GRC) Revised 01-18-2010 2" xfId="1307"/>
    <cellStyle name="_DEM-WP(C) Costs not in AURORA 2006GRC_Rebuttal Power Costs_Electric Rev Req Model (2009 GRC) Revised 01-18-2010 2 2" xfId="4679"/>
    <cellStyle name="_DEM-WP(C) Costs not in AURORA 2006GRC_Rebuttal Power Costs_Electric Rev Req Model (2009 GRC) Revised 01-18-2010 2 2 2" xfId="20683"/>
    <cellStyle name="_DEM-WP(C) Costs not in AURORA 2006GRC_Rebuttal Power Costs_Electric Rev Req Model (2009 GRC) Revised 01-18-2010 2 3" xfId="16528"/>
    <cellStyle name="_DEM-WP(C) Costs not in AURORA 2006GRC_Rebuttal Power Costs_Electric Rev Req Model (2009 GRC) Revised 01-18-2010 3" xfId="4678"/>
    <cellStyle name="_DEM-WP(C) Costs not in AURORA 2006GRC_Rebuttal Power Costs_Electric Rev Req Model (2009 GRC) Revised 01-18-2010 3 2" xfId="20684"/>
    <cellStyle name="_DEM-WP(C) Costs not in AURORA 2006GRC_Rebuttal Power Costs_Electric Rev Req Model (2009 GRC) Revised 01-18-2010 4" xfId="16527"/>
    <cellStyle name="_DEM-WP(C) Costs not in AURORA 2006GRC_Rebuttal Power Costs_Electric Rev Req Model (2009 GRC) Revised 01-18-2010_DEM-WP(C) ENERG10C--ctn Mid-C_042010 2010GRC" xfId="12576"/>
    <cellStyle name="_DEM-WP(C) Costs not in AURORA 2006GRC_Rebuttal Power Costs_Electric Rev Req Model (2009 GRC) Revised 01-18-2010_DEM-WP(C) ENERG10C--ctn Mid-C_042010 2010GRC 2" xfId="41217"/>
    <cellStyle name="_DEM-WP(C) Costs not in AURORA 2006GRC_Rebuttal Power Costs_Final Order Electric EXHIBIT A-1" xfId="1308"/>
    <cellStyle name="_DEM-WP(C) Costs not in AURORA 2006GRC_Rebuttal Power Costs_Final Order Electric EXHIBIT A-1 2" xfId="4680"/>
    <cellStyle name="_DEM-WP(C) Costs not in AURORA 2006GRC_Rebuttal Power Costs_Final Order Electric EXHIBIT A-1 2 2" xfId="7197"/>
    <cellStyle name="_DEM-WP(C) Costs not in AURORA 2006GRC_Rebuttal Power Costs_Final Order Electric EXHIBIT A-1 2 2 2" xfId="20685"/>
    <cellStyle name="_DEM-WP(C) Costs not in AURORA 2006GRC_Rebuttal Power Costs_Final Order Electric EXHIBIT A-1 2 3" xfId="18432"/>
    <cellStyle name="_DEM-WP(C) Costs not in AURORA 2006GRC_Rebuttal Power Costs_Final Order Electric EXHIBIT A-1 3" xfId="7198"/>
    <cellStyle name="_DEM-WP(C) Costs not in AURORA 2006GRC_Rebuttal Power Costs_Final Order Electric EXHIBIT A-1 3 2" xfId="20686"/>
    <cellStyle name="_DEM-WP(C) Costs not in AURORA 2006GRC_Rebuttal Power Costs_Final Order Electric EXHIBIT A-1 4" xfId="16529"/>
    <cellStyle name="_DEM-WP(C) Costs not in AURORA 2006GRC_ROR 5.02" xfId="7199"/>
    <cellStyle name="_DEM-WP(C) Costs not in AURORA 2006GRC_ROR 5.02 2" xfId="7200"/>
    <cellStyle name="_DEM-WP(C) Costs not in AURORA 2006GRC_ROR 5.02 2 2" xfId="7201"/>
    <cellStyle name="_DEM-WP(C) Costs not in AURORA 2006GRC_ROR 5.02 2 2 2" xfId="20687"/>
    <cellStyle name="_DEM-WP(C) Costs not in AURORA 2006GRC_ROR 5.02 2 3" xfId="18434"/>
    <cellStyle name="_DEM-WP(C) Costs not in AURORA 2006GRC_ROR 5.02 3" xfId="7202"/>
    <cellStyle name="_DEM-WP(C) Costs not in AURORA 2006GRC_ROR 5.02 3 2" xfId="20688"/>
    <cellStyle name="_DEM-WP(C) Costs not in AURORA 2006GRC_ROR 5.02 4" xfId="18433"/>
    <cellStyle name="_DEM-WP(C) Costs not in AURORA 2006GRC_Transmission Workbook for May BOD" xfId="1309"/>
    <cellStyle name="_DEM-WP(C) Costs not in AURORA 2006GRC_Transmission Workbook for May BOD 2" xfId="1310"/>
    <cellStyle name="_DEM-WP(C) Costs not in AURORA 2006GRC_Transmission Workbook for May BOD 2 2" xfId="4682"/>
    <cellStyle name="_DEM-WP(C) Costs not in AURORA 2006GRC_Transmission Workbook for May BOD 2 2 2" xfId="23973"/>
    <cellStyle name="_DEM-WP(C) Costs not in AURORA 2006GRC_Transmission Workbook for May BOD 2 3" xfId="23974"/>
    <cellStyle name="_DEM-WP(C) Costs not in AURORA 2006GRC_Transmission Workbook for May BOD 3" xfId="4681"/>
    <cellStyle name="_DEM-WP(C) Costs not in AURORA 2006GRC_Transmission Workbook for May BOD 3 2" xfId="23975"/>
    <cellStyle name="_DEM-WP(C) Costs not in AURORA 2006GRC_Transmission Workbook for May BOD 4" xfId="23976"/>
    <cellStyle name="_DEM-WP(C) Costs not in AURORA 2006GRC_Transmission Workbook for May BOD_DEM-WP(C) ENERG10C--ctn Mid-C_042010 2010GRC" xfId="12577"/>
    <cellStyle name="_DEM-WP(C) Costs not in AURORA 2006GRC_Transmission Workbook for May BOD_DEM-WP(C) ENERG10C--ctn Mid-C_042010 2010GRC 2" xfId="41218"/>
    <cellStyle name="_DEM-WP(C) Costs not in AURORA 2006GRC_Wind Integration 10GRC" xfId="1311"/>
    <cellStyle name="_DEM-WP(C) Costs not in AURORA 2006GRC_Wind Integration 10GRC 2" xfId="1312"/>
    <cellStyle name="_DEM-WP(C) Costs not in AURORA 2006GRC_Wind Integration 10GRC 2 2" xfId="4684"/>
    <cellStyle name="_DEM-WP(C) Costs not in AURORA 2006GRC_Wind Integration 10GRC 2 2 2" xfId="23977"/>
    <cellStyle name="_DEM-WP(C) Costs not in AURORA 2006GRC_Wind Integration 10GRC 2 3" xfId="23978"/>
    <cellStyle name="_DEM-WP(C) Costs not in AURORA 2006GRC_Wind Integration 10GRC 3" xfId="4683"/>
    <cellStyle name="_DEM-WP(C) Costs not in AURORA 2006GRC_Wind Integration 10GRC 3 2" xfId="23979"/>
    <cellStyle name="_DEM-WP(C) Costs not in AURORA 2006GRC_Wind Integration 10GRC 4" xfId="23980"/>
    <cellStyle name="_DEM-WP(C) Costs not in AURORA 2006GRC_Wind Integration 10GRC_DEM-WP(C) ENERG10C--ctn Mid-C_042010 2010GRC" xfId="12578"/>
    <cellStyle name="_DEM-WP(C) Costs not in AURORA 2006GRC_Wind Integration 10GRC_DEM-WP(C) ENERG10C--ctn Mid-C_042010 2010GRC 2" xfId="41219"/>
    <cellStyle name="_DEM-WP(C) Costs not in AURORA 2007GRC" xfId="1313"/>
    <cellStyle name="_DEM-WP(C) Costs not in AURORA 2007GRC 2" xfId="1314"/>
    <cellStyle name="_DEM-WP(C) Costs not in AURORA 2007GRC 2 2" xfId="4686"/>
    <cellStyle name="_DEM-WP(C) Costs not in AURORA 2007GRC 2 2 2" xfId="20689"/>
    <cellStyle name="_DEM-WP(C) Costs not in AURORA 2007GRC 2 2 2 2" xfId="23981"/>
    <cellStyle name="_DEM-WP(C) Costs not in AURORA 2007GRC 2 2 3" xfId="23982"/>
    <cellStyle name="_DEM-WP(C) Costs not in AURORA 2007GRC 2 3" xfId="16531"/>
    <cellStyle name="_DEM-WP(C) Costs not in AURORA 2007GRC 2 3 2" xfId="23983"/>
    <cellStyle name="_DEM-WP(C) Costs not in AURORA 2007GRC 2 4" xfId="23984"/>
    <cellStyle name="_DEM-WP(C) Costs not in AURORA 2007GRC 3" xfId="4685"/>
    <cellStyle name="_DEM-WP(C) Costs not in AURORA 2007GRC 3 2" xfId="20690"/>
    <cellStyle name="_DEM-WP(C) Costs not in AURORA 2007GRC 4" xfId="16530"/>
    <cellStyle name="_DEM-WP(C) Costs not in AURORA 2007GRC Update" xfId="1315"/>
    <cellStyle name="_DEM-WP(C) Costs not in AURORA 2007GRC Update 2" xfId="1316"/>
    <cellStyle name="_DEM-WP(C) Costs not in AURORA 2007GRC Update 2 2" xfId="4688"/>
    <cellStyle name="_DEM-WP(C) Costs not in AURORA 2007GRC Update 2 2 2" xfId="23985"/>
    <cellStyle name="_DEM-WP(C) Costs not in AURORA 2007GRC Update 2 3" xfId="23986"/>
    <cellStyle name="_DEM-WP(C) Costs not in AURORA 2007GRC Update 3" xfId="4687"/>
    <cellStyle name="_DEM-WP(C) Costs not in AURORA 2007GRC Update 3 2" xfId="23987"/>
    <cellStyle name="_DEM-WP(C) Costs not in AURORA 2007GRC Update 4" xfId="23988"/>
    <cellStyle name="_DEM-WP(C) Costs not in AURORA 2007GRC Update_DEM-WP(C) ENERG10C--ctn Mid-C_042010 2010GRC" xfId="12579"/>
    <cellStyle name="_DEM-WP(C) Costs not in AURORA 2007GRC Update_DEM-WP(C) ENERG10C--ctn Mid-C_042010 2010GRC 2" xfId="41220"/>
    <cellStyle name="_DEM-WP(C) Costs not in AURORA 2007GRC Update_NIM Summary" xfId="1317"/>
    <cellStyle name="_DEM-WP(C) Costs not in AURORA 2007GRC Update_NIM Summary 2" xfId="1318"/>
    <cellStyle name="_DEM-WP(C) Costs not in AURORA 2007GRC Update_NIM Summary 2 2" xfId="4690"/>
    <cellStyle name="_DEM-WP(C) Costs not in AURORA 2007GRC Update_NIM Summary 2 2 2" xfId="23989"/>
    <cellStyle name="_DEM-WP(C) Costs not in AURORA 2007GRC Update_NIM Summary 2 3" xfId="23990"/>
    <cellStyle name="_DEM-WP(C) Costs not in AURORA 2007GRC Update_NIM Summary 3" xfId="4689"/>
    <cellStyle name="_DEM-WP(C) Costs not in AURORA 2007GRC Update_NIM Summary 3 2" xfId="23991"/>
    <cellStyle name="_DEM-WP(C) Costs not in AURORA 2007GRC Update_NIM Summary 4" xfId="23992"/>
    <cellStyle name="_DEM-WP(C) Costs not in AURORA 2007GRC Update_NIM Summary_DEM-WP(C) ENERG10C--ctn Mid-C_042010 2010GRC" xfId="12580"/>
    <cellStyle name="_DEM-WP(C) Costs not in AURORA 2007GRC Update_NIM Summary_DEM-WP(C) ENERG10C--ctn Mid-C_042010 2010GRC 2" xfId="41221"/>
    <cellStyle name="_DEM-WP(C) Costs not in AURORA 2007GRC_16.37E Wild Horse Expansion DeferralRevwrkingfile SF" xfId="1319"/>
    <cellStyle name="_DEM-WP(C) Costs not in AURORA 2007GRC_16.37E Wild Horse Expansion DeferralRevwrkingfile SF 2" xfId="1320"/>
    <cellStyle name="_DEM-WP(C) Costs not in AURORA 2007GRC_16.37E Wild Horse Expansion DeferralRevwrkingfile SF 2 2" xfId="4692"/>
    <cellStyle name="_DEM-WP(C) Costs not in AURORA 2007GRC_16.37E Wild Horse Expansion DeferralRevwrkingfile SF 2 2 2" xfId="20691"/>
    <cellStyle name="_DEM-WP(C) Costs not in AURORA 2007GRC_16.37E Wild Horse Expansion DeferralRevwrkingfile SF 2 3" xfId="16533"/>
    <cellStyle name="_DEM-WP(C) Costs not in AURORA 2007GRC_16.37E Wild Horse Expansion DeferralRevwrkingfile SF 3" xfId="4691"/>
    <cellStyle name="_DEM-WP(C) Costs not in AURORA 2007GRC_16.37E Wild Horse Expansion DeferralRevwrkingfile SF 3 2" xfId="20692"/>
    <cellStyle name="_DEM-WP(C) Costs not in AURORA 2007GRC_16.37E Wild Horse Expansion DeferralRevwrkingfile SF 4" xfId="16532"/>
    <cellStyle name="_DEM-WP(C) Costs not in AURORA 2007GRC_16.37E Wild Horse Expansion DeferralRevwrkingfile SF_DEM-WP(C) ENERG10C--ctn Mid-C_042010 2010GRC" xfId="12581"/>
    <cellStyle name="_DEM-WP(C) Costs not in AURORA 2007GRC_16.37E Wild Horse Expansion DeferralRevwrkingfile SF_DEM-WP(C) ENERG10C--ctn Mid-C_042010 2010GRC 2" xfId="41222"/>
    <cellStyle name="_DEM-WP(C) Costs not in AURORA 2007GRC_2009 GRC Compl Filing - Exhibit D" xfId="1321"/>
    <cellStyle name="_DEM-WP(C) Costs not in AURORA 2007GRC_2009 GRC Compl Filing - Exhibit D 2" xfId="1322"/>
    <cellStyle name="_DEM-WP(C) Costs not in AURORA 2007GRC_2009 GRC Compl Filing - Exhibit D 2 2" xfId="4694"/>
    <cellStyle name="_DEM-WP(C) Costs not in AURORA 2007GRC_2009 GRC Compl Filing - Exhibit D 2 2 2" xfId="23993"/>
    <cellStyle name="_DEM-WP(C) Costs not in AURORA 2007GRC_2009 GRC Compl Filing - Exhibit D 2 3" xfId="23994"/>
    <cellStyle name="_DEM-WP(C) Costs not in AURORA 2007GRC_2009 GRC Compl Filing - Exhibit D 3" xfId="4693"/>
    <cellStyle name="_DEM-WP(C) Costs not in AURORA 2007GRC_2009 GRC Compl Filing - Exhibit D 3 2" xfId="23995"/>
    <cellStyle name="_DEM-WP(C) Costs not in AURORA 2007GRC_2009 GRC Compl Filing - Exhibit D 4" xfId="23996"/>
    <cellStyle name="_DEM-WP(C) Costs not in AURORA 2007GRC_2009 GRC Compl Filing - Exhibit D_DEM-WP(C) ENERG10C--ctn Mid-C_042010 2010GRC" xfId="12582"/>
    <cellStyle name="_DEM-WP(C) Costs not in AURORA 2007GRC_2009 GRC Compl Filing - Exhibit D_DEM-WP(C) ENERG10C--ctn Mid-C_042010 2010GRC 2" xfId="41223"/>
    <cellStyle name="_DEM-WP(C) Costs not in AURORA 2007GRC_Adj Bench DR 3 for Initial Briefs (Electric)" xfId="1323"/>
    <cellStyle name="_DEM-WP(C) Costs not in AURORA 2007GRC_Adj Bench DR 3 for Initial Briefs (Electric) 2" xfId="1324"/>
    <cellStyle name="_DEM-WP(C) Costs not in AURORA 2007GRC_Adj Bench DR 3 for Initial Briefs (Electric) 2 2" xfId="4696"/>
    <cellStyle name="_DEM-WP(C) Costs not in AURORA 2007GRC_Adj Bench DR 3 for Initial Briefs (Electric) 2 2 2" xfId="20693"/>
    <cellStyle name="_DEM-WP(C) Costs not in AURORA 2007GRC_Adj Bench DR 3 for Initial Briefs (Electric) 2 3" xfId="16535"/>
    <cellStyle name="_DEM-WP(C) Costs not in AURORA 2007GRC_Adj Bench DR 3 for Initial Briefs (Electric) 3" xfId="4695"/>
    <cellStyle name="_DEM-WP(C) Costs not in AURORA 2007GRC_Adj Bench DR 3 for Initial Briefs (Electric) 3 2" xfId="20694"/>
    <cellStyle name="_DEM-WP(C) Costs not in AURORA 2007GRC_Adj Bench DR 3 for Initial Briefs (Electric) 4" xfId="16534"/>
    <cellStyle name="_DEM-WP(C) Costs not in AURORA 2007GRC_Adj Bench DR 3 for Initial Briefs (Electric)_DEM-WP(C) ENERG10C--ctn Mid-C_042010 2010GRC" xfId="12583"/>
    <cellStyle name="_DEM-WP(C) Costs not in AURORA 2007GRC_Adj Bench DR 3 for Initial Briefs (Electric)_DEM-WP(C) ENERG10C--ctn Mid-C_042010 2010GRC 2" xfId="41224"/>
    <cellStyle name="_DEM-WP(C) Costs not in AURORA 2007GRC_Book1" xfId="14259"/>
    <cellStyle name="_DEM-WP(C) Costs not in AURORA 2007GRC_Book1 2" xfId="41225"/>
    <cellStyle name="_DEM-WP(C) Costs not in AURORA 2007GRC_Book2" xfId="1325"/>
    <cellStyle name="_DEM-WP(C) Costs not in AURORA 2007GRC_Book2 2" xfId="1326"/>
    <cellStyle name="_DEM-WP(C) Costs not in AURORA 2007GRC_Book2 2 2" xfId="4698"/>
    <cellStyle name="_DEM-WP(C) Costs not in AURORA 2007GRC_Book2 2 2 2" xfId="20695"/>
    <cellStyle name="_DEM-WP(C) Costs not in AURORA 2007GRC_Book2 2 3" xfId="16537"/>
    <cellStyle name="_DEM-WP(C) Costs not in AURORA 2007GRC_Book2 3" xfId="4697"/>
    <cellStyle name="_DEM-WP(C) Costs not in AURORA 2007GRC_Book2 3 2" xfId="20696"/>
    <cellStyle name="_DEM-WP(C) Costs not in AURORA 2007GRC_Book2 4" xfId="16536"/>
    <cellStyle name="_DEM-WP(C) Costs not in AURORA 2007GRC_Book2_DEM-WP(C) ENERG10C--ctn Mid-C_042010 2010GRC" xfId="12584"/>
    <cellStyle name="_DEM-WP(C) Costs not in AURORA 2007GRC_Book2_DEM-WP(C) ENERG10C--ctn Mid-C_042010 2010GRC 2" xfId="41226"/>
    <cellStyle name="_DEM-WP(C) Costs not in AURORA 2007GRC_Book4" xfId="1327"/>
    <cellStyle name="_DEM-WP(C) Costs not in AURORA 2007GRC_Book4 2" xfId="1328"/>
    <cellStyle name="_DEM-WP(C) Costs not in AURORA 2007GRC_Book4 2 2" xfId="4700"/>
    <cellStyle name="_DEM-WP(C) Costs not in AURORA 2007GRC_Book4 2 2 2" xfId="20697"/>
    <cellStyle name="_DEM-WP(C) Costs not in AURORA 2007GRC_Book4 2 3" xfId="16539"/>
    <cellStyle name="_DEM-WP(C) Costs not in AURORA 2007GRC_Book4 3" xfId="4699"/>
    <cellStyle name="_DEM-WP(C) Costs not in AURORA 2007GRC_Book4 3 2" xfId="20698"/>
    <cellStyle name="_DEM-WP(C) Costs not in AURORA 2007GRC_Book4 4" xfId="16538"/>
    <cellStyle name="_DEM-WP(C) Costs not in AURORA 2007GRC_Book4_DEM-WP(C) ENERG10C--ctn Mid-C_042010 2010GRC" xfId="12585"/>
    <cellStyle name="_DEM-WP(C) Costs not in AURORA 2007GRC_Book4_DEM-WP(C) ENERG10C--ctn Mid-C_042010 2010GRC 2" xfId="41227"/>
    <cellStyle name="_DEM-WP(C) Costs not in AURORA 2007GRC_DEM-WP(C) ENERG10C--ctn Mid-C_042010 2010GRC" xfId="12586"/>
    <cellStyle name="_DEM-WP(C) Costs not in AURORA 2007GRC_DEM-WP(C) ENERG10C--ctn Mid-C_042010 2010GRC 2" xfId="41228"/>
    <cellStyle name="_DEM-WP(C) Costs not in AURORA 2007GRC_Electric Rev Req Model (2009 GRC) " xfId="1329"/>
    <cellStyle name="_DEM-WP(C) Costs not in AURORA 2007GRC_Electric Rev Req Model (2009 GRC)  2" xfId="1330"/>
    <cellStyle name="_DEM-WP(C) Costs not in AURORA 2007GRC_Electric Rev Req Model (2009 GRC)  2 2" xfId="4702"/>
    <cellStyle name="_DEM-WP(C) Costs not in AURORA 2007GRC_Electric Rev Req Model (2009 GRC)  2 2 2" xfId="20699"/>
    <cellStyle name="_DEM-WP(C) Costs not in AURORA 2007GRC_Electric Rev Req Model (2009 GRC)  2 3" xfId="16541"/>
    <cellStyle name="_DEM-WP(C) Costs not in AURORA 2007GRC_Electric Rev Req Model (2009 GRC)  3" xfId="4701"/>
    <cellStyle name="_DEM-WP(C) Costs not in AURORA 2007GRC_Electric Rev Req Model (2009 GRC)  3 2" xfId="20700"/>
    <cellStyle name="_DEM-WP(C) Costs not in AURORA 2007GRC_Electric Rev Req Model (2009 GRC)  4" xfId="16540"/>
    <cellStyle name="_DEM-WP(C) Costs not in AURORA 2007GRC_Electric Rev Req Model (2009 GRC) _DEM-WP(C) ENERG10C--ctn Mid-C_042010 2010GRC" xfId="12587"/>
    <cellStyle name="_DEM-WP(C) Costs not in AURORA 2007GRC_Electric Rev Req Model (2009 GRC) _DEM-WP(C) ENERG10C--ctn Mid-C_042010 2010GRC 2" xfId="41229"/>
    <cellStyle name="_DEM-WP(C) Costs not in AURORA 2007GRC_Electric Rev Req Model (2009 GRC) Rebuttal" xfId="1331"/>
    <cellStyle name="_DEM-WP(C) Costs not in AURORA 2007GRC_Electric Rev Req Model (2009 GRC) Rebuttal 2" xfId="4703"/>
    <cellStyle name="_DEM-WP(C) Costs not in AURORA 2007GRC_Electric Rev Req Model (2009 GRC) Rebuttal 2 2" xfId="7203"/>
    <cellStyle name="_DEM-WP(C) Costs not in AURORA 2007GRC_Electric Rev Req Model (2009 GRC) Rebuttal 2 2 2" xfId="20701"/>
    <cellStyle name="_DEM-WP(C) Costs not in AURORA 2007GRC_Electric Rev Req Model (2009 GRC) Rebuttal 2 3" xfId="18435"/>
    <cellStyle name="_DEM-WP(C) Costs not in AURORA 2007GRC_Electric Rev Req Model (2009 GRC) Rebuttal 3" xfId="7204"/>
    <cellStyle name="_DEM-WP(C) Costs not in AURORA 2007GRC_Electric Rev Req Model (2009 GRC) Rebuttal 3 2" xfId="20702"/>
    <cellStyle name="_DEM-WP(C) Costs not in AURORA 2007GRC_Electric Rev Req Model (2009 GRC) Rebuttal 4" xfId="16542"/>
    <cellStyle name="_DEM-WP(C) Costs not in AURORA 2007GRC_Electric Rev Req Model (2009 GRC) Rebuttal REmoval of New  WH Solar AdjustMI" xfId="1332"/>
    <cellStyle name="_DEM-WP(C) Costs not in AURORA 2007GRC_Electric Rev Req Model (2009 GRC) Rebuttal REmoval of New  WH Solar AdjustMI 2" xfId="1333"/>
    <cellStyle name="_DEM-WP(C) Costs not in AURORA 2007GRC_Electric Rev Req Model (2009 GRC) Rebuttal REmoval of New  WH Solar AdjustMI 2 2" xfId="4705"/>
    <cellStyle name="_DEM-WP(C) Costs not in AURORA 2007GRC_Electric Rev Req Model (2009 GRC) Rebuttal REmoval of New  WH Solar AdjustMI 2 2 2" xfId="20703"/>
    <cellStyle name="_DEM-WP(C) Costs not in AURORA 2007GRC_Electric Rev Req Model (2009 GRC) Rebuttal REmoval of New  WH Solar AdjustMI 2 3" xfId="16544"/>
    <cellStyle name="_DEM-WP(C) Costs not in AURORA 2007GRC_Electric Rev Req Model (2009 GRC) Rebuttal REmoval of New  WH Solar AdjustMI 3" xfId="4704"/>
    <cellStyle name="_DEM-WP(C) Costs not in AURORA 2007GRC_Electric Rev Req Model (2009 GRC) Rebuttal REmoval of New  WH Solar AdjustMI 3 2" xfId="20704"/>
    <cellStyle name="_DEM-WP(C) Costs not in AURORA 2007GRC_Electric Rev Req Model (2009 GRC) Rebuttal REmoval of New  WH Solar AdjustMI 4" xfId="16543"/>
    <cellStyle name="_DEM-WP(C) Costs not in AURORA 2007GRC_Electric Rev Req Model (2009 GRC) Rebuttal REmoval of New  WH Solar AdjustMI_DEM-WP(C) ENERG10C--ctn Mid-C_042010 2010GRC" xfId="12588"/>
    <cellStyle name="_DEM-WP(C) Costs not in AURORA 2007GRC_Electric Rev Req Model (2009 GRC) Rebuttal REmoval of New  WH Solar AdjustMI_DEM-WP(C) ENERG10C--ctn Mid-C_042010 2010GRC 2" xfId="41230"/>
    <cellStyle name="_DEM-WP(C) Costs not in AURORA 2007GRC_Electric Rev Req Model (2009 GRC) Revised 01-18-2010" xfId="1334"/>
    <cellStyle name="_DEM-WP(C) Costs not in AURORA 2007GRC_Electric Rev Req Model (2009 GRC) Revised 01-18-2010 2" xfId="1335"/>
    <cellStyle name="_DEM-WP(C) Costs not in AURORA 2007GRC_Electric Rev Req Model (2009 GRC) Revised 01-18-2010 2 2" xfId="4707"/>
    <cellStyle name="_DEM-WP(C) Costs not in AURORA 2007GRC_Electric Rev Req Model (2009 GRC) Revised 01-18-2010 2 2 2" xfId="20705"/>
    <cellStyle name="_DEM-WP(C) Costs not in AURORA 2007GRC_Electric Rev Req Model (2009 GRC) Revised 01-18-2010 2 3" xfId="16546"/>
    <cellStyle name="_DEM-WP(C) Costs not in AURORA 2007GRC_Electric Rev Req Model (2009 GRC) Revised 01-18-2010 3" xfId="4706"/>
    <cellStyle name="_DEM-WP(C) Costs not in AURORA 2007GRC_Electric Rev Req Model (2009 GRC) Revised 01-18-2010 3 2" xfId="20706"/>
    <cellStyle name="_DEM-WP(C) Costs not in AURORA 2007GRC_Electric Rev Req Model (2009 GRC) Revised 01-18-2010 4" xfId="16545"/>
    <cellStyle name="_DEM-WP(C) Costs not in AURORA 2007GRC_Electric Rev Req Model (2009 GRC) Revised 01-18-2010_DEM-WP(C) ENERG10C--ctn Mid-C_042010 2010GRC" xfId="12589"/>
    <cellStyle name="_DEM-WP(C) Costs not in AURORA 2007GRC_Electric Rev Req Model (2009 GRC) Revised 01-18-2010_DEM-WP(C) ENERG10C--ctn Mid-C_042010 2010GRC 2" xfId="41231"/>
    <cellStyle name="_DEM-WP(C) Costs not in AURORA 2007GRC_Electric Rev Req Model (2010 GRC)" xfId="14260"/>
    <cellStyle name="_DEM-WP(C) Costs not in AURORA 2007GRC_Electric Rev Req Model (2010 GRC) 2" xfId="41232"/>
    <cellStyle name="_DEM-WP(C) Costs not in AURORA 2007GRC_Electric Rev Req Model (2010 GRC) SF" xfId="14261"/>
    <cellStyle name="_DEM-WP(C) Costs not in AURORA 2007GRC_Electric Rev Req Model (2010 GRC) SF 2" xfId="41233"/>
    <cellStyle name="_DEM-WP(C) Costs not in AURORA 2007GRC_Final Order Electric EXHIBIT A-1" xfId="1336"/>
    <cellStyle name="_DEM-WP(C) Costs not in AURORA 2007GRC_Final Order Electric EXHIBIT A-1 2" xfId="4708"/>
    <cellStyle name="_DEM-WP(C) Costs not in AURORA 2007GRC_Final Order Electric EXHIBIT A-1 2 2" xfId="7205"/>
    <cellStyle name="_DEM-WP(C) Costs not in AURORA 2007GRC_Final Order Electric EXHIBIT A-1 2 2 2" xfId="20707"/>
    <cellStyle name="_DEM-WP(C) Costs not in AURORA 2007GRC_Final Order Electric EXHIBIT A-1 2 3" xfId="18436"/>
    <cellStyle name="_DEM-WP(C) Costs not in AURORA 2007GRC_Final Order Electric EXHIBIT A-1 3" xfId="7206"/>
    <cellStyle name="_DEM-WP(C) Costs not in AURORA 2007GRC_Final Order Electric EXHIBIT A-1 3 2" xfId="20708"/>
    <cellStyle name="_DEM-WP(C) Costs not in AURORA 2007GRC_Final Order Electric EXHIBIT A-1 4" xfId="16547"/>
    <cellStyle name="_DEM-WP(C) Costs not in AURORA 2007GRC_NIM Summary" xfId="1337"/>
    <cellStyle name="_DEM-WP(C) Costs not in AURORA 2007GRC_NIM Summary 2" xfId="1338"/>
    <cellStyle name="_DEM-WP(C) Costs not in AURORA 2007GRC_NIM Summary 2 2" xfId="4710"/>
    <cellStyle name="_DEM-WP(C) Costs not in AURORA 2007GRC_NIM Summary 2 2 2" xfId="23997"/>
    <cellStyle name="_DEM-WP(C) Costs not in AURORA 2007GRC_NIM Summary 2 3" xfId="23998"/>
    <cellStyle name="_DEM-WP(C) Costs not in AURORA 2007GRC_NIM Summary 3" xfId="4709"/>
    <cellStyle name="_DEM-WP(C) Costs not in AURORA 2007GRC_NIM Summary 3 2" xfId="23999"/>
    <cellStyle name="_DEM-WP(C) Costs not in AURORA 2007GRC_NIM Summary 4" xfId="24000"/>
    <cellStyle name="_DEM-WP(C) Costs not in AURORA 2007GRC_NIM Summary_DEM-WP(C) ENERG10C--ctn Mid-C_042010 2010GRC" xfId="12590"/>
    <cellStyle name="_DEM-WP(C) Costs not in AURORA 2007GRC_NIM Summary_DEM-WP(C) ENERG10C--ctn Mid-C_042010 2010GRC 2" xfId="41234"/>
    <cellStyle name="_DEM-WP(C) Costs not in AURORA 2007GRC_NIM+O&amp;M Monthly" xfId="12591"/>
    <cellStyle name="_DEM-WP(C) Costs not in AURORA 2007GRC_NIM+O&amp;M Monthly 2" xfId="24001"/>
    <cellStyle name="_DEM-WP(C) Costs not in AURORA 2007GRC_NIM+O&amp;M Monthly 2 2" xfId="24002"/>
    <cellStyle name="_DEM-WP(C) Costs not in AURORA 2007GRC_NIM+O&amp;M Monthly 3" xfId="24003"/>
    <cellStyle name="_DEM-WP(C) Costs not in AURORA 2007GRC_Power Costs - Comparison bx Rbtl-Staff-Jt-PC" xfId="1339"/>
    <cellStyle name="_DEM-WP(C) Costs not in AURORA 2007GRC_Power Costs - Comparison bx Rbtl-Staff-Jt-PC 2" xfId="1340"/>
    <cellStyle name="_DEM-WP(C) Costs not in AURORA 2007GRC_Power Costs - Comparison bx Rbtl-Staff-Jt-PC 2 2" xfId="4712"/>
    <cellStyle name="_DEM-WP(C) Costs not in AURORA 2007GRC_Power Costs - Comparison bx Rbtl-Staff-Jt-PC 2 2 2" xfId="20709"/>
    <cellStyle name="_DEM-WP(C) Costs not in AURORA 2007GRC_Power Costs - Comparison bx Rbtl-Staff-Jt-PC 2 3" xfId="16549"/>
    <cellStyle name="_DEM-WP(C) Costs not in AURORA 2007GRC_Power Costs - Comparison bx Rbtl-Staff-Jt-PC 3" xfId="4711"/>
    <cellStyle name="_DEM-WP(C) Costs not in AURORA 2007GRC_Power Costs - Comparison bx Rbtl-Staff-Jt-PC 3 2" xfId="20710"/>
    <cellStyle name="_DEM-WP(C) Costs not in AURORA 2007GRC_Power Costs - Comparison bx Rbtl-Staff-Jt-PC 4" xfId="16548"/>
    <cellStyle name="_DEM-WP(C) Costs not in AURORA 2007GRC_Power Costs - Comparison bx Rbtl-Staff-Jt-PC_DEM-WP(C) ENERG10C--ctn Mid-C_042010 2010GRC" xfId="12592"/>
    <cellStyle name="_DEM-WP(C) Costs not in AURORA 2007GRC_Power Costs - Comparison bx Rbtl-Staff-Jt-PC_DEM-WP(C) ENERG10C--ctn Mid-C_042010 2010GRC 2" xfId="41235"/>
    <cellStyle name="_DEM-WP(C) Costs not in AURORA 2007GRC_Rebuttal Power Costs" xfId="1341"/>
    <cellStyle name="_DEM-WP(C) Costs not in AURORA 2007GRC_Rebuttal Power Costs 2" xfId="1342"/>
    <cellStyle name="_DEM-WP(C) Costs not in AURORA 2007GRC_Rebuttal Power Costs 2 2" xfId="4714"/>
    <cellStyle name="_DEM-WP(C) Costs not in AURORA 2007GRC_Rebuttal Power Costs 2 2 2" xfId="20711"/>
    <cellStyle name="_DEM-WP(C) Costs not in AURORA 2007GRC_Rebuttal Power Costs 2 3" xfId="16551"/>
    <cellStyle name="_DEM-WP(C) Costs not in AURORA 2007GRC_Rebuttal Power Costs 3" xfId="4713"/>
    <cellStyle name="_DEM-WP(C) Costs not in AURORA 2007GRC_Rebuttal Power Costs 3 2" xfId="20712"/>
    <cellStyle name="_DEM-WP(C) Costs not in AURORA 2007GRC_Rebuttal Power Costs 4" xfId="16550"/>
    <cellStyle name="_DEM-WP(C) Costs not in AURORA 2007GRC_Rebuttal Power Costs_DEM-WP(C) ENERG10C--ctn Mid-C_042010 2010GRC" xfId="12593"/>
    <cellStyle name="_DEM-WP(C) Costs not in AURORA 2007GRC_Rebuttal Power Costs_DEM-WP(C) ENERG10C--ctn Mid-C_042010 2010GRC 2" xfId="41236"/>
    <cellStyle name="_DEM-WP(C) Costs not in AURORA 2007GRC_TENASKA REGULATORY ASSET" xfId="1343"/>
    <cellStyle name="_DEM-WP(C) Costs not in AURORA 2007GRC_TENASKA REGULATORY ASSET 2" xfId="4715"/>
    <cellStyle name="_DEM-WP(C) Costs not in AURORA 2007GRC_TENASKA REGULATORY ASSET 2 2" xfId="7207"/>
    <cellStyle name="_DEM-WP(C) Costs not in AURORA 2007GRC_TENASKA REGULATORY ASSET 2 2 2" xfId="20713"/>
    <cellStyle name="_DEM-WP(C) Costs not in AURORA 2007GRC_TENASKA REGULATORY ASSET 2 3" xfId="18437"/>
    <cellStyle name="_DEM-WP(C) Costs not in AURORA 2007GRC_TENASKA REGULATORY ASSET 3" xfId="7208"/>
    <cellStyle name="_DEM-WP(C) Costs not in AURORA 2007GRC_TENASKA REGULATORY ASSET 3 2" xfId="20714"/>
    <cellStyle name="_DEM-WP(C) Costs not in AURORA 2007GRC_TENASKA REGULATORY ASSET 4" xfId="16552"/>
    <cellStyle name="_DEM-WP(C) Costs not in AURORA 2007PCORC" xfId="1344"/>
    <cellStyle name="_DEM-WP(C) Costs not in AURORA 2007PCORC 2" xfId="1345"/>
    <cellStyle name="_DEM-WP(C) Costs not in AURORA 2007PCORC 2 2" xfId="4717"/>
    <cellStyle name="_DEM-WP(C) Costs not in AURORA 2007PCORC 2 2 2" xfId="24004"/>
    <cellStyle name="_DEM-WP(C) Costs not in AURORA 2007PCORC 2 3" xfId="24005"/>
    <cellStyle name="_DEM-WP(C) Costs not in AURORA 2007PCORC 3" xfId="4716"/>
    <cellStyle name="_DEM-WP(C) Costs not in AURORA 2007PCORC 3 2" xfId="24006"/>
    <cellStyle name="_DEM-WP(C) Costs not in AURORA 2007PCORC 4" xfId="24007"/>
    <cellStyle name="_DEM-WP(C) Costs not in AURORA 2007PCORC_Chelan PUD Power Costs (8-10)" xfId="12594"/>
    <cellStyle name="_DEM-WP(C) Costs not in AURORA 2007PCORC_Chelan PUD Power Costs (8-10) 2" xfId="24008"/>
    <cellStyle name="_DEM-WP(C) Costs not in AURORA 2007PCORC_DEM-WP(C) ENERG10C--ctn Mid-C_042010 2010GRC" xfId="12595"/>
    <cellStyle name="_DEM-WP(C) Costs not in AURORA 2007PCORC_DEM-WP(C) ENERG10C--ctn Mid-C_042010 2010GRC 2" xfId="41237"/>
    <cellStyle name="_DEM-WP(C) Costs not in AURORA 2007PCORC_NIM Summary" xfId="1346"/>
    <cellStyle name="_DEM-WP(C) Costs not in AURORA 2007PCORC_NIM Summary 2" xfId="1347"/>
    <cellStyle name="_DEM-WP(C) Costs not in AURORA 2007PCORC_NIM Summary 2 2" xfId="4719"/>
    <cellStyle name="_DEM-WP(C) Costs not in AURORA 2007PCORC_NIM Summary 2 2 2" xfId="24009"/>
    <cellStyle name="_DEM-WP(C) Costs not in AURORA 2007PCORC_NIM Summary 2 3" xfId="24010"/>
    <cellStyle name="_DEM-WP(C) Costs not in AURORA 2007PCORC_NIM Summary 3" xfId="4718"/>
    <cellStyle name="_DEM-WP(C) Costs not in AURORA 2007PCORC_NIM Summary 3 2" xfId="24011"/>
    <cellStyle name="_DEM-WP(C) Costs not in AURORA 2007PCORC_NIM Summary 4" xfId="24012"/>
    <cellStyle name="_DEM-WP(C) Costs not in AURORA 2007PCORC_NIM Summary_DEM-WP(C) ENERG10C--ctn Mid-C_042010 2010GRC" xfId="12596"/>
    <cellStyle name="_DEM-WP(C) Costs not in AURORA 2007PCORC_NIM Summary_DEM-WP(C) ENERG10C--ctn Mid-C_042010 2010GRC 2" xfId="41238"/>
    <cellStyle name="_DEM-WP(C) Costs not in AURORA 2007PCORC-5.07Update" xfId="1348"/>
    <cellStyle name="_DEM-WP(C) Costs not in AURORA 2007PCORC-5.07Update 2" xfId="1349"/>
    <cellStyle name="_DEM-WP(C) Costs not in AURORA 2007PCORC-5.07Update 2 2" xfId="4721"/>
    <cellStyle name="_DEM-WP(C) Costs not in AURORA 2007PCORC-5.07Update 2 2 2" xfId="20715"/>
    <cellStyle name="_DEM-WP(C) Costs not in AURORA 2007PCORC-5.07Update 2 2 2 2" xfId="24013"/>
    <cellStyle name="_DEM-WP(C) Costs not in AURORA 2007PCORC-5.07Update 2 2 3" xfId="24014"/>
    <cellStyle name="_DEM-WP(C) Costs not in AURORA 2007PCORC-5.07Update 2 3" xfId="16554"/>
    <cellStyle name="_DEM-WP(C) Costs not in AURORA 2007PCORC-5.07Update 2 3 2" xfId="24015"/>
    <cellStyle name="_DEM-WP(C) Costs not in AURORA 2007PCORC-5.07Update 2 4" xfId="24016"/>
    <cellStyle name="_DEM-WP(C) Costs not in AURORA 2007PCORC-5.07Update 3" xfId="4720"/>
    <cellStyle name="_DEM-WP(C) Costs not in AURORA 2007PCORC-5.07Update 3 2" xfId="20716"/>
    <cellStyle name="_DEM-WP(C) Costs not in AURORA 2007PCORC-5.07Update 3 2 2" xfId="24017"/>
    <cellStyle name="_DEM-WP(C) Costs not in AURORA 2007PCORC-5.07Update 4" xfId="16553"/>
    <cellStyle name="_DEM-WP(C) Costs not in AURORA 2007PCORC-5.07Update 4 2" xfId="24018"/>
    <cellStyle name="_DEM-WP(C) Costs not in AURORA 2007PCORC-5.07Update 4 3" xfId="24019"/>
    <cellStyle name="_DEM-WP(C) Costs not in AURORA 2007PCORC-5.07Update 5" xfId="24020"/>
    <cellStyle name="_DEM-WP(C) Costs not in AURORA 2007PCORC-5.07Update 5 2" xfId="24021"/>
    <cellStyle name="_DEM-WP(C) Costs not in AURORA 2007PCORC-5.07Update 6" xfId="24022"/>
    <cellStyle name="_DEM-WP(C) Costs not in AURORA 2007PCORC-5.07Update 6 2" xfId="24023"/>
    <cellStyle name="_DEM-WP(C) Costs not in AURORA 2007PCORC-5.07Update_16.37E Wild Horse Expansion DeferralRevwrkingfile SF" xfId="1350"/>
    <cellStyle name="_DEM-WP(C) Costs not in AURORA 2007PCORC-5.07Update_16.37E Wild Horse Expansion DeferralRevwrkingfile SF 2" xfId="1351"/>
    <cellStyle name="_DEM-WP(C) Costs not in AURORA 2007PCORC-5.07Update_16.37E Wild Horse Expansion DeferralRevwrkingfile SF 2 2" xfId="4723"/>
    <cellStyle name="_DEM-WP(C) Costs not in AURORA 2007PCORC-5.07Update_16.37E Wild Horse Expansion DeferralRevwrkingfile SF 2 2 2" xfId="20717"/>
    <cellStyle name="_DEM-WP(C) Costs not in AURORA 2007PCORC-5.07Update_16.37E Wild Horse Expansion DeferralRevwrkingfile SF 2 3" xfId="16556"/>
    <cellStyle name="_DEM-WP(C) Costs not in AURORA 2007PCORC-5.07Update_16.37E Wild Horse Expansion DeferralRevwrkingfile SF 3" xfId="4722"/>
    <cellStyle name="_DEM-WP(C) Costs not in AURORA 2007PCORC-5.07Update_16.37E Wild Horse Expansion DeferralRevwrkingfile SF 3 2" xfId="20718"/>
    <cellStyle name="_DEM-WP(C) Costs not in AURORA 2007PCORC-5.07Update_16.37E Wild Horse Expansion DeferralRevwrkingfile SF 4" xfId="16555"/>
    <cellStyle name="_DEM-WP(C) Costs not in AURORA 2007PCORC-5.07Update_16.37E Wild Horse Expansion DeferralRevwrkingfile SF_DEM-WP(C) ENERG10C--ctn Mid-C_042010 2010GRC" xfId="12597"/>
    <cellStyle name="_DEM-WP(C) Costs not in AURORA 2007PCORC-5.07Update_16.37E Wild Horse Expansion DeferralRevwrkingfile SF_DEM-WP(C) ENERG10C--ctn Mid-C_042010 2010GRC 2" xfId="41239"/>
    <cellStyle name="_DEM-WP(C) Costs not in AURORA 2007PCORC-5.07Update_2009 GRC Compl Filing - Exhibit D" xfId="1352"/>
    <cellStyle name="_DEM-WP(C) Costs not in AURORA 2007PCORC-5.07Update_2009 GRC Compl Filing - Exhibit D 2" xfId="1353"/>
    <cellStyle name="_DEM-WP(C) Costs not in AURORA 2007PCORC-5.07Update_2009 GRC Compl Filing - Exhibit D 2 2" xfId="4725"/>
    <cellStyle name="_DEM-WP(C) Costs not in AURORA 2007PCORC-5.07Update_2009 GRC Compl Filing - Exhibit D 2 2 2" xfId="24024"/>
    <cellStyle name="_DEM-WP(C) Costs not in AURORA 2007PCORC-5.07Update_2009 GRC Compl Filing - Exhibit D 2 3" xfId="24025"/>
    <cellStyle name="_DEM-WP(C) Costs not in AURORA 2007PCORC-5.07Update_2009 GRC Compl Filing - Exhibit D 3" xfId="4724"/>
    <cellStyle name="_DEM-WP(C) Costs not in AURORA 2007PCORC-5.07Update_2009 GRC Compl Filing - Exhibit D 3 2" xfId="24026"/>
    <cellStyle name="_DEM-WP(C) Costs not in AURORA 2007PCORC-5.07Update_2009 GRC Compl Filing - Exhibit D 4" xfId="24027"/>
    <cellStyle name="_DEM-WP(C) Costs not in AURORA 2007PCORC-5.07Update_2009 GRC Compl Filing - Exhibit D_DEM-WP(C) ENERG10C--ctn Mid-C_042010 2010GRC" xfId="12598"/>
    <cellStyle name="_DEM-WP(C) Costs not in AURORA 2007PCORC-5.07Update_2009 GRC Compl Filing - Exhibit D_DEM-WP(C) ENERG10C--ctn Mid-C_042010 2010GRC 2" xfId="41240"/>
    <cellStyle name="_DEM-WP(C) Costs not in AURORA 2007PCORC-5.07Update_Adj Bench DR 3 for Initial Briefs (Electric)" xfId="1354"/>
    <cellStyle name="_DEM-WP(C) Costs not in AURORA 2007PCORC-5.07Update_Adj Bench DR 3 for Initial Briefs (Electric) 2" xfId="1355"/>
    <cellStyle name="_DEM-WP(C) Costs not in AURORA 2007PCORC-5.07Update_Adj Bench DR 3 for Initial Briefs (Electric) 2 2" xfId="4727"/>
    <cellStyle name="_DEM-WP(C) Costs not in AURORA 2007PCORC-5.07Update_Adj Bench DR 3 for Initial Briefs (Electric) 2 2 2" xfId="20719"/>
    <cellStyle name="_DEM-WP(C) Costs not in AURORA 2007PCORC-5.07Update_Adj Bench DR 3 for Initial Briefs (Electric) 2 3" xfId="16558"/>
    <cellStyle name="_DEM-WP(C) Costs not in AURORA 2007PCORC-5.07Update_Adj Bench DR 3 for Initial Briefs (Electric) 3" xfId="4726"/>
    <cellStyle name="_DEM-WP(C) Costs not in AURORA 2007PCORC-5.07Update_Adj Bench DR 3 for Initial Briefs (Electric) 3 2" xfId="20720"/>
    <cellStyle name="_DEM-WP(C) Costs not in AURORA 2007PCORC-5.07Update_Adj Bench DR 3 for Initial Briefs (Electric) 4" xfId="16557"/>
    <cellStyle name="_DEM-WP(C) Costs not in AURORA 2007PCORC-5.07Update_Adj Bench DR 3 for Initial Briefs (Electric)_DEM-WP(C) ENERG10C--ctn Mid-C_042010 2010GRC" xfId="12599"/>
    <cellStyle name="_DEM-WP(C) Costs not in AURORA 2007PCORC-5.07Update_Adj Bench DR 3 for Initial Briefs (Electric)_DEM-WP(C) ENERG10C--ctn Mid-C_042010 2010GRC 2" xfId="41241"/>
    <cellStyle name="_DEM-WP(C) Costs not in AURORA 2007PCORC-5.07Update_Book1" xfId="12600"/>
    <cellStyle name="_DEM-WP(C) Costs not in AURORA 2007PCORC-5.07Update_Book1 2" xfId="24028"/>
    <cellStyle name="_DEM-WP(C) Costs not in AURORA 2007PCORC-5.07Update_Book2" xfId="1356"/>
    <cellStyle name="_DEM-WP(C) Costs not in AURORA 2007PCORC-5.07Update_Book2 2" xfId="1357"/>
    <cellStyle name="_DEM-WP(C) Costs not in AURORA 2007PCORC-5.07Update_Book2 2 2" xfId="4729"/>
    <cellStyle name="_DEM-WP(C) Costs not in AURORA 2007PCORC-5.07Update_Book2 2 2 2" xfId="20721"/>
    <cellStyle name="_DEM-WP(C) Costs not in AURORA 2007PCORC-5.07Update_Book2 2 3" xfId="16560"/>
    <cellStyle name="_DEM-WP(C) Costs not in AURORA 2007PCORC-5.07Update_Book2 3" xfId="4728"/>
    <cellStyle name="_DEM-WP(C) Costs not in AURORA 2007PCORC-5.07Update_Book2 3 2" xfId="20722"/>
    <cellStyle name="_DEM-WP(C) Costs not in AURORA 2007PCORC-5.07Update_Book2 4" xfId="16559"/>
    <cellStyle name="_DEM-WP(C) Costs not in AURORA 2007PCORC-5.07Update_Book2_DEM-WP(C) ENERG10C--ctn Mid-C_042010 2010GRC" xfId="12601"/>
    <cellStyle name="_DEM-WP(C) Costs not in AURORA 2007PCORC-5.07Update_Book2_DEM-WP(C) ENERG10C--ctn Mid-C_042010 2010GRC 2" xfId="41242"/>
    <cellStyle name="_DEM-WP(C) Costs not in AURORA 2007PCORC-5.07Update_Book4" xfId="1358"/>
    <cellStyle name="_DEM-WP(C) Costs not in AURORA 2007PCORC-5.07Update_Book4 2" xfId="1359"/>
    <cellStyle name="_DEM-WP(C) Costs not in AURORA 2007PCORC-5.07Update_Book4 2 2" xfId="4731"/>
    <cellStyle name="_DEM-WP(C) Costs not in AURORA 2007PCORC-5.07Update_Book4 2 2 2" xfId="20723"/>
    <cellStyle name="_DEM-WP(C) Costs not in AURORA 2007PCORC-5.07Update_Book4 2 3" xfId="16562"/>
    <cellStyle name="_DEM-WP(C) Costs not in AURORA 2007PCORC-5.07Update_Book4 3" xfId="4730"/>
    <cellStyle name="_DEM-WP(C) Costs not in AURORA 2007PCORC-5.07Update_Book4 3 2" xfId="20724"/>
    <cellStyle name="_DEM-WP(C) Costs not in AURORA 2007PCORC-5.07Update_Book4 4" xfId="16561"/>
    <cellStyle name="_DEM-WP(C) Costs not in AURORA 2007PCORC-5.07Update_Book4_DEM-WP(C) ENERG10C--ctn Mid-C_042010 2010GRC" xfId="12602"/>
    <cellStyle name="_DEM-WP(C) Costs not in AURORA 2007PCORC-5.07Update_Book4_DEM-WP(C) ENERG10C--ctn Mid-C_042010 2010GRC 2" xfId="41243"/>
    <cellStyle name="_DEM-WP(C) Costs not in AURORA 2007PCORC-5.07Update_Chelan PUD Power Costs (8-10)" xfId="12603"/>
    <cellStyle name="_DEM-WP(C) Costs not in AURORA 2007PCORC-5.07Update_Chelan PUD Power Costs (8-10) 2" xfId="24029"/>
    <cellStyle name="_DEM-WP(C) Costs not in AURORA 2007PCORC-5.07Update_Colstrip 1&amp;2 Annual O&amp;M Budgets" xfId="24030"/>
    <cellStyle name="_DEM-WP(C) Costs not in AURORA 2007PCORC-5.07Update_Confidential Material" xfId="12604"/>
    <cellStyle name="_DEM-WP(C) Costs not in AURORA 2007PCORC-5.07Update_Confidential Material 2" xfId="24031"/>
    <cellStyle name="_DEM-WP(C) Costs not in AURORA 2007PCORC-5.07Update_DEM-WP(C) Colstrip 12 Coal Cost Forecast 2010GRC" xfId="12605"/>
    <cellStyle name="_DEM-WP(C) Costs not in AURORA 2007PCORC-5.07Update_DEM-WP(C) Colstrip 12 Coal Cost Forecast 2010GRC 2" xfId="24032"/>
    <cellStyle name="_DEM-WP(C) Costs not in AURORA 2007PCORC-5.07Update_DEM-WP(C) ENERG10C--ctn Mid-C_042010 2010GRC" xfId="12606"/>
    <cellStyle name="_DEM-WP(C) Costs not in AURORA 2007PCORC-5.07Update_DEM-WP(C) ENERG10C--ctn Mid-C_042010 2010GRC 2" xfId="41244"/>
    <cellStyle name="_DEM-WP(C) Costs not in AURORA 2007PCORC-5.07Update_DEM-WP(C) Production O&amp;M 2009GRC Rebuttal" xfId="1360"/>
    <cellStyle name="_DEM-WP(C) Costs not in AURORA 2007PCORC-5.07Update_DEM-WP(C) Production O&amp;M 2009GRC Rebuttal 2" xfId="1361"/>
    <cellStyle name="_DEM-WP(C) Costs not in AURORA 2007PCORC-5.07Update_DEM-WP(C) Production O&amp;M 2009GRC Rebuttal 2 2" xfId="4733"/>
    <cellStyle name="_DEM-WP(C) Costs not in AURORA 2007PCORC-5.07Update_DEM-WP(C) Production O&amp;M 2009GRC Rebuttal 2 2 2" xfId="20725"/>
    <cellStyle name="_DEM-WP(C) Costs not in AURORA 2007PCORC-5.07Update_DEM-WP(C) Production O&amp;M 2009GRC Rebuttal 2 3" xfId="16564"/>
    <cellStyle name="_DEM-WP(C) Costs not in AURORA 2007PCORC-5.07Update_DEM-WP(C) Production O&amp;M 2009GRC Rebuttal 3" xfId="4732"/>
    <cellStyle name="_DEM-WP(C) Costs not in AURORA 2007PCORC-5.07Update_DEM-WP(C) Production O&amp;M 2009GRC Rebuttal 3 2" xfId="20726"/>
    <cellStyle name="_DEM-WP(C) Costs not in AURORA 2007PCORC-5.07Update_DEM-WP(C) Production O&amp;M 2009GRC Rebuttal 4" xfId="16563"/>
    <cellStyle name="_DEM-WP(C) Costs not in AURORA 2007PCORC-5.07Update_DEM-WP(C) Production O&amp;M 2009GRC Rebuttal_Adj Bench DR 3 for Initial Briefs (Electric)" xfId="1362"/>
    <cellStyle name="_DEM-WP(C) Costs not in AURORA 2007PCORC-5.07Update_DEM-WP(C) Production O&amp;M 2009GRC Rebuttal_Adj Bench DR 3 for Initial Briefs (Electric) 2" xfId="1363"/>
    <cellStyle name="_DEM-WP(C) Costs not in AURORA 2007PCORC-5.07Update_DEM-WP(C) Production O&amp;M 2009GRC Rebuttal_Adj Bench DR 3 for Initial Briefs (Electric) 2 2" xfId="4735"/>
    <cellStyle name="_DEM-WP(C) Costs not in AURORA 2007PCORC-5.07Update_DEM-WP(C) Production O&amp;M 2009GRC Rebuttal_Adj Bench DR 3 for Initial Briefs (Electric) 2 2 2" xfId="20727"/>
    <cellStyle name="_DEM-WP(C) Costs not in AURORA 2007PCORC-5.07Update_DEM-WP(C) Production O&amp;M 2009GRC Rebuttal_Adj Bench DR 3 for Initial Briefs (Electric) 2 3" xfId="16566"/>
    <cellStyle name="_DEM-WP(C) Costs not in AURORA 2007PCORC-5.07Update_DEM-WP(C) Production O&amp;M 2009GRC Rebuttal_Adj Bench DR 3 for Initial Briefs (Electric) 3" xfId="4734"/>
    <cellStyle name="_DEM-WP(C) Costs not in AURORA 2007PCORC-5.07Update_DEM-WP(C) Production O&amp;M 2009GRC Rebuttal_Adj Bench DR 3 for Initial Briefs (Electric) 3 2" xfId="20728"/>
    <cellStyle name="_DEM-WP(C) Costs not in AURORA 2007PCORC-5.07Update_DEM-WP(C) Production O&amp;M 2009GRC Rebuttal_Adj Bench DR 3 for Initial Briefs (Electric) 4" xfId="16565"/>
    <cellStyle name="_DEM-WP(C) Costs not in AURORA 2007PCORC-5.07Update_DEM-WP(C) Production O&amp;M 2009GRC Rebuttal_Adj Bench DR 3 for Initial Briefs (Electric)_DEM-WP(C) ENERG10C--ctn Mid-C_042010 2010GRC" xfId="12607"/>
    <cellStyle name="_DEM-WP(C) Costs not in AURORA 2007PCORC-5.07Update_DEM-WP(C) Production O&amp;M 2009GRC Rebuttal_Adj Bench DR 3 for Initial Briefs (Electric)_DEM-WP(C) ENERG10C--ctn Mid-C_042010 2010GRC 2" xfId="41245"/>
    <cellStyle name="_DEM-WP(C) Costs not in AURORA 2007PCORC-5.07Update_DEM-WP(C) Production O&amp;M 2009GRC Rebuttal_Book2" xfId="1364"/>
    <cellStyle name="_DEM-WP(C) Costs not in AURORA 2007PCORC-5.07Update_DEM-WP(C) Production O&amp;M 2009GRC Rebuttal_Book2 2" xfId="1365"/>
    <cellStyle name="_DEM-WP(C) Costs not in AURORA 2007PCORC-5.07Update_DEM-WP(C) Production O&amp;M 2009GRC Rebuttal_Book2 2 2" xfId="4737"/>
    <cellStyle name="_DEM-WP(C) Costs not in AURORA 2007PCORC-5.07Update_DEM-WP(C) Production O&amp;M 2009GRC Rebuttal_Book2 2 2 2" xfId="20729"/>
    <cellStyle name="_DEM-WP(C) Costs not in AURORA 2007PCORC-5.07Update_DEM-WP(C) Production O&amp;M 2009GRC Rebuttal_Book2 2 3" xfId="16568"/>
    <cellStyle name="_DEM-WP(C) Costs not in AURORA 2007PCORC-5.07Update_DEM-WP(C) Production O&amp;M 2009GRC Rebuttal_Book2 3" xfId="4736"/>
    <cellStyle name="_DEM-WP(C) Costs not in AURORA 2007PCORC-5.07Update_DEM-WP(C) Production O&amp;M 2009GRC Rebuttal_Book2 3 2" xfId="20730"/>
    <cellStyle name="_DEM-WP(C) Costs not in AURORA 2007PCORC-5.07Update_DEM-WP(C) Production O&amp;M 2009GRC Rebuttal_Book2 4" xfId="16567"/>
    <cellStyle name="_DEM-WP(C) Costs not in AURORA 2007PCORC-5.07Update_DEM-WP(C) Production O&amp;M 2009GRC Rebuttal_Book2_Adj Bench DR 3 for Initial Briefs (Electric)" xfId="1366"/>
    <cellStyle name="_DEM-WP(C) Costs not in AURORA 2007PCORC-5.07Update_DEM-WP(C) Production O&amp;M 2009GRC Rebuttal_Book2_Adj Bench DR 3 for Initial Briefs (Electric) 2" xfId="1367"/>
    <cellStyle name="_DEM-WP(C) Costs not in AURORA 2007PCORC-5.07Update_DEM-WP(C) Production O&amp;M 2009GRC Rebuttal_Book2_Adj Bench DR 3 for Initial Briefs (Electric) 2 2" xfId="4739"/>
    <cellStyle name="_DEM-WP(C) Costs not in AURORA 2007PCORC-5.07Update_DEM-WP(C) Production O&amp;M 2009GRC Rebuttal_Book2_Adj Bench DR 3 for Initial Briefs (Electric) 2 2 2" xfId="20731"/>
    <cellStyle name="_DEM-WP(C) Costs not in AURORA 2007PCORC-5.07Update_DEM-WP(C) Production O&amp;M 2009GRC Rebuttal_Book2_Adj Bench DR 3 for Initial Briefs (Electric) 2 3" xfId="16570"/>
    <cellStyle name="_DEM-WP(C) Costs not in AURORA 2007PCORC-5.07Update_DEM-WP(C) Production O&amp;M 2009GRC Rebuttal_Book2_Adj Bench DR 3 for Initial Briefs (Electric) 3" xfId="4738"/>
    <cellStyle name="_DEM-WP(C) Costs not in AURORA 2007PCORC-5.07Update_DEM-WP(C) Production O&amp;M 2009GRC Rebuttal_Book2_Adj Bench DR 3 for Initial Briefs (Electric) 3 2" xfId="20732"/>
    <cellStyle name="_DEM-WP(C) Costs not in AURORA 2007PCORC-5.07Update_DEM-WP(C) Production O&amp;M 2009GRC Rebuttal_Book2_Adj Bench DR 3 for Initial Briefs (Electric) 4" xfId="16569"/>
    <cellStyle name="_DEM-WP(C) Costs not in AURORA 2007PCORC-5.07Update_DEM-WP(C) Production O&amp;M 2009GRC Rebuttal_Book2_Adj Bench DR 3 for Initial Briefs (Electric)_DEM-WP(C) ENERG10C--ctn Mid-C_042010 2010GRC" xfId="12608"/>
    <cellStyle name="_DEM-WP(C) Costs not in AURORA 2007PCORC-5.07Update_DEM-WP(C) Production O&amp;M 2009GRC Rebuttal_Book2_Adj Bench DR 3 for Initial Briefs (Electric)_DEM-WP(C) ENERG10C--ctn Mid-C_042010 2010GRC 2" xfId="41246"/>
    <cellStyle name="_DEM-WP(C) Costs not in AURORA 2007PCORC-5.07Update_DEM-WP(C) Production O&amp;M 2009GRC Rebuttal_Book2_DEM-WP(C) ENERG10C--ctn Mid-C_042010 2010GRC" xfId="12609"/>
    <cellStyle name="_DEM-WP(C) Costs not in AURORA 2007PCORC-5.07Update_DEM-WP(C) Production O&amp;M 2009GRC Rebuttal_Book2_DEM-WP(C) ENERG10C--ctn Mid-C_042010 2010GRC 2" xfId="41247"/>
    <cellStyle name="_DEM-WP(C) Costs not in AURORA 2007PCORC-5.07Update_DEM-WP(C) Production O&amp;M 2009GRC Rebuttal_Book2_Electric Rev Req Model (2009 GRC) Rebuttal" xfId="1368"/>
    <cellStyle name="_DEM-WP(C) Costs not in AURORA 2007PCORC-5.07Update_DEM-WP(C) Production O&amp;M 2009GRC Rebuttal_Book2_Electric Rev Req Model (2009 GRC) Rebuttal 2" xfId="4740"/>
    <cellStyle name="_DEM-WP(C) Costs not in AURORA 2007PCORC-5.07Update_DEM-WP(C) Production O&amp;M 2009GRC Rebuttal_Book2_Electric Rev Req Model (2009 GRC) Rebuttal 2 2" xfId="7209"/>
    <cellStyle name="_DEM-WP(C) Costs not in AURORA 2007PCORC-5.07Update_DEM-WP(C) Production O&amp;M 2009GRC Rebuttal_Book2_Electric Rev Req Model (2009 GRC) Rebuttal 2 2 2" xfId="20733"/>
    <cellStyle name="_DEM-WP(C) Costs not in AURORA 2007PCORC-5.07Update_DEM-WP(C) Production O&amp;M 2009GRC Rebuttal_Book2_Electric Rev Req Model (2009 GRC) Rebuttal 2 3" xfId="18438"/>
    <cellStyle name="_DEM-WP(C) Costs not in AURORA 2007PCORC-5.07Update_DEM-WP(C) Production O&amp;M 2009GRC Rebuttal_Book2_Electric Rev Req Model (2009 GRC) Rebuttal 3" xfId="7210"/>
    <cellStyle name="_DEM-WP(C) Costs not in AURORA 2007PCORC-5.07Update_DEM-WP(C) Production O&amp;M 2009GRC Rebuttal_Book2_Electric Rev Req Model (2009 GRC) Rebuttal 3 2" xfId="20734"/>
    <cellStyle name="_DEM-WP(C) Costs not in AURORA 2007PCORC-5.07Update_DEM-WP(C) Production O&amp;M 2009GRC Rebuttal_Book2_Electric Rev Req Model (2009 GRC) Rebuttal 4" xfId="16571"/>
    <cellStyle name="_DEM-WP(C) Costs not in AURORA 2007PCORC-5.07Update_DEM-WP(C) Production O&amp;M 2009GRC Rebuttal_Book2_Electric Rev Req Model (2009 GRC) Rebuttal REmoval of New  WH Solar AdjustMI" xfId="1369"/>
    <cellStyle name="_DEM-WP(C) Costs not in AURORA 2007PCORC-5.07Update_DEM-WP(C) Production O&amp;M 2009GRC Rebuttal_Book2_Electric Rev Req Model (2009 GRC) Rebuttal REmoval of New  WH Solar AdjustMI 2" xfId="1370"/>
    <cellStyle name="_DEM-WP(C) Costs not in AURORA 2007PCORC-5.07Update_DEM-WP(C) Production O&amp;M 2009GRC Rebuttal_Book2_Electric Rev Req Model (2009 GRC) Rebuttal REmoval of New  WH Solar AdjustMI 2 2" xfId="4742"/>
    <cellStyle name="_DEM-WP(C) Costs not in AURORA 2007PCORC-5.07Update_DEM-WP(C) Production O&amp;M 2009GRC Rebuttal_Book2_Electric Rev Req Model (2009 GRC) Rebuttal REmoval of New  WH Solar AdjustMI 2 2 2" xfId="20735"/>
    <cellStyle name="_DEM-WP(C) Costs not in AURORA 2007PCORC-5.07Update_DEM-WP(C) Production O&amp;M 2009GRC Rebuttal_Book2_Electric Rev Req Model (2009 GRC) Rebuttal REmoval of New  WH Solar AdjustMI 2 3" xfId="16573"/>
    <cellStyle name="_DEM-WP(C) Costs not in AURORA 2007PCORC-5.07Update_DEM-WP(C) Production O&amp;M 2009GRC Rebuttal_Book2_Electric Rev Req Model (2009 GRC) Rebuttal REmoval of New  WH Solar AdjustMI 3" xfId="4741"/>
    <cellStyle name="_DEM-WP(C) Costs not in AURORA 2007PCORC-5.07Update_DEM-WP(C) Production O&amp;M 2009GRC Rebuttal_Book2_Electric Rev Req Model (2009 GRC) Rebuttal REmoval of New  WH Solar AdjustMI 3 2" xfId="20736"/>
    <cellStyle name="_DEM-WP(C) Costs not in AURORA 2007PCORC-5.07Update_DEM-WP(C) Production O&amp;M 2009GRC Rebuttal_Book2_Electric Rev Req Model (2009 GRC) Rebuttal REmoval of New  WH Solar AdjustMI 4" xfId="16572"/>
    <cellStyle name="_DEM-WP(C) Costs not in AURORA 2007PCORC-5.07Update_DEM-WP(C) Production O&amp;M 2009GRC Rebuttal_Book2_Electric Rev Req Model (2009 GRC) Rebuttal REmoval of New  WH Solar AdjustMI_DEM-WP(C) ENERG10C--ctn Mid-C_042010 2010GRC" xfId="12610"/>
    <cellStyle name="_DEM-WP(C) Costs not in AURORA 2007PCORC-5.07Update_DEM-WP(C) Production O&amp;M 2009GRC Rebuttal_Book2_Electric Rev Req Model (2009 GRC) Rebuttal REmoval of New  WH Solar AdjustMI_DEM-WP(C) ENERG10C--ctn Mid-C_042010 2010GRC 2" xfId="41248"/>
    <cellStyle name="_DEM-WP(C) Costs not in AURORA 2007PCORC-5.07Update_DEM-WP(C) Production O&amp;M 2009GRC Rebuttal_Book2_Electric Rev Req Model (2009 GRC) Revised 01-18-2010" xfId="1371"/>
    <cellStyle name="_DEM-WP(C) Costs not in AURORA 2007PCORC-5.07Update_DEM-WP(C) Production O&amp;M 2009GRC Rebuttal_Book2_Electric Rev Req Model (2009 GRC) Revised 01-18-2010 2" xfId="1372"/>
    <cellStyle name="_DEM-WP(C) Costs not in AURORA 2007PCORC-5.07Update_DEM-WP(C) Production O&amp;M 2009GRC Rebuttal_Book2_Electric Rev Req Model (2009 GRC) Revised 01-18-2010 2 2" xfId="4744"/>
    <cellStyle name="_DEM-WP(C) Costs not in AURORA 2007PCORC-5.07Update_DEM-WP(C) Production O&amp;M 2009GRC Rebuttal_Book2_Electric Rev Req Model (2009 GRC) Revised 01-18-2010 2 2 2" xfId="20737"/>
    <cellStyle name="_DEM-WP(C) Costs not in AURORA 2007PCORC-5.07Update_DEM-WP(C) Production O&amp;M 2009GRC Rebuttal_Book2_Electric Rev Req Model (2009 GRC) Revised 01-18-2010 2 3" xfId="16575"/>
    <cellStyle name="_DEM-WP(C) Costs not in AURORA 2007PCORC-5.07Update_DEM-WP(C) Production O&amp;M 2009GRC Rebuttal_Book2_Electric Rev Req Model (2009 GRC) Revised 01-18-2010 3" xfId="4743"/>
    <cellStyle name="_DEM-WP(C) Costs not in AURORA 2007PCORC-5.07Update_DEM-WP(C) Production O&amp;M 2009GRC Rebuttal_Book2_Electric Rev Req Model (2009 GRC) Revised 01-18-2010 3 2" xfId="20738"/>
    <cellStyle name="_DEM-WP(C) Costs not in AURORA 2007PCORC-5.07Update_DEM-WP(C) Production O&amp;M 2009GRC Rebuttal_Book2_Electric Rev Req Model (2009 GRC) Revised 01-18-2010 4" xfId="16574"/>
    <cellStyle name="_DEM-WP(C) Costs not in AURORA 2007PCORC-5.07Update_DEM-WP(C) Production O&amp;M 2009GRC Rebuttal_Book2_Electric Rev Req Model (2009 GRC) Revised 01-18-2010_DEM-WP(C) ENERG10C--ctn Mid-C_042010 2010GRC" xfId="12611"/>
    <cellStyle name="_DEM-WP(C) Costs not in AURORA 2007PCORC-5.07Update_DEM-WP(C) Production O&amp;M 2009GRC Rebuttal_Book2_Electric Rev Req Model (2009 GRC) Revised 01-18-2010_DEM-WP(C) ENERG10C--ctn Mid-C_042010 2010GRC 2" xfId="41249"/>
    <cellStyle name="_DEM-WP(C) Costs not in AURORA 2007PCORC-5.07Update_DEM-WP(C) Production O&amp;M 2009GRC Rebuttal_Book2_Final Order Electric EXHIBIT A-1" xfId="1373"/>
    <cellStyle name="_DEM-WP(C) Costs not in AURORA 2007PCORC-5.07Update_DEM-WP(C) Production O&amp;M 2009GRC Rebuttal_Book2_Final Order Electric EXHIBIT A-1 2" xfId="4745"/>
    <cellStyle name="_DEM-WP(C) Costs not in AURORA 2007PCORC-5.07Update_DEM-WP(C) Production O&amp;M 2009GRC Rebuttal_Book2_Final Order Electric EXHIBIT A-1 2 2" xfId="7211"/>
    <cellStyle name="_DEM-WP(C) Costs not in AURORA 2007PCORC-5.07Update_DEM-WP(C) Production O&amp;M 2009GRC Rebuttal_Book2_Final Order Electric EXHIBIT A-1 2 2 2" xfId="20739"/>
    <cellStyle name="_DEM-WP(C) Costs not in AURORA 2007PCORC-5.07Update_DEM-WP(C) Production O&amp;M 2009GRC Rebuttal_Book2_Final Order Electric EXHIBIT A-1 2 3" xfId="18439"/>
    <cellStyle name="_DEM-WP(C) Costs not in AURORA 2007PCORC-5.07Update_DEM-WP(C) Production O&amp;M 2009GRC Rebuttal_Book2_Final Order Electric EXHIBIT A-1 3" xfId="7212"/>
    <cellStyle name="_DEM-WP(C) Costs not in AURORA 2007PCORC-5.07Update_DEM-WP(C) Production O&amp;M 2009GRC Rebuttal_Book2_Final Order Electric EXHIBIT A-1 3 2" xfId="20740"/>
    <cellStyle name="_DEM-WP(C) Costs not in AURORA 2007PCORC-5.07Update_DEM-WP(C) Production O&amp;M 2009GRC Rebuttal_Book2_Final Order Electric EXHIBIT A-1 4" xfId="16576"/>
    <cellStyle name="_DEM-WP(C) Costs not in AURORA 2007PCORC-5.07Update_DEM-WP(C) Production O&amp;M 2009GRC Rebuttal_DEM-WP(C) ENERG10C--ctn Mid-C_042010 2010GRC" xfId="12612"/>
    <cellStyle name="_DEM-WP(C) Costs not in AURORA 2007PCORC-5.07Update_DEM-WP(C) Production O&amp;M 2009GRC Rebuttal_DEM-WP(C) ENERG10C--ctn Mid-C_042010 2010GRC 2" xfId="41250"/>
    <cellStyle name="_DEM-WP(C) Costs not in AURORA 2007PCORC-5.07Update_DEM-WP(C) Production O&amp;M 2009GRC Rebuttal_Electric Rev Req Model (2009 GRC) Rebuttal" xfId="1374"/>
    <cellStyle name="_DEM-WP(C) Costs not in AURORA 2007PCORC-5.07Update_DEM-WP(C) Production O&amp;M 2009GRC Rebuttal_Electric Rev Req Model (2009 GRC) Rebuttal 2" xfId="4746"/>
    <cellStyle name="_DEM-WP(C) Costs not in AURORA 2007PCORC-5.07Update_DEM-WP(C) Production O&amp;M 2009GRC Rebuttal_Electric Rev Req Model (2009 GRC) Rebuttal 2 2" xfId="7213"/>
    <cellStyle name="_DEM-WP(C) Costs not in AURORA 2007PCORC-5.07Update_DEM-WP(C) Production O&amp;M 2009GRC Rebuttal_Electric Rev Req Model (2009 GRC) Rebuttal 2 2 2" xfId="20741"/>
    <cellStyle name="_DEM-WP(C) Costs not in AURORA 2007PCORC-5.07Update_DEM-WP(C) Production O&amp;M 2009GRC Rebuttal_Electric Rev Req Model (2009 GRC) Rebuttal 2 3" xfId="18440"/>
    <cellStyle name="_DEM-WP(C) Costs not in AURORA 2007PCORC-5.07Update_DEM-WP(C) Production O&amp;M 2009GRC Rebuttal_Electric Rev Req Model (2009 GRC) Rebuttal 3" xfId="7214"/>
    <cellStyle name="_DEM-WP(C) Costs not in AURORA 2007PCORC-5.07Update_DEM-WP(C) Production O&amp;M 2009GRC Rebuttal_Electric Rev Req Model (2009 GRC) Rebuttal 3 2" xfId="20742"/>
    <cellStyle name="_DEM-WP(C) Costs not in AURORA 2007PCORC-5.07Update_DEM-WP(C) Production O&amp;M 2009GRC Rebuttal_Electric Rev Req Model (2009 GRC) Rebuttal 4" xfId="16577"/>
    <cellStyle name="_DEM-WP(C) Costs not in AURORA 2007PCORC-5.07Update_DEM-WP(C) Production O&amp;M 2009GRC Rebuttal_Electric Rev Req Model (2009 GRC) Rebuttal REmoval of New  WH Solar AdjustMI" xfId="1375"/>
    <cellStyle name="_DEM-WP(C) Costs not in AURORA 2007PCORC-5.07Update_DEM-WP(C) Production O&amp;M 2009GRC Rebuttal_Electric Rev Req Model (2009 GRC) Rebuttal REmoval of New  WH Solar AdjustMI 2" xfId="1376"/>
    <cellStyle name="_DEM-WP(C) Costs not in AURORA 2007PCORC-5.07Update_DEM-WP(C) Production O&amp;M 2009GRC Rebuttal_Electric Rev Req Model (2009 GRC) Rebuttal REmoval of New  WH Solar AdjustMI 2 2" xfId="4748"/>
    <cellStyle name="_DEM-WP(C) Costs not in AURORA 2007PCORC-5.07Update_DEM-WP(C) Production O&amp;M 2009GRC Rebuttal_Electric Rev Req Model (2009 GRC) Rebuttal REmoval of New  WH Solar AdjustMI 2 2 2" xfId="20743"/>
    <cellStyle name="_DEM-WP(C) Costs not in AURORA 2007PCORC-5.07Update_DEM-WP(C) Production O&amp;M 2009GRC Rebuttal_Electric Rev Req Model (2009 GRC) Rebuttal REmoval of New  WH Solar AdjustMI 2 3" xfId="16579"/>
    <cellStyle name="_DEM-WP(C) Costs not in AURORA 2007PCORC-5.07Update_DEM-WP(C) Production O&amp;M 2009GRC Rebuttal_Electric Rev Req Model (2009 GRC) Rebuttal REmoval of New  WH Solar AdjustMI 3" xfId="4747"/>
    <cellStyle name="_DEM-WP(C) Costs not in AURORA 2007PCORC-5.07Update_DEM-WP(C) Production O&amp;M 2009GRC Rebuttal_Electric Rev Req Model (2009 GRC) Rebuttal REmoval of New  WH Solar AdjustMI 3 2" xfId="20744"/>
    <cellStyle name="_DEM-WP(C) Costs not in AURORA 2007PCORC-5.07Update_DEM-WP(C) Production O&amp;M 2009GRC Rebuttal_Electric Rev Req Model (2009 GRC) Rebuttal REmoval of New  WH Solar AdjustMI 4" xfId="16578"/>
    <cellStyle name="_DEM-WP(C) Costs not in AURORA 2007PCORC-5.07Update_DEM-WP(C) Production O&amp;M 2009GRC Rebuttal_Electric Rev Req Model (2009 GRC) Rebuttal REmoval of New  WH Solar AdjustMI_DEM-WP(C) ENERG10C--ctn Mid-C_042010 2010GRC" xfId="12613"/>
    <cellStyle name="_DEM-WP(C) Costs not in AURORA 2007PCORC-5.07Update_DEM-WP(C) Production O&amp;M 2009GRC Rebuttal_Electric Rev Req Model (2009 GRC) Rebuttal REmoval of New  WH Solar AdjustMI_DEM-WP(C) ENERG10C--ctn Mid-C_042010 2010GRC 2" xfId="41251"/>
    <cellStyle name="_DEM-WP(C) Costs not in AURORA 2007PCORC-5.07Update_DEM-WP(C) Production O&amp;M 2009GRC Rebuttal_Electric Rev Req Model (2009 GRC) Revised 01-18-2010" xfId="1377"/>
    <cellStyle name="_DEM-WP(C) Costs not in AURORA 2007PCORC-5.07Update_DEM-WP(C) Production O&amp;M 2009GRC Rebuttal_Electric Rev Req Model (2009 GRC) Revised 01-18-2010 2" xfId="1378"/>
    <cellStyle name="_DEM-WP(C) Costs not in AURORA 2007PCORC-5.07Update_DEM-WP(C) Production O&amp;M 2009GRC Rebuttal_Electric Rev Req Model (2009 GRC) Revised 01-18-2010 2 2" xfId="4750"/>
    <cellStyle name="_DEM-WP(C) Costs not in AURORA 2007PCORC-5.07Update_DEM-WP(C) Production O&amp;M 2009GRC Rebuttal_Electric Rev Req Model (2009 GRC) Revised 01-18-2010 2 2 2" xfId="20745"/>
    <cellStyle name="_DEM-WP(C) Costs not in AURORA 2007PCORC-5.07Update_DEM-WP(C) Production O&amp;M 2009GRC Rebuttal_Electric Rev Req Model (2009 GRC) Revised 01-18-2010 2 3" xfId="16581"/>
    <cellStyle name="_DEM-WP(C) Costs not in AURORA 2007PCORC-5.07Update_DEM-WP(C) Production O&amp;M 2009GRC Rebuttal_Electric Rev Req Model (2009 GRC) Revised 01-18-2010 3" xfId="4749"/>
    <cellStyle name="_DEM-WP(C) Costs not in AURORA 2007PCORC-5.07Update_DEM-WP(C) Production O&amp;M 2009GRC Rebuttal_Electric Rev Req Model (2009 GRC) Revised 01-18-2010 3 2" xfId="20746"/>
    <cellStyle name="_DEM-WP(C) Costs not in AURORA 2007PCORC-5.07Update_DEM-WP(C) Production O&amp;M 2009GRC Rebuttal_Electric Rev Req Model (2009 GRC) Revised 01-18-2010 4" xfId="16580"/>
    <cellStyle name="_DEM-WP(C) Costs not in AURORA 2007PCORC-5.07Update_DEM-WP(C) Production O&amp;M 2009GRC Rebuttal_Electric Rev Req Model (2009 GRC) Revised 01-18-2010_DEM-WP(C) ENERG10C--ctn Mid-C_042010 2010GRC" xfId="12614"/>
    <cellStyle name="_DEM-WP(C) Costs not in AURORA 2007PCORC-5.07Update_DEM-WP(C) Production O&amp;M 2009GRC Rebuttal_Electric Rev Req Model (2009 GRC) Revised 01-18-2010_DEM-WP(C) ENERG10C--ctn Mid-C_042010 2010GRC 2" xfId="41252"/>
    <cellStyle name="_DEM-WP(C) Costs not in AURORA 2007PCORC-5.07Update_DEM-WP(C) Production O&amp;M 2009GRC Rebuttal_Final Order Electric EXHIBIT A-1" xfId="1379"/>
    <cellStyle name="_DEM-WP(C) Costs not in AURORA 2007PCORC-5.07Update_DEM-WP(C) Production O&amp;M 2009GRC Rebuttal_Final Order Electric EXHIBIT A-1 2" xfId="4751"/>
    <cellStyle name="_DEM-WP(C) Costs not in AURORA 2007PCORC-5.07Update_DEM-WP(C) Production O&amp;M 2009GRC Rebuttal_Final Order Electric EXHIBIT A-1 2 2" xfId="7215"/>
    <cellStyle name="_DEM-WP(C) Costs not in AURORA 2007PCORC-5.07Update_DEM-WP(C) Production O&amp;M 2009GRC Rebuttal_Final Order Electric EXHIBIT A-1 2 2 2" xfId="20747"/>
    <cellStyle name="_DEM-WP(C) Costs not in AURORA 2007PCORC-5.07Update_DEM-WP(C) Production O&amp;M 2009GRC Rebuttal_Final Order Electric EXHIBIT A-1 2 3" xfId="18441"/>
    <cellStyle name="_DEM-WP(C) Costs not in AURORA 2007PCORC-5.07Update_DEM-WP(C) Production O&amp;M 2009GRC Rebuttal_Final Order Electric EXHIBIT A-1 3" xfId="7216"/>
    <cellStyle name="_DEM-WP(C) Costs not in AURORA 2007PCORC-5.07Update_DEM-WP(C) Production O&amp;M 2009GRC Rebuttal_Final Order Electric EXHIBIT A-1 3 2" xfId="20748"/>
    <cellStyle name="_DEM-WP(C) Costs not in AURORA 2007PCORC-5.07Update_DEM-WP(C) Production O&amp;M 2009GRC Rebuttal_Final Order Electric EXHIBIT A-1 4" xfId="16582"/>
    <cellStyle name="_DEM-WP(C) Costs not in AURORA 2007PCORC-5.07Update_DEM-WP(C) Production O&amp;M 2009GRC Rebuttal_Rebuttal Power Costs" xfId="1380"/>
    <cellStyle name="_DEM-WP(C) Costs not in AURORA 2007PCORC-5.07Update_DEM-WP(C) Production O&amp;M 2009GRC Rebuttal_Rebuttal Power Costs 2" xfId="1381"/>
    <cellStyle name="_DEM-WP(C) Costs not in AURORA 2007PCORC-5.07Update_DEM-WP(C) Production O&amp;M 2009GRC Rebuttal_Rebuttal Power Costs 2 2" xfId="4753"/>
    <cellStyle name="_DEM-WP(C) Costs not in AURORA 2007PCORC-5.07Update_DEM-WP(C) Production O&amp;M 2009GRC Rebuttal_Rebuttal Power Costs 2 2 2" xfId="20749"/>
    <cellStyle name="_DEM-WP(C) Costs not in AURORA 2007PCORC-5.07Update_DEM-WP(C) Production O&amp;M 2009GRC Rebuttal_Rebuttal Power Costs 2 3" xfId="16584"/>
    <cellStyle name="_DEM-WP(C) Costs not in AURORA 2007PCORC-5.07Update_DEM-WP(C) Production O&amp;M 2009GRC Rebuttal_Rebuttal Power Costs 3" xfId="4752"/>
    <cellStyle name="_DEM-WP(C) Costs not in AURORA 2007PCORC-5.07Update_DEM-WP(C) Production O&amp;M 2009GRC Rebuttal_Rebuttal Power Costs 3 2" xfId="20750"/>
    <cellStyle name="_DEM-WP(C) Costs not in AURORA 2007PCORC-5.07Update_DEM-WP(C) Production O&amp;M 2009GRC Rebuttal_Rebuttal Power Costs 4" xfId="16583"/>
    <cellStyle name="_DEM-WP(C) Costs not in AURORA 2007PCORC-5.07Update_DEM-WP(C) Production O&amp;M 2009GRC Rebuttal_Rebuttal Power Costs_Adj Bench DR 3 for Initial Briefs (Electric)" xfId="1382"/>
    <cellStyle name="_DEM-WP(C) Costs not in AURORA 2007PCORC-5.07Update_DEM-WP(C) Production O&amp;M 2009GRC Rebuttal_Rebuttal Power Costs_Adj Bench DR 3 for Initial Briefs (Electric) 2" xfId="1383"/>
    <cellStyle name="_DEM-WP(C) Costs not in AURORA 2007PCORC-5.07Update_DEM-WP(C) Production O&amp;M 2009GRC Rebuttal_Rebuttal Power Costs_Adj Bench DR 3 for Initial Briefs (Electric) 2 2" xfId="4755"/>
    <cellStyle name="_DEM-WP(C) Costs not in AURORA 2007PCORC-5.07Update_DEM-WP(C) Production O&amp;M 2009GRC Rebuttal_Rebuttal Power Costs_Adj Bench DR 3 for Initial Briefs (Electric) 2 2 2" xfId="20751"/>
    <cellStyle name="_DEM-WP(C) Costs not in AURORA 2007PCORC-5.07Update_DEM-WP(C) Production O&amp;M 2009GRC Rebuttal_Rebuttal Power Costs_Adj Bench DR 3 for Initial Briefs (Electric) 2 3" xfId="16586"/>
    <cellStyle name="_DEM-WP(C) Costs not in AURORA 2007PCORC-5.07Update_DEM-WP(C) Production O&amp;M 2009GRC Rebuttal_Rebuttal Power Costs_Adj Bench DR 3 for Initial Briefs (Electric) 3" xfId="4754"/>
    <cellStyle name="_DEM-WP(C) Costs not in AURORA 2007PCORC-5.07Update_DEM-WP(C) Production O&amp;M 2009GRC Rebuttal_Rebuttal Power Costs_Adj Bench DR 3 for Initial Briefs (Electric) 3 2" xfId="20752"/>
    <cellStyle name="_DEM-WP(C) Costs not in AURORA 2007PCORC-5.07Update_DEM-WP(C) Production O&amp;M 2009GRC Rebuttal_Rebuttal Power Costs_Adj Bench DR 3 for Initial Briefs (Electric) 4" xfId="16585"/>
    <cellStyle name="_DEM-WP(C) Costs not in AURORA 2007PCORC-5.07Update_DEM-WP(C) Production O&amp;M 2009GRC Rebuttal_Rebuttal Power Costs_Adj Bench DR 3 for Initial Briefs (Electric)_DEM-WP(C) ENERG10C--ctn Mid-C_042010 2010GRC" xfId="12615"/>
    <cellStyle name="_DEM-WP(C) Costs not in AURORA 2007PCORC-5.07Update_DEM-WP(C) Production O&amp;M 2009GRC Rebuttal_Rebuttal Power Costs_Adj Bench DR 3 for Initial Briefs (Electric)_DEM-WP(C) ENERG10C--ctn Mid-C_042010 2010GRC 2" xfId="41253"/>
    <cellStyle name="_DEM-WP(C) Costs not in AURORA 2007PCORC-5.07Update_DEM-WP(C) Production O&amp;M 2009GRC Rebuttal_Rebuttal Power Costs_DEM-WP(C) ENERG10C--ctn Mid-C_042010 2010GRC" xfId="12616"/>
    <cellStyle name="_DEM-WP(C) Costs not in AURORA 2007PCORC-5.07Update_DEM-WP(C) Production O&amp;M 2009GRC Rebuttal_Rebuttal Power Costs_DEM-WP(C) ENERG10C--ctn Mid-C_042010 2010GRC 2" xfId="41254"/>
    <cellStyle name="_DEM-WP(C) Costs not in AURORA 2007PCORC-5.07Update_DEM-WP(C) Production O&amp;M 2009GRC Rebuttal_Rebuttal Power Costs_Electric Rev Req Model (2009 GRC) Rebuttal" xfId="1384"/>
    <cellStyle name="_DEM-WP(C) Costs not in AURORA 2007PCORC-5.07Update_DEM-WP(C) Production O&amp;M 2009GRC Rebuttal_Rebuttal Power Costs_Electric Rev Req Model (2009 GRC) Rebuttal 2" xfId="4756"/>
    <cellStyle name="_DEM-WP(C) Costs not in AURORA 2007PCORC-5.07Update_DEM-WP(C) Production O&amp;M 2009GRC Rebuttal_Rebuttal Power Costs_Electric Rev Req Model (2009 GRC) Rebuttal 2 2" xfId="7217"/>
    <cellStyle name="_DEM-WP(C) Costs not in AURORA 2007PCORC-5.07Update_DEM-WP(C) Production O&amp;M 2009GRC Rebuttal_Rebuttal Power Costs_Electric Rev Req Model (2009 GRC) Rebuttal 2 2 2" xfId="20753"/>
    <cellStyle name="_DEM-WP(C) Costs not in AURORA 2007PCORC-5.07Update_DEM-WP(C) Production O&amp;M 2009GRC Rebuttal_Rebuttal Power Costs_Electric Rev Req Model (2009 GRC) Rebuttal 2 3" xfId="18442"/>
    <cellStyle name="_DEM-WP(C) Costs not in AURORA 2007PCORC-5.07Update_DEM-WP(C) Production O&amp;M 2009GRC Rebuttal_Rebuttal Power Costs_Electric Rev Req Model (2009 GRC) Rebuttal 3" xfId="7218"/>
    <cellStyle name="_DEM-WP(C) Costs not in AURORA 2007PCORC-5.07Update_DEM-WP(C) Production O&amp;M 2009GRC Rebuttal_Rebuttal Power Costs_Electric Rev Req Model (2009 GRC) Rebuttal 3 2" xfId="20754"/>
    <cellStyle name="_DEM-WP(C) Costs not in AURORA 2007PCORC-5.07Update_DEM-WP(C) Production O&amp;M 2009GRC Rebuttal_Rebuttal Power Costs_Electric Rev Req Model (2009 GRC) Rebuttal 4" xfId="16587"/>
    <cellStyle name="_DEM-WP(C) Costs not in AURORA 2007PCORC-5.07Update_DEM-WP(C) Production O&amp;M 2009GRC Rebuttal_Rebuttal Power Costs_Electric Rev Req Model (2009 GRC) Rebuttal REmoval of New  WH Solar AdjustMI" xfId="1385"/>
    <cellStyle name="_DEM-WP(C) Costs not in AURORA 2007PCORC-5.07Update_DEM-WP(C) Production O&amp;M 2009GRC Rebuttal_Rebuttal Power Costs_Electric Rev Req Model (2009 GRC) Rebuttal REmoval of New  WH Solar AdjustMI 2" xfId="1386"/>
    <cellStyle name="_DEM-WP(C) Costs not in AURORA 2007PCORC-5.07Update_DEM-WP(C) Production O&amp;M 2009GRC Rebuttal_Rebuttal Power Costs_Electric Rev Req Model (2009 GRC) Rebuttal REmoval of New  WH Solar AdjustMI 2 2" xfId="4758"/>
    <cellStyle name="_DEM-WP(C) Costs not in AURORA 2007PCORC-5.07Update_DEM-WP(C) Production O&amp;M 2009GRC Rebuttal_Rebuttal Power Costs_Electric Rev Req Model (2009 GRC) Rebuttal REmoval of New  WH Solar AdjustMI 2 2 2" xfId="20755"/>
    <cellStyle name="_DEM-WP(C) Costs not in AURORA 2007PCORC-5.07Update_DEM-WP(C) Production O&amp;M 2009GRC Rebuttal_Rebuttal Power Costs_Electric Rev Req Model (2009 GRC) Rebuttal REmoval of New  WH Solar AdjustMI 2 3" xfId="16589"/>
    <cellStyle name="_DEM-WP(C) Costs not in AURORA 2007PCORC-5.07Update_DEM-WP(C) Production O&amp;M 2009GRC Rebuttal_Rebuttal Power Costs_Electric Rev Req Model (2009 GRC) Rebuttal REmoval of New  WH Solar AdjustMI 3" xfId="4757"/>
    <cellStyle name="_DEM-WP(C) Costs not in AURORA 2007PCORC-5.07Update_DEM-WP(C) Production O&amp;M 2009GRC Rebuttal_Rebuttal Power Costs_Electric Rev Req Model (2009 GRC) Rebuttal REmoval of New  WH Solar AdjustMI 3 2" xfId="20756"/>
    <cellStyle name="_DEM-WP(C) Costs not in AURORA 2007PCORC-5.07Update_DEM-WP(C) Production O&amp;M 2009GRC Rebuttal_Rebuttal Power Costs_Electric Rev Req Model (2009 GRC) Rebuttal REmoval of New  WH Solar AdjustMI 4" xfId="16588"/>
    <cellStyle name="_DEM-WP(C) Costs not in AURORA 2007PCORC-5.07Update_DEM-WP(C) Production O&amp;M 2009GRC Rebuttal_Rebuttal Power Costs_Electric Rev Req Model (2009 GRC) Rebuttal REmoval of New  WH Solar AdjustMI_DEM-WP(C) ENERG10C--ctn Mid-C_042010 2010GRC" xfId="12617"/>
    <cellStyle name="_DEM-WP(C) Costs not in AURORA 2007PCORC-5.07Update_DEM-WP(C) Production O&amp;M 2009GRC Rebuttal_Rebuttal Power Costs_Electric Rev Req Model (2009 GRC) Rebuttal REmoval of New  WH Solar AdjustMI_DEM-WP(C) ENERG10C--ctn Mid-C_042010 2010GRC 2" xfId="41255"/>
    <cellStyle name="_DEM-WP(C) Costs not in AURORA 2007PCORC-5.07Update_DEM-WP(C) Production O&amp;M 2009GRC Rebuttal_Rebuttal Power Costs_Electric Rev Req Model (2009 GRC) Revised 01-18-2010" xfId="1387"/>
    <cellStyle name="_DEM-WP(C) Costs not in AURORA 2007PCORC-5.07Update_DEM-WP(C) Production O&amp;M 2009GRC Rebuttal_Rebuttal Power Costs_Electric Rev Req Model (2009 GRC) Revised 01-18-2010 2" xfId="1388"/>
    <cellStyle name="_DEM-WP(C) Costs not in AURORA 2007PCORC-5.07Update_DEM-WP(C) Production O&amp;M 2009GRC Rebuttal_Rebuttal Power Costs_Electric Rev Req Model (2009 GRC) Revised 01-18-2010 2 2" xfId="4760"/>
    <cellStyle name="_DEM-WP(C) Costs not in AURORA 2007PCORC-5.07Update_DEM-WP(C) Production O&amp;M 2009GRC Rebuttal_Rebuttal Power Costs_Electric Rev Req Model (2009 GRC) Revised 01-18-2010 2 2 2" xfId="20757"/>
    <cellStyle name="_DEM-WP(C) Costs not in AURORA 2007PCORC-5.07Update_DEM-WP(C) Production O&amp;M 2009GRC Rebuttal_Rebuttal Power Costs_Electric Rev Req Model (2009 GRC) Revised 01-18-2010 2 3" xfId="16591"/>
    <cellStyle name="_DEM-WP(C) Costs not in AURORA 2007PCORC-5.07Update_DEM-WP(C) Production O&amp;M 2009GRC Rebuttal_Rebuttal Power Costs_Electric Rev Req Model (2009 GRC) Revised 01-18-2010 3" xfId="4759"/>
    <cellStyle name="_DEM-WP(C) Costs not in AURORA 2007PCORC-5.07Update_DEM-WP(C) Production O&amp;M 2009GRC Rebuttal_Rebuttal Power Costs_Electric Rev Req Model (2009 GRC) Revised 01-18-2010 3 2" xfId="20758"/>
    <cellStyle name="_DEM-WP(C) Costs not in AURORA 2007PCORC-5.07Update_DEM-WP(C) Production O&amp;M 2009GRC Rebuttal_Rebuttal Power Costs_Electric Rev Req Model (2009 GRC) Revised 01-18-2010 4" xfId="16590"/>
    <cellStyle name="_DEM-WP(C) Costs not in AURORA 2007PCORC-5.07Update_DEM-WP(C) Production O&amp;M 2009GRC Rebuttal_Rebuttal Power Costs_Electric Rev Req Model (2009 GRC) Revised 01-18-2010_DEM-WP(C) ENERG10C--ctn Mid-C_042010 2010GRC" xfId="12618"/>
    <cellStyle name="_DEM-WP(C) Costs not in AURORA 2007PCORC-5.07Update_DEM-WP(C) Production O&amp;M 2009GRC Rebuttal_Rebuttal Power Costs_Electric Rev Req Model (2009 GRC) Revised 01-18-2010_DEM-WP(C) ENERG10C--ctn Mid-C_042010 2010GRC 2" xfId="41256"/>
    <cellStyle name="_DEM-WP(C) Costs not in AURORA 2007PCORC-5.07Update_DEM-WP(C) Production O&amp;M 2009GRC Rebuttal_Rebuttal Power Costs_Final Order Electric EXHIBIT A-1" xfId="1389"/>
    <cellStyle name="_DEM-WP(C) Costs not in AURORA 2007PCORC-5.07Update_DEM-WP(C) Production O&amp;M 2009GRC Rebuttal_Rebuttal Power Costs_Final Order Electric EXHIBIT A-1 2" xfId="4761"/>
    <cellStyle name="_DEM-WP(C) Costs not in AURORA 2007PCORC-5.07Update_DEM-WP(C) Production O&amp;M 2009GRC Rebuttal_Rebuttal Power Costs_Final Order Electric EXHIBIT A-1 2 2" xfId="7219"/>
    <cellStyle name="_DEM-WP(C) Costs not in AURORA 2007PCORC-5.07Update_DEM-WP(C) Production O&amp;M 2009GRC Rebuttal_Rebuttal Power Costs_Final Order Electric EXHIBIT A-1 2 2 2" xfId="20759"/>
    <cellStyle name="_DEM-WP(C) Costs not in AURORA 2007PCORC-5.07Update_DEM-WP(C) Production O&amp;M 2009GRC Rebuttal_Rebuttal Power Costs_Final Order Electric EXHIBIT A-1 2 3" xfId="18443"/>
    <cellStyle name="_DEM-WP(C) Costs not in AURORA 2007PCORC-5.07Update_DEM-WP(C) Production O&amp;M 2009GRC Rebuttal_Rebuttal Power Costs_Final Order Electric EXHIBIT A-1 3" xfId="7220"/>
    <cellStyle name="_DEM-WP(C) Costs not in AURORA 2007PCORC-5.07Update_DEM-WP(C) Production O&amp;M 2009GRC Rebuttal_Rebuttal Power Costs_Final Order Electric EXHIBIT A-1 3 2" xfId="20760"/>
    <cellStyle name="_DEM-WP(C) Costs not in AURORA 2007PCORC-5.07Update_DEM-WP(C) Production O&amp;M 2009GRC Rebuttal_Rebuttal Power Costs_Final Order Electric EXHIBIT A-1 4" xfId="16592"/>
    <cellStyle name="_DEM-WP(C) Costs not in AURORA 2007PCORC-5.07Update_DEM-WP(C) Production O&amp;M 2010GRC As-Filed" xfId="12619"/>
    <cellStyle name="_DEM-WP(C) Costs not in AURORA 2007PCORC-5.07Update_DEM-WP(C) Production O&amp;M 2010GRC As-Filed 2" xfId="12620"/>
    <cellStyle name="_DEM-WP(C) Costs not in AURORA 2007PCORC-5.07Update_DEM-WP(C) Production O&amp;M 2010GRC As-Filed 2 2" xfId="24033"/>
    <cellStyle name="_DEM-WP(C) Costs not in AURORA 2007PCORC-5.07Update_DEM-WP(C) Production O&amp;M 2010GRC As-Filed 3" xfId="12621"/>
    <cellStyle name="_DEM-WP(C) Costs not in AURORA 2007PCORC-5.07Update_DEM-WP(C) Production O&amp;M 2010GRC As-Filed 3 2" xfId="24034"/>
    <cellStyle name="_DEM-WP(C) Costs not in AURORA 2007PCORC-5.07Update_DEM-WP(C) Production O&amp;M 2010GRC As-Filed 4" xfId="24035"/>
    <cellStyle name="_DEM-WP(C) Costs not in AURORA 2007PCORC-5.07Update_DEM-WP(C) Production O&amp;M 2010GRC As-Filed 4 2" xfId="24036"/>
    <cellStyle name="_DEM-WP(C) Costs not in AURORA 2007PCORC-5.07Update_DEM-WP(C) Production O&amp;M 2010GRC As-Filed 5" xfId="24037"/>
    <cellStyle name="_DEM-WP(C) Costs not in AURORA 2007PCORC-5.07Update_DEM-WP(C) Production O&amp;M 2010GRC As-Filed 5 2" xfId="24038"/>
    <cellStyle name="_DEM-WP(C) Costs not in AURORA 2007PCORC-5.07Update_DEM-WP(C) Production O&amp;M 2010GRC As-Filed 6" xfId="24039"/>
    <cellStyle name="_DEM-WP(C) Costs not in AURORA 2007PCORC-5.07Update_DEM-WP(C) Production O&amp;M 2010GRC As-Filed 6 2" xfId="24040"/>
    <cellStyle name="_DEM-WP(C) Costs not in AURORA 2007PCORC-5.07Update_Electric Rev Req Model (2009 GRC) " xfId="1390"/>
    <cellStyle name="_DEM-WP(C) Costs not in AURORA 2007PCORC-5.07Update_Electric Rev Req Model (2009 GRC)  2" xfId="1391"/>
    <cellStyle name="_DEM-WP(C) Costs not in AURORA 2007PCORC-5.07Update_Electric Rev Req Model (2009 GRC)  2 2" xfId="4763"/>
    <cellStyle name="_DEM-WP(C) Costs not in AURORA 2007PCORC-5.07Update_Electric Rev Req Model (2009 GRC)  2 2 2" xfId="20761"/>
    <cellStyle name="_DEM-WP(C) Costs not in AURORA 2007PCORC-5.07Update_Electric Rev Req Model (2009 GRC)  2 3" xfId="16594"/>
    <cellStyle name="_DEM-WP(C) Costs not in AURORA 2007PCORC-5.07Update_Electric Rev Req Model (2009 GRC)  3" xfId="4762"/>
    <cellStyle name="_DEM-WP(C) Costs not in AURORA 2007PCORC-5.07Update_Electric Rev Req Model (2009 GRC)  3 2" xfId="20762"/>
    <cellStyle name="_DEM-WP(C) Costs not in AURORA 2007PCORC-5.07Update_Electric Rev Req Model (2009 GRC)  4" xfId="16593"/>
    <cellStyle name="_DEM-WP(C) Costs not in AURORA 2007PCORC-5.07Update_Electric Rev Req Model (2009 GRC) _DEM-WP(C) ENERG10C--ctn Mid-C_042010 2010GRC" xfId="12622"/>
    <cellStyle name="_DEM-WP(C) Costs not in AURORA 2007PCORC-5.07Update_Electric Rev Req Model (2009 GRC) _DEM-WP(C) ENERG10C--ctn Mid-C_042010 2010GRC 2" xfId="41257"/>
    <cellStyle name="_DEM-WP(C) Costs not in AURORA 2007PCORC-5.07Update_Electric Rev Req Model (2009 GRC) Rebuttal" xfId="1392"/>
    <cellStyle name="_DEM-WP(C) Costs not in AURORA 2007PCORC-5.07Update_Electric Rev Req Model (2009 GRC) Rebuttal 2" xfId="4764"/>
    <cellStyle name="_DEM-WP(C) Costs not in AURORA 2007PCORC-5.07Update_Electric Rev Req Model (2009 GRC) Rebuttal 2 2" xfId="7221"/>
    <cellStyle name="_DEM-WP(C) Costs not in AURORA 2007PCORC-5.07Update_Electric Rev Req Model (2009 GRC) Rebuttal 2 2 2" xfId="20763"/>
    <cellStyle name="_DEM-WP(C) Costs not in AURORA 2007PCORC-5.07Update_Electric Rev Req Model (2009 GRC) Rebuttal 2 3" xfId="18444"/>
    <cellStyle name="_DEM-WP(C) Costs not in AURORA 2007PCORC-5.07Update_Electric Rev Req Model (2009 GRC) Rebuttal 3" xfId="7222"/>
    <cellStyle name="_DEM-WP(C) Costs not in AURORA 2007PCORC-5.07Update_Electric Rev Req Model (2009 GRC) Rebuttal 3 2" xfId="20764"/>
    <cellStyle name="_DEM-WP(C) Costs not in AURORA 2007PCORC-5.07Update_Electric Rev Req Model (2009 GRC) Rebuttal 4" xfId="16595"/>
    <cellStyle name="_DEM-WP(C) Costs not in AURORA 2007PCORC-5.07Update_Electric Rev Req Model (2009 GRC) Rebuttal REmoval of New  WH Solar AdjustMI" xfId="1393"/>
    <cellStyle name="_DEM-WP(C) Costs not in AURORA 2007PCORC-5.07Update_Electric Rev Req Model (2009 GRC) Rebuttal REmoval of New  WH Solar AdjustMI 2" xfId="1394"/>
    <cellStyle name="_DEM-WP(C) Costs not in AURORA 2007PCORC-5.07Update_Electric Rev Req Model (2009 GRC) Rebuttal REmoval of New  WH Solar AdjustMI 2 2" xfId="4766"/>
    <cellStyle name="_DEM-WP(C) Costs not in AURORA 2007PCORC-5.07Update_Electric Rev Req Model (2009 GRC) Rebuttal REmoval of New  WH Solar AdjustMI 2 2 2" xfId="20765"/>
    <cellStyle name="_DEM-WP(C) Costs not in AURORA 2007PCORC-5.07Update_Electric Rev Req Model (2009 GRC) Rebuttal REmoval of New  WH Solar AdjustMI 2 3" xfId="16597"/>
    <cellStyle name="_DEM-WP(C) Costs not in AURORA 2007PCORC-5.07Update_Electric Rev Req Model (2009 GRC) Rebuttal REmoval of New  WH Solar AdjustMI 3" xfId="4765"/>
    <cellStyle name="_DEM-WP(C) Costs not in AURORA 2007PCORC-5.07Update_Electric Rev Req Model (2009 GRC) Rebuttal REmoval of New  WH Solar AdjustMI 3 2" xfId="20766"/>
    <cellStyle name="_DEM-WP(C) Costs not in AURORA 2007PCORC-5.07Update_Electric Rev Req Model (2009 GRC) Rebuttal REmoval of New  WH Solar AdjustMI 4" xfId="16596"/>
    <cellStyle name="_DEM-WP(C) Costs not in AURORA 2007PCORC-5.07Update_Electric Rev Req Model (2009 GRC) Rebuttal REmoval of New  WH Solar AdjustMI_DEM-WP(C) ENERG10C--ctn Mid-C_042010 2010GRC" xfId="12623"/>
    <cellStyle name="_DEM-WP(C) Costs not in AURORA 2007PCORC-5.07Update_Electric Rev Req Model (2009 GRC) Rebuttal REmoval of New  WH Solar AdjustMI_DEM-WP(C) ENERG10C--ctn Mid-C_042010 2010GRC 2" xfId="41258"/>
    <cellStyle name="_DEM-WP(C) Costs not in AURORA 2007PCORC-5.07Update_Electric Rev Req Model (2009 GRC) Revised 01-18-2010" xfId="1395"/>
    <cellStyle name="_DEM-WP(C) Costs not in AURORA 2007PCORC-5.07Update_Electric Rev Req Model (2009 GRC) Revised 01-18-2010 2" xfId="1396"/>
    <cellStyle name="_DEM-WP(C) Costs not in AURORA 2007PCORC-5.07Update_Electric Rev Req Model (2009 GRC) Revised 01-18-2010 2 2" xfId="4768"/>
    <cellStyle name="_DEM-WP(C) Costs not in AURORA 2007PCORC-5.07Update_Electric Rev Req Model (2009 GRC) Revised 01-18-2010 2 2 2" xfId="20767"/>
    <cellStyle name="_DEM-WP(C) Costs not in AURORA 2007PCORC-5.07Update_Electric Rev Req Model (2009 GRC) Revised 01-18-2010 2 3" xfId="16599"/>
    <cellStyle name="_DEM-WP(C) Costs not in AURORA 2007PCORC-5.07Update_Electric Rev Req Model (2009 GRC) Revised 01-18-2010 3" xfId="4767"/>
    <cellStyle name="_DEM-WP(C) Costs not in AURORA 2007PCORC-5.07Update_Electric Rev Req Model (2009 GRC) Revised 01-18-2010 3 2" xfId="20768"/>
    <cellStyle name="_DEM-WP(C) Costs not in AURORA 2007PCORC-5.07Update_Electric Rev Req Model (2009 GRC) Revised 01-18-2010 4" xfId="16598"/>
    <cellStyle name="_DEM-WP(C) Costs not in AURORA 2007PCORC-5.07Update_Electric Rev Req Model (2009 GRC) Revised 01-18-2010_DEM-WP(C) ENERG10C--ctn Mid-C_042010 2010GRC" xfId="12624"/>
    <cellStyle name="_DEM-WP(C) Costs not in AURORA 2007PCORC-5.07Update_Electric Rev Req Model (2009 GRC) Revised 01-18-2010_DEM-WP(C) ENERG10C--ctn Mid-C_042010 2010GRC 2" xfId="41259"/>
    <cellStyle name="_DEM-WP(C) Costs not in AURORA 2007PCORC-5.07Update_Electric Rev Req Model (2010 GRC)" xfId="14262"/>
    <cellStyle name="_DEM-WP(C) Costs not in AURORA 2007PCORC-5.07Update_Electric Rev Req Model (2010 GRC) 2" xfId="41260"/>
    <cellStyle name="_DEM-WP(C) Costs not in AURORA 2007PCORC-5.07Update_Electric Rev Req Model (2010 GRC) SF" xfId="14263"/>
    <cellStyle name="_DEM-WP(C) Costs not in AURORA 2007PCORC-5.07Update_Electric Rev Req Model (2010 GRC) SF 2" xfId="41261"/>
    <cellStyle name="_DEM-WP(C) Costs not in AURORA 2007PCORC-5.07Update_Final Order Electric EXHIBIT A-1" xfId="1397"/>
    <cellStyle name="_DEM-WP(C) Costs not in AURORA 2007PCORC-5.07Update_Final Order Electric EXHIBIT A-1 2" xfId="4769"/>
    <cellStyle name="_DEM-WP(C) Costs not in AURORA 2007PCORC-5.07Update_Final Order Electric EXHIBIT A-1 2 2" xfId="7223"/>
    <cellStyle name="_DEM-WP(C) Costs not in AURORA 2007PCORC-5.07Update_Final Order Electric EXHIBIT A-1 2 2 2" xfId="20769"/>
    <cellStyle name="_DEM-WP(C) Costs not in AURORA 2007PCORC-5.07Update_Final Order Electric EXHIBIT A-1 2 3" xfId="18445"/>
    <cellStyle name="_DEM-WP(C) Costs not in AURORA 2007PCORC-5.07Update_Final Order Electric EXHIBIT A-1 3" xfId="7224"/>
    <cellStyle name="_DEM-WP(C) Costs not in AURORA 2007PCORC-5.07Update_Final Order Electric EXHIBIT A-1 3 2" xfId="20770"/>
    <cellStyle name="_DEM-WP(C) Costs not in AURORA 2007PCORC-5.07Update_Final Order Electric EXHIBIT A-1 4" xfId="16600"/>
    <cellStyle name="_DEM-WP(C) Costs not in AURORA 2007PCORC-5.07Update_NIM Summary" xfId="1398"/>
    <cellStyle name="_DEM-WP(C) Costs not in AURORA 2007PCORC-5.07Update_NIM Summary 09GRC" xfId="1399"/>
    <cellStyle name="_DEM-WP(C) Costs not in AURORA 2007PCORC-5.07Update_NIM Summary 09GRC 2" xfId="1400"/>
    <cellStyle name="_DEM-WP(C) Costs not in AURORA 2007PCORC-5.07Update_NIM Summary 09GRC 2 2" xfId="4772"/>
    <cellStyle name="_DEM-WP(C) Costs not in AURORA 2007PCORC-5.07Update_NIM Summary 09GRC 2 2 2" xfId="24041"/>
    <cellStyle name="_DEM-WP(C) Costs not in AURORA 2007PCORC-5.07Update_NIM Summary 09GRC 2 3" xfId="24042"/>
    <cellStyle name="_DEM-WP(C) Costs not in AURORA 2007PCORC-5.07Update_NIM Summary 09GRC 3" xfId="4771"/>
    <cellStyle name="_DEM-WP(C) Costs not in AURORA 2007PCORC-5.07Update_NIM Summary 09GRC 3 2" xfId="24043"/>
    <cellStyle name="_DEM-WP(C) Costs not in AURORA 2007PCORC-5.07Update_NIM Summary 09GRC 4" xfId="24044"/>
    <cellStyle name="_DEM-WP(C) Costs not in AURORA 2007PCORC-5.07Update_NIM Summary 09GRC_DEM-WP(C) ENERG10C--ctn Mid-C_042010 2010GRC" xfId="12625"/>
    <cellStyle name="_DEM-WP(C) Costs not in AURORA 2007PCORC-5.07Update_NIM Summary 09GRC_DEM-WP(C) ENERG10C--ctn Mid-C_042010 2010GRC 2" xfId="41262"/>
    <cellStyle name="_DEM-WP(C) Costs not in AURORA 2007PCORC-5.07Update_NIM Summary 09GRC_NIM Summary" xfId="1401"/>
    <cellStyle name="_DEM-WP(C) Costs not in AURORA 2007PCORC-5.07Update_NIM Summary 09GRC_NIM Summary 2" xfId="1402"/>
    <cellStyle name="_DEM-WP(C) Costs not in AURORA 2007PCORC-5.07Update_NIM Summary 09GRC_NIM Summary 2 2" xfId="4774"/>
    <cellStyle name="_DEM-WP(C) Costs not in AURORA 2007PCORC-5.07Update_NIM Summary 09GRC_NIM Summary 2 2 2" xfId="24045"/>
    <cellStyle name="_DEM-WP(C) Costs not in AURORA 2007PCORC-5.07Update_NIM Summary 09GRC_NIM Summary 2 3" xfId="24046"/>
    <cellStyle name="_DEM-WP(C) Costs not in AURORA 2007PCORC-5.07Update_NIM Summary 09GRC_NIM Summary 3" xfId="4773"/>
    <cellStyle name="_DEM-WP(C) Costs not in AURORA 2007PCORC-5.07Update_NIM Summary 09GRC_NIM Summary 3 2" xfId="24047"/>
    <cellStyle name="_DEM-WP(C) Costs not in AURORA 2007PCORC-5.07Update_NIM Summary 09GRC_NIM Summary 4" xfId="24048"/>
    <cellStyle name="_DEM-WP(C) Costs not in AURORA 2007PCORC-5.07Update_NIM Summary 09GRC_NIM Summary_DEM-WP(C) ENERG10C--ctn Mid-C_042010 2010GRC" xfId="12626"/>
    <cellStyle name="_DEM-WP(C) Costs not in AURORA 2007PCORC-5.07Update_NIM Summary 09GRC_NIM Summary_DEM-WP(C) ENERG10C--ctn Mid-C_042010 2010GRC 2" xfId="41263"/>
    <cellStyle name="_DEM-WP(C) Costs not in AURORA 2007PCORC-5.07Update_NIM Summary 10" xfId="4770"/>
    <cellStyle name="_DEM-WP(C) Costs not in AURORA 2007PCORC-5.07Update_NIM Summary 10 2" xfId="24049"/>
    <cellStyle name="_DEM-WP(C) Costs not in AURORA 2007PCORC-5.07Update_NIM Summary 11" xfId="6237"/>
    <cellStyle name="_DEM-WP(C) Costs not in AURORA 2007PCORC-5.07Update_NIM Summary 11 2" xfId="24050"/>
    <cellStyle name="_DEM-WP(C) Costs not in AURORA 2007PCORC-5.07Update_NIM Summary 12" xfId="6250"/>
    <cellStyle name="_DEM-WP(C) Costs not in AURORA 2007PCORC-5.07Update_NIM Summary 12 2" xfId="24051"/>
    <cellStyle name="_DEM-WP(C) Costs not in AURORA 2007PCORC-5.07Update_NIM Summary 13" xfId="6236"/>
    <cellStyle name="_DEM-WP(C) Costs not in AURORA 2007PCORC-5.07Update_NIM Summary 13 2" xfId="24052"/>
    <cellStyle name="_DEM-WP(C) Costs not in AURORA 2007PCORC-5.07Update_NIM Summary 14" xfId="6319"/>
    <cellStyle name="_DEM-WP(C) Costs not in AURORA 2007PCORC-5.07Update_NIM Summary 14 2" xfId="24053"/>
    <cellStyle name="_DEM-WP(C) Costs not in AURORA 2007PCORC-5.07Update_NIM Summary 15" xfId="15026"/>
    <cellStyle name="_DEM-WP(C) Costs not in AURORA 2007PCORC-5.07Update_NIM Summary 15 2" xfId="24054"/>
    <cellStyle name="_DEM-WP(C) Costs not in AURORA 2007PCORC-5.07Update_NIM Summary 16" xfId="15027"/>
    <cellStyle name="_DEM-WP(C) Costs not in AURORA 2007PCORC-5.07Update_NIM Summary 16 2" xfId="24055"/>
    <cellStyle name="_DEM-WP(C) Costs not in AURORA 2007PCORC-5.07Update_NIM Summary 17" xfId="15028"/>
    <cellStyle name="_DEM-WP(C) Costs not in AURORA 2007PCORC-5.07Update_NIM Summary 17 2" xfId="24056"/>
    <cellStyle name="_DEM-WP(C) Costs not in AURORA 2007PCORC-5.07Update_NIM Summary 18" xfId="15029"/>
    <cellStyle name="_DEM-WP(C) Costs not in AURORA 2007PCORC-5.07Update_NIM Summary 18 2" xfId="24057"/>
    <cellStyle name="_DEM-WP(C) Costs not in AURORA 2007PCORC-5.07Update_NIM Summary 19" xfId="15030"/>
    <cellStyle name="_DEM-WP(C) Costs not in AURORA 2007PCORC-5.07Update_NIM Summary 19 2" xfId="24058"/>
    <cellStyle name="_DEM-WP(C) Costs not in AURORA 2007PCORC-5.07Update_NIM Summary 2" xfId="1403"/>
    <cellStyle name="_DEM-WP(C) Costs not in AURORA 2007PCORC-5.07Update_NIM Summary 2 2" xfId="4775"/>
    <cellStyle name="_DEM-WP(C) Costs not in AURORA 2007PCORC-5.07Update_NIM Summary 2 2 2" xfId="24059"/>
    <cellStyle name="_DEM-WP(C) Costs not in AURORA 2007PCORC-5.07Update_NIM Summary 2 3" xfId="24060"/>
    <cellStyle name="_DEM-WP(C) Costs not in AURORA 2007PCORC-5.07Update_NIM Summary 20" xfId="15031"/>
    <cellStyle name="_DEM-WP(C) Costs not in AURORA 2007PCORC-5.07Update_NIM Summary 20 2" xfId="24061"/>
    <cellStyle name="_DEM-WP(C) Costs not in AURORA 2007PCORC-5.07Update_NIM Summary 21" xfId="15032"/>
    <cellStyle name="_DEM-WP(C) Costs not in AURORA 2007PCORC-5.07Update_NIM Summary 21 2" xfId="24062"/>
    <cellStyle name="_DEM-WP(C) Costs not in AURORA 2007PCORC-5.07Update_NIM Summary 22" xfId="15033"/>
    <cellStyle name="_DEM-WP(C) Costs not in AURORA 2007PCORC-5.07Update_NIM Summary 22 2" xfId="24063"/>
    <cellStyle name="_DEM-WP(C) Costs not in AURORA 2007PCORC-5.07Update_NIM Summary 23" xfId="15034"/>
    <cellStyle name="_DEM-WP(C) Costs not in AURORA 2007PCORC-5.07Update_NIM Summary 23 2" xfId="24064"/>
    <cellStyle name="_DEM-WP(C) Costs not in AURORA 2007PCORC-5.07Update_NIM Summary 24" xfId="15035"/>
    <cellStyle name="_DEM-WP(C) Costs not in AURORA 2007PCORC-5.07Update_NIM Summary 24 2" xfId="24065"/>
    <cellStyle name="_DEM-WP(C) Costs not in AURORA 2007PCORC-5.07Update_NIM Summary 25" xfId="15036"/>
    <cellStyle name="_DEM-WP(C) Costs not in AURORA 2007PCORC-5.07Update_NIM Summary 25 2" xfId="24066"/>
    <cellStyle name="_DEM-WP(C) Costs not in AURORA 2007PCORC-5.07Update_NIM Summary 26" xfId="15037"/>
    <cellStyle name="_DEM-WP(C) Costs not in AURORA 2007PCORC-5.07Update_NIM Summary 26 2" xfId="24067"/>
    <cellStyle name="_DEM-WP(C) Costs not in AURORA 2007PCORC-5.07Update_NIM Summary 27" xfId="15038"/>
    <cellStyle name="_DEM-WP(C) Costs not in AURORA 2007PCORC-5.07Update_NIM Summary 27 2" xfId="24068"/>
    <cellStyle name="_DEM-WP(C) Costs not in AURORA 2007PCORC-5.07Update_NIM Summary 28" xfId="15039"/>
    <cellStyle name="_DEM-WP(C) Costs not in AURORA 2007PCORC-5.07Update_NIM Summary 28 2" xfId="24069"/>
    <cellStyle name="_DEM-WP(C) Costs not in AURORA 2007PCORC-5.07Update_NIM Summary 29" xfId="15040"/>
    <cellStyle name="_DEM-WP(C) Costs not in AURORA 2007PCORC-5.07Update_NIM Summary 29 2" xfId="24070"/>
    <cellStyle name="_DEM-WP(C) Costs not in AURORA 2007PCORC-5.07Update_NIM Summary 3" xfId="1404"/>
    <cellStyle name="_DEM-WP(C) Costs not in AURORA 2007PCORC-5.07Update_NIM Summary 3 2" xfId="4776"/>
    <cellStyle name="_DEM-WP(C) Costs not in AURORA 2007PCORC-5.07Update_NIM Summary 30" xfId="15041"/>
    <cellStyle name="_DEM-WP(C) Costs not in AURORA 2007PCORC-5.07Update_NIM Summary 30 2" xfId="24071"/>
    <cellStyle name="_DEM-WP(C) Costs not in AURORA 2007PCORC-5.07Update_NIM Summary 31" xfId="15042"/>
    <cellStyle name="_DEM-WP(C) Costs not in AURORA 2007PCORC-5.07Update_NIM Summary 31 2" xfId="24072"/>
    <cellStyle name="_DEM-WP(C) Costs not in AURORA 2007PCORC-5.07Update_NIM Summary 32" xfId="15043"/>
    <cellStyle name="_DEM-WP(C) Costs not in AURORA 2007PCORC-5.07Update_NIM Summary 32 2" xfId="24073"/>
    <cellStyle name="_DEM-WP(C) Costs not in AURORA 2007PCORC-5.07Update_NIM Summary 33" xfId="15044"/>
    <cellStyle name="_DEM-WP(C) Costs not in AURORA 2007PCORC-5.07Update_NIM Summary 33 2" xfId="24074"/>
    <cellStyle name="_DEM-WP(C) Costs not in AURORA 2007PCORC-5.07Update_NIM Summary 34" xfId="15045"/>
    <cellStyle name="_DEM-WP(C) Costs not in AURORA 2007PCORC-5.07Update_NIM Summary 34 2" xfId="24075"/>
    <cellStyle name="_DEM-WP(C) Costs not in AURORA 2007PCORC-5.07Update_NIM Summary 35" xfId="15046"/>
    <cellStyle name="_DEM-WP(C) Costs not in AURORA 2007PCORC-5.07Update_NIM Summary 35 2" xfId="24076"/>
    <cellStyle name="_DEM-WP(C) Costs not in AURORA 2007PCORC-5.07Update_NIM Summary 36" xfId="15047"/>
    <cellStyle name="_DEM-WP(C) Costs not in AURORA 2007PCORC-5.07Update_NIM Summary 36 2" xfId="24077"/>
    <cellStyle name="_DEM-WP(C) Costs not in AURORA 2007PCORC-5.07Update_NIM Summary 37" xfId="15048"/>
    <cellStyle name="_DEM-WP(C) Costs not in AURORA 2007PCORC-5.07Update_NIM Summary 37 2" xfId="24078"/>
    <cellStyle name="_DEM-WP(C) Costs not in AURORA 2007PCORC-5.07Update_NIM Summary 38" xfId="15049"/>
    <cellStyle name="_DEM-WP(C) Costs not in AURORA 2007PCORC-5.07Update_NIM Summary 38 2" xfId="41264"/>
    <cellStyle name="_DEM-WP(C) Costs not in AURORA 2007PCORC-5.07Update_NIM Summary 39" xfId="15050"/>
    <cellStyle name="_DEM-WP(C) Costs not in AURORA 2007PCORC-5.07Update_NIM Summary 39 2" xfId="41265"/>
    <cellStyle name="_DEM-WP(C) Costs not in AURORA 2007PCORC-5.07Update_NIM Summary 4" xfId="1405"/>
    <cellStyle name="_DEM-WP(C) Costs not in AURORA 2007PCORC-5.07Update_NIM Summary 4 2" xfId="4777"/>
    <cellStyle name="_DEM-WP(C) Costs not in AURORA 2007PCORC-5.07Update_NIM Summary 40" xfId="15051"/>
    <cellStyle name="_DEM-WP(C) Costs not in AURORA 2007PCORC-5.07Update_NIM Summary 40 2" xfId="41266"/>
    <cellStyle name="_DEM-WP(C) Costs not in AURORA 2007PCORC-5.07Update_NIM Summary 41" xfId="15052"/>
    <cellStyle name="_DEM-WP(C) Costs not in AURORA 2007PCORC-5.07Update_NIM Summary 41 2" xfId="41267"/>
    <cellStyle name="_DEM-WP(C) Costs not in AURORA 2007PCORC-5.07Update_NIM Summary 42" xfId="16601"/>
    <cellStyle name="_DEM-WP(C) Costs not in AURORA 2007PCORC-5.07Update_NIM Summary 42 2" xfId="41268"/>
    <cellStyle name="_DEM-WP(C) Costs not in AURORA 2007PCORC-5.07Update_NIM Summary 43" xfId="22320"/>
    <cellStyle name="_DEM-WP(C) Costs not in AURORA 2007PCORC-5.07Update_NIM Summary 43 2" xfId="41269"/>
    <cellStyle name="_DEM-WP(C) Costs not in AURORA 2007PCORC-5.07Update_NIM Summary 44" xfId="24079"/>
    <cellStyle name="_DEM-WP(C) Costs not in AURORA 2007PCORC-5.07Update_NIM Summary 44 2" xfId="41270"/>
    <cellStyle name="_DEM-WP(C) Costs not in AURORA 2007PCORC-5.07Update_NIM Summary 45" xfId="24080"/>
    <cellStyle name="_DEM-WP(C) Costs not in AURORA 2007PCORC-5.07Update_NIM Summary 45 2" xfId="41271"/>
    <cellStyle name="_DEM-WP(C) Costs not in AURORA 2007PCORC-5.07Update_NIM Summary 46" xfId="24081"/>
    <cellStyle name="_DEM-WP(C) Costs not in AURORA 2007PCORC-5.07Update_NIM Summary 46 2" xfId="41272"/>
    <cellStyle name="_DEM-WP(C) Costs not in AURORA 2007PCORC-5.07Update_NIM Summary 47" xfId="24082"/>
    <cellStyle name="_DEM-WP(C) Costs not in AURORA 2007PCORC-5.07Update_NIM Summary 47 2" xfId="41273"/>
    <cellStyle name="_DEM-WP(C) Costs not in AURORA 2007PCORC-5.07Update_NIM Summary 48" xfId="24083"/>
    <cellStyle name="_DEM-WP(C) Costs not in AURORA 2007PCORC-5.07Update_NIM Summary 49" xfId="24084"/>
    <cellStyle name="_DEM-WP(C) Costs not in AURORA 2007PCORC-5.07Update_NIM Summary 5" xfId="1406"/>
    <cellStyle name="_DEM-WP(C) Costs not in AURORA 2007PCORC-5.07Update_NIM Summary 5 2" xfId="4778"/>
    <cellStyle name="_DEM-WP(C) Costs not in AURORA 2007PCORC-5.07Update_NIM Summary 50" xfId="24085"/>
    <cellStyle name="_DEM-WP(C) Costs not in AURORA 2007PCORC-5.07Update_NIM Summary 51" xfId="41274"/>
    <cellStyle name="_DEM-WP(C) Costs not in AURORA 2007PCORC-5.07Update_NIM Summary 52" xfId="7225"/>
    <cellStyle name="_DEM-WP(C) Costs not in AURORA 2007PCORC-5.07Update_NIM Summary 6" xfId="1407"/>
    <cellStyle name="_DEM-WP(C) Costs not in AURORA 2007PCORC-5.07Update_NIM Summary 6 2" xfId="4779"/>
    <cellStyle name="_DEM-WP(C) Costs not in AURORA 2007PCORC-5.07Update_NIM Summary 7" xfId="1408"/>
    <cellStyle name="_DEM-WP(C) Costs not in AURORA 2007PCORC-5.07Update_NIM Summary 7 2" xfId="4780"/>
    <cellStyle name="_DEM-WP(C) Costs not in AURORA 2007PCORC-5.07Update_NIM Summary 8" xfId="1409"/>
    <cellStyle name="_DEM-WP(C) Costs not in AURORA 2007PCORC-5.07Update_NIM Summary 8 2" xfId="4781"/>
    <cellStyle name="_DEM-WP(C) Costs not in AURORA 2007PCORC-5.07Update_NIM Summary 9" xfId="1410"/>
    <cellStyle name="_DEM-WP(C) Costs not in AURORA 2007PCORC-5.07Update_NIM Summary 9 2" xfId="4782"/>
    <cellStyle name="_DEM-WP(C) Costs not in AURORA 2007PCORC-5.07Update_NIM Summary_DEM-WP(C) ENERG10C--ctn Mid-C_042010 2010GRC" xfId="12627"/>
    <cellStyle name="_DEM-WP(C) Costs not in AURORA 2007PCORC-5.07Update_NIM Summary_DEM-WP(C) ENERG10C--ctn Mid-C_042010 2010GRC 2" xfId="41275"/>
    <cellStyle name="_DEM-WP(C) Costs not in AURORA 2007PCORC-5.07Update_NIM+O&amp;M Monthly" xfId="12628"/>
    <cellStyle name="_DEM-WP(C) Costs not in AURORA 2007PCORC-5.07Update_NIM+O&amp;M Monthly 2" xfId="24086"/>
    <cellStyle name="_DEM-WP(C) Costs not in AURORA 2007PCORC-5.07Update_NIM+O&amp;M Monthly 2 2" xfId="24087"/>
    <cellStyle name="_DEM-WP(C) Costs not in AURORA 2007PCORC-5.07Update_NIM+O&amp;M Monthly 3" xfId="24088"/>
    <cellStyle name="_DEM-WP(C) Costs not in AURORA 2007PCORC-5.07Update_Power Costs - Comparison bx Rbtl-Staff-Jt-PC" xfId="1411"/>
    <cellStyle name="_DEM-WP(C) Costs not in AURORA 2007PCORC-5.07Update_Power Costs - Comparison bx Rbtl-Staff-Jt-PC 2" xfId="1412"/>
    <cellStyle name="_DEM-WP(C) Costs not in AURORA 2007PCORC-5.07Update_Power Costs - Comparison bx Rbtl-Staff-Jt-PC 2 2" xfId="4784"/>
    <cellStyle name="_DEM-WP(C) Costs not in AURORA 2007PCORC-5.07Update_Power Costs - Comparison bx Rbtl-Staff-Jt-PC 2 2 2" xfId="20771"/>
    <cellStyle name="_DEM-WP(C) Costs not in AURORA 2007PCORC-5.07Update_Power Costs - Comparison bx Rbtl-Staff-Jt-PC 2 3" xfId="16603"/>
    <cellStyle name="_DEM-WP(C) Costs not in AURORA 2007PCORC-5.07Update_Power Costs - Comparison bx Rbtl-Staff-Jt-PC 3" xfId="4783"/>
    <cellStyle name="_DEM-WP(C) Costs not in AURORA 2007PCORC-5.07Update_Power Costs - Comparison bx Rbtl-Staff-Jt-PC 3 2" xfId="20772"/>
    <cellStyle name="_DEM-WP(C) Costs not in AURORA 2007PCORC-5.07Update_Power Costs - Comparison bx Rbtl-Staff-Jt-PC 4" xfId="16602"/>
    <cellStyle name="_DEM-WP(C) Costs not in AURORA 2007PCORC-5.07Update_Power Costs - Comparison bx Rbtl-Staff-Jt-PC_DEM-WP(C) ENERG10C--ctn Mid-C_042010 2010GRC" xfId="12629"/>
    <cellStyle name="_DEM-WP(C) Costs not in AURORA 2007PCORC-5.07Update_Power Costs - Comparison bx Rbtl-Staff-Jt-PC_DEM-WP(C) ENERG10C--ctn Mid-C_042010 2010GRC 2" xfId="41276"/>
    <cellStyle name="_DEM-WP(C) Costs not in AURORA 2007PCORC-5.07Update_Rebuttal Power Costs" xfId="1413"/>
    <cellStyle name="_DEM-WP(C) Costs not in AURORA 2007PCORC-5.07Update_Rebuttal Power Costs 2" xfId="1414"/>
    <cellStyle name="_DEM-WP(C) Costs not in AURORA 2007PCORC-5.07Update_Rebuttal Power Costs 2 2" xfId="4786"/>
    <cellStyle name="_DEM-WP(C) Costs not in AURORA 2007PCORC-5.07Update_Rebuttal Power Costs 2 2 2" xfId="20773"/>
    <cellStyle name="_DEM-WP(C) Costs not in AURORA 2007PCORC-5.07Update_Rebuttal Power Costs 2 3" xfId="16605"/>
    <cellStyle name="_DEM-WP(C) Costs not in AURORA 2007PCORC-5.07Update_Rebuttal Power Costs 3" xfId="4785"/>
    <cellStyle name="_DEM-WP(C) Costs not in AURORA 2007PCORC-5.07Update_Rebuttal Power Costs 3 2" xfId="20774"/>
    <cellStyle name="_DEM-WP(C) Costs not in AURORA 2007PCORC-5.07Update_Rebuttal Power Costs 4" xfId="16604"/>
    <cellStyle name="_DEM-WP(C) Costs not in AURORA 2007PCORC-5.07Update_Rebuttal Power Costs_DEM-WP(C) ENERG10C--ctn Mid-C_042010 2010GRC" xfId="12630"/>
    <cellStyle name="_DEM-WP(C) Costs not in AURORA 2007PCORC-5.07Update_Rebuttal Power Costs_DEM-WP(C) ENERG10C--ctn Mid-C_042010 2010GRC 2" xfId="41277"/>
    <cellStyle name="_DEM-WP(C) Costs not in AURORA 2007PCORC-5.07Update_TENASKA REGULATORY ASSET" xfId="1415"/>
    <cellStyle name="_DEM-WP(C) Costs not in AURORA 2007PCORC-5.07Update_TENASKA REGULATORY ASSET 2" xfId="4787"/>
    <cellStyle name="_DEM-WP(C) Costs not in AURORA 2007PCORC-5.07Update_TENASKA REGULATORY ASSET 2 2" xfId="7226"/>
    <cellStyle name="_DEM-WP(C) Costs not in AURORA 2007PCORC-5.07Update_TENASKA REGULATORY ASSET 2 2 2" xfId="20775"/>
    <cellStyle name="_DEM-WP(C) Costs not in AURORA 2007PCORC-5.07Update_TENASKA REGULATORY ASSET 2 3" xfId="18446"/>
    <cellStyle name="_DEM-WP(C) Costs not in AURORA 2007PCORC-5.07Update_TENASKA REGULATORY ASSET 3" xfId="7227"/>
    <cellStyle name="_DEM-WP(C) Costs not in AURORA 2007PCORC-5.07Update_TENASKA REGULATORY ASSET 3 2" xfId="20776"/>
    <cellStyle name="_DEM-WP(C) Costs not in AURORA 2007PCORC-5.07Update_TENASKA REGULATORY ASSET 4" xfId="16606"/>
    <cellStyle name="_DEM-WP(C) Costs Not In AURORA 2009GRC" xfId="12631"/>
    <cellStyle name="_DEM-WP(C) Costs Not In AURORA 2009GRC 2" xfId="24089"/>
    <cellStyle name="_x0013__DEM-WP(C) ENERG10C--ctn Mid-C_042010 2010GRC" xfId="12632"/>
    <cellStyle name="_x0013__DEM-WP(C) ENERG10C--ctn Mid-C_042010 2010GRC 2" xfId="41278"/>
    <cellStyle name="_DEM-WP(C) Prod O&amp;M 2007GRC" xfId="1416"/>
    <cellStyle name="_DEM-WP(C) Prod O&amp;M 2007GRC 2" xfId="1417"/>
    <cellStyle name="_DEM-WP(C) Prod O&amp;M 2007GRC 2 2" xfId="4789"/>
    <cellStyle name="_DEM-WP(C) Prod O&amp;M 2007GRC 2 2 2" xfId="20777"/>
    <cellStyle name="_DEM-WP(C) Prod O&amp;M 2007GRC 2 3" xfId="16608"/>
    <cellStyle name="_DEM-WP(C) Prod O&amp;M 2007GRC 3" xfId="4788"/>
    <cellStyle name="_DEM-WP(C) Prod O&amp;M 2007GRC 3 2" xfId="20778"/>
    <cellStyle name="_DEM-WP(C) Prod O&amp;M 2007GRC 3 2 2" xfId="24090"/>
    <cellStyle name="_DEM-WP(C) Prod O&amp;M 2007GRC 4" xfId="16607"/>
    <cellStyle name="_DEM-WP(C) Prod O&amp;M 2007GRC 4 2" xfId="24091"/>
    <cellStyle name="_DEM-WP(C) Prod O&amp;M 2007GRC 4 3" xfId="24092"/>
    <cellStyle name="_DEM-WP(C) Prod O&amp;M 2007GRC 5" xfId="24093"/>
    <cellStyle name="_DEM-WP(C) Prod O&amp;M 2007GRC 5 2" xfId="24094"/>
    <cellStyle name="_DEM-WP(C) Prod O&amp;M 2007GRC 6" xfId="24095"/>
    <cellStyle name="_DEM-WP(C) Prod O&amp;M 2007GRC 6 2" xfId="24096"/>
    <cellStyle name="_DEM-WP(C) Prod O&amp;M 2007GRC_Adj Bench DR 3 for Initial Briefs (Electric)" xfId="1418"/>
    <cellStyle name="_DEM-WP(C) Prod O&amp;M 2007GRC_Adj Bench DR 3 for Initial Briefs (Electric) 2" xfId="1419"/>
    <cellStyle name="_DEM-WP(C) Prod O&amp;M 2007GRC_Adj Bench DR 3 for Initial Briefs (Electric) 2 2" xfId="4791"/>
    <cellStyle name="_DEM-WP(C) Prod O&amp;M 2007GRC_Adj Bench DR 3 for Initial Briefs (Electric) 2 2 2" xfId="20779"/>
    <cellStyle name="_DEM-WP(C) Prod O&amp;M 2007GRC_Adj Bench DR 3 for Initial Briefs (Electric) 2 3" xfId="16610"/>
    <cellStyle name="_DEM-WP(C) Prod O&amp;M 2007GRC_Adj Bench DR 3 for Initial Briefs (Electric) 3" xfId="4790"/>
    <cellStyle name="_DEM-WP(C) Prod O&amp;M 2007GRC_Adj Bench DR 3 for Initial Briefs (Electric) 3 2" xfId="20780"/>
    <cellStyle name="_DEM-WP(C) Prod O&amp;M 2007GRC_Adj Bench DR 3 for Initial Briefs (Electric) 4" xfId="16609"/>
    <cellStyle name="_DEM-WP(C) Prod O&amp;M 2007GRC_Adj Bench DR 3 for Initial Briefs (Electric)_DEM-WP(C) ENERG10C--ctn Mid-C_042010 2010GRC" xfId="12633"/>
    <cellStyle name="_DEM-WP(C) Prod O&amp;M 2007GRC_Adj Bench DR 3 for Initial Briefs (Electric)_DEM-WP(C) ENERG10C--ctn Mid-C_042010 2010GRC 2" xfId="41279"/>
    <cellStyle name="_DEM-WP(C) Prod O&amp;M 2007GRC_Book2" xfId="1420"/>
    <cellStyle name="_DEM-WP(C) Prod O&amp;M 2007GRC_Book2 2" xfId="1421"/>
    <cellStyle name="_DEM-WP(C) Prod O&amp;M 2007GRC_Book2 2 2" xfId="4793"/>
    <cellStyle name="_DEM-WP(C) Prod O&amp;M 2007GRC_Book2 2 2 2" xfId="20781"/>
    <cellStyle name="_DEM-WP(C) Prod O&amp;M 2007GRC_Book2 2 3" xfId="16612"/>
    <cellStyle name="_DEM-WP(C) Prod O&amp;M 2007GRC_Book2 3" xfId="4792"/>
    <cellStyle name="_DEM-WP(C) Prod O&amp;M 2007GRC_Book2 3 2" xfId="20782"/>
    <cellStyle name="_DEM-WP(C) Prod O&amp;M 2007GRC_Book2 4" xfId="16611"/>
    <cellStyle name="_DEM-WP(C) Prod O&amp;M 2007GRC_Book2_Adj Bench DR 3 for Initial Briefs (Electric)" xfId="1422"/>
    <cellStyle name="_DEM-WP(C) Prod O&amp;M 2007GRC_Book2_Adj Bench DR 3 for Initial Briefs (Electric) 2" xfId="1423"/>
    <cellStyle name="_DEM-WP(C) Prod O&amp;M 2007GRC_Book2_Adj Bench DR 3 for Initial Briefs (Electric) 2 2" xfId="4795"/>
    <cellStyle name="_DEM-WP(C) Prod O&amp;M 2007GRC_Book2_Adj Bench DR 3 for Initial Briefs (Electric) 2 2 2" xfId="20783"/>
    <cellStyle name="_DEM-WP(C) Prod O&amp;M 2007GRC_Book2_Adj Bench DR 3 for Initial Briefs (Electric) 2 3" xfId="16614"/>
    <cellStyle name="_DEM-WP(C) Prod O&amp;M 2007GRC_Book2_Adj Bench DR 3 for Initial Briefs (Electric) 3" xfId="4794"/>
    <cellStyle name="_DEM-WP(C) Prod O&amp;M 2007GRC_Book2_Adj Bench DR 3 for Initial Briefs (Electric) 3 2" xfId="20784"/>
    <cellStyle name="_DEM-WP(C) Prod O&amp;M 2007GRC_Book2_Adj Bench DR 3 for Initial Briefs (Electric) 4" xfId="16613"/>
    <cellStyle name="_DEM-WP(C) Prod O&amp;M 2007GRC_Book2_Adj Bench DR 3 for Initial Briefs (Electric)_DEM-WP(C) ENERG10C--ctn Mid-C_042010 2010GRC" xfId="12634"/>
    <cellStyle name="_DEM-WP(C) Prod O&amp;M 2007GRC_Book2_Adj Bench DR 3 for Initial Briefs (Electric)_DEM-WP(C) ENERG10C--ctn Mid-C_042010 2010GRC 2" xfId="41280"/>
    <cellStyle name="_DEM-WP(C) Prod O&amp;M 2007GRC_Book2_DEM-WP(C) ENERG10C--ctn Mid-C_042010 2010GRC" xfId="12635"/>
    <cellStyle name="_DEM-WP(C) Prod O&amp;M 2007GRC_Book2_DEM-WP(C) ENERG10C--ctn Mid-C_042010 2010GRC 2" xfId="41281"/>
    <cellStyle name="_DEM-WP(C) Prod O&amp;M 2007GRC_Book2_Electric Rev Req Model (2009 GRC) Rebuttal" xfId="1424"/>
    <cellStyle name="_DEM-WP(C) Prod O&amp;M 2007GRC_Book2_Electric Rev Req Model (2009 GRC) Rebuttal 2" xfId="4796"/>
    <cellStyle name="_DEM-WP(C) Prod O&amp;M 2007GRC_Book2_Electric Rev Req Model (2009 GRC) Rebuttal 2 2" xfId="7228"/>
    <cellStyle name="_DEM-WP(C) Prod O&amp;M 2007GRC_Book2_Electric Rev Req Model (2009 GRC) Rebuttal 2 2 2" xfId="20785"/>
    <cellStyle name="_DEM-WP(C) Prod O&amp;M 2007GRC_Book2_Electric Rev Req Model (2009 GRC) Rebuttal 2 3" xfId="18447"/>
    <cellStyle name="_DEM-WP(C) Prod O&amp;M 2007GRC_Book2_Electric Rev Req Model (2009 GRC) Rebuttal 3" xfId="7229"/>
    <cellStyle name="_DEM-WP(C) Prod O&amp;M 2007GRC_Book2_Electric Rev Req Model (2009 GRC) Rebuttal 3 2" xfId="20786"/>
    <cellStyle name="_DEM-WP(C) Prod O&amp;M 2007GRC_Book2_Electric Rev Req Model (2009 GRC) Rebuttal 4" xfId="16615"/>
    <cellStyle name="_DEM-WP(C) Prod O&amp;M 2007GRC_Book2_Electric Rev Req Model (2009 GRC) Rebuttal REmoval of New  WH Solar AdjustMI" xfId="1425"/>
    <cellStyle name="_DEM-WP(C) Prod O&amp;M 2007GRC_Book2_Electric Rev Req Model (2009 GRC) Rebuttal REmoval of New  WH Solar AdjustMI 2" xfId="1426"/>
    <cellStyle name="_DEM-WP(C) Prod O&amp;M 2007GRC_Book2_Electric Rev Req Model (2009 GRC) Rebuttal REmoval of New  WH Solar AdjustMI 2 2" xfId="4798"/>
    <cellStyle name="_DEM-WP(C) Prod O&amp;M 2007GRC_Book2_Electric Rev Req Model (2009 GRC) Rebuttal REmoval of New  WH Solar AdjustMI 2 2 2" xfId="20787"/>
    <cellStyle name="_DEM-WP(C) Prod O&amp;M 2007GRC_Book2_Electric Rev Req Model (2009 GRC) Rebuttal REmoval of New  WH Solar AdjustMI 2 3" xfId="16617"/>
    <cellStyle name="_DEM-WP(C) Prod O&amp;M 2007GRC_Book2_Electric Rev Req Model (2009 GRC) Rebuttal REmoval of New  WH Solar AdjustMI 3" xfId="4797"/>
    <cellStyle name="_DEM-WP(C) Prod O&amp;M 2007GRC_Book2_Electric Rev Req Model (2009 GRC) Rebuttal REmoval of New  WH Solar AdjustMI 3 2" xfId="20788"/>
    <cellStyle name="_DEM-WP(C) Prod O&amp;M 2007GRC_Book2_Electric Rev Req Model (2009 GRC) Rebuttal REmoval of New  WH Solar AdjustMI 4" xfId="16616"/>
    <cellStyle name="_DEM-WP(C) Prod O&amp;M 2007GRC_Book2_Electric Rev Req Model (2009 GRC) Rebuttal REmoval of New  WH Solar AdjustMI_DEM-WP(C) ENERG10C--ctn Mid-C_042010 2010GRC" xfId="12636"/>
    <cellStyle name="_DEM-WP(C) Prod O&amp;M 2007GRC_Book2_Electric Rev Req Model (2009 GRC) Rebuttal REmoval of New  WH Solar AdjustMI_DEM-WP(C) ENERG10C--ctn Mid-C_042010 2010GRC 2" xfId="41282"/>
    <cellStyle name="_DEM-WP(C) Prod O&amp;M 2007GRC_Book2_Electric Rev Req Model (2009 GRC) Revised 01-18-2010" xfId="1427"/>
    <cellStyle name="_DEM-WP(C) Prod O&amp;M 2007GRC_Book2_Electric Rev Req Model (2009 GRC) Revised 01-18-2010 2" xfId="1428"/>
    <cellStyle name="_DEM-WP(C) Prod O&amp;M 2007GRC_Book2_Electric Rev Req Model (2009 GRC) Revised 01-18-2010 2 2" xfId="4800"/>
    <cellStyle name="_DEM-WP(C) Prod O&amp;M 2007GRC_Book2_Electric Rev Req Model (2009 GRC) Revised 01-18-2010 2 2 2" xfId="20789"/>
    <cellStyle name="_DEM-WP(C) Prod O&amp;M 2007GRC_Book2_Electric Rev Req Model (2009 GRC) Revised 01-18-2010 2 3" xfId="16619"/>
    <cellStyle name="_DEM-WP(C) Prod O&amp;M 2007GRC_Book2_Electric Rev Req Model (2009 GRC) Revised 01-18-2010 3" xfId="4799"/>
    <cellStyle name="_DEM-WP(C) Prod O&amp;M 2007GRC_Book2_Electric Rev Req Model (2009 GRC) Revised 01-18-2010 3 2" xfId="20790"/>
    <cellStyle name="_DEM-WP(C) Prod O&amp;M 2007GRC_Book2_Electric Rev Req Model (2009 GRC) Revised 01-18-2010 4" xfId="16618"/>
    <cellStyle name="_DEM-WP(C) Prod O&amp;M 2007GRC_Book2_Electric Rev Req Model (2009 GRC) Revised 01-18-2010_DEM-WP(C) ENERG10C--ctn Mid-C_042010 2010GRC" xfId="12637"/>
    <cellStyle name="_DEM-WP(C) Prod O&amp;M 2007GRC_Book2_Electric Rev Req Model (2009 GRC) Revised 01-18-2010_DEM-WP(C) ENERG10C--ctn Mid-C_042010 2010GRC 2" xfId="41283"/>
    <cellStyle name="_DEM-WP(C) Prod O&amp;M 2007GRC_Book2_Final Order Electric EXHIBIT A-1" xfId="1429"/>
    <cellStyle name="_DEM-WP(C) Prod O&amp;M 2007GRC_Book2_Final Order Electric EXHIBIT A-1 2" xfId="4801"/>
    <cellStyle name="_DEM-WP(C) Prod O&amp;M 2007GRC_Book2_Final Order Electric EXHIBIT A-1 2 2" xfId="7230"/>
    <cellStyle name="_DEM-WP(C) Prod O&amp;M 2007GRC_Book2_Final Order Electric EXHIBIT A-1 2 2 2" xfId="20791"/>
    <cellStyle name="_DEM-WP(C) Prod O&amp;M 2007GRC_Book2_Final Order Electric EXHIBIT A-1 2 3" xfId="18448"/>
    <cellStyle name="_DEM-WP(C) Prod O&amp;M 2007GRC_Book2_Final Order Electric EXHIBIT A-1 3" xfId="7231"/>
    <cellStyle name="_DEM-WP(C) Prod O&amp;M 2007GRC_Book2_Final Order Electric EXHIBIT A-1 3 2" xfId="20792"/>
    <cellStyle name="_DEM-WP(C) Prod O&amp;M 2007GRC_Book2_Final Order Electric EXHIBIT A-1 4" xfId="16620"/>
    <cellStyle name="_DEM-WP(C) Prod O&amp;M 2007GRC_Colstrip 1&amp;2 Annual O&amp;M Budgets" xfId="24097"/>
    <cellStyle name="_DEM-WP(C) Prod O&amp;M 2007GRC_Confidential Material" xfId="12638"/>
    <cellStyle name="_DEM-WP(C) Prod O&amp;M 2007GRC_Confidential Material 2" xfId="24098"/>
    <cellStyle name="_DEM-WP(C) Prod O&amp;M 2007GRC_DEM-WP(C) Colstrip 12 Coal Cost Forecast 2010GRC" xfId="12639"/>
    <cellStyle name="_DEM-WP(C) Prod O&amp;M 2007GRC_DEM-WP(C) Colstrip 12 Coal Cost Forecast 2010GRC 2" xfId="24099"/>
    <cellStyle name="_DEM-WP(C) Prod O&amp;M 2007GRC_DEM-WP(C) ENERG10C--ctn Mid-C_042010 2010GRC" xfId="12640"/>
    <cellStyle name="_DEM-WP(C) Prod O&amp;M 2007GRC_DEM-WP(C) ENERG10C--ctn Mid-C_042010 2010GRC 2" xfId="41284"/>
    <cellStyle name="_DEM-WP(C) Prod O&amp;M 2007GRC_DEM-WP(C) Production O&amp;M 2010GRC As-Filed" xfId="12641"/>
    <cellStyle name="_DEM-WP(C) Prod O&amp;M 2007GRC_DEM-WP(C) Production O&amp;M 2010GRC As-Filed 2" xfId="12642"/>
    <cellStyle name="_DEM-WP(C) Prod O&amp;M 2007GRC_DEM-WP(C) Production O&amp;M 2010GRC As-Filed 2 2" xfId="24100"/>
    <cellStyle name="_DEM-WP(C) Prod O&amp;M 2007GRC_DEM-WP(C) Production O&amp;M 2010GRC As-Filed 3" xfId="12643"/>
    <cellStyle name="_DEM-WP(C) Prod O&amp;M 2007GRC_DEM-WP(C) Production O&amp;M 2010GRC As-Filed 3 2" xfId="24101"/>
    <cellStyle name="_DEM-WP(C) Prod O&amp;M 2007GRC_DEM-WP(C) Production O&amp;M 2010GRC As-Filed 4" xfId="24102"/>
    <cellStyle name="_DEM-WP(C) Prod O&amp;M 2007GRC_DEM-WP(C) Production O&amp;M 2010GRC As-Filed 4 2" xfId="24103"/>
    <cellStyle name="_DEM-WP(C) Prod O&amp;M 2007GRC_DEM-WP(C) Production O&amp;M 2010GRC As-Filed 5" xfId="24104"/>
    <cellStyle name="_DEM-WP(C) Prod O&amp;M 2007GRC_DEM-WP(C) Production O&amp;M 2010GRC As-Filed 5 2" xfId="24105"/>
    <cellStyle name="_DEM-WP(C) Prod O&amp;M 2007GRC_DEM-WP(C) Production O&amp;M 2010GRC As-Filed 6" xfId="24106"/>
    <cellStyle name="_DEM-WP(C) Prod O&amp;M 2007GRC_DEM-WP(C) Production O&amp;M 2010GRC As-Filed 6 2" xfId="24107"/>
    <cellStyle name="_DEM-WP(C) Prod O&amp;M 2007GRC_Electric Rev Req Model (2009 GRC) Rebuttal" xfId="1430"/>
    <cellStyle name="_DEM-WP(C) Prod O&amp;M 2007GRC_Electric Rev Req Model (2009 GRC) Rebuttal 2" xfId="4802"/>
    <cellStyle name="_DEM-WP(C) Prod O&amp;M 2007GRC_Electric Rev Req Model (2009 GRC) Rebuttal 2 2" xfId="7232"/>
    <cellStyle name="_DEM-WP(C) Prod O&amp;M 2007GRC_Electric Rev Req Model (2009 GRC) Rebuttal 2 2 2" xfId="20793"/>
    <cellStyle name="_DEM-WP(C) Prod O&amp;M 2007GRC_Electric Rev Req Model (2009 GRC) Rebuttal 2 3" xfId="18449"/>
    <cellStyle name="_DEM-WP(C) Prod O&amp;M 2007GRC_Electric Rev Req Model (2009 GRC) Rebuttal 3" xfId="7233"/>
    <cellStyle name="_DEM-WP(C) Prod O&amp;M 2007GRC_Electric Rev Req Model (2009 GRC) Rebuttal 3 2" xfId="20794"/>
    <cellStyle name="_DEM-WP(C) Prod O&amp;M 2007GRC_Electric Rev Req Model (2009 GRC) Rebuttal 4" xfId="16621"/>
    <cellStyle name="_DEM-WP(C) Prod O&amp;M 2007GRC_Electric Rev Req Model (2009 GRC) Rebuttal REmoval of New  WH Solar AdjustMI" xfId="1431"/>
    <cellStyle name="_DEM-WP(C) Prod O&amp;M 2007GRC_Electric Rev Req Model (2009 GRC) Rebuttal REmoval of New  WH Solar AdjustMI 2" xfId="1432"/>
    <cellStyle name="_DEM-WP(C) Prod O&amp;M 2007GRC_Electric Rev Req Model (2009 GRC) Rebuttal REmoval of New  WH Solar AdjustMI 2 2" xfId="4804"/>
    <cellStyle name="_DEM-WP(C) Prod O&amp;M 2007GRC_Electric Rev Req Model (2009 GRC) Rebuttal REmoval of New  WH Solar AdjustMI 2 2 2" xfId="20795"/>
    <cellStyle name="_DEM-WP(C) Prod O&amp;M 2007GRC_Electric Rev Req Model (2009 GRC) Rebuttal REmoval of New  WH Solar AdjustMI 2 3" xfId="16623"/>
    <cellStyle name="_DEM-WP(C) Prod O&amp;M 2007GRC_Electric Rev Req Model (2009 GRC) Rebuttal REmoval of New  WH Solar AdjustMI 3" xfId="4803"/>
    <cellStyle name="_DEM-WP(C) Prod O&amp;M 2007GRC_Electric Rev Req Model (2009 GRC) Rebuttal REmoval of New  WH Solar AdjustMI 3 2" xfId="20796"/>
    <cellStyle name="_DEM-WP(C) Prod O&amp;M 2007GRC_Electric Rev Req Model (2009 GRC) Rebuttal REmoval of New  WH Solar AdjustMI 4" xfId="16622"/>
    <cellStyle name="_DEM-WP(C) Prod O&amp;M 2007GRC_Electric Rev Req Model (2009 GRC) Rebuttal REmoval of New  WH Solar AdjustMI_DEM-WP(C) ENERG10C--ctn Mid-C_042010 2010GRC" xfId="12644"/>
    <cellStyle name="_DEM-WP(C) Prod O&amp;M 2007GRC_Electric Rev Req Model (2009 GRC) Rebuttal REmoval of New  WH Solar AdjustMI_DEM-WP(C) ENERG10C--ctn Mid-C_042010 2010GRC 2" xfId="41285"/>
    <cellStyle name="_DEM-WP(C) Prod O&amp;M 2007GRC_Electric Rev Req Model (2009 GRC) Revised 01-18-2010" xfId="1433"/>
    <cellStyle name="_DEM-WP(C) Prod O&amp;M 2007GRC_Electric Rev Req Model (2009 GRC) Revised 01-18-2010 2" xfId="1434"/>
    <cellStyle name="_DEM-WP(C) Prod O&amp;M 2007GRC_Electric Rev Req Model (2009 GRC) Revised 01-18-2010 2 2" xfId="4806"/>
    <cellStyle name="_DEM-WP(C) Prod O&amp;M 2007GRC_Electric Rev Req Model (2009 GRC) Revised 01-18-2010 2 2 2" xfId="20797"/>
    <cellStyle name="_DEM-WP(C) Prod O&amp;M 2007GRC_Electric Rev Req Model (2009 GRC) Revised 01-18-2010 2 3" xfId="16625"/>
    <cellStyle name="_DEM-WP(C) Prod O&amp;M 2007GRC_Electric Rev Req Model (2009 GRC) Revised 01-18-2010 3" xfId="4805"/>
    <cellStyle name="_DEM-WP(C) Prod O&amp;M 2007GRC_Electric Rev Req Model (2009 GRC) Revised 01-18-2010 3 2" xfId="20798"/>
    <cellStyle name="_DEM-WP(C) Prod O&amp;M 2007GRC_Electric Rev Req Model (2009 GRC) Revised 01-18-2010 4" xfId="16624"/>
    <cellStyle name="_DEM-WP(C) Prod O&amp;M 2007GRC_Electric Rev Req Model (2009 GRC) Revised 01-18-2010_DEM-WP(C) ENERG10C--ctn Mid-C_042010 2010GRC" xfId="12645"/>
    <cellStyle name="_DEM-WP(C) Prod O&amp;M 2007GRC_Electric Rev Req Model (2009 GRC) Revised 01-18-2010_DEM-WP(C) ENERG10C--ctn Mid-C_042010 2010GRC 2" xfId="41286"/>
    <cellStyle name="_DEM-WP(C) Prod O&amp;M 2007GRC_Final Order Electric EXHIBIT A-1" xfId="1435"/>
    <cellStyle name="_DEM-WP(C) Prod O&amp;M 2007GRC_Final Order Electric EXHIBIT A-1 2" xfId="4807"/>
    <cellStyle name="_DEM-WP(C) Prod O&amp;M 2007GRC_Final Order Electric EXHIBIT A-1 2 2" xfId="7234"/>
    <cellStyle name="_DEM-WP(C) Prod O&amp;M 2007GRC_Final Order Electric EXHIBIT A-1 2 2 2" xfId="20799"/>
    <cellStyle name="_DEM-WP(C) Prod O&amp;M 2007GRC_Final Order Electric EXHIBIT A-1 2 3" xfId="18450"/>
    <cellStyle name="_DEM-WP(C) Prod O&amp;M 2007GRC_Final Order Electric EXHIBIT A-1 3" xfId="7235"/>
    <cellStyle name="_DEM-WP(C) Prod O&amp;M 2007GRC_Final Order Electric EXHIBIT A-1 3 2" xfId="20800"/>
    <cellStyle name="_DEM-WP(C) Prod O&amp;M 2007GRC_Final Order Electric EXHIBIT A-1 4" xfId="16626"/>
    <cellStyle name="_DEM-WP(C) Prod O&amp;M 2007GRC_Rebuttal Power Costs" xfId="1436"/>
    <cellStyle name="_DEM-WP(C) Prod O&amp;M 2007GRC_Rebuttal Power Costs 2" xfId="1437"/>
    <cellStyle name="_DEM-WP(C) Prod O&amp;M 2007GRC_Rebuttal Power Costs 2 2" xfId="4809"/>
    <cellStyle name="_DEM-WP(C) Prod O&amp;M 2007GRC_Rebuttal Power Costs 2 2 2" xfId="20801"/>
    <cellStyle name="_DEM-WP(C) Prod O&amp;M 2007GRC_Rebuttal Power Costs 2 3" xfId="16628"/>
    <cellStyle name="_DEM-WP(C) Prod O&amp;M 2007GRC_Rebuttal Power Costs 3" xfId="4808"/>
    <cellStyle name="_DEM-WP(C) Prod O&amp;M 2007GRC_Rebuttal Power Costs 3 2" xfId="20802"/>
    <cellStyle name="_DEM-WP(C) Prod O&amp;M 2007GRC_Rebuttal Power Costs 4" xfId="16627"/>
    <cellStyle name="_DEM-WP(C) Prod O&amp;M 2007GRC_Rebuttal Power Costs_Adj Bench DR 3 for Initial Briefs (Electric)" xfId="1438"/>
    <cellStyle name="_DEM-WP(C) Prod O&amp;M 2007GRC_Rebuttal Power Costs_Adj Bench DR 3 for Initial Briefs (Electric) 2" xfId="1439"/>
    <cellStyle name="_DEM-WP(C) Prod O&amp;M 2007GRC_Rebuttal Power Costs_Adj Bench DR 3 for Initial Briefs (Electric) 2 2" xfId="4811"/>
    <cellStyle name="_DEM-WP(C) Prod O&amp;M 2007GRC_Rebuttal Power Costs_Adj Bench DR 3 for Initial Briefs (Electric) 2 2 2" xfId="20803"/>
    <cellStyle name="_DEM-WP(C) Prod O&amp;M 2007GRC_Rebuttal Power Costs_Adj Bench DR 3 for Initial Briefs (Electric) 2 3" xfId="16630"/>
    <cellStyle name="_DEM-WP(C) Prod O&amp;M 2007GRC_Rebuttal Power Costs_Adj Bench DR 3 for Initial Briefs (Electric) 3" xfId="4810"/>
    <cellStyle name="_DEM-WP(C) Prod O&amp;M 2007GRC_Rebuttal Power Costs_Adj Bench DR 3 for Initial Briefs (Electric) 3 2" xfId="20804"/>
    <cellStyle name="_DEM-WP(C) Prod O&amp;M 2007GRC_Rebuttal Power Costs_Adj Bench DR 3 for Initial Briefs (Electric) 4" xfId="16629"/>
    <cellStyle name="_DEM-WP(C) Prod O&amp;M 2007GRC_Rebuttal Power Costs_Adj Bench DR 3 for Initial Briefs (Electric)_DEM-WP(C) ENERG10C--ctn Mid-C_042010 2010GRC" xfId="12646"/>
    <cellStyle name="_DEM-WP(C) Prod O&amp;M 2007GRC_Rebuttal Power Costs_Adj Bench DR 3 for Initial Briefs (Electric)_DEM-WP(C) ENERG10C--ctn Mid-C_042010 2010GRC 2" xfId="41287"/>
    <cellStyle name="_DEM-WP(C) Prod O&amp;M 2007GRC_Rebuttal Power Costs_DEM-WP(C) ENERG10C--ctn Mid-C_042010 2010GRC" xfId="12647"/>
    <cellStyle name="_DEM-WP(C) Prod O&amp;M 2007GRC_Rebuttal Power Costs_DEM-WP(C) ENERG10C--ctn Mid-C_042010 2010GRC 2" xfId="41288"/>
    <cellStyle name="_DEM-WP(C) Prod O&amp;M 2007GRC_Rebuttal Power Costs_Electric Rev Req Model (2009 GRC) Rebuttal" xfId="1440"/>
    <cellStyle name="_DEM-WP(C) Prod O&amp;M 2007GRC_Rebuttal Power Costs_Electric Rev Req Model (2009 GRC) Rebuttal 2" xfId="4812"/>
    <cellStyle name="_DEM-WP(C) Prod O&amp;M 2007GRC_Rebuttal Power Costs_Electric Rev Req Model (2009 GRC) Rebuttal 2 2" xfId="7236"/>
    <cellStyle name="_DEM-WP(C) Prod O&amp;M 2007GRC_Rebuttal Power Costs_Electric Rev Req Model (2009 GRC) Rebuttal 2 2 2" xfId="20805"/>
    <cellStyle name="_DEM-WP(C) Prod O&amp;M 2007GRC_Rebuttal Power Costs_Electric Rev Req Model (2009 GRC) Rebuttal 2 3" xfId="18451"/>
    <cellStyle name="_DEM-WP(C) Prod O&amp;M 2007GRC_Rebuttal Power Costs_Electric Rev Req Model (2009 GRC) Rebuttal 3" xfId="7237"/>
    <cellStyle name="_DEM-WP(C) Prod O&amp;M 2007GRC_Rebuttal Power Costs_Electric Rev Req Model (2009 GRC) Rebuttal 3 2" xfId="20806"/>
    <cellStyle name="_DEM-WP(C) Prod O&amp;M 2007GRC_Rebuttal Power Costs_Electric Rev Req Model (2009 GRC) Rebuttal 4" xfId="16631"/>
    <cellStyle name="_DEM-WP(C) Prod O&amp;M 2007GRC_Rebuttal Power Costs_Electric Rev Req Model (2009 GRC) Rebuttal REmoval of New  WH Solar AdjustMI" xfId="1441"/>
    <cellStyle name="_DEM-WP(C) Prod O&amp;M 2007GRC_Rebuttal Power Costs_Electric Rev Req Model (2009 GRC) Rebuttal REmoval of New  WH Solar AdjustMI 2" xfId="1442"/>
    <cellStyle name="_DEM-WP(C) Prod O&amp;M 2007GRC_Rebuttal Power Costs_Electric Rev Req Model (2009 GRC) Rebuttal REmoval of New  WH Solar AdjustMI 2 2" xfId="4814"/>
    <cellStyle name="_DEM-WP(C) Prod O&amp;M 2007GRC_Rebuttal Power Costs_Electric Rev Req Model (2009 GRC) Rebuttal REmoval of New  WH Solar AdjustMI 2 2 2" xfId="20807"/>
    <cellStyle name="_DEM-WP(C) Prod O&amp;M 2007GRC_Rebuttal Power Costs_Electric Rev Req Model (2009 GRC) Rebuttal REmoval of New  WH Solar AdjustMI 2 3" xfId="16633"/>
    <cellStyle name="_DEM-WP(C) Prod O&amp;M 2007GRC_Rebuttal Power Costs_Electric Rev Req Model (2009 GRC) Rebuttal REmoval of New  WH Solar AdjustMI 3" xfId="4813"/>
    <cellStyle name="_DEM-WP(C) Prod O&amp;M 2007GRC_Rebuttal Power Costs_Electric Rev Req Model (2009 GRC) Rebuttal REmoval of New  WH Solar AdjustMI 3 2" xfId="20808"/>
    <cellStyle name="_DEM-WP(C) Prod O&amp;M 2007GRC_Rebuttal Power Costs_Electric Rev Req Model (2009 GRC) Rebuttal REmoval of New  WH Solar AdjustMI 4" xfId="16632"/>
    <cellStyle name="_DEM-WP(C) Prod O&amp;M 2007GRC_Rebuttal Power Costs_Electric Rev Req Model (2009 GRC) Rebuttal REmoval of New  WH Solar AdjustMI_DEM-WP(C) ENERG10C--ctn Mid-C_042010 2010GRC" xfId="12648"/>
    <cellStyle name="_DEM-WP(C) Prod O&amp;M 2007GRC_Rebuttal Power Costs_Electric Rev Req Model (2009 GRC) Rebuttal REmoval of New  WH Solar AdjustMI_DEM-WP(C) ENERG10C--ctn Mid-C_042010 2010GRC 2" xfId="41289"/>
    <cellStyle name="_DEM-WP(C) Prod O&amp;M 2007GRC_Rebuttal Power Costs_Electric Rev Req Model (2009 GRC) Revised 01-18-2010" xfId="1443"/>
    <cellStyle name="_DEM-WP(C) Prod O&amp;M 2007GRC_Rebuttal Power Costs_Electric Rev Req Model (2009 GRC) Revised 01-18-2010 2" xfId="1444"/>
    <cellStyle name="_DEM-WP(C) Prod O&amp;M 2007GRC_Rebuttal Power Costs_Electric Rev Req Model (2009 GRC) Revised 01-18-2010 2 2" xfId="4816"/>
    <cellStyle name="_DEM-WP(C) Prod O&amp;M 2007GRC_Rebuttal Power Costs_Electric Rev Req Model (2009 GRC) Revised 01-18-2010 2 2 2" xfId="20809"/>
    <cellStyle name="_DEM-WP(C) Prod O&amp;M 2007GRC_Rebuttal Power Costs_Electric Rev Req Model (2009 GRC) Revised 01-18-2010 2 3" xfId="16635"/>
    <cellStyle name="_DEM-WP(C) Prod O&amp;M 2007GRC_Rebuttal Power Costs_Electric Rev Req Model (2009 GRC) Revised 01-18-2010 3" xfId="4815"/>
    <cellStyle name="_DEM-WP(C) Prod O&amp;M 2007GRC_Rebuttal Power Costs_Electric Rev Req Model (2009 GRC) Revised 01-18-2010 3 2" xfId="20810"/>
    <cellStyle name="_DEM-WP(C) Prod O&amp;M 2007GRC_Rebuttal Power Costs_Electric Rev Req Model (2009 GRC) Revised 01-18-2010 4" xfId="16634"/>
    <cellStyle name="_DEM-WP(C) Prod O&amp;M 2007GRC_Rebuttal Power Costs_Electric Rev Req Model (2009 GRC) Revised 01-18-2010_DEM-WP(C) ENERG10C--ctn Mid-C_042010 2010GRC" xfId="12649"/>
    <cellStyle name="_DEM-WP(C) Prod O&amp;M 2007GRC_Rebuttal Power Costs_Electric Rev Req Model (2009 GRC) Revised 01-18-2010_DEM-WP(C) ENERG10C--ctn Mid-C_042010 2010GRC 2" xfId="41290"/>
    <cellStyle name="_DEM-WP(C) Prod O&amp;M 2007GRC_Rebuttal Power Costs_Final Order Electric EXHIBIT A-1" xfId="1445"/>
    <cellStyle name="_DEM-WP(C) Prod O&amp;M 2007GRC_Rebuttal Power Costs_Final Order Electric EXHIBIT A-1 2" xfId="4817"/>
    <cellStyle name="_DEM-WP(C) Prod O&amp;M 2007GRC_Rebuttal Power Costs_Final Order Electric EXHIBIT A-1 2 2" xfId="7238"/>
    <cellStyle name="_DEM-WP(C) Prod O&amp;M 2007GRC_Rebuttal Power Costs_Final Order Electric EXHIBIT A-1 2 2 2" xfId="20811"/>
    <cellStyle name="_DEM-WP(C) Prod O&amp;M 2007GRC_Rebuttal Power Costs_Final Order Electric EXHIBIT A-1 2 3" xfId="18452"/>
    <cellStyle name="_DEM-WP(C) Prod O&amp;M 2007GRC_Rebuttal Power Costs_Final Order Electric EXHIBIT A-1 3" xfId="7239"/>
    <cellStyle name="_DEM-WP(C) Prod O&amp;M 2007GRC_Rebuttal Power Costs_Final Order Electric EXHIBIT A-1 3 2" xfId="20812"/>
    <cellStyle name="_DEM-WP(C) Prod O&amp;M 2007GRC_Rebuttal Power Costs_Final Order Electric EXHIBIT A-1 4" xfId="16636"/>
    <cellStyle name="_x0013__DEM-WP(C) Production O&amp;M 2010GRC As-Filed" xfId="12650"/>
    <cellStyle name="_x0013__DEM-WP(C) Production O&amp;M 2010GRC As-Filed 2" xfId="12651"/>
    <cellStyle name="_x0013__DEM-WP(C) Production O&amp;M 2010GRC As-Filed 2 2" xfId="24108"/>
    <cellStyle name="_x0013__DEM-WP(C) Production O&amp;M 2010GRC As-Filed 3" xfId="12652"/>
    <cellStyle name="_x0013__DEM-WP(C) Production O&amp;M 2010GRC As-Filed 3 2" xfId="24109"/>
    <cellStyle name="_x0013__DEM-WP(C) Production O&amp;M 2010GRC As-Filed 4" xfId="24110"/>
    <cellStyle name="_x0013__DEM-WP(C) Production O&amp;M 2010GRC As-Filed 4 2" xfId="24111"/>
    <cellStyle name="_x0013__DEM-WP(C) Production O&amp;M 2010GRC As-Filed 5" xfId="24112"/>
    <cellStyle name="_x0013__DEM-WP(C) Production O&amp;M 2010GRC As-Filed 5 2" xfId="24113"/>
    <cellStyle name="_x0013__DEM-WP(C) Production O&amp;M 2010GRC As-Filed 6" xfId="24114"/>
    <cellStyle name="_x0013__DEM-WP(C) Production O&amp;M 2010GRC As-Filed 6 2" xfId="24115"/>
    <cellStyle name="_DEM-WP(C) Rate Year Sumas by Month Update Corrected" xfId="1446"/>
    <cellStyle name="_DEM-WP(C) Rate Year Sumas by Month Update Corrected 2" xfId="24116"/>
    <cellStyle name="_DEM-WP(C) ST Power Contracts 3102008" xfId="12653"/>
    <cellStyle name="_DEM-WP(C) ST Power Contracts 3102008 2" xfId="12654"/>
    <cellStyle name="_DEM-WP(C) ST Power Contracts 3102008 2 2" xfId="24117"/>
    <cellStyle name="_DEM-WP(C) ST Power Contracts 3102008 2 2 2" xfId="24118"/>
    <cellStyle name="_DEM-WP(C) ST Power Contracts 3102008 2 2 2 2" xfId="24119"/>
    <cellStyle name="_DEM-WP(C) ST Power Contracts 3102008 2 2 3" xfId="24120"/>
    <cellStyle name="_DEM-WP(C) ST Power Contracts 3102008 2 3" xfId="24121"/>
    <cellStyle name="_DEM-WP(C) ST Power Contracts 3102008 2 3 2" xfId="24122"/>
    <cellStyle name="_DEM-WP(C) ST Power Contracts 3102008 2 4" xfId="24123"/>
    <cellStyle name="_DEM-WP(C) ST Power Contracts 3102008 3" xfId="12655"/>
    <cellStyle name="_DEM-WP(C) ST Power Contracts 3102008 3 2" xfId="12656"/>
    <cellStyle name="_DEM-WP(C) ST Power Contracts 3102008 3 2 2" xfId="24124"/>
    <cellStyle name="_DEM-WP(C) ST Power Contracts 3102008 3 3" xfId="24125"/>
    <cellStyle name="_DEM-WP(C) ST Power Contracts 3102008 4" xfId="24126"/>
    <cellStyle name="_DEM-WP(C) ST Power Contracts 3102008 4 2" xfId="24127"/>
    <cellStyle name="_DEM-WP(C) ST Power Contracts 3102008 4 2 2" xfId="24128"/>
    <cellStyle name="_DEM-WP(C) ST Power Contracts 3102008 4 3" xfId="24129"/>
    <cellStyle name="_DEM-WP(C) ST Power Contracts 3102008 5" xfId="24130"/>
    <cellStyle name="_DEM-WP(C) ST Power Contracts 3102008 5 2" xfId="24131"/>
    <cellStyle name="_DEM-WP(C) ST Power Contracts 3102008 5 2 2" xfId="24132"/>
    <cellStyle name="_DEM-WP(C) ST Power Contracts 3102008 5 3" xfId="24133"/>
    <cellStyle name="_DEM-WP(C) ST Power Contracts 3102008 6" xfId="24134"/>
    <cellStyle name="_DEM-WP(C) Sumas Proforma 11.14.07" xfId="1447"/>
    <cellStyle name="_DEM-WP(C) Sumas Proforma 11.14.07 2" xfId="24135"/>
    <cellStyle name="_DEM-WP(C) Sumas Proforma 11.5.07" xfId="1448"/>
    <cellStyle name="_DEM-WP(C) Sumas Proforma 11.5.07 2" xfId="24136"/>
    <cellStyle name="_DEM-WP(C) Wells_Power_Cost" xfId="12657"/>
    <cellStyle name="_DEM-WP(C) Wells_Power_Cost 2" xfId="12658"/>
    <cellStyle name="_DEM-WP(C) Wells_Power_Cost 2 2" xfId="12659"/>
    <cellStyle name="_DEM-WP(C) Wells_Power_Cost 2 2 2" xfId="41291"/>
    <cellStyle name="_DEM-WP(C) Wells_Power_Cost 2 3" xfId="41292"/>
    <cellStyle name="_DEM-WP(C) Wells_Power_Cost 3" xfId="24137"/>
    <cellStyle name="_DEM-WP(C) Wells_Power_Cost 3 2" xfId="24138"/>
    <cellStyle name="_DEM-WP(C) Westside Hydro Data_051007" xfId="1449"/>
    <cellStyle name="_DEM-WP(C) Westside Hydro Data_051007 2" xfId="1450"/>
    <cellStyle name="_DEM-WP(C) Westside Hydro Data_051007 2 2" xfId="4819"/>
    <cellStyle name="_DEM-WP(C) Westside Hydro Data_051007 2 2 2" xfId="20813"/>
    <cellStyle name="_DEM-WP(C) Westside Hydro Data_051007 2 3" xfId="16638"/>
    <cellStyle name="_DEM-WP(C) Westside Hydro Data_051007 3" xfId="4818"/>
    <cellStyle name="_DEM-WP(C) Westside Hydro Data_051007 3 2" xfId="20814"/>
    <cellStyle name="_DEM-WP(C) Westside Hydro Data_051007 4" xfId="16637"/>
    <cellStyle name="_DEM-WP(C) Westside Hydro Data_051007_16.37E Wild Horse Expansion DeferralRevwrkingfile SF" xfId="1451"/>
    <cellStyle name="_DEM-WP(C) Westside Hydro Data_051007_16.37E Wild Horse Expansion DeferralRevwrkingfile SF 2" xfId="1452"/>
    <cellStyle name="_DEM-WP(C) Westside Hydro Data_051007_16.37E Wild Horse Expansion DeferralRevwrkingfile SF 2 2" xfId="4821"/>
    <cellStyle name="_DEM-WP(C) Westside Hydro Data_051007_16.37E Wild Horse Expansion DeferralRevwrkingfile SF 2 2 2" xfId="20815"/>
    <cellStyle name="_DEM-WP(C) Westside Hydro Data_051007_16.37E Wild Horse Expansion DeferralRevwrkingfile SF 2 3" xfId="16640"/>
    <cellStyle name="_DEM-WP(C) Westside Hydro Data_051007_16.37E Wild Horse Expansion DeferralRevwrkingfile SF 3" xfId="4820"/>
    <cellStyle name="_DEM-WP(C) Westside Hydro Data_051007_16.37E Wild Horse Expansion DeferralRevwrkingfile SF 3 2" xfId="20816"/>
    <cellStyle name="_DEM-WP(C) Westside Hydro Data_051007_16.37E Wild Horse Expansion DeferralRevwrkingfile SF 4" xfId="16639"/>
    <cellStyle name="_DEM-WP(C) Westside Hydro Data_051007_16.37E Wild Horse Expansion DeferralRevwrkingfile SF_DEM-WP(C) ENERG10C--ctn Mid-C_042010 2010GRC" xfId="12660"/>
    <cellStyle name="_DEM-WP(C) Westside Hydro Data_051007_16.37E Wild Horse Expansion DeferralRevwrkingfile SF_DEM-WP(C) ENERG10C--ctn Mid-C_042010 2010GRC 2" xfId="41293"/>
    <cellStyle name="_DEM-WP(C) Westside Hydro Data_051007_2009 GRC Compl Filing - Exhibit D" xfId="1453"/>
    <cellStyle name="_DEM-WP(C) Westside Hydro Data_051007_2009 GRC Compl Filing - Exhibit D 2" xfId="1454"/>
    <cellStyle name="_DEM-WP(C) Westside Hydro Data_051007_2009 GRC Compl Filing - Exhibit D 2 2" xfId="4823"/>
    <cellStyle name="_DEM-WP(C) Westside Hydro Data_051007_2009 GRC Compl Filing - Exhibit D 2 2 2" xfId="24139"/>
    <cellStyle name="_DEM-WP(C) Westside Hydro Data_051007_2009 GRC Compl Filing - Exhibit D 2 3" xfId="24140"/>
    <cellStyle name="_DEM-WP(C) Westside Hydro Data_051007_2009 GRC Compl Filing - Exhibit D 3" xfId="4822"/>
    <cellStyle name="_DEM-WP(C) Westside Hydro Data_051007_2009 GRC Compl Filing - Exhibit D 3 2" xfId="24141"/>
    <cellStyle name="_DEM-WP(C) Westside Hydro Data_051007_2009 GRC Compl Filing - Exhibit D 4" xfId="24142"/>
    <cellStyle name="_DEM-WP(C) Westside Hydro Data_051007_2009 GRC Compl Filing - Exhibit D_DEM-WP(C) ENERG10C--ctn Mid-C_042010 2010GRC" xfId="12661"/>
    <cellStyle name="_DEM-WP(C) Westside Hydro Data_051007_2009 GRC Compl Filing - Exhibit D_DEM-WP(C) ENERG10C--ctn Mid-C_042010 2010GRC 2" xfId="41294"/>
    <cellStyle name="_DEM-WP(C) Westside Hydro Data_051007_Adj Bench DR 3 for Initial Briefs (Electric)" xfId="1455"/>
    <cellStyle name="_DEM-WP(C) Westside Hydro Data_051007_Adj Bench DR 3 for Initial Briefs (Electric) 2" xfId="1456"/>
    <cellStyle name="_DEM-WP(C) Westside Hydro Data_051007_Adj Bench DR 3 for Initial Briefs (Electric) 2 2" xfId="4825"/>
    <cellStyle name="_DEM-WP(C) Westside Hydro Data_051007_Adj Bench DR 3 for Initial Briefs (Electric) 2 2 2" xfId="20817"/>
    <cellStyle name="_DEM-WP(C) Westside Hydro Data_051007_Adj Bench DR 3 for Initial Briefs (Electric) 2 3" xfId="16642"/>
    <cellStyle name="_DEM-WP(C) Westside Hydro Data_051007_Adj Bench DR 3 for Initial Briefs (Electric) 3" xfId="4824"/>
    <cellStyle name="_DEM-WP(C) Westside Hydro Data_051007_Adj Bench DR 3 for Initial Briefs (Electric) 3 2" xfId="20818"/>
    <cellStyle name="_DEM-WP(C) Westside Hydro Data_051007_Adj Bench DR 3 for Initial Briefs (Electric) 4" xfId="16641"/>
    <cellStyle name="_DEM-WP(C) Westside Hydro Data_051007_Adj Bench DR 3 for Initial Briefs (Electric)_DEM-WP(C) ENERG10C--ctn Mid-C_042010 2010GRC" xfId="12662"/>
    <cellStyle name="_DEM-WP(C) Westside Hydro Data_051007_Adj Bench DR 3 for Initial Briefs (Electric)_DEM-WP(C) ENERG10C--ctn Mid-C_042010 2010GRC 2" xfId="41295"/>
    <cellStyle name="_DEM-WP(C) Westside Hydro Data_051007_Book1" xfId="14264"/>
    <cellStyle name="_DEM-WP(C) Westside Hydro Data_051007_Book1 2" xfId="41296"/>
    <cellStyle name="_DEM-WP(C) Westside Hydro Data_051007_Book2" xfId="1457"/>
    <cellStyle name="_DEM-WP(C) Westside Hydro Data_051007_Book2 2" xfId="1458"/>
    <cellStyle name="_DEM-WP(C) Westside Hydro Data_051007_Book2 2 2" xfId="4827"/>
    <cellStyle name="_DEM-WP(C) Westside Hydro Data_051007_Book2 2 2 2" xfId="20819"/>
    <cellStyle name="_DEM-WP(C) Westside Hydro Data_051007_Book2 2 3" xfId="16644"/>
    <cellStyle name="_DEM-WP(C) Westside Hydro Data_051007_Book2 3" xfId="4826"/>
    <cellStyle name="_DEM-WP(C) Westside Hydro Data_051007_Book2 3 2" xfId="20820"/>
    <cellStyle name="_DEM-WP(C) Westside Hydro Data_051007_Book2 4" xfId="16643"/>
    <cellStyle name="_DEM-WP(C) Westside Hydro Data_051007_Book2_DEM-WP(C) ENERG10C--ctn Mid-C_042010 2010GRC" xfId="12663"/>
    <cellStyle name="_DEM-WP(C) Westside Hydro Data_051007_Book2_DEM-WP(C) ENERG10C--ctn Mid-C_042010 2010GRC 2" xfId="41297"/>
    <cellStyle name="_DEM-WP(C) Westside Hydro Data_051007_Book4" xfId="1459"/>
    <cellStyle name="_DEM-WP(C) Westside Hydro Data_051007_Book4 2" xfId="1460"/>
    <cellStyle name="_DEM-WP(C) Westside Hydro Data_051007_Book4 2 2" xfId="4829"/>
    <cellStyle name="_DEM-WP(C) Westside Hydro Data_051007_Book4 2 2 2" xfId="20821"/>
    <cellStyle name="_DEM-WP(C) Westside Hydro Data_051007_Book4 2 3" xfId="16646"/>
    <cellStyle name="_DEM-WP(C) Westside Hydro Data_051007_Book4 3" xfId="4828"/>
    <cellStyle name="_DEM-WP(C) Westside Hydro Data_051007_Book4 3 2" xfId="20822"/>
    <cellStyle name="_DEM-WP(C) Westside Hydro Data_051007_Book4 4" xfId="16645"/>
    <cellStyle name="_DEM-WP(C) Westside Hydro Data_051007_Book4_DEM-WP(C) ENERG10C--ctn Mid-C_042010 2010GRC" xfId="12664"/>
    <cellStyle name="_DEM-WP(C) Westside Hydro Data_051007_Book4_DEM-WP(C) ENERG10C--ctn Mid-C_042010 2010GRC 2" xfId="41298"/>
    <cellStyle name="_DEM-WP(C) Westside Hydro Data_051007_DEM-WP(C) ENERG10C--ctn Mid-C_042010 2010GRC" xfId="12665"/>
    <cellStyle name="_DEM-WP(C) Westside Hydro Data_051007_DEM-WP(C) ENERG10C--ctn Mid-C_042010 2010GRC 2" xfId="41299"/>
    <cellStyle name="_DEM-WP(C) Westside Hydro Data_051007_Electric Rev Req Model (2009 GRC) " xfId="1461"/>
    <cellStyle name="_DEM-WP(C) Westside Hydro Data_051007_Electric Rev Req Model (2009 GRC)  2" xfId="1462"/>
    <cellStyle name="_DEM-WP(C) Westside Hydro Data_051007_Electric Rev Req Model (2009 GRC)  2 2" xfId="4831"/>
    <cellStyle name="_DEM-WP(C) Westside Hydro Data_051007_Electric Rev Req Model (2009 GRC)  2 2 2" xfId="20823"/>
    <cellStyle name="_DEM-WP(C) Westside Hydro Data_051007_Electric Rev Req Model (2009 GRC)  2 3" xfId="16648"/>
    <cellStyle name="_DEM-WP(C) Westside Hydro Data_051007_Electric Rev Req Model (2009 GRC)  3" xfId="4830"/>
    <cellStyle name="_DEM-WP(C) Westside Hydro Data_051007_Electric Rev Req Model (2009 GRC)  3 2" xfId="20824"/>
    <cellStyle name="_DEM-WP(C) Westside Hydro Data_051007_Electric Rev Req Model (2009 GRC)  4" xfId="16647"/>
    <cellStyle name="_DEM-WP(C) Westside Hydro Data_051007_Electric Rev Req Model (2009 GRC) _DEM-WP(C) ENERG10C--ctn Mid-C_042010 2010GRC" xfId="12666"/>
    <cellStyle name="_DEM-WP(C) Westside Hydro Data_051007_Electric Rev Req Model (2009 GRC) _DEM-WP(C) ENERG10C--ctn Mid-C_042010 2010GRC 2" xfId="41300"/>
    <cellStyle name="_DEM-WP(C) Westside Hydro Data_051007_Electric Rev Req Model (2009 GRC) Rebuttal" xfId="1463"/>
    <cellStyle name="_DEM-WP(C) Westside Hydro Data_051007_Electric Rev Req Model (2009 GRC) Rebuttal 2" xfId="4832"/>
    <cellStyle name="_DEM-WP(C) Westside Hydro Data_051007_Electric Rev Req Model (2009 GRC) Rebuttal 2 2" xfId="7240"/>
    <cellStyle name="_DEM-WP(C) Westside Hydro Data_051007_Electric Rev Req Model (2009 GRC) Rebuttal 2 2 2" xfId="20825"/>
    <cellStyle name="_DEM-WP(C) Westside Hydro Data_051007_Electric Rev Req Model (2009 GRC) Rebuttal 2 3" xfId="18453"/>
    <cellStyle name="_DEM-WP(C) Westside Hydro Data_051007_Electric Rev Req Model (2009 GRC) Rebuttal 3" xfId="7241"/>
    <cellStyle name="_DEM-WP(C) Westside Hydro Data_051007_Electric Rev Req Model (2009 GRC) Rebuttal 3 2" xfId="20826"/>
    <cellStyle name="_DEM-WP(C) Westside Hydro Data_051007_Electric Rev Req Model (2009 GRC) Rebuttal 4" xfId="16649"/>
    <cellStyle name="_DEM-WP(C) Westside Hydro Data_051007_Electric Rev Req Model (2009 GRC) Rebuttal REmoval of New  WH Solar AdjustMI" xfId="1464"/>
    <cellStyle name="_DEM-WP(C) Westside Hydro Data_051007_Electric Rev Req Model (2009 GRC) Rebuttal REmoval of New  WH Solar AdjustMI 2" xfId="1465"/>
    <cellStyle name="_DEM-WP(C) Westside Hydro Data_051007_Electric Rev Req Model (2009 GRC) Rebuttal REmoval of New  WH Solar AdjustMI 2 2" xfId="4834"/>
    <cellStyle name="_DEM-WP(C) Westside Hydro Data_051007_Electric Rev Req Model (2009 GRC) Rebuttal REmoval of New  WH Solar AdjustMI 2 2 2" xfId="20827"/>
    <cellStyle name="_DEM-WP(C) Westside Hydro Data_051007_Electric Rev Req Model (2009 GRC) Rebuttal REmoval of New  WH Solar AdjustMI 2 3" xfId="16651"/>
    <cellStyle name="_DEM-WP(C) Westside Hydro Data_051007_Electric Rev Req Model (2009 GRC) Rebuttal REmoval of New  WH Solar AdjustMI 3" xfId="4833"/>
    <cellStyle name="_DEM-WP(C) Westside Hydro Data_051007_Electric Rev Req Model (2009 GRC) Rebuttal REmoval of New  WH Solar AdjustMI 3 2" xfId="20828"/>
    <cellStyle name="_DEM-WP(C) Westside Hydro Data_051007_Electric Rev Req Model (2009 GRC) Rebuttal REmoval of New  WH Solar AdjustMI 4" xfId="16650"/>
    <cellStyle name="_DEM-WP(C) Westside Hydro Data_051007_Electric Rev Req Model (2009 GRC) Rebuttal REmoval of New  WH Solar AdjustMI_DEM-WP(C) ENERG10C--ctn Mid-C_042010 2010GRC" xfId="12667"/>
    <cellStyle name="_DEM-WP(C) Westside Hydro Data_051007_Electric Rev Req Model (2009 GRC) Rebuttal REmoval of New  WH Solar AdjustMI_DEM-WP(C) ENERG10C--ctn Mid-C_042010 2010GRC 2" xfId="41301"/>
    <cellStyle name="_DEM-WP(C) Westside Hydro Data_051007_Electric Rev Req Model (2009 GRC) Revised 01-18-2010" xfId="1466"/>
    <cellStyle name="_DEM-WP(C) Westside Hydro Data_051007_Electric Rev Req Model (2009 GRC) Revised 01-18-2010 2" xfId="1467"/>
    <cellStyle name="_DEM-WP(C) Westside Hydro Data_051007_Electric Rev Req Model (2009 GRC) Revised 01-18-2010 2 2" xfId="4836"/>
    <cellStyle name="_DEM-WP(C) Westside Hydro Data_051007_Electric Rev Req Model (2009 GRC) Revised 01-18-2010 2 2 2" xfId="20829"/>
    <cellStyle name="_DEM-WP(C) Westside Hydro Data_051007_Electric Rev Req Model (2009 GRC) Revised 01-18-2010 2 3" xfId="16653"/>
    <cellStyle name="_DEM-WP(C) Westside Hydro Data_051007_Electric Rev Req Model (2009 GRC) Revised 01-18-2010 3" xfId="4835"/>
    <cellStyle name="_DEM-WP(C) Westside Hydro Data_051007_Electric Rev Req Model (2009 GRC) Revised 01-18-2010 3 2" xfId="20830"/>
    <cellStyle name="_DEM-WP(C) Westside Hydro Data_051007_Electric Rev Req Model (2009 GRC) Revised 01-18-2010 4" xfId="16652"/>
    <cellStyle name="_DEM-WP(C) Westside Hydro Data_051007_Electric Rev Req Model (2009 GRC) Revised 01-18-2010_DEM-WP(C) ENERG10C--ctn Mid-C_042010 2010GRC" xfId="12668"/>
    <cellStyle name="_DEM-WP(C) Westside Hydro Data_051007_Electric Rev Req Model (2009 GRC) Revised 01-18-2010_DEM-WP(C) ENERG10C--ctn Mid-C_042010 2010GRC 2" xfId="41302"/>
    <cellStyle name="_DEM-WP(C) Westside Hydro Data_051007_Electric Rev Req Model (2010 GRC)" xfId="14265"/>
    <cellStyle name="_DEM-WP(C) Westside Hydro Data_051007_Electric Rev Req Model (2010 GRC) 2" xfId="41303"/>
    <cellStyle name="_DEM-WP(C) Westside Hydro Data_051007_Electric Rev Req Model (2010 GRC) SF" xfId="14266"/>
    <cellStyle name="_DEM-WP(C) Westside Hydro Data_051007_Electric Rev Req Model (2010 GRC) SF 2" xfId="41304"/>
    <cellStyle name="_DEM-WP(C) Westside Hydro Data_051007_Final Order Electric EXHIBIT A-1" xfId="1468"/>
    <cellStyle name="_DEM-WP(C) Westside Hydro Data_051007_Final Order Electric EXHIBIT A-1 2" xfId="4837"/>
    <cellStyle name="_DEM-WP(C) Westside Hydro Data_051007_Final Order Electric EXHIBIT A-1 2 2" xfId="7242"/>
    <cellStyle name="_DEM-WP(C) Westside Hydro Data_051007_Final Order Electric EXHIBIT A-1 2 2 2" xfId="20831"/>
    <cellStyle name="_DEM-WP(C) Westside Hydro Data_051007_Final Order Electric EXHIBIT A-1 2 3" xfId="18454"/>
    <cellStyle name="_DEM-WP(C) Westside Hydro Data_051007_Final Order Electric EXHIBIT A-1 3" xfId="7243"/>
    <cellStyle name="_DEM-WP(C) Westside Hydro Data_051007_Final Order Electric EXHIBIT A-1 3 2" xfId="20832"/>
    <cellStyle name="_DEM-WP(C) Westside Hydro Data_051007_Final Order Electric EXHIBIT A-1 4" xfId="16654"/>
    <cellStyle name="_DEM-WP(C) Westside Hydro Data_051007_NIM Summary" xfId="1469"/>
    <cellStyle name="_DEM-WP(C) Westside Hydro Data_051007_NIM Summary 2" xfId="1470"/>
    <cellStyle name="_DEM-WP(C) Westside Hydro Data_051007_NIM Summary 2 2" xfId="4839"/>
    <cellStyle name="_DEM-WP(C) Westside Hydro Data_051007_NIM Summary 2 2 2" xfId="24143"/>
    <cellStyle name="_DEM-WP(C) Westside Hydro Data_051007_NIM Summary 2 3" xfId="24144"/>
    <cellStyle name="_DEM-WP(C) Westside Hydro Data_051007_NIM Summary 3" xfId="4838"/>
    <cellStyle name="_DEM-WP(C) Westside Hydro Data_051007_NIM Summary 3 2" xfId="24145"/>
    <cellStyle name="_DEM-WP(C) Westside Hydro Data_051007_NIM Summary 4" xfId="24146"/>
    <cellStyle name="_DEM-WP(C) Westside Hydro Data_051007_NIM Summary_DEM-WP(C) ENERG10C--ctn Mid-C_042010 2010GRC" xfId="12669"/>
    <cellStyle name="_DEM-WP(C) Westside Hydro Data_051007_NIM Summary_DEM-WP(C) ENERG10C--ctn Mid-C_042010 2010GRC 2" xfId="41305"/>
    <cellStyle name="_DEM-WP(C) Westside Hydro Data_051007_Power Costs - Comparison bx Rbtl-Staff-Jt-PC" xfId="1471"/>
    <cellStyle name="_DEM-WP(C) Westside Hydro Data_051007_Power Costs - Comparison bx Rbtl-Staff-Jt-PC 2" xfId="1472"/>
    <cellStyle name="_DEM-WP(C) Westside Hydro Data_051007_Power Costs - Comparison bx Rbtl-Staff-Jt-PC 2 2" xfId="4841"/>
    <cellStyle name="_DEM-WP(C) Westside Hydro Data_051007_Power Costs - Comparison bx Rbtl-Staff-Jt-PC 2 2 2" xfId="20833"/>
    <cellStyle name="_DEM-WP(C) Westside Hydro Data_051007_Power Costs - Comparison bx Rbtl-Staff-Jt-PC 2 3" xfId="16656"/>
    <cellStyle name="_DEM-WP(C) Westside Hydro Data_051007_Power Costs - Comparison bx Rbtl-Staff-Jt-PC 3" xfId="4840"/>
    <cellStyle name="_DEM-WP(C) Westside Hydro Data_051007_Power Costs - Comparison bx Rbtl-Staff-Jt-PC 3 2" xfId="20834"/>
    <cellStyle name="_DEM-WP(C) Westside Hydro Data_051007_Power Costs - Comparison bx Rbtl-Staff-Jt-PC 4" xfId="16655"/>
    <cellStyle name="_DEM-WP(C) Westside Hydro Data_051007_Power Costs - Comparison bx Rbtl-Staff-Jt-PC_DEM-WP(C) ENERG10C--ctn Mid-C_042010 2010GRC" xfId="12670"/>
    <cellStyle name="_DEM-WP(C) Westside Hydro Data_051007_Power Costs - Comparison bx Rbtl-Staff-Jt-PC_DEM-WP(C) ENERG10C--ctn Mid-C_042010 2010GRC 2" xfId="41306"/>
    <cellStyle name="_DEM-WP(C) Westside Hydro Data_051007_Rebuttal Power Costs" xfId="1473"/>
    <cellStyle name="_DEM-WP(C) Westside Hydro Data_051007_Rebuttal Power Costs 2" xfId="1474"/>
    <cellStyle name="_DEM-WP(C) Westside Hydro Data_051007_Rebuttal Power Costs 2 2" xfId="4843"/>
    <cellStyle name="_DEM-WP(C) Westside Hydro Data_051007_Rebuttal Power Costs 2 2 2" xfId="20835"/>
    <cellStyle name="_DEM-WP(C) Westside Hydro Data_051007_Rebuttal Power Costs 2 3" xfId="16658"/>
    <cellStyle name="_DEM-WP(C) Westside Hydro Data_051007_Rebuttal Power Costs 3" xfId="4842"/>
    <cellStyle name="_DEM-WP(C) Westside Hydro Data_051007_Rebuttal Power Costs 3 2" xfId="20836"/>
    <cellStyle name="_DEM-WP(C) Westside Hydro Data_051007_Rebuttal Power Costs 4" xfId="16657"/>
    <cellStyle name="_DEM-WP(C) Westside Hydro Data_051007_Rebuttal Power Costs_DEM-WP(C) ENERG10C--ctn Mid-C_042010 2010GRC" xfId="12671"/>
    <cellStyle name="_DEM-WP(C) Westside Hydro Data_051007_Rebuttal Power Costs_DEM-WP(C) ENERG10C--ctn Mid-C_042010 2010GRC 2" xfId="41307"/>
    <cellStyle name="_DEM-WP(C) Westside Hydro Data_051007_TENASKA REGULATORY ASSET" xfId="1475"/>
    <cellStyle name="_DEM-WP(C) Westside Hydro Data_051007_TENASKA REGULATORY ASSET 2" xfId="4844"/>
    <cellStyle name="_DEM-WP(C) Westside Hydro Data_051007_TENASKA REGULATORY ASSET 2 2" xfId="7244"/>
    <cellStyle name="_DEM-WP(C) Westside Hydro Data_051007_TENASKA REGULATORY ASSET 2 2 2" xfId="20837"/>
    <cellStyle name="_DEM-WP(C) Westside Hydro Data_051007_TENASKA REGULATORY ASSET 2 3" xfId="18455"/>
    <cellStyle name="_DEM-WP(C) Westside Hydro Data_051007_TENASKA REGULATORY ASSET 3" xfId="7245"/>
    <cellStyle name="_DEM-WP(C) Westside Hydro Data_051007_TENASKA REGULATORY ASSET 3 2" xfId="20838"/>
    <cellStyle name="_DEM-WP(C) Westside Hydro Data_051007_TENASKA REGULATORY ASSET 4" xfId="16659"/>
    <cellStyle name="_Elec Peak Capacity Need_2008-2029_032709_Wind 5% Cap" xfId="1476"/>
    <cellStyle name="_Elec Peak Capacity Need_2008-2029_032709_Wind 5% Cap 2" xfId="1477"/>
    <cellStyle name="_Elec Peak Capacity Need_2008-2029_032709_Wind 5% Cap 2 2" xfId="4846"/>
    <cellStyle name="_Elec Peak Capacity Need_2008-2029_032709_Wind 5% Cap 2 2 2" xfId="24147"/>
    <cellStyle name="_Elec Peak Capacity Need_2008-2029_032709_Wind 5% Cap 2 2 2 2" xfId="24148"/>
    <cellStyle name="_Elec Peak Capacity Need_2008-2029_032709_Wind 5% Cap 2 2 3" xfId="24149"/>
    <cellStyle name="_Elec Peak Capacity Need_2008-2029_032709_Wind 5% Cap 2 3" xfId="24150"/>
    <cellStyle name="_Elec Peak Capacity Need_2008-2029_032709_Wind 5% Cap 2 3 2" xfId="24151"/>
    <cellStyle name="_Elec Peak Capacity Need_2008-2029_032709_Wind 5% Cap 2 4" xfId="24152"/>
    <cellStyle name="_Elec Peak Capacity Need_2008-2029_032709_Wind 5% Cap 3" xfId="4845"/>
    <cellStyle name="_Elec Peak Capacity Need_2008-2029_032709_Wind 5% Cap 3 2" xfId="24153"/>
    <cellStyle name="_Elec Peak Capacity Need_2008-2029_032709_Wind 5% Cap 4" xfId="24154"/>
    <cellStyle name="_Elec Peak Capacity Need_2008-2029_032709_Wind 5% Cap_DEM-WP(C) ENERG10C--ctn Mid-C_042010 2010GRC" xfId="12672"/>
    <cellStyle name="_Elec Peak Capacity Need_2008-2029_032709_Wind 5% Cap_DEM-WP(C) ENERG10C--ctn Mid-C_042010 2010GRC 2" xfId="41308"/>
    <cellStyle name="_Elec Peak Capacity Need_2008-2029_032709_Wind 5% Cap_NIM Summary" xfId="1478"/>
    <cellStyle name="_Elec Peak Capacity Need_2008-2029_032709_Wind 5% Cap_NIM Summary 2" xfId="1479"/>
    <cellStyle name="_Elec Peak Capacity Need_2008-2029_032709_Wind 5% Cap_NIM Summary 2 2" xfId="4848"/>
    <cellStyle name="_Elec Peak Capacity Need_2008-2029_032709_Wind 5% Cap_NIM Summary 2 2 2" xfId="24155"/>
    <cellStyle name="_Elec Peak Capacity Need_2008-2029_032709_Wind 5% Cap_NIM Summary 2 3" xfId="24156"/>
    <cellStyle name="_Elec Peak Capacity Need_2008-2029_032709_Wind 5% Cap_NIM Summary 3" xfId="4847"/>
    <cellStyle name="_Elec Peak Capacity Need_2008-2029_032709_Wind 5% Cap_NIM Summary 3 2" xfId="24157"/>
    <cellStyle name="_Elec Peak Capacity Need_2008-2029_032709_Wind 5% Cap_NIM Summary 4" xfId="24158"/>
    <cellStyle name="_Elec Peak Capacity Need_2008-2029_032709_Wind 5% Cap_NIM Summary_DEM-WP(C) ENERG10C--ctn Mid-C_042010 2010GRC" xfId="12673"/>
    <cellStyle name="_Elec Peak Capacity Need_2008-2029_032709_Wind 5% Cap_NIM Summary_DEM-WP(C) ENERG10C--ctn Mid-C_042010 2010GRC 2" xfId="41309"/>
    <cellStyle name="_Elec Peak Capacity Need_2008-2029_032709_Wind 5% Cap-ST-Adj-PJP1" xfId="1480"/>
    <cellStyle name="_Elec Peak Capacity Need_2008-2029_032709_Wind 5% Cap-ST-Adj-PJP1 2" xfId="1481"/>
    <cellStyle name="_Elec Peak Capacity Need_2008-2029_032709_Wind 5% Cap-ST-Adj-PJP1 2 2" xfId="4850"/>
    <cellStyle name="_Elec Peak Capacity Need_2008-2029_032709_Wind 5% Cap-ST-Adj-PJP1 2 2 2" xfId="24159"/>
    <cellStyle name="_Elec Peak Capacity Need_2008-2029_032709_Wind 5% Cap-ST-Adj-PJP1 2 2 2 2" xfId="24160"/>
    <cellStyle name="_Elec Peak Capacity Need_2008-2029_032709_Wind 5% Cap-ST-Adj-PJP1 2 2 3" xfId="24161"/>
    <cellStyle name="_Elec Peak Capacity Need_2008-2029_032709_Wind 5% Cap-ST-Adj-PJP1 2 3" xfId="24162"/>
    <cellStyle name="_Elec Peak Capacity Need_2008-2029_032709_Wind 5% Cap-ST-Adj-PJP1 2 3 2" xfId="24163"/>
    <cellStyle name="_Elec Peak Capacity Need_2008-2029_032709_Wind 5% Cap-ST-Adj-PJP1 2 4" xfId="24164"/>
    <cellStyle name="_Elec Peak Capacity Need_2008-2029_032709_Wind 5% Cap-ST-Adj-PJP1 3" xfId="4849"/>
    <cellStyle name="_Elec Peak Capacity Need_2008-2029_032709_Wind 5% Cap-ST-Adj-PJP1 3 2" xfId="24165"/>
    <cellStyle name="_Elec Peak Capacity Need_2008-2029_032709_Wind 5% Cap-ST-Adj-PJP1 4" xfId="24166"/>
    <cellStyle name="_Elec Peak Capacity Need_2008-2029_032709_Wind 5% Cap-ST-Adj-PJP1_DEM-WP(C) ENERG10C--ctn Mid-C_042010 2010GRC" xfId="12674"/>
    <cellStyle name="_Elec Peak Capacity Need_2008-2029_032709_Wind 5% Cap-ST-Adj-PJP1_DEM-WP(C) ENERG10C--ctn Mid-C_042010 2010GRC 2" xfId="41310"/>
    <cellStyle name="_Elec Peak Capacity Need_2008-2029_032709_Wind 5% Cap-ST-Adj-PJP1_NIM Summary" xfId="1482"/>
    <cellStyle name="_Elec Peak Capacity Need_2008-2029_032709_Wind 5% Cap-ST-Adj-PJP1_NIM Summary 2" xfId="1483"/>
    <cellStyle name="_Elec Peak Capacity Need_2008-2029_032709_Wind 5% Cap-ST-Adj-PJP1_NIM Summary 2 2" xfId="4852"/>
    <cellStyle name="_Elec Peak Capacity Need_2008-2029_032709_Wind 5% Cap-ST-Adj-PJP1_NIM Summary 2 2 2" xfId="24167"/>
    <cellStyle name="_Elec Peak Capacity Need_2008-2029_032709_Wind 5% Cap-ST-Adj-PJP1_NIM Summary 2 3" xfId="24168"/>
    <cellStyle name="_Elec Peak Capacity Need_2008-2029_032709_Wind 5% Cap-ST-Adj-PJP1_NIM Summary 3" xfId="4851"/>
    <cellStyle name="_Elec Peak Capacity Need_2008-2029_032709_Wind 5% Cap-ST-Adj-PJP1_NIM Summary 3 2" xfId="24169"/>
    <cellStyle name="_Elec Peak Capacity Need_2008-2029_032709_Wind 5% Cap-ST-Adj-PJP1_NIM Summary 4" xfId="24170"/>
    <cellStyle name="_Elec Peak Capacity Need_2008-2029_032709_Wind 5% Cap-ST-Adj-PJP1_NIM Summary_DEM-WP(C) ENERG10C--ctn Mid-C_042010 2010GRC" xfId="12675"/>
    <cellStyle name="_Elec Peak Capacity Need_2008-2029_032709_Wind 5% Cap-ST-Adj-PJP1_NIM Summary_DEM-WP(C) ENERG10C--ctn Mid-C_042010 2010GRC 2" xfId="41311"/>
    <cellStyle name="_Elec Peak Capacity Need_2008-2029_120908_Wind 5% Cap_Low" xfId="1484"/>
    <cellStyle name="_Elec Peak Capacity Need_2008-2029_120908_Wind 5% Cap_Low 2" xfId="1485"/>
    <cellStyle name="_Elec Peak Capacity Need_2008-2029_120908_Wind 5% Cap_Low 2 2" xfId="4854"/>
    <cellStyle name="_Elec Peak Capacity Need_2008-2029_120908_Wind 5% Cap_Low 2 2 2" xfId="24171"/>
    <cellStyle name="_Elec Peak Capacity Need_2008-2029_120908_Wind 5% Cap_Low 2 2 2 2" xfId="24172"/>
    <cellStyle name="_Elec Peak Capacity Need_2008-2029_120908_Wind 5% Cap_Low 2 2 3" xfId="24173"/>
    <cellStyle name="_Elec Peak Capacity Need_2008-2029_120908_Wind 5% Cap_Low 2 3" xfId="24174"/>
    <cellStyle name="_Elec Peak Capacity Need_2008-2029_120908_Wind 5% Cap_Low 2 3 2" xfId="24175"/>
    <cellStyle name="_Elec Peak Capacity Need_2008-2029_120908_Wind 5% Cap_Low 2 4" xfId="24176"/>
    <cellStyle name="_Elec Peak Capacity Need_2008-2029_120908_Wind 5% Cap_Low 3" xfId="4853"/>
    <cellStyle name="_Elec Peak Capacity Need_2008-2029_120908_Wind 5% Cap_Low 3 2" xfId="24177"/>
    <cellStyle name="_Elec Peak Capacity Need_2008-2029_120908_Wind 5% Cap_Low 4" xfId="24178"/>
    <cellStyle name="_Elec Peak Capacity Need_2008-2029_120908_Wind 5% Cap_Low_DEM-WP(C) ENERG10C--ctn Mid-C_042010 2010GRC" xfId="12676"/>
    <cellStyle name="_Elec Peak Capacity Need_2008-2029_120908_Wind 5% Cap_Low_DEM-WP(C) ENERG10C--ctn Mid-C_042010 2010GRC 2" xfId="41312"/>
    <cellStyle name="_Elec Peak Capacity Need_2008-2029_120908_Wind 5% Cap_Low_NIM Summary" xfId="1486"/>
    <cellStyle name="_Elec Peak Capacity Need_2008-2029_120908_Wind 5% Cap_Low_NIM Summary 2" xfId="1487"/>
    <cellStyle name="_Elec Peak Capacity Need_2008-2029_120908_Wind 5% Cap_Low_NIM Summary 2 2" xfId="4856"/>
    <cellStyle name="_Elec Peak Capacity Need_2008-2029_120908_Wind 5% Cap_Low_NIM Summary 2 2 2" xfId="24179"/>
    <cellStyle name="_Elec Peak Capacity Need_2008-2029_120908_Wind 5% Cap_Low_NIM Summary 2 3" xfId="24180"/>
    <cellStyle name="_Elec Peak Capacity Need_2008-2029_120908_Wind 5% Cap_Low_NIM Summary 3" xfId="4855"/>
    <cellStyle name="_Elec Peak Capacity Need_2008-2029_120908_Wind 5% Cap_Low_NIM Summary 3 2" xfId="24181"/>
    <cellStyle name="_Elec Peak Capacity Need_2008-2029_120908_Wind 5% Cap_Low_NIM Summary 4" xfId="24182"/>
    <cellStyle name="_Elec Peak Capacity Need_2008-2029_120908_Wind 5% Cap_Low_NIM Summary_DEM-WP(C) ENERG10C--ctn Mid-C_042010 2010GRC" xfId="12677"/>
    <cellStyle name="_Elec Peak Capacity Need_2008-2029_120908_Wind 5% Cap_Low_NIM Summary_DEM-WP(C) ENERG10C--ctn Mid-C_042010 2010GRC 2" xfId="41313"/>
    <cellStyle name="_Elec Peak Capacity Need_2008-2029_Wind 5% Cap_050809" xfId="1488"/>
    <cellStyle name="_Elec Peak Capacity Need_2008-2029_Wind 5% Cap_050809 2" xfId="1489"/>
    <cellStyle name="_Elec Peak Capacity Need_2008-2029_Wind 5% Cap_050809 2 2" xfId="4858"/>
    <cellStyle name="_Elec Peak Capacity Need_2008-2029_Wind 5% Cap_050809 2 2 2" xfId="24183"/>
    <cellStyle name="_Elec Peak Capacity Need_2008-2029_Wind 5% Cap_050809 2 2 2 2" xfId="24184"/>
    <cellStyle name="_Elec Peak Capacity Need_2008-2029_Wind 5% Cap_050809 2 2 3" xfId="24185"/>
    <cellStyle name="_Elec Peak Capacity Need_2008-2029_Wind 5% Cap_050809 2 3" xfId="24186"/>
    <cellStyle name="_Elec Peak Capacity Need_2008-2029_Wind 5% Cap_050809 2 3 2" xfId="24187"/>
    <cellStyle name="_Elec Peak Capacity Need_2008-2029_Wind 5% Cap_050809 2 4" xfId="24188"/>
    <cellStyle name="_Elec Peak Capacity Need_2008-2029_Wind 5% Cap_050809 3" xfId="4857"/>
    <cellStyle name="_Elec Peak Capacity Need_2008-2029_Wind 5% Cap_050809 3 2" xfId="24189"/>
    <cellStyle name="_Elec Peak Capacity Need_2008-2029_Wind 5% Cap_050809 4" xfId="24190"/>
    <cellStyle name="_Elec Peak Capacity Need_2008-2029_Wind 5% Cap_050809_DEM-WP(C) ENERG10C--ctn Mid-C_042010 2010GRC" xfId="12678"/>
    <cellStyle name="_Elec Peak Capacity Need_2008-2029_Wind 5% Cap_050809_DEM-WP(C) ENERG10C--ctn Mid-C_042010 2010GRC 2" xfId="41314"/>
    <cellStyle name="_Elec Peak Capacity Need_2008-2029_Wind 5% Cap_050809_NIM Summary" xfId="1490"/>
    <cellStyle name="_Elec Peak Capacity Need_2008-2029_Wind 5% Cap_050809_NIM Summary 2" xfId="1491"/>
    <cellStyle name="_Elec Peak Capacity Need_2008-2029_Wind 5% Cap_050809_NIM Summary 2 2" xfId="4860"/>
    <cellStyle name="_Elec Peak Capacity Need_2008-2029_Wind 5% Cap_050809_NIM Summary 2 2 2" xfId="24191"/>
    <cellStyle name="_Elec Peak Capacity Need_2008-2029_Wind 5% Cap_050809_NIM Summary 2 3" xfId="24192"/>
    <cellStyle name="_Elec Peak Capacity Need_2008-2029_Wind 5% Cap_050809_NIM Summary 3" xfId="4859"/>
    <cellStyle name="_Elec Peak Capacity Need_2008-2029_Wind 5% Cap_050809_NIM Summary 3 2" xfId="24193"/>
    <cellStyle name="_Elec Peak Capacity Need_2008-2029_Wind 5% Cap_050809_NIM Summary 4" xfId="24194"/>
    <cellStyle name="_Elec Peak Capacity Need_2008-2029_Wind 5% Cap_050809_NIM Summary_DEM-WP(C) ENERG10C--ctn Mid-C_042010 2010GRC" xfId="12679"/>
    <cellStyle name="_Elec Peak Capacity Need_2008-2029_Wind 5% Cap_050809_NIM Summary_DEM-WP(C) ENERG10C--ctn Mid-C_042010 2010GRC 2" xfId="41315"/>
    <cellStyle name="_x0013__Electric Rev Req Model (2009 GRC) " xfId="1492"/>
    <cellStyle name="_x0013__Electric Rev Req Model (2009 GRC)  2" xfId="1493"/>
    <cellStyle name="_x0013__Electric Rev Req Model (2009 GRC)  2 2" xfId="4862"/>
    <cellStyle name="_x0013__Electric Rev Req Model (2009 GRC)  2 2 2" xfId="20839"/>
    <cellStyle name="_x0013__Electric Rev Req Model (2009 GRC)  2 3" xfId="16665"/>
    <cellStyle name="_x0013__Electric Rev Req Model (2009 GRC)  3" xfId="4861"/>
    <cellStyle name="_x0013__Electric Rev Req Model (2009 GRC)  3 2" xfId="20840"/>
    <cellStyle name="_x0013__Electric Rev Req Model (2009 GRC)  4" xfId="16664"/>
    <cellStyle name="_x0013__Electric Rev Req Model (2009 GRC) _DEM-WP(C) ENERG10C--ctn Mid-C_042010 2010GRC" xfId="12680"/>
    <cellStyle name="_x0013__Electric Rev Req Model (2009 GRC) _DEM-WP(C) ENERG10C--ctn Mid-C_042010 2010GRC 2" xfId="41316"/>
    <cellStyle name="_x0013__Electric Rev Req Model (2009 GRC) Rebuttal" xfId="1494"/>
    <cellStyle name="_x0013__Electric Rev Req Model (2009 GRC) Rebuttal 2" xfId="4863"/>
    <cellStyle name="_x0013__Electric Rev Req Model (2009 GRC) Rebuttal 2 2" xfId="7246"/>
    <cellStyle name="_x0013__Electric Rev Req Model (2009 GRC) Rebuttal 2 2 2" xfId="20841"/>
    <cellStyle name="_x0013__Electric Rev Req Model (2009 GRC) Rebuttal 2 3" xfId="18456"/>
    <cellStyle name="_x0013__Electric Rev Req Model (2009 GRC) Rebuttal 3" xfId="7247"/>
    <cellStyle name="_x0013__Electric Rev Req Model (2009 GRC) Rebuttal 3 2" xfId="20842"/>
    <cellStyle name="_x0013__Electric Rev Req Model (2009 GRC) Rebuttal 4" xfId="16666"/>
    <cellStyle name="_x0013__Electric Rev Req Model (2009 GRC) Rebuttal REmoval of New  WH Solar AdjustMI" xfId="1495"/>
    <cellStyle name="_x0013__Electric Rev Req Model (2009 GRC) Rebuttal REmoval of New  WH Solar AdjustMI 2" xfId="1496"/>
    <cellStyle name="_x0013__Electric Rev Req Model (2009 GRC) Rebuttal REmoval of New  WH Solar AdjustMI 2 2" xfId="4865"/>
    <cellStyle name="_x0013__Electric Rev Req Model (2009 GRC) Rebuttal REmoval of New  WH Solar AdjustMI 2 2 2" xfId="20843"/>
    <cellStyle name="_x0013__Electric Rev Req Model (2009 GRC) Rebuttal REmoval of New  WH Solar AdjustMI 2 3" xfId="16668"/>
    <cellStyle name="_x0013__Electric Rev Req Model (2009 GRC) Rebuttal REmoval of New  WH Solar AdjustMI 3" xfId="4864"/>
    <cellStyle name="_x0013__Electric Rev Req Model (2009 GRC) Rebuttal REmoval of New  WH Solar AdjustMI 3 2" xfId="20844"/>
    <cellStyle name="_x0013__Electric Rev Req Model (2009 GRC) Rebuttal REmoval of New  WH Solar AdjustMI 4" xfId="16667"/>
    <cellStyle name="_x0013__Electric Rev Req Model (2009 GRC) Rebuttal REmoval of New  WH Solar AdjustMI_DEM-WP(C) ENERG10C--ctn Mid-C_042010 2010GRC" xfId="12681"/>
    <cellStyle name="_x0013__Electric Rev Req Model (2009 GRC) Rebuttal REmoval of New  WH Solar AdjustMI_DEM-WP(C) ENERG10C--ctn Mid-C_042010 2010GRC 2" xfId="41317"/>
    <cellStyle name="_x0013__Electric Rev Req Model (2009 GRC) Revised 01-18-2010" xfId="1497"/>
    <cellStyle name="_x0013__Electric Rev Req Model (2009 GRC) Revised 01-18-2010 2" xfId="1498"/>
    <cellStyle name="_x0013__Electric Rev Req Model (2009 GRC) Revised 01-18-2010 2 2" xfId="4867"/>
    <cellStyle name="_x0013__Electric Rev Req Model (2009 GRC) Revised 01-18-2010 2 2 2" xfId="20845"/>
    <cellStyle name="_x0013__Electric Rev Req Model (2009 GRC) Revised 01-18-2010 2 3" xfId="16670"/>
    <cellStyle name="_x0013__Electric Rev Req Model (2009 GRC) Revised 01-18-2010 3" xfId="4866"/>
    <cellStyle name="_x0013__Electric Rev Req Model (2009 GRC) Revised 01-18-2010 3 2" xfId="20846"/>
    <cellStyle name="_x0013__Electric Rev Req Model (2009 GRC) Revised 01-18-2010 4" xfId="16669"/>
    <cellStyle name="_x0013__Electric Rev Req Model (2009 GRC) Revised 01-18-2010_DEM-WP(C) ENERG10C--ctn Mid-C_042010 2010GRC" xfId="12682"/>
    <cellStyle name="_x0013__Electric Rev Req Model (2009 GRC) Revised 01-18-2010_DEM-WP(C) ENERG10C--ctn Mid-C_042010 2010GRC 2" xfId="41318"/>
    <cellStyle name="_x0013__Electric Rev Req Model (2010 GRC)" xfId="14267"/>
    <cellStyle name="_x0013__Electric Rev Req Model (2010 GRC) 2" xfId="41319"/>
    <cellStyle name="_x0013__Electric Rev Req Model (2010 GRC) SF" xfId="14268"/>
    <cellStyle name="_x0013__Electric Rev Req Model (2010 GRC) SF 2" xfId="41320"/>
    <cellStyle name="_ENCOGEN_WBOOK" xfId="1499"/>
    <cellStyle name="_ENCOGEN_WBOOK 2" xfId="1500"/>
    <cellStyle name="_ENCOGEN_WBOOK 2 2" xfId="4869"/>
    <cellStyle name="_ENCOGEN_WBOOK 2 2 2" xfId="24195"/>
    <cellStyle name="_ENCOGEN_WBOOK 2 3" xfId="24196"/>
    <cellStyle name="_ENCOGEN_WBOOK 3" xfId="4868"/>
    <cellStyle name="_ENCOGEN_WBOOK 3 2" xfId="24197"/>
    <cellStyle name="_ENCOGEN_WBOOK 4" xfId="24198"/>
    <cellStyle name="_ENCOGEN_WBOOK_DEM-WP(C) ENERG10C--ctn Mid-C_042010 2010GRC" xfId="12683"/>
    <cellStyle name="_ENCOGEN_WBOOK_DEM-WP(C) ENERG10C--ctn Mid-C_042010 2010GRC 2" xfId="41321"/>
    <cellStyle name="_ENCOGEN_WBOOK_NIM Summary" xfId="1501"/>
    <cellStyle name="_ENCOGEN_WBOOK_NIM Summary 2" xfId="1502"/>
    <cellStyle name="_ENCOGEN_WBOOK_NIM Summary 2 2" xfId="4871"/>
    <cellStyle name="_ENCOGEN_WBOOK_NIM Summary 2 2 2" xfId="24199"/>
    <cellStyle name="_ENCOGEN_WBOOK_NIM Summary 2 3" xfId="24200"/>
    <cellStyle name="_ENCOGEN_WBOOK_NIM Summary 3" xfId="4870"/>
    <cellStyle name="_ENCOGEN_WBOOK_NIM Summary 3 2" xfId="24201"/>
    <cellStyle name="_ENCOGEN_WBOOK_NIM Summary 4" xfId="24202"/>
    <cellStyle name="_ENCOGEN_WBOOK_NIM Summary_DEM-WP(C) ENERG10C--ctn Mid-C_042010 2010GRC" xfId="12684"/>
    <cellStyle name="_ENCOGEN_WBOOK_NIM Summary_DEM-WP(C) ENERG10C--ctn Mid-C_042010 2010GRC 2" xfId="41322"/>
    <cellStyle name="_x0013__Final Order Electric EXHIBIT A-1" xfId="1503"/>
    <cellStyle name="_x0013__Final Order Electric EXHIBIT A-1 2" xfId="4872"/>
    <cellStyle name="_x0013__Final Order Electric EXHIBIT A-1 2 2" xfId="7248"/>
    <cellStyle name="_x0013__Final Order Electric EXHIBIT A-1 2 2 2" xfId="20847"/>
    <cellStyle name="_x0013__Final Order Electric EXHIBIT A-1 2 3" xfId="18457"/>
    <cellStyle name="_x0013__Final Order Electric EXHIBIT A-1 3" xfId="7249"/>
    <cellStyle name="_x0013__Final Order Electric EXHIBIT A-1 3 2" xfId="20848"/>
    <cellStyle name="_x0013__Final Order Electric EXHIBIT A-1 4" xfId="16673"/>
    <cellStyle name="_Fixed Gas Transport 1 19 09" xfId="1504"/>
    <cellStyle name="_Fixed Gas Transport 1 19 09 2" xfId="1505"/>
    <cellStyle name="_Fixed Gas Transport 1 19 09 2 2" xfId="4874"/>
    <cellStyle name="_Fixed Gas Transport 1 19 09 2 2 2" xfId="20849"/>
    <cellStyle name="_Fixed Gas Transport 1 19 09 2 2 2 2" xfId="24203"/>
    <cellStyle name="_Fixed Gas Transport 1 19 09 2 2 3" xfId="24204"/>
    <cellStyle name="_Fixed Gas Transport 1 19 09 2 3" xfId="16675"/>
    <cellStyle name="_Fixed Gas Transport 1 19 09 2 3 2" xfId="24205"/>
    <cellStyle name="_Fixed Gas Transport 1 19 09 2 4" xfId="24206"/>
    <cellStyle name="_Fixed Gas Transport 1 19 09 3" xfId="4873"/>
    <cellStyle name="_Fixed Gas Transport 1 19 09 3 2" xfId="20850"/>
    <cellStyle name="_Fixed Gas Transport 1 19 09 4" xfId="16674"/>
    <cellStyle name="_Fixed Gas Transport 1 19 09_DEM-WP(C) ENERG10C--ctn Mid-C_042010 2010GRC" xfId="12685"/>
    <cellStyle name="_Fixed Gas Transport 1 19 09_DEM-WP(C) ENERG10C--ctn Mid-C_042010 2010GRC 2" xfId="41323"/>
    <cellStyle name="_Fuel Prices 4-14" xfId="1506"/>
    <cellStyle name="_Fuel Prices 4-14 10" xfId="24207"/>
    <cellStyle name="_Fuel Prices 4-14 10 2" xfId="24208"/>
    <cellStyle name="_Fuel Prices 4-14 2" xfId="1507"/>
    <cellStyle name="_Fuel Prices 4-14 2 2" xfId="1508"/>
    <cellStyle name="_Fuel Prices 4-14 2 2 2" xfId="4877"/>
    <cellStyle name="_Fuel Prices 4-14 2 2 2 2" xfId="20851"/>
    <cellStyle name="_Fuel Prices 4-14 2 2 3" xfId="16677"/>
    <cellStyle name="_Fuel Prices 4-14 2 3" xfId="4876"/>
    <cellStyle name="_Fuel Prices 4-14 2 3 2" xfId="20852"/>
    <cellStyle name="_Fuel Prices 4-14 2 4" xfId="16676"/>
    <cellStyle name="_Fuel Prices 4-14 3" xfId="1509"/>
    <cellStyle name="_Fuel Prices 4-14 3 2" xfId="4878"/>
    <cellStyle name="_Fuel Prices 4-14 3 2 2" xfId="20853"/>
    <cellStyle name="_Fuel Prices 4-14 3 3" xfId="16678"/>
    <cellStyle name="_Fuel Prices 4-14 4" xfId="1510"/>
    <cellStyle name="_Fuel Prices 4-14 4 2" xfId="1511"/>
    <cellStyle name="_Fuel Prices 4-14 4 2 2" xfId="4880"/>
    <cellStyle name="_Fuel Prices 4-14 4 2 2 2" xfId="24209"/>
    <cellStyle name="_Fuel Prices 4-14 4 2 3" xfId="24210"/>
    <cellStyle name="_Fuel Prices 4-14 4 3" xfId="4879"/>
    <cellStyle name="_Fuel Prices 4-14 4 3 2" xfId="24211"/>
    <cellStyle name="_Fuel Prices 4-14 4 4" xfId="24212"/>
    <cellStyle name="_Fuel Prices 4-14 5" xfId="4875"/>
    <cellStyle name="_Fuel Prices 4-14 5 2" xfId="12686"/>
    <cellStyle name="_Fuel Prices 4-14 5 2 2" xfId="24213"/>
    <cellStyle name="_Fuel Prices 4-14 5 2 2 2" xfId="24214"/>
    <cellStyle name="_Fuel Prices 4-14 5 2 3" xfId="24215"/>
    <cellStyle name="_Fuel Prices 4-14 5 2 4" xfId="24216"/>
    <cellStyle name="_Fuel Prices 4-14 5 3" xfId="24217"/>
    <cellStyle name="_Fuel Prices 4-14 5 3 2" xfId="24218"/>
    <cellStyle name="_Fuel Prices 4-14 5 3 3" xfId="24219"/>
    <cellStyle name="_Fuel Prices 4-14 5 4" xfId="24220"/>
    <cellStyle name="_Fuel Prices 4-14 6" xfId="12687"/>
    <cellStyle name="_Fuel Prices 4-14 6 2" xfId="24221"/>
    <cellStyle name="_Fuel Prices 4-14 6 2 2" xfId="24222"/>
    <cellStyle name="_Fuel Prices 4-14 6 2 2 2" xfId="24223"/>
    <cellStyle name="_Fuel Prices 4-14 6 2 3" xfId="24224"/>
    <cellStyle name="_Fuel Prices 4-14 6 3" xfId="24225"/>
    <cellStyle name="_Fuel Prices 4-14 6 3 2" xfId="24226"/>
    <cellStyle name="_Fuel Prices 4-14 6 4" xfId="24227"/>
    <cellStyle name="_Fuel Prices 4-14 7" xfId="12688"/>
    <cellStyle name="_Fuel Prices 4-14 7 2" xfId="12689"/>
    <cellStyle name="_Fuel Prices 4-14 7 2 2" xfId="24228"/>
    <cellStyle name="_Fuel Prices 4-14 7 3" xfId="24229"/>
    <cellStyle name="_Fuel Prices 4-14 8" xfId="12690"/>
    <cellStyle name="_Fuel Prices 4-14 8 2" xfId="12691"/>
    <cellStyle name="_Fuel Prices 4-14 8 2 2" xfId="24230"/>
    <cellStyle name="_Fuel Prices 4-14 8 3" xfId="24231"/>
    <cellStyle name="_Fuel Prices 4-14 9" xfId="24232"/>
    <cellStyle name="_Fuel Prices 4-14 9 2" xfId="24233"/>
    <cellStyle name="_Fuel Prices 4-14 9 2 2" xfId="24234"/>
    <cellStyle name="_Fuel Prices 4-14 9 3" xfId="24235"/>
    <cellStyle name="_Fuel Prices 4-14_04 07E Wild Horse Wind Expansion (C) (2)" xfId="1512"/>
    <cellStyle name="_Fuel Prices 4-14_04 07E Wild Horse Wind Expansion (C) (2) 2" xfId="1513"/>
    <cellStyle name="_Fuel Prices 4-14_04 07E Wild Horse Wind Expansion (C) (2) 2 2" xfId="4882"/>
    <cellStyle name="_Fuel Prices 4-14_04 07E Wild Horse Wind Expansion (C) (2) 2 2 2" xfId="20854"/>
    <cellStyle name="_Fuel Prices 4-14_04 07E Wild Horse Wind Expansion (C) (2) 2 3" xfId="16680"/>
    <cellStyle name="_Fuel Prices 4-14_04 07E Wild Horse Wind Expansion (C) (2) 3" xfId="4881"/>
    <cellStyle name="_Fuel Prices 4-14_04 07E Wild Horse Wind Expansion (C) (2) 3 2" xfId="20855"/>
    <cellStyle name="_Fuel Prices 4-14_04 07E Wild Horse Wind Expansion (C) (2) 4" xfId="16679"/>
    <cellStyle name="_Fuel Prices 4-14_04 07E Wild Horse Wind Expansion (C) (2)_Adj Bench DR 3 for Initial Briefs (Electric)" xfId="1514"/>
    <cellStyle name="_Fuel Prices 4-14_04 07E Wild Horse Wind Expansion (C) (2)_Adj Bench DR 3 for Initial Briefs (Electric) 2" xfId="1515"/>
    <cellStyle name="_Fuel Prices 4-14_04 07E Wild Horse Wind Expansion (C) (2)_Adj Bench DR 3 for Initial Briefs (Electric) 2 2" xfId="4884"/>
    <cellStyle name="_Fuel Prices 4-14_04 07E Wild Horse Wind Expansion (C) (2)_Adj Bench DR 3 for Initial Briefs (Electric) 2 2 2" xfId="20856"/>
    <cellStyle name="_Fuel Prices 4-14_04 07E Wild Horse Wind Expansion (C) (2)_Adj Bench DR 3 for Initial Briefs (Electric) 2 3" xfId="16682"/>
    <cellStyle name="_Fuel Prices 4-14_04 07E Wild Horse Wind Expansion (C) (2)_Adj Bench DR 3 for Initial Briefs (Electric) 3" xfId="4883"/>
    <cellStyle name="_Fuel Prices 4-14_04 07E Wild Horse Wind Expansion (C) (2)_Adj Bench DR 3 for Initial Briefs (Electric) 3 2" xfId="20857"/>
    <cellStyle name="_Fuel Prices 4-14_04 07E Wild Horse Wind Expansion (C) (2)_Adj Bench DR 3 for Initial Briefs (Electric) 4" xfId="16681"/>
    <cellStyle name="_Fuel Prices 4-14_04 07E Wild Horse Wind Expansion (C) (2)_Adj Bench DR 3 for Initial Briefs (Electric)_DEM-WP(C) ENERG10C--ctn Mid-C_042010 2010GRC" xfId="12692"/>
    <cellStyle name="_Fuel Prices 4-14_04 07E Wild Horse Wind Expansion (C) (2)_Adj Bench DR 3 for Initial Briefs (Electric)_DEM-WP(C) ENERG10C--ctn Mid-C_042010 2010GRC 2" xfId="41324"/>
    <cellStyle name="_Fuel Prices 4-14_04 07E Wild Horse Wind Expansion (C) (2)_Book1" xfId="14269"/>
    <cellStyle name="_Fuel Prices 4-14_04 07E Wild Horse Wind Expansion (C) (2)_Book1 2" xfId="41325"/>
    <cellStyle name="_Fuel Prices 4-14_04 07E Wild Horse Wind Expansion (C) (2)_DEM-WP(C) ENERG10C--ctn Mid-C_042010 2010GRC" xfId="12693"/>
    <cellStyle name="_Fuel Prices 4-14_04 07E Wild Horse Wind Expansion (C) (2)_DEM-WP(C) ENERG10C--ctn Mid-C_042010 2010GRC 2" xfId="41326"/>
    <cellStyle name="_Fuel Prices 4-14_04 07E Wild Horse Wind Expansion (C) (2)_Electric Rev Req Model (2009 GRC) " xfId="1516"/>
    <cellStyle name="_Fuel Prices 4-14_04 07E Wild Horse Wind Expansion (C) (2)_Electric Rev Req Model (2009 GRC)  2" xfId="1517"/>
    <cellStyle name="_Fuel Prices 4-14_04 07E Wild Horse Wind Expansion (C) (2)_Electric Rev Req Model (2009 GRC)  2 2" xfId="4886"/>
    <cellStyle name="_Fuel Prices 4-14_04 07E Wild Horse Wind Expansion (C) (2)_Electric Rev Req Model (2009 GRC)  2 2 2" xfId="20858"/>
    <cellStyle name="_Fuel Prices 4-14_04 07E Wild Horse Wind Expansion (C) (2)_Electric Rev Req Model (2009 GRC)  2 3" xfId="16684"/>
    <cellStyle name="_Fuel Prices 4-14_04 07E Wild Horse Wind Expansion (C) (2)_Electric Rev Req Model (2009 GRC)  3" xfId="4885"/>
    <cellStyle name="_Fuel Prices 4-14_04 07E Wild Horse Wind Expansion (C) (2)_Electric Rev Req Model (2009 GRC)  3 2" xfId="20859"/>
    <cellStyle name="_Fuel Prices 4-14_04 07E Wild Horse Wind Expansion (C) (2)_Electric Rev Req Model (2009 GRC)  4" xfId="16683"/>
    <cellStyle name="_Fuel Prices 4-14_04 07E Wild Horse Wind Expansion (C) (2)_Electric Rev Req Model (2009 GRC) _DEM-WP(C) ENERG10C--ctn Mid-C_042010 2010GRC" xfId="12694"/>
    <cellStyle name="_Fuel Prices 4-14_04 07E Wild Horse Wind Expansion (C) (2)_Electric Rev Req Model (2009 GRC) _DEM-WP(C) ENERG10C--ctn Mid-C_042010 2010GRC 2" xfId="41327"/>
    <cellStyle name="_Fuel Prices 4-14_04 07E Wild Horse Wind Expansion (C) (2)_Electric Rev Req Model (2009 GRC) Rebuttal" xfId="1518"/>
    <cellStyle name="_Fuel Prices 4-14_04 07E Wild Horse Wind Expansion (C) (2)_Electric Rev Req Model (2009 GRC) Rebuttal 2" xfId="4887"/>
    <cellStyle name="_Fuel Prices 4-14_04 07E Wild Horse Wind Expansion (C) (2)_Electric Rev Req Model (2009 GRC) Rebuttal 2 2" xfId="7250"/>
    <cellStyle name="_Fuel Prices 4-14_04 07E Wild Horse Wind Expansion (C) (2)_Electric Rev Req Model (2009 GRC) Rebuttal 2 2 2" xfId="20860"/>
    <cellStyle name="_Fuel Prices 4-14_04 07E Wild Horse Wind Expansion (C) (2)_Electric Rev Req Model (2009 GRC) Rebuttal 2 3" xfId="18458"/>
    <cellStyle name="_Fuel Prices 4-14_04 07E Wild Horse Wind Expansion (C) (2)_Electric Rev Req Model (2009 GRC) Rebuttal 3" xfId="7251"/>
    <cellStyle name="_Fuel Prices 4-14_04 07E Wild Horse Wind Expansion (C) (2)_Electric Rev Req Model (2009 GRC) Rebuttal 3 2" xfId="20861"/>
    <cellStyle name="_Fuel Prices 4-14_04 07E Wild Horse Wind Expansion (C) (2)_Electric Rev Req Model (2009 GRC) Rebuttal 4" xfId="16685"/>
    <cellStyle name="_Fuel Prices 4-14_04 07E Wild Horse Wind Expansion (C) (2)_Electric Rev Req Model (2009 GRC) Rebuttal REmoval of New  WH Solar AdjustMI" xfId="1519"/>
    <cellStyle name="_Fuel Prices 4-14_04 07E Wild Horse Wind Expansion (C) (2)_Electric Rev Req Model (2009 GRC) Rebuttal REmoval of New  WH Solar AdjustMI 2" xfId="1520"/>
    <cellStyle name="_Fuel Prices 4-14_04 07E Wild Horse Wind Expansion (C) (2)_Electric Rev Req Model (2009 GRC) Rebuttal REmoval of New  WH Solar AdjustMI 2 2" xfId="4889"/>
    <cellStyle name="_Fuel Prices 4-14_04 07E Wild Horse Wind Expansion (C) (2)_Electric Rev Req Model (2009 GRC) Rebuttal REmoval of New  WH Solar AdjustMI 2 2 2" xfId="20862"/>
    <cellStyle name="_Fuel Prices 4-14_04 07E Wild Horse Wind Expansion (C) (2)_Electric Rev Req Model (2009 GRC) Rebuttal REmoval of New  WH Solar AdjustMI 2 3" xfId="16687"/>
    <cellStyle name="_Fuel Prices 4-14_04 07E Wild Horse Wind Expansion (C) (2)_Electric Rev Req Model (2009 GRC) Rebuttal REmoval of New  WH Solar AdjustMI 3" xfId="4888"/>
    <cellStyle name="_Fuel Prices 4-14_04 07E Wild Horse Wind Expansion (C) (2)_Electric Rev Req Model (2009 GRC) Rebuttal REmoval of New  WH Solar AdjustMI 3 2" xfId="20863"/>
    <cellStyle name="_Fuel Prices 4-14_04 07E Wild Horse Wind Expansion (C) (2)_Electric Rev Req Model (2009 GRC) Rebuttal REmoval of New  WH Solar AdjustMI 4" xfId="16686"/>
    <cellStyle name="_Fuel Prices 4-14_04 07E Wild Horse Wind Expansion (C) (2)_Electric Rev Req Model (2009 GRC) Rebuttal REmoval of New  WH Solar AdjustMI_DEM-WP(C) ENERG10C--ctn Mid-C_042010 2010GRC" xfId="12695"/>
    <cellStyle name="_Fuel Prices 4-14_04 07E Wild Horse Wind Expansion (C) (2)_Electric Rev Req Model (2009 GRC) Rebuttal REmoval of New  WH Solar AdjustMI_DEM-WP(C) ENERG10C--ctn Mid-C_042010 2010GRC 2" xfId="41328"/>
    <cellStyle name="_Fuel Prices 4-14_04 07E Wild Horse Wind Expansion (C) (2)_Electric Rev Req Model (2009 GRC) Revised 01-18-2010" xfId="1521"/>
    <cellStyle name="_Fuel Prices 4-14_04 07E Wild Horse Wind Expansion (C) (2)_Electric Rev Req Model (2009 GRC) Revised 01-18-2010 2" xfId="1522"/>
    <cellStyle name="_Fuel Prices 4-14_04 07E Wild Horse Wind Expansion (C) (2)_Electric Rev Req Model (2009 GRC) Revised 01-18-2010 2 2" xfId="4891"/>
    <cellStyle name="_Fuel Prices 4-14_04 07E Wild Horse Wind Expansion (C) (2)_Electric Rev Req Model (2009 GRC) Revised 01-18-2010 2 2 2" xfId="20864"/>
    <cellStyle name="_Fuel Prices 4-14_04 07E Wild Horse Wind Expansion (C) (2)_Electric Rev Req Model (2009 GRC) Revised 01-18-2010 2 3" xfId="16689"/>
    <cellStyle name="_Fuel Prices 4-14_04 07E Wild Horse Wind Expansion (C) (2)_Electric Rev Req Model (2009 GRC) Revised 01-18-2010 3" xfId="4890"/>
    <cellStyle name="_Fuel Prices 4-14_04 07E Wild Horse Wind Expansion (C) (2)_Electric Rev Req Model (2009 GRC) Revised 01-18-2010 3 2" xfId="20865"/>
    <cellStyle name="_Fuel Prices 4-14_04 07E Wild Horse Wind Expansion (C) (2)_Electric Rev Req Model (2009 GRC) Revised 01-18-2010 4" xfId="16688"/>
    <cellStyle name="_Fuel Prices 4-14_04 07E Wild Horse Wind Expansion (C) (2)_Electric Rev Req Model (2009 GRC) Revised 01-18-2010_DEM-WP(C) ENERG10C--ctn Mid-C_042010 2010GRC" xfId="12696"/>
    <cellStyle name="_Fuel Prices 4-14_04 07E Wild Horse Wind Expansion (C) (2)_Electric Rev Req Model (2009 GRC) Revised 01-18-2010_DEM-WP(C) ENERG10C--ctn Mid-C_042010 2010GRC 2" xfId="41329"/>
    <cellStyle name="_Fuel Prices 4-14_04 07E Wild Horse Wind Expansion (C) (2)_Electric Rev Req Model (2010 GRC)" xfId="14270"/>
    <cellStyle name="_Fuel Prices 4-14_04 07E Wild Horse Wind Expansion (C) (2)_Electric Rev Req Model (2010 GRC) 2" xfId="41330"/>
    <cellStyle name="_Fuel Prices 4-14_04 07E Wild Horse Wind Expansion (C) (2)_Electric Rev Req Model (2010 GRC) SF" xfId="14271"/>
    <cellStyle name="_Fuel Prices 4-14_04 07E Wild Horse Wind Expansion (C) (2)_Electric Rev Req Model (2010 GRC) SF 2" xfId="41331"/>
    <cellStyle name="_Fuel Prices 4-14_04 07E Wild Horse Wind Expansion (C) (2)_Final Order Electric EXHIBIT A-1" xfId="1523"/>
    <cellStyle name="_Fuel Prices 4-14_04 07E Wild Horse Wind Expansion (C) (2)_Final Order Electric EXHIBIT A-1 2" xfId="4892"/>
    <cellStyle name="_Fuel Prices 4-14_04 07E Wild Horse Wind Expansion (C) (2)_Final Order Electric EXHIBIT A-1 2 2" xfId="7252"/>
    <cellStyle name="_Fuel Prices 4-14_04 07E Wild Horse Wind Expansion (C) (2)_Final Order Electric EXHIBIT A-1 2 2 2" xfId="20866"/>
    <cellStyle name="_Fuel Prices 4-14_04 07E Wild Horse Wind Expansion (C) (2)_Final Order Electric EXHIBIT A-1 2 3" xfId="18459"/>
    <cellStyle name="_Fuel Prices 4-14_04 07E Wild Horse Wind Expansion (C) (2)_Final Order Electric EXHIBIT A-1 3" xfId="7253"/>
    <cellStyle name="_Fuel Prices 4-14_04 07E Wild Horse Wind Expansion (C) (2)_Final Order Electric EXHIBIT A-1 3 2" xfId="20867"/>
    <cellStyle name="_Fuel Prices 4-14_04 07E Wild Horse Wind Expansion (C) (2)_Final Order Electric EXHIBIT A-1 4" xfId="16690"/>
    <cellStyle name="_Fuel Prices 4-14_04 07E Wild Horse Wind Expansion (C) (2)_TENASKA REGULATORY ASSET" xfId="1524"/>
    <cellStyle name="_Fuel Prices 4-14_04 07E Wild Horse Wind Expansion (C) (2)_TENASKA REGULATORY ASSET 2" xfId="4893"/>
    <cellStyle name="_Fuel Prices 4-14_04 07E Wild Horse Wind Expansion (C) (2)_TENASKA REGULATORY ASSET 2 2" xfId="7254"/>
    <cellStyle name="_Fuel Prices 4-14_04 07E Wild Horse Wind Expansion (C) (2)_TENASKA REGULATORY ASSET 2 2 2" xfId="20868"/>
    <cellStyle name="_Fuel Prices 4-14_04 07E Wild Horse Wind Expansion (C) (2)_TENASKA REGULATORY ASSET 2 3" xfId="18460"/>
    <cellStyle name="_Fuel Prices 4-14_04 07E Wild Horse Wind Expansion (C) (2)_TENASKA REGULATORY ASSET 3" xfId="7255"/>
    <cellStyle name="_Fuel Prices 4-14_04 07E Wild Horse Wind Expansion (C) (2)_TENASKA REGULATORY ASSET 3 2" xfId="20869"/>
    <cellStyle name="_Fuel Prices 4-14_04 07E Wild Horse Wind Expansion (C) (2)_TENASKA REGULATORY ASSET 4" xfId="16691"/>
    <cellStyle name="_Fuel Prices 4-14_16.37E Wild Horse Expansion DeferralRevwrkingfile SF" xfId="1525"/>
    <cellStyle name="_Fuel Prices 4-14_16.37E Wild Horse Expansion DeferralRevwrkingfile SF 2" xfId="1526"/>
    <cellStyle name="_Fuel Prices 4-14_16.37E Wild Horse Expansion DeferralRevwrkingfile SF 2 2" xfId="4895"/>
    <cellStyle name="_Fuel Prices 4-14_16.37E Wild Horse Expansion DeferralRevwrkingfile SF 2 2 2" xfId="20870"/>
    <cellStyle name="_Fuel Prices 4-14_16.37E Wild Horse Expansion DeferralRevwrkingfile SF 2 3" xfId="16693"/>
    <cellStyle name="_Fuel Prices 4-14_16.37E Wild Horse Expansion DeferralRevwrkingfile SF 3" xfId="4894"/>
    <cellStyle name="_Fuel Prices 4-14_16.37E Wild Horse Expansion DeferralRevwrkingfile SF 3 2" xfId="20871"/>
    <cellStyle name="_Fuel Prices 4-14_16.37E Wild Horse Expansion DeferralRevwrkingfile SF 4" xfId="16692"/>
    <cellStyle name="_Fuel Prices 4-14_16.37E Wild Horse Expansion DeferralRevwrkingfile SF_DEM-WP(C) ENERG10C--ctn Mid-C_042010 2010GRC" xfId="12697"/>
    <cellStyle name="_Fuel Prices 4-14_16.37E Wild Horse Expansion DeferralRevwrkingfile SF_DEM-WP(C) ENERG10C--ctn Mid-C_042010 2010GRC 2" xfId="41332"/>
    <cellStyle name="_Fuel Prices 4-14_2009 Compliance Filing PCA Exhibits for GRC" xfId="14129"/>
    <cellStyle name="_Fuel Prices 4-14_2009 Compliance Filing PCA Exhibits for GRC 2" xfId="15053"/>
    <cellStyle name="_Fuel Prices 4-14_2009 Compliance Filing PCA Exhibits for GRC 2 2" xfId="41333"/>
    <cellStyle name="_Fuel Prices 4-14_2009 Compliance Filing PCA Exhibits for GRC 3" xfId="41334"/>
    <cellStyle name="_Fuel Prices 4-14_2009 GRC Compl Filing - Exhibit D" xfId="1527"/>
    <cellStyle name="_Fuel Prices 4-14_2009 GRC Compl Filing - Exhibit D 2" xfId="1528"/>
    <cellStyle name="_Fuel Prices 4-14_2009 GRC Compl Filing - Exhibit D 2 2" xfId="4897"/>
    <cellStyle name="_Fuel Prices 4-14_2009 GRC Compl Filing - Exhibit D 2 2 2" xfId="24236"/>
    <cellStyle name="_Fuel Prices 4-14_2009 GRC Compl Filing - Exhibit D 2 3" xfId="24237"/>
    <cellStyle name="_Fuel Prices 4-14_2009 GRC Compl Filing - Exhibit D 3" xfId="4896"/>
    <cellStyle name="_Fuel Prices 4-14_2009 GRC Compl Filing - Exhibit D 3 2" xfId="24238"/>
    <cellStyle name="_Fuel Prices 4-14_2009 GRC Compl Filing - Exhibit D 4" xfId="24239"/>
    <cellStyle name="_Fuel Prices 4-14_2009 GRC Compl Filing - Exhibit D_DEM-WP(C) ENERG10C--ctn Mid-C_042010 2010GRC" xfId="12698"/>
    <cellStyle name="_Fuel Prices 4-14_2009 GRC Compl Filing - Exhibit D_DEM-WP(C) ENERG10C--ctn Mid-C_042010 2010GRC 2" xfId="41335"/>
    <cellStyle name="_Fuel Prices 4-14_3.01 Income Statement" xfId="14130"/>
    <cellStyle name="_Fuel Prices 4-14_4 31 Regulatory Assets and Liabilities  7 06- Exhibit D" xfId="1529"/>
    <cellStyle name="_Fuel Prices 4-14_4 31 Regulatory Assets and Liabilities  7 06- Exhibit D 2" xfId="1530"/>
    <cellStyle name="_Fuel Prices 4-14_4 31 Regulatory Assets and Liabilities  7 06- Exhibit D 2 2" xfId="4899"/>
    <cellStyle name="_Fuel Prices 4-14_4 31 Regulatory Assets and Liabilities  7 06- Exhibit D 2 2 2" xfId="15054"/>
    <cellStyle name="_Fuel Prices 4-14_4 31 Regulatory Assets and Liabilities  7 06- Exhibit D 2 2 2 2" xfId="24240"/>
    <cellStyle name="_Fuel Prices 4-14_4 31 Regulatory Assets and Liabilities  7 06- Exhibit D 2 2 3" xfId="41336"/>
    <cellStyle name="_Fuel Prices 4-14_4 31 Regulatory Assets and Liabilities  7 06- Exhibit D 2 3" xfId="24241"/>
    <cellStyle name="_Fuel Prices 4-14_4 31 Regulatory Assets and Liabilities  7 06- Exhibit D 3" xfId="4898"/>
    <cellStyle name="_Fuel Prices 4-14_4 31 Regulatory Assets and Liabilities  7 06- Exhibit D 3 2" xfId="20872"/>
    <cellStyle name="_Fuel Prices 4-14_4 31 Regulatory Assets and Liabilities  7 06- Exhibit D 4" xfId="24242"/>
    <cellStyle name="_Fuel Prices 4-14_4 31 Regulatory Assets and Liabilities  7 06- Exhibit D_DEM-WP(C) ENERG10C--ctn Mid-C_042010 2010GRC" xfId="12699"/>
    <cellStyle name="_Fuel Prices 4-14_4 31 Regulatory Assets and Liabilities  7 06- Exhibit D_DEM-WP(C) ENERG10C--ctn Mid-C_042010 2010GRC 2" xfId="41337"/>
    <cellStyle name="_Fuel Prices 4-14_4 31 Regulatory Assets and Liabilities  7 06- Exhibit D_NIM Summary" xfId="1531"/>
    <cellStyle name="_Fuel Prices 4-14_4 31 Regulatory Assets and Liabilities  7 06- Exhibit D_NIM Summary 2" xfId="1532"/>
    <cellStyle name="_Fuel Prices 4-14_4 31 Regulatory Assets and Liabilities  7 06- Exhibit D_NIM Summary 2 2" xfId="4901"/>
    <cellStyle name="_Fuel Prices 4-14_4 31 Regulatory Assets and Liabilities  7 06- Exhibit D_NIM Summary 2 2 2" xfId="24243"/>
    <cellStyle name="_Fuel Prices 4-14_4 31 Regulatory Assets and Liabilities  7 06- Exhibit D_NIM Summary 2 3" xfId="24244"/>
    <cellStyle name="_Fuel Prices 4-14_4 31 Regulatory Assets and Liabilities  7 06- Exhibit D_NIM Summary 3" xfId="4900"/>
    <cellStyle name="_Fuel Prices 4-14_4 31 Regulatory Assets and Liabilities  7 06- Exhibit D_NIM Summary 3 2" xfId="24245"/>
    <cellStyle name="_Fuel Prices 4-14_4 31 Regulatory Assets and Liabilities  7 06- Exhibit D_NIM Summary 4" xfId="24246"/>
    <cellStyle name="_Fuel Prices 4-14_4 31 Regulatory Assets and Liabilities  7 06- Exhibit D_NIM Summary_DEM-WP(C) ENERG10C--ctn Mid-C_042010 2010GRC" xfId="12700"/>
    <cellStyle name="_Fuel Prices 4-14_4 31 Regulatory Assets and Liabilities  7 06- Exhibit D_NIM Summary_DEM-WP(C) ENERG10C--ctn Mid-C_042010 2010GRC 2" xfId="41338"/>
    <cellStyle name="_Fuel Prices 4-14_4 31 Regulatory Assets and Liabilities  7 06- Exhibit D_NIM+O&amp;M" xfId="12701"/>
    <cellStyle name="_Fuel Prices 4-14_4 31 Regulatory Assets and Liabilities  7 06- Exhibit D_NIM+O&amp;M 2" xfId="24247"/>
    <cellStyle name="_Fuel Prices 4-14_4 31 Regulatory Assets and Liabilities  7 06- Exhibit D_NIM+O&amp;M 2 2" xfId="24248"/>
    <cellStyle name="_Fuel Prices 4-14_4 31 Regulatory Assets and Liabilities  7 06- Exhibit D_NIM+O&amp;M 3" xfId="24249"/>
    <cellStyle name="_Fuel Prices 4-14_4 31 Regulatory Assets and Liabilities  7 06- Exhibit D_NIM+O&amp;M Monthly" xfId="12702"/>
    <cellStyle name="_Fuel Prices 4-14_4 31 Regulatory Assets and Liabilities  7 06- Exhibit D_NIM+O&amp;M Monthly 2" xfId="24250"/>
    <cellStyle name="_Fuel Prices 4-14_4 31 Regulatory Assets and Liabilities  7 06- Exhibit D_NIM+O&amp;M Monthly 2 2" xfId="24251"/>
    <cellStyle name="_Fuel Prices 4-14_4 31 Regulatory Assets and Liabilities  7 06- Exhibit D_NIM+O&amp;M Monthly 3" xfId="24252"/>
    <cellStyle name="_Fuel Prices 4-14_4 31E Reg Asset  Liab and EXH D" xfId="12703"/>
    <cellStyle name="_Fuel Prices 4-14_4 31E Reg Asset  Liab and EXH D _ Aug 10 Filing (2)" xfId="12704"/>
    <cellStyle name="_Fuel Prices 4-14_4 31E Reg Asset  Liab and EXH D _ Aug 10 Filing (2) 2" xfId="24253"/>
    <cellStyle name="_Fuel Prices 4-14_4 31E Reg Asset  Liab and EXH D _ Aug 10 Filing (2) 2 2" xfId="24254"/>
    <cellStyle name="_Fuel Prices 4-14_4 31E Reg Asset  Liab and EXH D _ Aug 10 Filing (2) 3" xfId="24255"/>
    <cellStyle name="_Fuel Prices 4-14_4 31E Reg Asset  Liab and EXH D 10" xfId="24256"/>
    <cellStyle name="_Fuel Prices 4-14_4 31E Reg Asset  Liab and EXH D 10 2" xfId="24257"/>
    <cellStyle name="_Fuel Prices 4-14_4 31E Reg Asset  Liab and EXH D 11" xfId="24258"/>
    <cellStyle name="_Fuel Prices 4-14_4 31E Reg Asset  Liab and EXH D 11 2" xfId="24259"/>
    <cellStyle name="_Fuel Prices 4-14_4 31E Reg Asset  Liab and EXH D 12" xfId="24260"/>
    <cellStyle name="_Fuel Prices 4-14_4 31E Reg Asset  Liab and EXH D 12 2" xfId="24261"/>
    <cellStyle name="_Fuel Prices 4-14_4 31E Reg Asset  Liab and EXH D 13" xfId="24262"/>
    <cellStyle name="_Fuel Prices 4-14_4 31E Reg Asset  Liab and EXH D 13 2" xfId="24263"/>
    <cellStyle name="_Fuel Prices 4-14_4 31E Reg Asset  Liab and EXH D 14" xfId="24264"/>
    <cellStyle name="_Fuel Prices 4-14_4 31E Reg Asset  Liab and EXH D 14 2" xfId="24265"/>
    <cellStyle name="_Fuel Prices 4-14_4 31E Reg Asset  Liab and EXH D 15" xfId="24266"/>
    <cellStyle name="_Fuel Prices 4-14_4 31E Reg Asset  Liab and EXH D 15 2" xfId="24267"/>
    <cellStyle name="_Fuel Prices 4-14_4 31E Reg Asset  Liab and EXH D 16" xfId="24268"/>
    <cellStyle name="_Fuel Prices 4-14_4 31E Reg Asset  Liab and EXH D 16 2" xfId="24269"/>
    <cellStyle name="_Fuel Prices 4-14_4 31E Reg Asset  Liab and EXH D 17" xfId="24270"/>
    <cellStyle name="_Fuel Prices 4-14_4 31E Reg Asset  Liab and EXH D 17 2" xfId="24271"/>
    <cellStyle name="_Fuel Prices 4-14_4 31E Reg Asset  Liab and EXH D 18" xfId="24272"/>
    <cellStyle name="_Fuel Prices 4-14_4 31E Reg Asset  Liab and EXH D 18 2" xfId="24273"/>
    <cellStyle name="_Fuel Prices 4-14_4 31E Reg Asset  Liab and EXH D 19" xfId="24274"/>
    <cellStyle name="_Fuel Prices 4-14_4 31E Reg Asset  Liab and EXH D 19 2" xfId="24275"/>
    <cellStyle name="_Fuel Prices 4-14_4 31E Reg Asset  Liab and EXH D 2" xfId="24276"/>
    <cellStyle name="_Fuel Prices 4-14_4 31E Reg Asset  Liab and EXH D 2 2" xfId="24277"/>
    <cellStyle name="_Fuel Prices 4-14_4 31E Reg Asset  Liab and EXH D 20" xfId="24278"/>
    <cellStyle name="_Fuel Prices 4-14_4 31E Reg Asset  Liab and EXH D 20 2" xfId="24279"/>
    <cellStyle name="_Fuel Prices 4-14_4 31E Reg Asset  Liab and EXH D 21" xfId="24280"/>
    <cellStyle name="_Fuel Prices 4-14_4 31E Reg Asset  Liab and EXH D 21 2" xfId="24281"/>
    <cellStyle name="_Fuel Prices 4-14_4 31E Reg Asset  Liab and EXH D 22" xfId="24282"/>
    <cellStyle name="_Fuel Prices 4-14_4 31E Reg Asset  Liab and EXH D 22 2" xfId="24283"/>
    <cellStyle name="_Fuel Prices 4-14_4 31E Reg Asset  Liab and EXH D 23" xfId="24284"/>
    <cellStyle name="_Fuel Prices 4-14_4 31E Reg Asset  Liab and EXH D 23 2" xfId="24285"/>
    <cellStyle name="_Fuel Prices 4-14_4 31E Reg Asset  Liab and EXH D 24" xfId="24286"/>
    <cellStyle name="_Fuel Prices 4-14_4 31E Reg Asset  Liab and EXH D 24 2" xfId="24287"/>
    <cellStyle name="_Fuel Prices 4-14_4 31E Reg Asset  Liab and EXH D 25" xfId="24288"/>
    <cellStyle name="_Fuel Prices 4-14_4 31E Reg Asset  Liab and EXH D 25 2" xfId="24289"/>
    <cellStyle name="_Fuel Prices 4-14_4 31E Reg Asset  Liab and EXH D 26" xfId="24290"/>
    <cellStyle name="_Fuel Prices 4-14_4 31E Reg Asset  Liab and EXH D 26 2" xfId="24291"/>
    <cellStyle name="_Fuel Prices 4-14_4 31E Reg Asset  Liab and EXH D 27" xfId="24292"/>
    <cellStyle name="_Fuel Prices 4-14_4 31E Reg Asset  Liab and EXH D 27 2" xfId="24293"/>
    <cellStyle name="_Fuel Prices 4-14_4 31E Reg Asset  Liab and EXH D 28" xfId="24294"/>
    <cellStyle name="_Fuel Prices 4-14_4 31E Reg Asset  Liab and EXH D 28 2" xfId="24295"/>
    <cellStyle name="_Fuel Prices 4-14_4 31E Reg Asset  Liab and EXH D 29" xfId="24296"/>
    <cellStyle name="_Fuel Prices 4-14_4 31E Reg Asset  Liab and EXH D 29 2" xfId="24297"/>
    <cellStyle name="_Fuel Prices 4-14_4 31E Reg Asset  Liab and EXH D 3" xfId="24298"/>
    <cellStyle name="_Fuel Prices 4-14_4 31E Reg Asset  Liab and EXH D 3 2" xfId="24299"/>
    <cellStyle name="_Fuel Prices 4-14_4 31E Reg Asset  Liab and EXH D 30" xfId="24300"/>
    <cellStyle name="_Fuel Prices 4-14_4 31E Reg Asset  Liab and EXH D 30 2" xfId="24301"/>
    <cellStyle name="_Fuel Prices 4-14_4 31E Reg Asset  Liab and EXH D 31" xfId="24302"/>
    <cellStyle name="_Fuel Prices 4-14_4 31E Reg Asset  Liab and EXH D 32" xfId="24303"/>
    <cellStyle name="_Fuel Prices 4-14_4 31E Reg Asset  Liab and EXH D 33" xfId="24304"/>
    <cellStyle name="_Fuel Prices 4-14_4 31E Reg Asset  Liab and EXH D 34" xfId="24305"/>
    <cellStyle name="_Fuel Prices 4-14_4 31E Reg Asset  Liab and EXH D 35" xfId="24306"/>
    <cellStyle name="_Fuel Prices 4-14_4 31E Reg Asset  Liab and EXH D 36" xfId="24307"/>
    <cellStyle name="_Fuel Prices 4-14_4 31E Reg Asset  Liab and EXH D 4" xfId="24308"/>
    <cellStyle name="_Fuel Prices 4-14_4 31E Reg Asset  Liab and EXH D 4 2" xfId="24309"/>
    <cellStyle name="_Fuel Prices 4-14_4 31E Reg Asset  Liab and EXH D 5" xfId="24310"/>
    <cellStyle name="_Fuel Prices 4-14_4 31E Reg Asset  Liab and EXH D 5 2" xfId="24311"/>
    <cellStyle name="_Fuel Prices 4-14_4 31E Reg Asset  Liab and EXH D 6" xfId="24312"/>
    <cellStyle name="_Fuel Prices 4-14_4 31E Reg Asset  Liab and EXH D 6 2" xfId="24313"/>
    <cellStyle name="_Fuel Prices 4-14_4 31E Reg Asset  Liab and EXH D 7" xfId="24314"/>
    <cellStyle name="_Fuel Prices 4-14_4 31E Reg Asset  Liab and EXH D 7 2" xfId="24315"/>
    <cellStyle name="_Fuel Prices 4-14_4 31E Reg Asset  Liab and EXH D 8" xfId="24316"/>
    <cellStyle name="_Fuel Prices 4-14_4 31E Reg Asset  Liab and EXH D 8 2" xfId="24317"/>
    <cellStyle name="_Fuel Prices 4-14_4 31E Reg Asset  Liab and EXH D 9" xfId="24318"/>
    <cellStyle name="_Fuel Prices 4-14_4 31E Reg Asset  Liab and EXH D 9 2" xfId="24319"/>
    <cellStyle name="_Fuel Prices 4-14_4 32 Regulatory Assets and Liabilities  7 06- Exhibit D" xfId="1533"/>
    <cellStyle name="_Fuel Prices 4-14_4 32 Regulatory Assets and Liabilities  7 06- Exhibit D 2" xfId="1534"/>
    <cellStyle name="_Fuel Prices 4-14_4 32 Regulatory Assets and Liabilities  7 06- Exhibit D 2 2" xfId="4903"/>
    <cellStyle name="_Fuel Prices 4-14_4 32 Regulatory Assets and Liabilities  7 06- Exhibit D 2 2 2" xfId="15055"/>
    <cellStyle name="_Fuel Prices 4-14_4 32 Regulatory Assets and Liabilities  7 06- Exhibit D 2 2 2 2" xfId="24320"/>
    <cellStyle name="_Fuel Prices 4-14_4 32 Regulatory Assets and Liabilities  7 06- Exhibit D 2 2 3" xfId="41339"/>
    <cellStyle name="_Fuel Prices 4-14_4 32 Regulatory Assets and Liabilities  7 06- Exhibit D 2 3" xfId="24321"/>
    <cellStyle name="_Fuel Prices 4-14_4 32 Regulatory Assets and Liabilities  7 06- Exhibit D 3" xfId="4902"/>
    <cellStyle name="_Fuel Prices 4-14_4 32 Regulatory Assets and Liabilities  7 06- Exhibit D 3 2" xfId="20873"/>
    <cellStyle name="_Fuel Prices 4-14_4 32 Regulatory Assets and Liabilities  7 06- Exhibit D 4" xfId="24322"/>
    <cellStyle name="_Fuel Prices 4-14_4 32 Regulatory Assets and Liabilities  7 06- Exhibit D_DEM-WP(C) ENERG10C--ctn Mid-C_042010 2010GRC" xfId="12705"/>
    <cellStyle name="_Fuel Prices 4-14_4 32 Regulatory Assets and Liabilities  7 06- Exhibit D_DEM-WP(C) ENERG10C--ctn Mid-C_042010 2010GRC 2" xfId="41340"/>
    <cellStyle name="_Fuel Prices 4-14_4 32 Regulatory Assets and Liabilities  7 06- Exhibit D_NIM Summary" xfId="1535"/>
    <cellStyle name="_Fuel Prices 4-14_4 32 Regulatory Assets and Liabilities  7 06- Exhibit D_NIM Summary 2" xfId="1536"/>
    <cellStyle name="_Fuel Prices 4-14_4 32 Regulatory Assets and Liabilities  7 06- Exhibit D_NIM Summary 2 2" xfId="4905"/>
    <cellStyle name="_Fuel Prices 4-14_4 32 Regulatory Assets and Liabilities  7 06- Exhibit D_NIM Summary 2 2 2" xfId="24323"/>
    <cellStyle name="_Fuel Prices 4-14_4 32 Regulatory Assets and Liabilities  7 06- Exhibit D_NIM Summary 2 3" xfId="24324"/>
    <cellStyle name="_Fuel Prices 4-14_4 32 Regulatory Assets and Liabilities  7 06- Exhibit D_NIM Summary 3" xfId="4904"/>
    <cellStyle name="_Fuel Prices 4-14_4 32 Regulatory Assets and Liabilities  7 06- Exhibit D_NIM Summary 3 2" xfId="24325"/>
    <cellStyle name="_Fuel Prices 4-14_4 32 Regulatory Assets and Liabilities  7 06- Exhibit D_NIM Summary 4" xfId="24326"/>
    <cellStyle name="_Fuel Prices 4-14_4 32 Regulatory Assets and Liabilities  7 06- Exhibit D_NIM Summary_DEM-WP(C) ENERG10C--ctn Mid-C_042010 2010GRC" xfId="12706"/>
    <cellStyle name="_Fuel Prices 4-14_4 32 Regulatory Assets and Liabilities  7 06- Exhibit D_NIM Summary_DEM-WP(C) ENERG10C--ctn Mid-C_042010 2010GRC 2" xfId="41341"/>
    <cellStyle name="_Fuel Prices 4-14_4 32 Regulatory Assets and Liabilities  7 06- Exhibit D_NIM+O&amp;M" xfId="12707"/>
    <cellStyle name="_Fuel Prices 4-14_4 32 Regulatory Assets and Liabilities  7 06- Exhibit D_NIM+O&amp;M 2" xfId="24327"/>
    <cellStyle name="_Fuel Prices 4-14_4 32 Regulatory Assets and Liabilities  7 06- Exhibit D_NIM+O&amp;M 2 2" xfId="24328"/>
    <cellStyle name="_Fuel Prices 4-14_4 32 Regulatory Assets and Liabilities  7 06- Exhibit D_NIM+O&amp;M 3" xfId="24329"/>
    <cellStyle name="_Fuel Prices 4-14_4 32 Regulatory Assets and Liabilities  7 06- Exhibit D_NIM+O&amp;M Monthly" xfId="12708"/>
    <cellStyle name="_Fuel Prices 4-14_4 32 Regulatory Assets and Liabilities  7 06- Exhibit D_NIM+O&amp;M Monthly 2" xfId="24330"/>
    <cellStyle name="_Fuel Prices 4-14_4 32 Regulatory Assets and Liabilities  7 06- Exhibit D_NIM+O&amp;M Monthly 2 2" xfId="24331"/>
    <cellStyle name="_Fuel Prices 4-14_4 32 Regulatory Assets and Liabilities  7 06- Exhibit D_NIM+O&amp;M Monthly 3" xfId="24332"/>
    <cellStyle name="_Fuel Prices 4-14_AURORA Total New" xfId="1537"/>
    <cellStyle name="_Fuel Prices 4-14_AURORA Total New 2" xfId="1538"/>
    <cellStyle name="_Fuel Prices 4-14_AURORA Total New 2 2" xfId="4907"/>
    <cellStyle name="_Fuel Prices 4-14_AURORA Total New 2 2 2" xfId="24333"/>
    <cellStyle name="_Fuel Prices 4-14_AURORA Total New 2 3" xfId="24334"/>
    <cellStyle name="_Fuel Prices 4-14_AURORA Total New 3" xfId="4906"/>
    <cellStyle name="_Fuel Prices 4-14_AURORA Total New 3 2" xfId="24335"/>
    <cellStyle name="_Fuel Prices 4-14_AURORA Total New 4" xfId="24336"/>
    <cellStyle name="_Fuel Prices 4-14_Book2" xfId="1539"/>
    <cellStyle name="_Fuel Prices 4-14_Book2 2" xfId="1540"/>
    <cellStyle name="_Fuel Prices 4-14_Book2 2 2" xfId="4909"/>
    <cellStyle name="_Fuel Prices 4-14_Book2 2 2 2" xfId="20874"/>
    <cellStyle name="_Fuel Prices 4-14_Book2 2 3" xfId="16695"/>
    <cellStyle name="_Fuel Prices 4-14_Book2 3" xfId="4908"/>
    <cellStyle name="_Fuel Prices 4-14_Book2 3 2" xfId="20875"/>
    <cellStyle name="_Fuel Prices 4-14_Book2 4" xfId="16694"/>
    <cellStyle name="_Fuel Prices 4-14_Book2_Adj Bench DR 3 for Initial Briefs (Electric)" xfId="1541"/>
    <cellStyle name="_Fuel Prices 4-14_Book2_Adj Bench DR 3 for Initial Briefs (Electric) 2" xfId="1542"/>
    <cellStyle name="_Fuel Prices 4-14_Book2_Adj Bench DR 3 for Initial Briefs (Electric) 2 2" xfId="4911"/>
    <cellStyle name="_Fuel Prices 4-14_Book2_Adj Bench DR 3 for Initial Briefs (Electric) 2 2 2" xfId="20876"/>
    <cellStyle name="_Fuel Prices 4-14_Book2_Adj Bench DR 3 for Initial Briefs (Electric) 2 3" xfId="16697"/>
    <cellStyle name="_Fuel Prices 4-14_Book2_Adj Bench DR 3 for Initial Briefs (Electric) 3" xfId="4910"/>
    <cellStyle name="_Fuel Prices 4-14_Book2_Adj Bench DR 3 for Initial Briefs (Electric) 3 2" xfId="20877"/>
    <cellStyle name="_Fuel Prices 4-14_Book2_Adj Bench DR 3 for Initial Briefs (Electric) 4" xfId="16696"/>
    <cellStyle name="_Fuel Prices 4-14_Book2_Adj Bench DR 3 for Initial Briefs (Electric)_DEM-WP(C) ENERG10C--ctn Mid-C_042010 2010GRC" xfId="12709"/>
    <cellStyle name="_Fuel Prices 4-14_Book2_Adj Bench DR 3 for Initial Briefs (Electric)_DEM-WP(C) ENERG10C--ctn Mid-C_042010 2010GRC 2" xfId="41342"/>
    <cellStyle name="_Fuel Prices 4-14_Book2_DEM-WP(C) ENERG10C--ctn Mid-C_042010 2010GRC" xfId="12710"/>
    <cellStyle name="_Fuel Prices 4-14_Book2_DEM-WP(C) ENERG10C--ctn Mid-C_042010 2010GRC 2" xfId="41343"/>
    <cellStyle name="_Fuel Prices 4-14_Book2_Electric Rev Req Model (2009 GRC) Rebuttal" xfId="1543"/>
    <cellStyle name="_Fuel Prices 4-14_Book2_Electric Rev Req Model (2009 GRC) Rebuttal 2" xfId="4912"/>
    <cellStyle name="_Fuel Prices 4-14_Book2_Electric Rev Req Model (2009 GRC) Rebuttal 2 2" xfId="7256"/>
    <cellStyle name="_Fuel Prices 4-14_Book2_Electric Rev Req Model (2009 GRC) Rebuttal 2 2 2" xfId="20878"/>
    <cellStyle name="_Fuel Prices 4-14_Book2_Electric Rev Req Model (2009 GRC) Rebuttal 2 3" xfId="18461"/>
    <cellStyle name="_Fuel Prices 4-14_Book2_Electric Rev Req Model (2009 GRC) Rebuttal 3" xfId="7257"/>
    <cellStyle name="_Fuel Prices 4-14_Book2_Electric Rev Req Model (2009 GRC) Rebuttal 3 2" xfId="20879"/>
    <cellStyle name="_Fuel Prices 4-14_Book2_Electric Rev Req Model (2009 GRC) Rebuttal 4" xfId="16698"/>
    <cellStyle name="_Fuel Prices 4-14_Book2_Electric Rev Req Model (2009 GRC) Rebuttal REmoval of New  WH Solar AdjustMI" xfId="1544"/>
    <cellStyle name="_Fuel Prices 4-14_Book2_Electric Rev Req Model (2009 GRC) Rebuttal REmoval of New  WH Solar AdjustMI 2" xfId="1545"/>
    <cellStyle name="_Fuel Prices 4-14_Book2_Electric Rev Req Model (2009 GRC) Rebuttal REmoval of New  WH Solar AdjustMI 2 2" xfId="4914"/>
    <cellStyle name="_Fuel Prices 4-14_Book2_Electric Rev Req Model (2009 GRC) Rebuttal REmoval of New  WH Solar AdjustMI 2 2 2" xfId="20880"/>
    <cellStyle name="_Fuel Prices 4-14_Book2_Electric Rev Req Model (2009 GRC) Rebuttal REmoval of New  WH Solar AdjustMI 2 3" xfId="16700"/>
    <cellStyle name="_Fuel Prices 4-14_Book2_Electric Rev Req Model (2009 GRC) Rebuttal REmoval of New  WH Solar AdjustMI 3" xfId="4913"/>
    <cellStyle name="_Fuel Prices 4-14_Book2_Electric Rev Req Model (2009 GRC) Rebuttal REmoval of New  WH Solar AdjustMI 3 2" xfId="20881"/>
    <cellStyle name="_Fuel Prices 4-14_Book2_Electric Rev Req Model (2009 GRC) Rebuttal REmoval of New  WH Solar AdjustMI 4" xfId="16699"/>
    <cellStyle name="_Fuel Prices 4-14_Book2_Electric Rev Req Model (2009 GRC) Rebuttal REmoval of New  WH Solar AdjustMI_DEM-WP(C) ENERG10C--ctn Mid-C_042010 2010GRC" xfId="12711"/>
    <cellStyle name="_Fuel Prices 4-14_Book2_Electric Rev Req Model (2009 GRC) Rebuttal REmoval of New  WH Solar AdjustMI_DEM-WP(C) ENERG10C--ctn Mid-C_042010 2010GRC 2" xfId="41344"/>
    <cellStyle name="_Fuel Prices 4-14_Book2_Electric Rev Req Model (2009 GRC) Revised 01-18-2010" xfId="1546"/>
    <cellStyle name="_Fuel Prices 4-14_Book2_Electric Rev Req Model (2009 GRC) Revised 01-18-2010 2" xfId="1547"/>
    <cellStyle name="_Fuel Prices 4-14_Book2_Electric Rev Req Model (2009 GRC) Revised 01-18-2010 2 2" xfId="4916"/>
    <cellStyle name="_Fuel Prices 4-14_Book2_Electric Rev Req Model (2009 GRC) Revised 01-18-2010 2 2 2" xfId="20882"/>
    <cellStyle name="_Fuel Prices 4-14_Book2_Electric Rev Req Model (2009 GRC) Revised 01-18-2010 2 3" xfId="16702"/>
    <cellStyle name="_Fuel Prices 4-14_Book2_Electric Rev Req Model (2009 GRC) Revised 01-18-2010 3" xfId="4915"/>
    <cellStyle name="_Fuel Prices 4-14_Book2_Electric Rev Req Model (2009 GRC) Revised 01-18-2010 3 2" xfId="20883"/>
    <cellStyle name="_Fuel Prices 4-14_Book2_Electric Rev Req Model (2009 GRC) Revised 01-18-2010 4" xfId="16701"/>
    <cellStyle name="_Fuel Prices 4-14_Book2_Electric Rev Req Model (2009 GRC) Revised 01-18-2010_DEM-WP(C) ENERG10C--ctn Mid-C_042010 2010GRC" xfId="12712"/>
    <cellStyle name="_Fuel Prices 4-14_Book2_Electric Rev Req Model (2009 GRC) Revised 01-18-2010_DEM-WP(C) ENERG10C--ctn Mid-C_042010 2010GRC 2" xfId="41345"/>
    <cellStyle name="_Fuel Prices 4-14_Book2_Final Order Electric EXHIBIT A-1" xfId="1548"/>
    <cellStyle name="_Fuel Prices 4-14_Book2_Final Order Electric EXHIBIT A-1 2" xfId="4917"/>
    <cellStyle name="_Fuel Prices 4-14_Book2_Final Order Electric EXHIBIT A-1 2 2" xfId="7258"/>
    <cellStyle name="_Fuel Prices 4-14_Book2_Final Order Electric EXHIBIT A-1 2 2 2" xfId="20884"/>
    <cellStyle name="_Fuel Prices 4-14_Book2_Final Order Electric EXHIBIT A-1 2 3" xfId="18462"/>
    <cellStyle name="_Fuel Prices 4-14_Book2_Final Order Electric EXHIBIT A-1 3" xfId="7259"/>
    <cellStyle name="_Fuel Prices 4-14_Book2_Final Order Electric EXHIBIT A-1 3 2" xfId="20885"/>
    <cellStyle name="_Fuel Prices 4-14_Book2_Final Order Electric EXHIBIT A-1 4" xfId="16703"/>
    <cellStyle name="_Fuel Prices 4-14_Book4" xfId="1549"/>
    <cellStyle name="_Fuel Prices 4-14_Book4 2" xfId="1550"/>
    <cellStyle name="_Fuel Prices 4-14_Book4 2 2" xfId="4919"/>
    <cellStyle name="_Fuel Prices 4-14_Book4 2 2 2" xfId="20886"/>
    <cellStyle name="_Fuel Prices 4-14_Book4 2 3" xfId="16705"/>
    <cellStyle name="_Fuel Prices 4-14_Book4 3" xfId="4918"/>
    <cellStyle name="_Fuel Prices 4-14_Book4 3 2" xfId="20887"/>
    <cellStyle name="_Fuel Prices 4-14_Book4 4" xfId="16704"/>
    <cellStyle name="_Fuel Prices 4-14_Book4_DEM-WP(C) ENERG10C--ctn Mid-C_042010 2010GRC" xfId="12713"/>
    <cellStyle name="_Fuel Prices 4-14_Book4_DEM-WP(C) ENERG10C--ctn Mid-C_042010 2010GRC 2" xfId="41346"/>
    <cellStyle name="_Fuel Prices 4-14_Book9" xfId="1551"/>
    <cellStyle name="_Fuel Prices 4-14_Book9 2" xfId="1552"/>
    <cellStyle name="_Fuel Prices 4-14_Book9 2 2" xfId="4921"/>
    <cellStyle name="_Fuel Prices 4-14_Book9 2 2 2" xfId="20888"/>
    <cellStyle name="_Fuel Prices 4-14_Book9 2 3" xfId="16707"/>
    <cellStyle name="_Fuel Prices 4-14_Book9 3" xfId="4920"/>
    <cellStyle name="_Fuel Prices 4-14_Book9 3 2" xfId="20889"/>
    <cellStyle name="_Fuel Prices 4-14_Book9 4" xfId="16706"/>
    <cellStyle name="_Fuel Prices 4-14_Book9_DEM-WP(C) ENERG10C--ctn Mid-C_042010 2010GRC" xfId="12714"/>
    <cellStyle name="_Fuel Prices 4-14_Book9_DEM-WP(C) ENERG10C--ctn Mid-C_042010 2010GRC 2" xfId="41347"/>
    <cellStyle name="_Fuel Prices 4-14_Chelan PUD Power Costs (8-10)" xfId="12715"/>
    <cellStyle name="_Fuel Prices 4-14_Chelan PUD Power Costs (8-10) 2" xfId="24337"/>
    <cellStyle name="_Fuel Prices 4-14_DEM-WP(C) Chelan Power Costs" xfId="12716"/>
    <cellStyle name="_Fuel Prices 4-14_DEM-WP(C) Chelan Power Costs 2" xfId="24338"/>
    <cellStyle name="_Fuel Prices 4-14_DEM-WP(C) Chelan Power Costs 2 2" xfId="24339"/>
    <cellStyle name="_Fuel Prices 4-14_DEM-WP(C) Chelan Power Costs 3" xfId="24340"/>
    <cellStyle name="_Fuel Prices 4-14_DEM-WP(C) ENERG10C--ctn Mid-C_042010 2010GRC" xfId="12717"/>
    <cellStyle name="_Fuel Prices 4-14_DEM-WP(C) ENERG10C--ctn Mid-C_042010 2010GRC 2" xfId="41348"/>
    <cellStyle name="_Fuel Prices 4-14_DEM-WP(C) Gas Transport 2010GRC" xfId="12718"/>
    <cellStyle name="_Fuel Prices 4-14_DEM-WP(C) Gas Transport 2010GRC 2" xfId="24341"/>
    <cellStyle name="_Fuel Prices 4-14_DEM-WP(C) Gas Transport 2010GRC 2 2" xfId="24342"/>
    <cellStyle name="_Fuel Prices 4-14_DEM-WP(C) Gas Transport 2010GRC 3" xfId="24343"/>
    <cellStyle name="_Fuel Prices 4-14_Direct Assignment Distribution Plant 2008" xfId="7260"/>
    <cellStyle name="_Fuel Prices 4-14_Direct Assignment Distribution Plant 2008 2" xfId="7261"/>
    <cellStyle name="_Fuel Prices 4-14_Direct Assignment Distribution Plant 2008 2 2" xfId="7262"/>
    <cellStyle name="_Fuel Prices 4-14_Direct Assignment Distribution Plant 2008 2 2 2" xfId="7263"/>
    <cellStyle name="_Fuel Prices 4-14_Direct Assignment Distribution Plant 2008 2 2 2 2" xfId="20890"/>
    <cellStyle name="_Fuel Prices 4-14_Direct Assignment Distribution Plant 2008 2 2 3" xfId="18465"/>
    <cellStyle name="_Fuel Prices 4-14_Direct Assignment Distribution Plant 2008 2 3" xfId="7264"/>
    <cellStyle name="_Fuel Prices 4-14_Direct Assignment Distribution Plant 2008 2 3 2" xfId="7265"/>
    <cellStyle name="_Fuel Prices 4-14_Direct Assignment Distribution Plant 2008 2 3 2 2" xfId="20891"/>
    <cellStyle name="_Fuel Prices 4-14_Direct Assignment Distribution Plant 2008 2 3 3" xfId="18466"/>
    <cellStyle name="_Fuel Prices 4-14_Direct Assignment Distribution Plant 2008 2 4" xfId="7266"/>
    <cellStyle name="_Fuel Prices 4-14_Direct Assignment Distribution Plant 2008 2 4 2" xfId="7267"/>
    <cellStyle name="_Fuel Prices 4-14_Direct Assignment Distribution Plant 2008 2 4 2 2" xfId="20892"/>
    <cellStyle name="_Fuel Prices 4-14_Direct Assignment Distribution Plant 2008 2 4 3" xfId="18467"/>
    <cellStyle name="_Fuel Prices 4-14_Direct Assignment Distribution Plant 2008 2 5" xfId="18464"/>
    <cellStyle name="_Fuel Prices 4-14_Direct Assignment Distribution Plant 2008 3" xfId="7268"/>
    <cellStyle name="_Fuel Prices 4-14_Direct Assignment Distribution Plant 2008 3 2" xfId="7269"/>
    <cellStyle name="_Fuel Prices 4-14_Direct Assignment Distribution Plant 2008 3 2 2" xfId="20893"/>
    <cellStyle name="_Fuel Prices 4-14_Direct Assignment Distribution Plant 2008 3 3" xfId="18468"/>
    <cellStyle name="_Fuel Prices 4-14_Direct Assignment Distribution Plant 2008 4" xfId="7270"/>
    <cellStyle name="_Fuel Prices 4-14_Direct Assignment Distribution Plant 2008 4 2" xfId="7271"/>
    <cellStyle name="_Fuel Prices 4-14_Direct Assignment Distribution Plant 2008 4 2 2" xfId="20894"/>
    <cellStyle name="_Fuel Prices 4-14_Direct Assignment Distribution Plant 2008 4 3" xfId="18469"/>
    <cellStyle name="_Fuel Prices 4-14_Direct Assignment Distribution Plant 2008 5" xfId="7272"/>
    <cellStyle name="_Fuel Prices 4-14_Direct Assignment Distribution Plant 2008 5 2" xfId="20895"/>
    <cellStyle name="_Fuel Prices 4-14_Direct Assignment Distribution Plant 2008 6" xfId="18463"/>
    <cellStyle name="_Fuel Prices 4-14_Electric COS Inputs" xfId="7273"/>
    <cellStyle name="_Fuel Prices 4-14_Electric COS Inputs 2" xfId="7274"/>
    <cellStyle name="_Fuel Prices 4-14_Electric COS Inputs 2 2" xfId="7275"/>
    <cellStyle name="_Fuel Prices 4-14_Electric COS Inputs 2 2 2" xfId="7276"/>
    <cellStyle name="_Fuel Prices 4-14_Electric COS Inputs 2 2 2 2" xfId="20896"/>
    <cellStyle name="_Fuel Prices 4-14_Electric COS Inputs 2 2 3" xfId="18472"/>
    <cellStyle name="_Fuel Prices 4-14_Electric COS Inputs 2 3" xfId="7277"/>
    <cellStyle name="_Fuel Prices 4-14_Electric COS Inputs 2 3 2" xfId="7278"/>
    <cellStyle name="_Fuel Prices 4-14_Electric COS Inputs 2 3 2 2" xfId="20897"/>
    <cellStyle name="_Fuel Prices 4-14_Electric COS Inputs 2 3 3" xfId="18473"/>
    <cellStyle name="_Fuel Prices 4-14_Electric COS Inputs 2 4" xfId="7279"/>
    <cellStyle name="_Fuel Prices 4-14_Electric COS Inputs 2 4 2" xfId="7280"/>
    <cellStyle name="_Fuel Prices 4-14_Electric COS Inputs 2 4 2 2" xfId="20898"/>
    <cellStyle name="_Fuel Prices 4-14_Electric COS Inputs 2 4 3" xfId="18474"/>
    <cellStyle name="_Fuel Prices 4-14_Electric COS Inputs 2 5" xfId="18471"/>
    <cellStyle name="_Fuel Prices 4-14_Electric COS Inputs 3" xfId="7281"/>
    <cellStyle name="_Fuel Prices 4-14_Electric COS Inputs 3 2" xfId="7282"/>
    <cellStyle name="_Fuel Prices 4-14_Electric COS Inputs 3 2 2" xfId="20899"/>
    <cellStyle name="_Fuel Prices 4-14_Electric COS Inputs 3 3" xfId="18475"/>
    <cellStyle name="_Fuel Prices 4-14_Electric COS Inputs 4" xfId="7283"/>
    <cellStyle name="_Fuel Prices 4-14_Electric COS Inputs 4 2" xfId="7284"/>
    <cellStyle name="_Fuel Prices 4-14_Electric COS Inputs 4 2 2" xfId="20900"/>
    <cellStyle name="_Fuel Prices 4-14_Electric COS Inputs 4 3" xfId="18476"/>
    <cellStyle name="_Fuel Prices 4-14_Electric COS Inputs 5" xfId="7285"/>
    <cellStyle name="_Fuel Prices 4-14_Electric COS Inputs 5 2" xfId="20901"/>
    <cellStyle name="_Fuel Prices 4-14_Electric COS Inputs 6" xfId="18470"/>
    <cellStyle name="_Fuel Prices 4-14_Electric Rate Spread and Rate Design 3.23.09" xfId="7286"/>
    <cellStyle name="_Fuel Prices 4-14_Electric Rate Spread and Rate Design 3.23.09 2" xfId="7287"/>
    <cellStyle name="_Fuel Prices 4-14_Electric Rate Spread and Rate Design 3.23.09 2 2" xfId="7288"/>
    <cellStyle name="_Fuel Prices 4-14_Electric Rate Spread and Rate Design 3.23.09 2 2 2" xfId="7289"/>
    <cellStyle name="_Fuel Prices 4-14_Electric Rate Spread and Rate Design 3.23.09 2 2 2 2" xfId="20902"/>
    <cellStyle name="_Fuel Prices 4-14_Electric Rate Spread and Rate Design 3.23.09 2 2 3" xfId="18479"/>
    <cellStyle name="_Fuel Prices 4-14_Electric Rate Spread and Rate Design 3.23.09 2 3" xfId="7290"/>
    <cellStyle name="_Fuel Prices 4-14_Electric Rate Spread and Rate Design 3.23.09 2 3 2" xfId="7291"/>
    <cellStyle name="_Fuel Prices 4-14_Electric Rate Spread and Rate Design 3.23.09 2 3 2 2" xfId="20903"/>
    <cellStyle name="_Fuel Prices 4-14_Electric Rate Spread and Rate Design 3.23.09 2 3 3" xfId="18480"/>
    <cellStyle name="_Fuel Prices 4-14_Electric Rate Spread and Rate Design 3.23.09 2 4" xfId="7292"/>
    <cellStyle name="_Fuel Prices 4-14_Electric Rate Spread and Rate Design 3.23.09 2 4 2" xfId="7293"/>
    <cellStyle name="_Fuel Prices 4-14_Electric Rate Spread and Rate Design 3.23.09 2 4 2 2" xfId="20904"/>
    <cellStyle name="_Fuel Prices 4-14_Electric Rate Spread and Rate Design 3.23.09 2 4 3" xfId="18481"/>
    <cellStyle name="_Fuel Prices 4-14_Electric Rate Spread and Rate Design 3.23.09 2 5" xfId="18478"/>
    <cellStyle name="_Fuel Prices 4-14_Electric Rate Spread and Rate Design 3.23.09 3" xfId="7294"/>
    <cellStyle name="_Fuel Prices 4-14_Electric Rate Spread and Rate Design 3.23.09 3 2" xfId="7295"/>
    <cellStyle name="_Fuel Prices 4-14_Electric Rate Spread and Rate Design 3.23.09 3 2 2" xfId="20905"/>
    <cellStyle name="_Fuel Prices 4-14_Electric Rate Spread and Rate Design 3.23.09 3 3" xfId="18482"/>
    <cellStyle name="_Fuel Prices 4-14_Electric Rate Spread and Rate Design 3.23.09 4" xfId="7296"/>
    <cellStyle name="_Fuel Prices 4-14_Electric Rate Spread and Rate Design 3.23.09 4 2" xfId="7297"/>
    <cellStyle name="_Fuel Prices 4-14_Electric Rate Spread and Rate Design 3.23.09 4 2 2" xfId="20906"/>
    <cellStyle name="_Fuel Prices 4-14_Electric Rate Spread and Rate Design 3.23.09 4 3" xfId="18483"/>
    <cellStyle name="_Fuel Prices 4-14_Electric Rate Spread and Rate Design 3.23.09 5" xfId="7298"/>
    <cellStyle name="_Fuel Prices 4-14_Electric Rate Spread and Rate Design 3.23.09 5 2" xfId="20907"/>
    <cellStyle name="_Fuel Prices 4-14_Electric Rate Spread and Rate Design 3.23.09 6" xfId="18477"/>
    <cellStyle name="_Fuel Prices 4-14_Exh A-1 resulting from UE-112050 effective Jan 1 2012" xfId="15056"/>
    <cellStyle name="_Fuel Prices 4-14_Exh A-1 resulting from UE-112050 effective Jan 1 2012 2" xfId="41349"/>
    <cellStyle name="_Fuel Prices 4-14_Exh G - Klamath Peaker PPA fr C Locke 2-12" xfId="15057"/>
    <cellStyle name="_Fuel Prices 4-14_Exh G - Klamath Peaker PPA fr C Locke 2-12 2" xfId="41350"/>
    <cellStyle name="_Fuel Prices 4-14_Exhibit A-1 effective 4-1-11 fr S Free 12-11" xfId="15058"/>
    <cellStyle name="_Fuel Prices 4-14_Exhibit A-1 effective 4-1-11 fr S Free 12-11 2" xfId="41351"/>
    <cellStyle name="_Fuel Prices 4-14_INPUTS" xfId="7299"/>
    <cellStyle name="_Fuel Prices 4-14_INPUTS 2" xfId="7300"/>
    <cellStyle name="_Fuel Prices 4-14_INPUTS 2 2" xfId="7301"/>
    <cellStyle name="_Fuel Prices 4-14_INPUTS 2 2 2" xfId="7302"/>
    <cellStyle name="_Fuel Prices 4-14_INPUTS 2 2 2 2" xfId="20908"/>
    <cellStyle name="_Fuel Prices 4-14_INPUTS 2 2 3" xfId="18486"/>
    <cellStyle name="_Fuel Prices 4-14_INPUTS 2 3" xfId="7303"/>
    <cellStyle name="_Fuel Prices 4-14_INPUTS 2 3 2" xfId="7304"/>
    <cellStyle name="_Fuel Prices 4-14_INPUTS 2 3 2 2" xfId="20909"/>
    <cellStyle name="_Fuel Prices 4-14_INPUTS 2 3 3" xfId="18487"/>
    <cellStyle name="_Fuel Prices 4-14_INPUTS 2 4" xfId="7305"/>
    <cellStyle name="_Fuel Prices 4-14_INPUTS 2 4 2" xfId="7306"/>
    <cellStyle name="_Fuel Prices 4-14_INPUTS 2 4 2 2" xfId="20910"/>
    <cellStyle name="_Fuel Prices 4-14_INPUTS 2 4 3" xfId="18488"/>
    <cellStyle name="_Fuel Prices 4-14_INPUTS 2 5" xfId="18485"/>
    <cellStyle name="_Fuel Prices 4-14_INPUTS 3" xfId="7307"/>
    <cellStyle name="_Fuel Prices 4-14_INPUTS 3 2" xfId="7308"/>
    <cellStyle name="_Fuel Prices 4-14_INPUTS 3 2 2" xfId="20911"/>
    <cellStyle name="_Fuel Prices 4-14_INPUTS 3 3" xfId="18489"/>
    <cellStyle name="_Fuel Prices 4-14_INPUTS 4" xfId="7309"/>
    <cellStyle name="_Fuel Prices 4-14_INPUTS 4 2" xfId="7310"/>
    <cellStyle name="_Fuel Prices 4-14_INPUTS 4 2 2" xfId="20912"/>
    <cellStyle name="_Fuel Prices 4-14_INPUTS 4 3" xfId="18490"/>
    <cellStyle name="_Fuel Prices 4-14_INPUTS 5" xfId="7311"/>
    <cellStyle name="_Fuel Prices 4-14_INPUTS 5 2" xfId="20913"/>
    <cellStyle name="_Fuel Prices 4-14_INPUTS 6" xfId="18484"/>
    <cellStyle name="_Fuel Prices 4-14_Leased Transformer &amp; Substation Plant &amp; Rev 12-2009" xfId="7312"/>
    <cellStyle name="_Fuel Prices 4-14_Leased Transformer &amp; Substation Plant &amp; Rev 12-2009 2" xfId="7313"/>
    <cellStyle name="_Fuel Prices 4-14_Leased Transformer &amp; Substation Plant &amp; Rev 12-2009 2 2" xfId="7314"/>
    <cellStyle name="_Fuel Prices 4-14_Leased Transformer &amp; Substation Plant &amp; Rev 12-2009 2 2 2" xfId="7315"/>
    <cellStyle name="_Fuel Prices 4-14_Leased Transformer &amp; Substation Plant &amp; Rev 12-2009 2 2 2 2" xfId="20914"/>
    <cellStyle name="_Fuel Prices 4-14_Leased Transformer &amp; Substation Plant &amp; Rev 12-2009 2 2 3" xfId="18493"/>
    <cellStyle name="_Fuel Prices 4-14_Leased Transformer &amp; Substation Plant &amp; Rev 12-2009 2 3" xfId="7316"/>
    <cellStyle name="_Fuel Prices 4-14_Leased Transformer &amp; Substation Plant &amp; Rev 12-2009 2 3 2" xfId="7317"/>
    <cellStyle name="_Fuel Prices 4-14_Leased Transformer &amp; Substation Plant &amp; Rev 12-2009 2 3 2 2" xfId="20915"/>
    <cellStyle name="_Fuel Prices 4-14_Leased Transformer &amp; Substation Plant &amp; Rev 12-2009 2 3 3" xfId="18494"/>
    <cellStyle name="_Fuel Prices 4-14_Leased Transformer &amp; Substation Plant &amp; Rev 12-2009 2 4" xfId="7318"/>
    <cellStyle name="_Fuel Prices 4-14_Leased Transformer &amp; Substation Plant &amp; Rev 12-2009 2 4 2" xfId="7319"/>
    <cellStyle name="_Fuel Prices 4-14_Leased Transformer &amp; Substation Plant &amp; Rev 12-2009 2 4 2 2" xfId="20916"/>
    <cellStyle name="_Fuel Prices 4-14_Leased Transformer &amp; Substation Plant &amp; Rev 12-2009 2 4 3" xfId="18495"/>
    <cellStyle name="_Fuel Prices 4-14_Leased Transformer &amp; Substation Plant &amp; Rev 12-2009 2 5" xfId="18492"/>
    <cellStyle name="_Fuel Prices 4-14_Leased Transformer &amp; Substation Plant &amp; Rev 12-2009 3" xfId="7320"/>
    <cellStyle name="_Fuel Prices 4-14_Leased Transformer &amp; Substation Plant &amp; Rev 12-2009 3 2" xfId="7321"/>
    <cellStyle name="_Fuel Prices 4-14_Leased Transformer &amp; Substation Plant &amp; Rev 12-2009 3 2 2" xfId="20917"/>
    <cellStyle name="_Fuel Prices 4-14_Leased Transformer &amp; Substation Plant &amp; Rev 12-2009 3 3" xfId="18496"/>
    <cellStyle name="_Fuel Prices 4-14_Leased Transformer &amp; Substation Plant &amp; Rev 12-2009 4" xfId="7322"/>
    <cellStyle name="_Fuel Prices 4-14_Leased Transformer &amp; Substation Plant &amp; Rev 12-2009 4 2" xfId="7323"/>
    <cellStyle name="_Fuel Prices 4-14_Leased Transformer &amp; Substation Plant &amp; Rev 12-2009 4 2 2" xfId="20918"/>
    <cellStyle name="_Fuel Prices 4-14_Leased Transformer &amp; Substation Plant &amp; Rev 12-2009 4 3" xfId="18497"/>
    <cellStyle name="_Fuel Prices 4-14_Leased Transformer &amp; Substation Plant &amp; Rev 12-2009 5" xfId="7324"/>
    <cellStyle name="_Fuel Prices 4-14_Leased Transformer &amp; Substation Plant &amp; Rev 12-2009 5 2" xfId="20919"/>
    <cellStyle name="_Fuel Prices 4-14_Leased Transformer &amp; Substation Plant &amp; Rev 12-2009 6" xfId="18491"/>
    <cellStyle name="_Fuel Prices 4-14_Mint Farm Generation BPA" xfId="24344"/>
    <cellStyle name="_Fuel Prices 4-14_NIM Summary" xfId="1553"/>
    <cellStyle name="_Fuel Prices 4-14_NIM Summary 09GRC" xfId="1554"/>
    <cellStyle name="_Fuel Prices 4-14_NIM Summary 09GRC 2" xfId="1555"/>
    <cellStyle name="_Fuel Prices 4-14_NIM Summary 09GRC 2 2" xfId="4924"/>
    <cellStyle name="_Fuel Prices 4-14_NIM Summary 09GRC 2 2 2" xfId="24345"/>
    <cellStyle name="_Fuel Prices 4-14_NIM Summary 09GRC 2 3" xfId="24346"/>
    <cellStyle name="_Fuel Prices 4-14_NIM Summary 09GRC 3" xfId="4923"/>
    <cellStyle name="_Fuel Prices 4-14_NIM Summary 09GRC 3 2" xfId="24347"/>
    <cellStyle name="_Fuel Prices 4-14_NIM Summary 09GRC 4" xfId="24348"/>
    <cellStyle name="_Fuel Prices 4-14_NIM Summary 09GRC_DEM-WP(C) ENERG10C--ctn Mid-C_042010 2010GRC" xfId="12719"/>
    <cellStyle name="_Fuel Prices 4-14_NIM Summary 09GRC_DEM-WP(C) ENERG10C--ctn Mid-C_042010 2010GRC 2" xfId="41352"/>
    <cellStyle name="_Fuel Prices 4-14_NIM Summary 10" xfId="4922"/>
    <cellStyle name="_Fuel Prices 4-14_NIM Summary 10 2" xfId="24349"/>
    <cellStyle name="_Fuel Prices 4-14_NIM Summary 11" xfId="6240"/>
    <cellStyle name="_Fuel Prices 4-14_NIM Summary 11 2" xfId="24350"/>
    <cellStyle name="_Fuel Prices 4-14_NIM Summary 12" xfId="6247"/>
    <cellStyle name="_Fuel Prices 4-14_NIM Summary 12 2" xfId="24351"/>
    <cellStyle name="_Fuel Prices 4-14_NIM Summary 13" xfId="6239"/>
    <cellStyle name="_Fuel Prices 4-14_NIM Summary 13 2" xfId="24352"/>
    <cellStyle name="_Fuel Prices 4-14_NIM Summary 14" xfId="6320"/>
    <cellStyle name="_Fuel Prices 4-14_NIM Summary 14 2" xfId="24353"/>
    <cellStyle name="_Fuel Prices 4-14_NIM Summary 15" xfId="15059"/>
    <cellStyle name="_Fuel Prices 4-14_NIM Summary 15 2" xfId="24354"/>
    <cellStyle name="_Fuel Prices 4-14_NIM Summary 16" xfId="15060"/>
    <cellStyle name="_Fuel Prices 4-14_NIM Summary 16 2" xfId="24355"/>
    <cellStyle name="_Fuel Prices 4-14_NIM Summary 17" xfId="15061"/>
    <cellStyle name="_Fuel Prices 4-14_NIM Summary 17 2" xfId="24356"/>
    <cellStyle name="_Fuel Prices 4-14_NIM Summary 18" xfId="15062"/>
    <cellStyle name="_Fuel Prices 4-14_NIM Summary 18 2" xfId="24357"/>
    <cellStyle name="_Fuel Prices 4-14_NIM Summary 19" xfId="15063"/>
    <cellStyle name="_Fuel Prices 4-14_NIM Summary 19 2" xfId="24358"/>
    <cellStyle name="_Fuel Prices 4-14_NIM Summary 2" xfId="1556"/>
    <cellStyle name="_Fuel Prices 4-14_NIM Summary 2 2" xfId="4925"/>
    <cellStyle name="_Fuel Prices 4-14_NIM Summary 2 2 2" xfId="24359"/>
    <cellStyle name="_Fuel Prices 4-14_NIM Summary 2 3" xfId="24360"/>
    <cellStyle name="_Fuel Prices 4-14_NIM Summary 20" xfId="15064"/>
    <cellStyle name="_Fuel Prices 4-14_NIM Summary 20 2" xfId="24361"/>
    <cellStyle name="_Fuel Prices 4-14_NIM Summary 21" xfId="15065"/>
    <cellStyle name="_Fuel Prices 4-14_NIM Summary 21 2" xfId="24362"/>
    <cellStyle name="_Fuel Prices 4-14_NIM Summary 22" xfId="15066"/>
    <cellStyle name="_Fuel Prices 4-14_NIM Summary 22 2" xfId="24363"/>
    <cellStyle name="_Fuel Prices 4-14_NIM Summary 23" xfId="15067"/>
    <cellStyle name="_Fuel Prices 4-14_NIM Summary 23 2" xfId="24364"/>
    <cellStyle name="_Fuel Prices 4-14_NIM Summary 24" xfId="15068"/>
    <cellStyle name="_Fuel Prices 4-14_NIM Summary 24 2" xfId="24365"/>
    <cellStyle name="_Fuel Prices 4-14_NIM Summary 25" xfId="15069"/>
    <cellStyle name="_Fuel Prices 4-14_NIM Summary 25 2" xfId="24366"/>
    <cellStyle name="_Fuel Prices 4-14_NIM Summary 26" xfId="15070"/>
    <cellStyle name="_Fuel Prices 4-14_NIM Summary 26 2" xfId="24367"/>
    <cellStyle name="_Fuel Prices 4-14_NIM Summary 27" xfId="15071"/>
    <cellStyle name="_Fuel Prices 4-14_NIM Summary 27 2" xfId="24368"/>
    <cellStyle name="_Fuel Prices 4-14_NIM Summary 28" xfId="15072"/>
    <cellStyle name="_Fuel Prices 4-14_NIM Summary 28 2" xfId="24369"/>
    <cellStyle name="_Fuel Prices 4-14_NIM Summary 29" xfId="15073"/>
    <cellStyle name="_Fuel Prices 4-14_NIM Summary 29 2" xfId="24370"/>
    <cellStyle name="_Fuel Prices 4-14_NIM Summary 3" xfId="1557"/>
    <cellStyle name="_Fuel Prices 4-14_NIM Summary 3 2" xfId="4926"/>
    <cellStyle name="_Fuel Prices 4-14_NIM Summary 30" xfId="15074"/>
    <cellStyle name="_Fuel Prices 4-14_NIM Summary 30 2" xfId="24371"/>
    <cellStyle name="_Fuel Prices 4-14_NIM Summary 31" xfId="15075"/>
    <cellStyle name="_Fuel Prices 4-14_NIM Summary 31 2" xfId="24372"/>
    <cellStyle name="_Fuel Prices 4-14_NIM Summary 32" xfId="15076"/>
    <cellStyle name="_Fuel Prices 4-14_NIM Summary 32 2" xfId="24373"/>
    <cellStyle name="_Fuel Prices 4-14_NIM Summary 33" xfId="15077"/>
    <cellStyle name="_Fuel Prices 4-14_NIM Summary 33 2" xfId="24374"/>
    <cellStyle name="_Fuel Prices 4-14_NIM Summary 34" xfId="15078"/>
    <cellStyle name="_Fuel Prices 4-14_NIM Summary 34 2" xfId="24375"/>
    <cellStyle name="_Fuel Prices 4-14_NIM Summary 35" xfId="15079"/>
    <cellStyle name="_Fuel Prices 4-14_NIM Summary 35 2" xfId="24376"/>
    <cellStyle name="_Fuel Prices 4-14_NIM Summary 36" xfId="15080"/>
    <cellStyle name="_Fuel Prices 4-14_NIM Summary 36 2" xfId="24377"/>
    <cellStyle name="_Fuel Prices 4-14_NIM Summary 37" xfId="15081"/>
    <cellStyle name="_Fuel Prices 4-14_NIM Summary 37 2" xfId="24378"/>
    <cellStyle name="_Fuel Prices 4-14_NIM Summary 38" xfId="15082"/>
    <cellStyle name="_Fuel Prices 4-14_NIM Summary 38 2" xfId="41353"/>
    <cellStyle name="_Fuel Prices 4-14_NIM Summary 39" xfId="15083"/>
    <cellStyle name="_Fuel Prices 4-14_NIM Summary 39 2" xfId="41354"/>
    <cellStyle name="_Fuel Prices 4-14_NIM Summary 4" xfId="1558"/>
    <cellStyle name="_Fuel Prices 4-14_NIM Summary 4 2" xfId="4927"/>
    <cellStyle name="_Fuel Prices 4-14_NIM Summary 40" xfId="15084"/>
    <cellStyle name="_Fuel Prices 4-14_NIM Summary 40 2" xfId="41355"/>
    <cellStyle name="_Fuel Prices 4-14_NIM Summary 41" xfId="15085"/>
    <cellStyle name="_Fuel Prices 4-14_NIM Summary 41 2" xfId="41356"/>
    <cellStyle name="_Fuel Prices 4-14_NIM Summary 42" xfId="16708"/>
    <cellStyle name="_Fuel Prices 4-14_NIM Summary 42 2" xfId="41357"/>
    <cellStyle name="_Fuel Prices 4-14_NIM Summary 43" xfId="22321"/>
    <cellStyle name="_Fuel Prices 4-14_NIM Summary 43 2" xfId="41358"/>
    <cellStyle name="_Fuel Prices 4-14_NIM Summary 44" xfId="24379"/>
    <cellStyle name="_Fuel Prices 4-14_NIM Summary 44 2" xfId="41359"/>
    <cellStyle name="_Fuel Prices 4-14_NIM Summary 45" xfId="24380"/>
    <cellStyle name="_Fuel Prices 4-14_NIM Summary 45 2" xfId="41360"/>
    <cellStyle name="_Fuel Prices 4-14_NIM Summary 46" xfId="24381"/>
    <cellStyle name="_Fuel Prices 4-14_NIM Summary 46 2" xfId="41361"/>
    <cellStyle name="_Fuel Prices 4-14_NIM Summary 47" xfId="24382"/>
    <cellStyle name="_Fuel Prices 4-14_NIM Summary 47 2" xfId="41362"/>
    <cellStyle name="_Fuel Prices 4-14_NIM Summary 48" xfId="24383"/>
    <cellStyle name="_Fuel Prices 4-14_NIM Summary 49" xfId="24384"/>
    <cellStyle name="_Fuel Prices 4-14_NIM Summary 5" xfId="1559"/>
    <cellStyle name="_Fuel Prices 4-14_NIM Summary 5 2" xfId="4928"/>
    <cellStyle name="_Fuel Prices 4-14_NIM Summary 50" xfId="24385"/>
    <cellStyle name="_Fuel Prices 4-14_NIM Summary 51" xfId="41363"/>
    <cellStyle name="_Fuel Prices 4-14_NIM Summary 52" xfId="7325"/>
    <cellStyle name="_Fuel Prices 4-14_NIM Summary 6" xfId="1560"/>
    <cellStyle name="_Fuel Prices 4-14_NIM Summary 6 2" xfId="4929"/>
    <cellStyle name="_Fuel Prices 4-14_NIM Summary 7" xfId="1561"/>
    <cellStyle name="_Fuel Prices 4-14_NIM Summary 7 2" xfId="4930"/>
    <cellStyle name="_Fuel Prices 4-14_NIM Summary 8" xfId="1562"/>
    <cellStyle name="_Fuel Prices 4-14_NIM Summary 8 2" xfId="4931"/>
    <cellStyle name="_Fuel Prices 4-14_NIM Summary 9" xfId="1563"/>
    <cellStyle name="_Fuel Prices 4-14_NIM Summary 9 2" xfId="4932"/>
    <cellStyle name="_Fuel Prices 4-14_NIM Summary_DEM-WP(C) ENERG10C--ctn Mid-C_042010 2010GRC" xfId="12720"/>
    <cellStyle name="_Fuel Prices 4-14_NIM Summary_DEM-WP(C) ENERG10C--ctn Mid-C_042010 2010GRC 2" xfId="41364"/>
    <cellStyle name="_Fuel Prices 4-14_NIM+O&amp;M" xfId="12721"/>
    <cellStyle name="_Fuel Prices 4-14_NIM+O&amp;M 2" xfId="12722"/>
    <cellStyle name="_Fuel Prices 4-14_NIM+O&amp;M 2 2" xfId="24386"/>
    <cellStyle name="_Fuel Prices 4-14_NIM+O&amp;M 2 2 2" xfId="24387"/>
    <cellStyle name="_Fuel Prices 4-14_NIM+O&amp;M 2 3" xfId="24388"/>
    <cellStyle name="_Fuel Prices 4-14_NIM+O&amp;M 3" xfId="24389"/>
    <cellStyle name="_Fuel Prices 4-14_NIM+O&amp;M 3 2" xfId="24390"/>
    <cellStyle name="_Fuel Prices 4-14_NIM+O&amp;M 4" xfId="24391"/>
    <cellStyle name="_Fuel Prices 4-14_NIM+O&amp;M Monthly" xfId="12723"/>
    <cellStyle name="_Fuel Prices 4-14_NIM+O&amp;M Monthly 2" xfId="12724"/>
    <cellStyle name="_Fuel Prices 4-14_NIM+O&amp;M Monthly 2 2" xfId="24392"/>
    <cellStyle name="_Fuel Prices 4-14_NIM+O&amp;M Monthly 2 2 2" xfId="24393"/>
    <cellStyle name="_Fuel Prices 4-14_NIM+O&amp;M Monthly 2 3" xfId="24394"/>
    <cellStyle name="_Fuel Prices 4-14_NIM+O&amp;M Monthly 3" xfId="24395"/>
    <cellStyle name="_Fuel Prices 4-14_NIM+O&amp;M Monthly 3 2" xfId="24396"/>
    <cellStyle name="_Fuel Prices 4-14_NIM+O&amp;M Monthly 4" xfId="24397"/>
    <cellStyle name="_Fuel Prices 4-14_PCA 10 -  Exhibit D Dec 2011" xfId="15086"/>
    <cellStyle name="_Fuel Prices 4-14_PCA 10 -  Exhibit D Dec 2011 2" xfId="41365"/>
    <cellStyle name="_Fuel Prices 4-14_PCA 10 -  Exhibit D from A Kellogg Jan 2011" xfId="14131"/>
    <cellStyle name="_Fuel Prices 4-14_PCA 10 -  Exhibit D from A Kellogg Jan 2011 2" xfId="41366"/>
    <cellStyle name="_Fuel Prices 4-14_PCA 10 -  Exhibit D from A Kellogg July 2011" xfId="14132"/>
    <cellStyle name="_Fuel Prices 4-14_PCA 10 -  Exhibit D from A Kellogg July 2011 2" xfId="41367"/>
    <cellStyle name="_Fuel Prices 4-14_PCA 10 -  Exhibit D from S Free Rcv'd 12-11" xfId="14133"/>
    <cellStyle name="_Fuel Prices 4-14_PCA 10 -  Exhibit D from S Free Rcv'd 12-11 2" xfId="41368"/>
    <cellStyle name="_Fuel Prices 4-14_PCA 11 -  Exhibit D Jan 2012 fr A Kellogg" xfId="15087"/>
    <cellStyle name="_Fuel Prices 4-14_PCA 11 -  Exhibit D Jan 2012 fr A Kellogg 2" xfId="41369"/>
    <cellStyle name="_Fuel Prices 4-14_PCA 11 -  Exhibit D Jan 2012 WF" xfId="15088"/>
    <cellStyle name="_Fuel Prices 4-14_PCA 11 -  Exhibit D Jan 2012 WF 2" xfId="41370"/>
    <cellStyle name="_Fuel Prices 4-14_PCA 9 -  Exhibit D April 2010" xfId="14134"/>
    <cellStyle name="_Fuel Prices 4-14_PCA 9 -  Exhibit D April 2010 (3)" xfId="1564"/>
    <cellStyle name="_Fuel Prices 4-14_PCA 9 -  Exhibit D April 2010 (3) 2" xfId="1565"/>
    <cellStyle name="_Fuel Prices 4-14_PCA 9 -  Exhibit D April 2010 (3) 2 2" xfId="4934"/>
    <cellStyle name="_Fuel Prices 4-14_PCA 9 -  Exhibit D April 2010 (3) 2 2 2" xfId="24398"/>
    <cellStyle name="_Fuel Prices 4-14_PCA 9 -  Exhibit D April 2010 (3) 2 3" xfId="24399"/>
    <cellStyle name="_Fuel Prices 4-14_PCA 9 -  Exhibit D April 2010 (3) 3" xfId="4933"/>
    <cellStyle name="_Fuel Prices 4-14_PCA 9 -  Exhibit D April 2010 (3) 3 2" xfId="24400"/>
    <cellStyle name="_Fuel Prices 4-14_PCA 9 -  Exhibit D April 2010 (3) 4" xfId="24401"/>
    <cellStyle name="_Fuel Prices 4-14_PCA 9 -  Exhibit D April 2010 (3)_DEM-WP(C) ENERG10C--ctn Mid-C_042010 2010GRC" xfId="12725"/>
    <cellStyle name="_Fuel Prices 4-14_PCA 9 -  Exhibit D April 2010 (3)_DEM-WP(C) ENERG10C--ctn Mid-C_042010 2010GRC 2" xfId="41371"/>
    <cellStyle name="_Fuel Prices 4-14_PCA 9 -  Exhibit D April 2010 2" xfId="15089"/>
    <cellStyle name="_Fuel Prices 4-14_PCA 9 -  Exhibit D April 2010 2 2" xfId="41372"/>
    <cellStyle name="_Fuel Prices 4-14_PCA 9 -  Exhibit D April 2010 3" xfId="15090"/>
    <cellStyle name="_Fuel Prices 4-14_PCA 9 -  Exhibit D April 2010 3 2" xfId="41373"/>
    <cellStyle name="_Fuel Prices 4-14_PCA 9 -  Exhibit D April 2010 4" xfId="15091"/>
    <cellStyle name="_Fuel Prices 4-14_PCA 9 -  Exhibit D April 2010 4 2" xfId="41374"/>
    <cellStyle name="_Fuel Prices 4-14_PCA 9 -  Exhibit D April 2010 5" xfId="15092"/>
    <cellStyle name="_Fuel Prices 4-14_PCA 9 -  Exhibit D April 2010 5 2" xfId="41375"/>
    <cellStyle name="_Fuel Prices 4-14_PCA 9 -  Exhibit D April 2010 6" xfId="15093"/>
    <cellStyle name="_Fuel Prices 4-14_PCA 9 -  Exhibit D April 2010 6 2" xfId="41376"/>
    <cellStyle name="_Fuel Prices 4-14_PCA 9 -  Exhibit D April 2010 7" xfId="41377"/>
    <cellStyle name="_Fuel Prices 4-14_PCA 9 -  Exhibit D Nov 2010" xfId="14135"/>
    <cellStyle name="_Fuel Prices 4-14_PCA 9 -  Exhibit D Nov 2010 2" xfId="15094"/>
    <cellStyle name="_Fuel Prices 4-14_PCA 9 -  Exhibit D Nov 2010 2 2" xfId="41378"/>
    <cellStyle name="_Fuel Prices 4-14_PCA 9 -  Exhibit D Nov 2010 3" xfId="41379"/>
    <cellStyle name="_Fuel Prices 4-14_PCA 9 - Exhibit D at August 2010" xfId="14136"/>
    <cellStyle name="_Fuel Prices 4-14_PCA 9 - Exhibit D at August 2010 2" xfId="15095"/>
    <cellStyle name="_Fuel Prices 4-14_PCA 9 - Exhibit D at August 2010 2 2" xfId="41380"/>
    <cellStyle name="_Fuel Prices 4-14_PCA 9 - Exhibit D at August 2010 3" xfId="41381"/>
    <cellStyle name="_Fuel Prices 4-14_PCA 9 - Exhibit D June 2010 GRC" xfId="14137"/>
    <cellStyle name="_Fuel Prices 4-14_PCA 9 - Exhibit D June 2010 GRC 2" xfId="15096"/>
    <cellStyle name="_Fuel Prices 4-14_PCA 9 - Exhibit D June 2010 GRC 2 2" xfId="41382"/>
    <cellStyle name="_Fuel Prices 4-14_PCA 9 - Exhibit D June 2010 GRC 3" xfId="41383"/>
    <cellStyle name="_Fuel Prices 4-14_Peak Credit Exhibits for 2009 GRC" xfId="7326"/>
    <cellStyle name="_Fuel Prices 4-14_Peak Credit Exhibits for 2009 GRC 2" xfId="7327"/>
    <cellStyle name="_Fuel Prices 4-14_Peak Credit Exhibits for 2009 GRC 2 2" xfId="7328"/>
    <cellStyle name="_Fuel Prices 4-14_Peak Credit Exhibits for 2009 GRC 2 2 2" xfId="7329"/>
    <cellStyle name="_Fuel Prices 4-14_Peak Credit Exhibits for 2009 GRC 2 2 2 2" xfId="20920"/>
    <cellStyle name="_Fuel Prices 4-14_Peak Credit Exhibits for 2009 GRC 2 2 3" xfId="18500"/>
    <cellStyle name="_Fuel Prices 4-14_Peak Credit Exhibits for 2009 GRC 2 3" xfId="7330"/>
    <cellStyle name="_Fuel Prices 4-14_Peak Credit Exhibits for 2009 GRC 2 3 2" xfId="7331"/>
    <cellStyle name="_Fuel Prices 4-14_Peak Credit Exhibits for 2009 GRC 2 3 2 2" xfId="20921"/>
    <cellStyle name="_Fuel Prices 4-14_Peak Credit Exhibits for 2009 GRC 2 3 3" xfId="18501"/>
    <cellStyle name="_Fuel Prices 4-14_Peak Credit Exhibits for 2009 GRC 2 4" xfId="7332"/>
    <cellStyle name="_Fuel Prices 4-14_Peak Credit Exhibits for 2009 GRC 2 4 2" xfId="7333"/>
    <cellStyle name="_Fuel Prices 4-14_Peak Credit Exhibits for 2009 GRC 2 4 2 2" xfId="20922"/>
    <cellStyle name="_Fuel Prices 4-14_Peak Credit Exhibits for 2009 GRC 2 4 3" xfId="18502"/>
    <cellStyle name="_Fuel Prices 4-14_Peak Credit Exhibits for 2009 GRC 2 5" xfId="18499"/>
    <cellStyle name="_Fuel Prices 4-14_Peak Credit Exhibits for 2009 GRC 3" xfId="7334"/>
    <cellStyle name="_Fuel Prices 4-14_Peak Credit Exhibits for 2009 GRC 3 2" xfId="7335"/>
    <cellStyle name="_Fuel Prices 4-14_Peak Credit Exhibits for 2009 GRC 3 2 2" xfId="20923"/>
    <cellStyle name="_Fuel Prices 4-14_Peak Credit Exhibits for 2009 GRC 3 3" xfId="18503"/>
    <cellStyle name="_Fuel Prices 4-14_Peak Credit Exhibits for 2009 GRC 4" xfId="7336"/>
    <cellStyle name="_Fuel Prices 4-14_Peak Credit Exhibits for 2009 GRC 4 2" xfId="7337"/>
    <cellStyle name="_Fuel Prices 4-14_Peak Credit Exhibits for 2009 GRC 4 2 2" xfId="20924"/>
    <cellStyle name="_Fuel Prices 4-14_Peak Credit Exhibits for 2009 GRC 4 3" xfId="18504"/>
    <cellStyle name="_Fuel Prices 4-14_Peak Credit Exhibits for 2009 GRC 5" xfId="7338"/>
    <cellStyle name="_Fuel Prices 4-14_Peak Credit Exhibits for 2009 GRC 5 2" xfId="20925"/>
    <cellStyle name="_Fuel Prices 4-14_Peak Credit Exhibits for 2009 GRC 6" xfId="18498"/>
    <cellStyle name="_Fuel Prices 4-14_Power Costs - Comparison bx Rbtl-Staff-Jt-PC" xfId="1566"/>
    <cellStyle name="_Fuel Prices 4-14_Power Costs - Comparison bx Rbtl-Staff-Jt-PC 2" xfId="1567"/>
    <cellStyle name="_Fuel Prices 4-14_Power Costs - Comparison bx Rbtl-Staff-Jt-PC 2 2" xfId="4936"/>
    <cellStyle name="_Fuel Prices 4-14_Power Costs - Comparison bx Rbtl-Staff-Jt-PC 2 2 2" xfId="20926"/>
    <cellStyle name="_Fuel Prices 4-14_Power Costs - Comparison bx Rbtl-Staff-Jt-PC 2 3" xfId="16710"/>
    <cellStyle name="_Fuel Prices 4-14_Power Costs - Comparison bx Rbtl-Staff-Jt-PC 3" xfId="4935"/>
    <cellStyle name="_Fuel Prices 4-14_Power Costs - Comparison bx Rbtl-Staff-Jt-PC 3 2" xfId="20927"/>
    <cellStyle name="_Fuel Prices 4-14_Power Costs - Comparison bx Rbtl-Staff-Jt-PC 4" xfId="16709"/>
    <cellStyle name="_Fuel Prices 4-14_Power Costs - Comparison bx Rbtl-Staff-Jt-PC_Adj Bench DR 3 for Initial Briefs (Electric)" xfId="1568"/>
    <cellStyle name="_Fuel Prices 4-14_Power Costs - Comparison bx Rbtl-Staff-Jt-PC_Adj Bench DR 3 for Initial Briefs (Electric) 2" xfId="1569"/>
    <cellStyle name="_Fuel Prices 4-14_Power Costs - Comparison bx Rbtl-Staff-Jt-PC_Adj Bench DR 3 for Initial Briefs (Electric) 2 2" xfId="4938"/>
    <cellStyle name="_Fuel Prices 4-14_Power Costs - Comparison bx Rbtl-Staff-Jt-PC_Adj Bench DR 3 for Initial Briefs (Electric) 2 2 2" xfId="20928"/>
    <cellStyle name="_Fuel Prices 4-14_Power Costs - Comparison bx Rbtl-Staff-Jt-PC_Adj Bench DR 3 for Initial Briefs (Electric) 2 3" xfId="16712"/>
    <cellStyle name="_Fuel Prices 4-14_Power Costs - Comparison bx Rbtl-Staff-Jt-PC_Adj Bench DR 3 for Initial Briefs (Electric) 3" xfId="4937"/>
    <cellStyle name="_Fuel Prices 4-14_Power Costs - Comparison bx Rbtl-Staff-Jt-PC_Adj Bench DR 3 for Initial Briefs (Electric) 3 2" xfId="20929"/>
    <cellStyle name="_Fuel Prices 4-14_Power Costs - Comparison bx Rbtl-Staff-Jt-PC_Adj Bench DR 3 for Initial Briefs (Electric) 4" xfId="16711"/>
    <cellStyle name="_Fuel Prices 4-14_Power Costs - Comparison bx Rbtl-Staff-Jt-PC_Adj Bench DR 3 for Initial Briefs (Electric)_DEM-WP(C) ENERG10C--ctn Mid-C_042010 2010GRC" xfId="12726"/>
    <cellStyle name="_Fuel Prices 4-14_Power Costs - Comparison bx Rbtl-Staff-Jt-PC_Adj Bench DR 3 for Initial Briefs (Electric)_DEM-WP(C) ENERG10C--ctn Mid-C_042010 2010GRC 2" xfId="41384"/>
    <cellStyle name="_Fuel Prices 4-14_Power Costs - Comparison bx Rbtl-Staff-Jt-PC_DEM-WP(C) ENERG10C--ctn Mid-C_042010 2010GRC" xfId="12727"/>
    <cellStyle name="_Fuel Prices 4-14_Power Costs - Comparison bx Rbtl-Staff-Jt-PC_DEM-WP(C) ENERG10C--ctn Mid-C_042010 2010GRC 2" xfId="41385"/>
    <cellStyle name="_Fuel Prices 4-14_Power Costs - Comparison bx Rbtl-Staff-Jt-PC_Electric Rev Req Model (2009 GRC) Rebuttal" xfId="1570"/>
    <cellStyle name="_Fuel Prices 4-14_Power Costs - Comparison bx Rbtl-Staff-Jt-PC_Electric Rev Req Model (2009 GRC) Rebuttal 2" xfId="4939"/>
    <cellStyle name="_Fuel Prices 4-14_Power Costs - Comparison bx Rbtl-Staff-Jt-PC_Electric Rev Req Model (2009 GRC) Rebuttal 2 2" xfId="7339"/>
    <cellStyle name="_Fuel Prices 4-14_Power Costs - Comparison bx Rbtl-Staff-Jt-PC_Electric Rev Req Model (2009 GRC) Rebuttal 2 2 2" xfId="20930"/>
    <cellStyle name="_Fuel Prices 4-14_Power Costs - Comparison bx Rbtl-Staff-Jt-PC_Electric Rev Req Model (2009 GRC) Rebuttal 2 3" xfId="18505"/>
    <cellStyle name="_Fuel Prices 4-14_Power Costs - Comparison bx Rbtl-Staff-Jt-PC_Electric Rev Req Model (2009 GRC) Rebuttal 3" xfId="7340"/>
    <cellStyle name="_Fuel Prices 4-14_Power Costs - Comparison bx Rbtl-Staff-Jt-PC_Electric Rev Req Model (2009 GRC) Rebuttal 3 2" xfId="20931"/>
    <cellStyle name="_Fuel Prices 4-14_Power Costs - Comparison bx Rbtl-Staff-Jt-PC_Electric Rev Req Model (2009 GRC) Rebuttal 4" xfId="16713"/>
    <cellStyle name="_Fuel Prices 4-14_Power Costs - Comparison bx Rbtl-Staff-Jt-PC_Electric Rev Req Model (2009 GRC) Rebuttal REmoval of New  WH Solar AdjustMI" xfId="1571"/>
    <cellStyle name="_Fuel Prices 4-14_Power Costs - Comparison bx Rbtl-Staff-Jt-PC_Electric Rev Req Model (2009 GRC) Rebuttal REmoval of New  WH Solar AdjustMI 2" xfId="1572"/>
    <cellStyle name="_Fuel Prices 4-14_Power Costs - Comparison bx Rbtl-Staff-Jt-PC_Electric Rev Req Model (2009 GRC) Rebuttal REmoval of New  WH Solar AdjustMI 2 2" xfId="4941"/>
    <cellStyle name="_Fuel Prices 4-14_Power Costs - Comparison bx Rbtl-Staff-Jt-PC_Electric Rev Req Model (2009 GRC) Rebuttal REmoval of New  WH Solar AdjustMI 2 2 2" xfId="20932"/>
    <cellStyle name="_Fuel Prices 4-14_Power Costs - Comparison bx Rbtl-Staff-Jt-PC_Electric Rev Req Model (2009 GRC) Rebuttal REmoval of New  WH Solar AdjustMI 2 3" xfId="16715"/>
    <cellStyle name="_Fuel Prices 4-14_Power Costs - Comparison bx Rbtl-Staff-Jt-PC_Electric Rev Req Model (2009 GRC) Rebuttal REmoval of New  WH Solar AdjustMI 3" xfId="4940"/>
    <cellStyle name="_Fuel Prices 4-14_Power Costs - Comparison bx Rbtl-Staff-Jt-PC_Electric Rev Req Model (2009 GRC) Rebuttal REmoval of New  WH Solar AdjustMI 3 2" xfId="20933"/>
    <cellStyle name="_Fuel Prices 4-14_Power Costs - Comparison bx Rbtl-Staff-Jt-PC_Electric Rev Req Model (2009 GRC) Rebuttal REmoval of New  WH Solar AdjustMI 4" xfId="16714"/>
    <cellStyle name="_Fuel Prices 4-14_Power Costs - Comparison bx Rbtl-Staff-Jt-PC_Electric Rev Req Model (2009 GRC) Rebuttal REmoval of New  WH Solar AdjustMI_DEM-WP(C) ENERG10C--ctn Mid-C_042010 2010GRC" xfId="12728"/>
    <cellStyle name="_Fuel Prices 4-14_Power Costs - Comparison bx Rbtl-Staff-Jt-PC_Electric Rev Req Model (2009 GRC) Rebuttal REmoval of New  WH Solar AdjustMI_DEM-WP(C) ENERG10C--ctn Mid-C_042010 2010GRC 2" xfId="41386"/>
    <cellStyle name="_Fuel Prices 4-14_Power Costs - Comparison bx Rbtl-Staff-Jt-PC_Electric Rev Req Model (2009 GRC) Revised 01-18-2010" xfId="1573"/>
    <cellStyle name="_Fuel Prices 4-14_Power Costs - Comparison bx Rbtl-Staff-Jt-PC_Electric Rev Req Model (2009 GRC) Revised 01-18-2010 2" xfId="1574"/>
    <cellStyle name="_Fuel Prices 4-14_Power Costs - Comparison bx Rbtl-Staff-Jt-PC_Electric Rev Req Model (2009 GRC) Revised 01-18-2010 2 2" xfId="4943"/>
    <cellStyle name="_Fuel Prices 4-14_Power Costs - Comparison bx Rbtl-Staff-Jt-PC_Electric Rev Req Model (2009 GRC) Revised 01-18-2010 2 2 2" xfId="20934"/>
    <cellStyle name="_Fuel Prices 4-14_Power Costs - Comparison bx Rbtl-Staff-Jt-PC_Electric Rev Req Model (2009 GRC) Revised 01-18-2010 2 3" xfId="16717"/>
    <cellStyle name="_Fuel Prices 4-14_Power Costs - Comparison bx Rbtl-Staff-Jt-PC_Electric Rev Req Model (2009 GRC) Revised 01-18-2010 3" xfId="4942"/>
    <cellStyle name="_Fuel Prices 4-14_Power Costs - Comparison bx Rbtl-Staff-Jt-PC_Electric Rev Req Model (2009 GRC) Revised 01-18-2010 3 2" xfId="20935"/>
    <cellStyle name="_Fuel Prices 4-14_Power Costs - Comparison bx Rbtl-Staff-Jt-PC_Electric Rev Req Model (2009 GRC) Revised 01-18-2010 4" xfId="16716"/>
    <cellStyle name="_Fuel Prices 4-14_Power Costs - Comparison bx Rbtl-Staff-Jt-PC_Electric Rev Req Model (2009 GRC) Revised 01-18-2010_DEM-WP(C) ENERG10C--ctn Mid-C_042010 2010GRC" xfId="12729"/>
    <cellStyle name="_Fuel Prices 4-14_Power Costs - Comparison bx Rbtl-Staff-Jt-PC_Electric Rev Req Model (2009 GRC) Revised 01-18-2010_DEM-WP(C) ENERG10C--ctn Mid-C_042010 2010GRC 2" xfId="41387"/>
    <cellStyle name="_Fuel Prices 4-14_Power Costs - Comparison bx Rbtl-Staff-Jt-PC_Final Order Electric EXHIBIT A-1" xfId="1575"/>
    <cellStyle name="_Fuel Prices 4-14_Power Costs - Comparison bx Rbtl-Staff-Jt-PC_Final Order Electric EXHIBIT A-1 2" xfId="4944"/>
    <cellStyle name="_Fuel Prices 4-14_Power Costs - Comparison bx Rbtl-Staff-Jt-PC_Final Order Electric EXHIBIT A-1 2 2" xfId="7341"/>
    <cellStyle name="_Fuel Prices 4-14_Power Costs - Comparison bx Rbtl-Staff-Jt-PC_Final Order Electric EXHIBIT A-1 2 2 2" xfId="20936"/>
    <cellStyle name="_Fuel Prices 4-14_Power Costs - Comparison bx Rbtl-Staff-Jt-PC_Final Order Electric EXHIBIT A-1 2 3" xfId="18506"/>
    <cellStyle name="_Fuel Prices 4-14_Power Costs - Comparison bx Rbtl-Staff-Jt-PC_Final Order Electric EXHIBIT A-1 3" xfId="7342"/>
    <cellStyle name="_Fuel Prices 4-14_Power Costs - Comparison bx Rbtl-Staff-Jt-PC_Final Order Electric EXHIBIT A-1 3 2" xfId="20937"/>
    <cellStyle name="_Fuel Prices 4-14_Power Costs - Comparison bx Rbtl-Staff-Jt-PC_Final Order Electric EXHIBIT A-1 4" xfId="16718"/>
    <cellStyle name="_Fuel Prices 4-14_Production Adj 4.37" xfId="7343"/>
    <cellStyle name="_Fuel Prices 4-14_Production Adj 4.37 2" xfId="7344"/>
    <cellStyle name="_Fuel Prices 4-14_Production Adj 4.37 2 2" xfId="7345"/>
    <cellStyle name="_Fuel Prices 4-14_Production Adj 4.37 2 2 2" xfId="20938"/>
    <cellStyle name="_Fuel Prices 4-14_Production Adj 4.37 2 3" xfId="18508"/>
    <cellStyle name="_Fuel Prices 4-14_Production Adj 4.37 3" xfId="7346"/>
    <cellStyle name="_Fuel Prices 4-14_Production Adj 4.37 3 2" xfId="20939"/>
    <cellStyle name="_Fuel Prices 4-14_Production Adj 4.37 4" xfId="18507"/>
    <cellStyle name="_Fuel Prices 4-14_Purchased Power Adj 4.03" xfId="7347"/>
    <cellStyle name="_Fuel Prices 4-14_Purchased Power Adj 4.03 2" xfId="7348"/>
    <cellStyle name="_Fuel Prices 4-14_Purchased Power Adj 4.03 2 2" xfId="7349"/>
    <cellStyle name="_Fuel Prices 4-14_Purchased Power Adj 4.03 2 2 2" xfId="20940"/>
    <cellStyle name="_Fuel Prices 4-14_Purchased Power Adj 4.03 2 3" xfId="18510"/>
    <cellStyle name="_Fuel Prices 4-14_Purchased Power Adj 4.03 3" xfId="7350"/>
    <cellStyle name="_Fuel Prices 4-14_Purchased Power Adj 4.03 3 2" xfId="20941"/>
    <cellStyle name="_Fuel Prices 4-14_Purchased Power Adj 4.03 4" xfId="18509"/>
    <cellStyle name="_Fuel Prices 4-14_Rate Design Sch 24" xfId="7351"/>
    <cellStyle name="_Fuel Prices 4-14_Rate Design Sch 24 2" xfId="7352"/>
    <cellStyle name="_Fuel Prices 4-14_Rate Design Sch 24 2 2" xfId="20942"/>
    <cellStyle name="_Fuel Prices 4-14_Rate Design Sch 24 3" xfId="18511"/>
    <cellStyle name="_Fuel Prices 4-14_Rate Design Sch 25" xfId="7353"/>
    <cellStyle name="_Fuel Prices 4-14_Rate Design Sch 25 2" xfId="7354"/>
    <cellStyle name="_Fuel Prices 4-14_Rate Design Sch 25 2 2" xfId="7355"/>
    <cellStyle name="_Fuel Prices 4-14_Rate Design Sch 25 2 2 2" xfId="20943"/>
    <cellStyle name="_Fuel Prices 4-14_Rate Design Sch 25 2 3" xfId="18513"/>
    <cellStyle name="_Fuel Prices 4-14_Rate Design Sch 25 3" xfId="7356"/>
    <cellStyle name="_Fuel Prices 4-14_Rate Design Sch 25 3 2" xfId="20944"/>
    <cellStyle name="_Fuel Prices 4-14_Rate Design Sch 25 4" xfId="18512"/>
    <cellStyle name="_Fuel Prices 4-14_Rate Design Sch 26" xfId="7357"/>
    <cellStyle name="_Fuel Prices 4-14_Rate Design Sch 26 2" xfId="7358"/>
    <cellStyle name="_Fuel Prices 4-14_Rate Design Sch 26 2 2" xfId="7359"/>
    <cellStyle name="_Fuel Prices 4-14_Rate Design Sch 26 2 2 2" xfId="20945"/>
    <cellStyle name="_Fuel Prices 4-14_Rate Design Sch 26 2 3" xfId="18515"/>
    <cellStyle name="_Fuel Prices 4-14_Rate Design Sch 26 3" xfId="7360"/>
    <cellStyle name="_Fuel Prices 4-14_Rate Design Sch 26 3 2" xfId="20946"/>
    <cellStyle name="_Fuel Prices 4-14_Rate Design Sch 26 4" xfId="18514"/>
    <cellStyle name="_Fuel Prices 4-14_Rate Design Sch 31" xfId="7361"/>
    <cellStyle name="_Fuel Prices 4-14_Rate Design Sch 31 2" xfId="7362"/>
    <cellStyle name="_Fuel Prices 4-14_Rate Design Sch 31 2 2" xfId="7363"/>
    <cellStyle name="_Fuel Prices 4-14_Rate Design Sch 31 2 2 2" xfId="20947"/>
    <cellStyle name="_Fuel Prices 4-14_Rate Design Sch 31 2 3" xfId="18517"/>
    <cellStyle name="_Fuel Prices 4-14_Rate Design Sch 31 3" xfId="7364"/>
    <cellStyle name="_Fuel Prices 4-14_Rate Design Sch 31 3 2" xfId="20948"/>
    <cellStyle name="_Fuel Prices 4-14_Rate Design Sch 31 4" xfId="18516"/>
    <cellStyle name="_Fuel Prices 4-14_Rate Design Sch 43" xfId="7365"/>
    <cellStyle name="_Fuel Prices 4-14_Rate Design Sch 43 2" xfId="7366"/>
    <cellStyle name="_Fuel Prices 4-14_Rate Design Sch 43 2 2" xfId="7367"/>
    <cellStyle name="_Fuel Prices 4-14_Rate Design Sch 43 2 2 2" xfId="20949"/>
    <cellStyle name="_Fuel Prices 4-14_Rate Design Sch 43 2 3" xfId="18519"/>
    <cellStyle name="_Fuel Prices 4-14_Rate Design Sch 43 3" xfId="7368"/>
    <cellStyle name="_Fuel Prices 4-14_Rate Design Sch 43 3 2" xfId="20950"/>
    <cellStyle name="_Fuel Prices 4-14_Rate Design Sch 43 4" xfId="18518"/>
    <cellStyle name="_Fuel Prices 4-14_Rate Design Sch 448-449" xfId="7369"/>
    <cellStyle name="_Fuel Prices 4-14_Rate Design Sch 448-449 2" xfId="7370"/>
    <cellStyle name="_Fuel Prices 4-14_Rate Design Sch 448-449 2 2" xfId="20951"/>
    <cellStyle name="_Fuel Prices 4-14_Rate Design Sch 448-449 3" xfId="18520"/>
    <cellStyle name="_Fuel Prices 4-14_Rate Design Sch 46" xfId="7371"/>
    <cellStyle name="_Fuel Prices 4-14_Rate Design Sch 46 2" xfId="7372"/>
    <cellStyle name="_Fuel Prices 4-14_Rate Design Sch 46 2 2" xfId="7373"/>
    <cellStyle name="_Fuel Prices 4-14_Rate Design Sch 46 2 2 2" xfId="20952"/>
    <cellStyle name="_Fuel Prices 4-14_Rate Design Sch 46 2 3" xfId="18522"/>
    <cellStyle name="_Fuel Prices 4-14_Rate Design Sch 46 3" xfId="7374"/>
    <cellStyle name="_Fuel Prices 4-14_Rate Design Sch 46 3 2" xfId="20953"/>
    <cellStyle name="_Fuel Prices 4-14_Rate Design Sch 46 4" xfId="18521"/>
    <cellStyle name="_Fuel Prices 4-14_Rate Spread" xfId="7375"/>
    <cellStyle name="_Fuel Prices 4-14_Rate Spread 2" xfId="7376"/>
    <cellStyle name="_Fuel Prices 4-14_Rate Spread 2 2" xfId="7377"/>
    <cellStyle name="_Fuel Prices 4-14_Rate Spread 2 2 2" xfId="20954"/>
    <cellStyle name="_Fuel Prices 4-14_Rate Spread 2 3" xfId="18524"/>
    <cellStyle name="_Fuel Prices 4-14_Rate Spread 3" xfId="7378"/>
    <cellStyle name="_Fuel Prices 4-14_Rate Spread 3 2" xfId="20955"/>
    <cellStyle name="_Fuel Prices 4-14_Rate Spread 4" xfId="18523"/>
    <cellStyle name="_Fuel Prices 4-14_Rebuttal Power Costs" xfId="1576"/>
    <cellStyle name="_Fuel Prices 4-14_Rebuttal Power Costs 2" xfId="1577"/>
    <cellStyle name="_Fuel Prices 4-14_Rebuttal Power Costs 2 2" xfId="4946"/>
    <cellStyle name="_Fuel Prices 4-14_Rebuttal Power Costs 2 2 2" xfId="20956"/>
    <cellStyle name="_Fuel Prices 4-14_Rebuttal Power Costs 2 3" xfId="16720"/>
    <cellStyle name="_Fuel Prices 4-14_Rebuttal Power Costs 3" xfId="4945"/>
    <cellStyle name="_Fuel Prices 4-14_Rebuttal Power Costs 3 2" xfId="20957"/>
    <cellStyle name="_Fuel Prices 4-14_Rebuttal Power Costs 4" xfId="16719"/>
    <cellStyle name="_Fuel Prices 4-14_Rebuttal Power Costs_Adj Bench DR 3 for Initial Briefs (Electric)" xfId="1578"/>
    <cellStyle name="_Fuel Prices 4-14_Rebuttal Power Costs_Adj Bench DR 3 for Initial Briefs (Electric) 2" xfId="1579"/>
    <cellStyle name="_Fuel Prices 4-14_Rebuttal Power Costs_Adj Bench DR 3 for Initial Briefs (Electric) 2 2" xfId="4948"/>
    <cellStyle name="_Fuel Prices 4-14_Rebuttal Power Costs_Adj Bench DR 3 for Initial Briefs (Electric) 2 2 2" xfId="20958"/>
    <cellStyle name="_Fuel Prices 4-14_Rebuttal Power Costs_Adj Bench DR 3 for Initial Briefs (Electric) 2 3" xfId="16722"/>
    <cellStyle name="_Fuel Prices 4-14_Rebuttal Power Costs_Adj Bench DR 3 for Initial Briefs (Electric) 3" xfId="4947"/>
    <cellStyle name="_Fuel Prices 4-14_Rebuttal Power Costs_Adj Bench DR 3 for Initial Briefs (Electric) 3 2" xfId="20959"/>
    <cellStyle name="_Fuel Prices 4-14_Rebuttal Power Costs_Adj Bench DR 3 for Initial Briefs (Electric) 4" xfId="16721"/>
    <cellStyle name="_Fuel Prices 4-14_Rebuttal Power Costs_Adj Bench DR 3 for Initial Briefs (Electric)_DEM-WP(C) ENERG10C--ctn Mid-C_042010 2010GRC" xfId="12730"/>
    <cellStyle name="_Fuel Prices 4-14_Rebuttal Power Costs_Adj Bench DR 3 for Initial Briefs (Electric)_DEM-WP(C) ENERG10C--ctn Mid-C_042010 2010GRC 2" xfId="41388"/>
    <cellStyle name="_Fuel Prices 4-14_Rebuttal Power Costs_DEM-WP(C) ENERG10C--ctn Mid-C_042010 2010GRC" xfId="12731"/>
    <cellStyle name="_Fuel Prices 4-14_Rebuttal Power Costs_DEM-WP(C) ENERG10C--ctn Mid-C_042010 2010GRC 2" xfId="41389"/>
    <cellStyle name="_Fuel Prices 4-14_Rebuttal Power Costs_Electric Rev Req Model (2009 GRC) Rebuttal" xfId="1580"/>
    <cellStyle name="_Fuel Prices 4-14_Rebuttal Power Costs_Electric Rev Req Model (2009 GRC) Rebuttal 2" xfId="4949"/>
    <cellStyle name="_Fuel Prices 4-14_Rebuttal Power Costs_Electric Rev Req Model (2009 GRC) Rebuttal 2 2" xfId="7379"/>
    <cellStyle name="_Fuel Prices 4-14_Rebuttal Power Costs_Electric Rev Req Model (2009 GRC) Rebuttal 2 2 2" xfId="20960"/>
    <cellStyle name="_Fuel Prices 4-14_Rebuttal Power Costs_Electric Rev Req Model (2009 GRC) Rebuttal 2 3" xfId="18525"/>
    <cellStyle name="_Fuel Prices 4-14_Rebuttal Power Costs_Electric Rev Req Model (2009 GRC) Rebuttal 3" xfId="7380"/>
    <cellStyle name="_Fuel Prices 4-14_Rebuttal Power Costs_Electric Rev Req Model (2009 GRC) Rebuttal 3 2" xfId="20961"/>
    <cellStyle name="_Fuel Prices 4-14_Rebuttal Power Costs_Electric Rev Req Model (2009 GRC) Rebuttal 4" xfId="16723"/>
    <cellStyle name="_Fuel Prices 4-14_Rebuttal Power Costs_Electric Rev Req Model (2009 GRC) Rebuttal REmoval of New  WH Solar AdjustMI" xfId="1581"/>
    <cellStyle name="_Fuel Prices 4-14_Rebuttal Power Costs_Electric Rev Req Model (2009 GRC) Rebuttal REmoval of New  WH Solar AdjustMI 2" xfId="1582"/>
    <cellStyle name="_Fuel Prices 4-14_Rebuttal Power Costs_Electric Rev Req Model (2009 GRC) Rebuttal REmoval of New  WH Solar AdjustMI 2 2" xfId="4951"/>
    <cellStyle name="_Fuel Prices 4-14_Rebuttal Power Costs_Electric Rev Req Model (2009 GRC) Rebuttal REmoval of New  WH Solar AdjustMI 2 2 2" xfId="20962"/>
    <cellStyle name="_Fuel Prices 4-14_Rebuttal Power Costs_Electric Rev Req Model (2009 GRC) Rebuttal REmoval of New  WH Solar AdjustMI 2 3" xfId="16725"/>
    <cellStyle name="_Fuel Prices 4-14_Rebuttal Power Costs_Electric Rev Req Model (2009 GRC) Rebuttal REmoval of New  WH Solar AdjustMI 3" xfId="4950"/>
    <cellStyle name="_Fuel Prices 4-14_Rebuttal Power Costs_Electric Rev Req Model (2009 GRC) Rebuttal REmoval of New  WH Solar AdjustMI 3 2" xfId="20963"/>
    <cellStyle name="_Fuel Prices 4-14_Rebuttal Power Costs_Electric Rev Req Model (2009 GRC) Rebuttal REmoval of New  WH Solar AdjustMI 4" xfId="16724"/>
    <cellStyle name="_Fuel Prices 4-14_Rebuttal Power Costs_Electric Rev Req Model (2009 GRC) Rebuttal REmoval of New  WH Solar AdjustMI_DEM-WP(C) ENERG10C--ctn Mid-C_042010 2010GRC" xfId="12732"/>
    <cellStyle name="_Fuel Prices 4-14_Rebuttal Power Costs_Electric Rev Req Model (2009 GRC) Rebuttal REmoval of New  WH Solar AdjustMI_DEM-WP(C) ENERG10C--ctn Mid-C_042010 2010GRC 2" xfId="41390"/>
    <cellStyle name="_Fuel Prices 4-14_Rebuttal Power Costs_Electric Rev Req Model (2009 GRC) Revised 01-18-2010" xfId="1583"/>
    <cellStyle name="_Fuel Prices 4-14_Rebuttal Power Costs_Electric Rev Req Model (2009 GRC) Revised 01-18-2010 2" xfId="1584"/>
    <cellStyle name="_Fuel Prices 4-14_Rebuttal Power Costs_Electric Rev Req Model (2009 GRC) Revised 01-18-2010 2 2" xfId="4953"/>
    <cellStyle name="_Fuel Prices 4-14_Rebuttal Power Costs_Electric Rev Req Model (2009 GRC) Revised 01-18-2010 2 2 2" xfId="20964"/>
    <cellStyle name="_Fuel Prices 4-14_Rebuttal Power Costs_Electric Rev Req Model (2009 GRC) Revised 01-18-2010 2 3" xfId="16727"/>
    <cellStyle name="_Fuel Prices 4-14_Rebuttal Power Costs_Electric Rev Req Model (2009 GRC) Revised 01-18-2010 3" xfId="4952"/>
    <cellStyle name="_Fuel Prices 4-14_Rebuttal Power Costs_Electric Rev Req Model (2009 GRC) Revised 01-18-2010 3 2" xfId="20965"/>
    <cellStyle name="_Fuel Prices 4-14_Rebuttal Power Costs_Electric Rev Req Model (2009 GRC) Revised 01-18-2010 4" xfId="16726"/>
    <cellStyle name="_Fuel Prices 4-14_Rebuttal Power Costs_Electric Rev Req Model (2009 GRC) Revised 01-18-2010_DEM-WP(C) ENERG10C--ctn Mid-C_042010 2010GRC" xfId="12733"/>
    <cellStyle name="_Fuel Prices 4-14_Rebuttal Power Costs_Electric Rev Req Model (2009 GRC) Revised 01-18-2010_DEM-WP(C) ENERG10C--ctn Mid-C_042010 2010GRC 2" xfId="41391"/>
    <cellStyle name="_Fuel Prices 4-14_Rebuttal Power Costs_Final Order Electric EXHIBIT A-1" xfId="1585"/>
    <cellStyle name="_Fuel Prices 4-14_Rebuttal Power Costs_Final Order Electric EXHIBIT A-1 2" xfId="4954"/>
    <cellStyle name="_Fuel Prices 4-14_Rebuttal Power Costs_Final Order Electric EXHIBIT A-1 2 2" xfId="7381"/>
    <cellStyle name="_Fuel Prices 4-14_Rebuttal Power Costs_Final Order Electric EXHIBIT A-1 2 2 2" xfId="20966"/>
    <cellStyle name="_Fuel Prices 4-14_Rebuttal Power Costs_Final Order Electric EXHIBIT A-1 2 3" xfId="18526"/>
    <cellStyle name="_Fuel Prices 4-14_Rebuttal Power Costs_Final Order Electric EXHIBIT A-1 3" xfId="7382"/>
    <cellStyle name="_Fuel Prices 4-14_Rebuttal Power Costs_Final Order Electric EXHIBIT A-1 3 2" xfId="20967"/>
    <cellStyle name="_Fuel Prices 4-14_Rebuttal Power Costs_Final Order Electric EXHIBIT A-1 4" xfId="16728"/>
    <cellStyle name="_Fuel Prices 4-14_ROR 5.02" xfId="7383"/>
    <cellStyle name="_Fuel Prices 4-14_ROR 5.02 2" xfId="7384"/>
    <cellStyle name="_Fuel Prices 4-14_ROR 5.02 2 2" xfId="7385"/>
    <cellStyle name="_Fuel Prices 4-14_ROR 5.02 2 2 2" xfId="20968"/>
    <cellStyle name="_Fuel Prices 4-14_ROR 5.02 2 3" xfId="18528"/>
    <cellStyle name="_Fuel Prices 4-14_ROR 5.02 3" xfId="7386"/>
    <cellStyle name="_Fuel Prices 4-14_ROR 5.02 3 2" xfId="20969"/>
    <cellStyle name="_Fuel Prices 4-14_ROR 5.02 4" xfId="18527"/>
    <cellStyle name="_Fuel Prices 4-14_Sch 40 Feeder OH 2008" xfId="7387"/>
    <cellStyle name="_Fuel Prices 4-14_Sch 40 Feeder OH 2008 2" xfId="7388"/>
    <cellStyle name="_Fuel Prices 4-14_Sch 40 Feeder OH 2008 2 2" xfId="7389"/>
    <cellStyle name="_Fuel Prices 4-14_Sch 40 Feeder OH 2008 2 2 2" xfId="20970"/>
    <cellStyle name="_Fuel Prices 4-14_Sch 40 Feeder OH 2008 2 3" xfId="18530"/>
    <cellStyle name="_Fuel Prices 4-14_Sch 40 Feeder OH 2008 3" xfId="7390"/>
    <cellStyle name="_Fuel Prices 4-14_Sch 40 Feeder OH 2008 3 2" xfId="20971"/>
    <cellStyle name="_Fuel Prices 4-14_Sch 40 Feeder OH 2008 4" xfId="18529"/>
    <cellStyle name="_Fuel Prices 4-14_Sch 40 Interim Energy Rates " xfId="7391"/>
    <cellStyle name="_Fuel Prices 4-14_Sch 40 Interim Energy Rates  2" xfId="7392"/>
    <cellStyle name="_Fuel Prices 4-14_Sch 40 Interim Energy Rates  2 2" xfId="7393"/>
    <cellStyle name="_Fuel Prices 4-14_Sch 40 Interim Energy Rates  2 2 2" xfId="20972"/>
    <cellStyle name="_Fuel Prices 4-14_Sch 40 Interim Energy Rates  2 3" xfId="18532"/>
    <cellStyle name="_Fuel Prices 4-14_Sch 40 Interim Energy Rates  3" xfId="7394"/>
    <cellStyle name="_Fuel Prices 4-14_Sch 40 Interim Energy Rates  3 2" xfId="20973"/>
    <cellStyle name="_Fuel Prices 4-14_Sch 40 Interim Energy Rates  4" xfId="18531"/>
    <cellStyle name="_Fuel Prices 4-14_Sch 40 Substation A&amp;G 2008" xfId="7395"/>
    <cellStyle name="_Fuel Prices 4-14_Sch 40 Substation A&amp;G 2008 2" xfId="7396"/>
    <cellStyle name="_Fuel Prices 4-14_Sch 40 Substation A&amp;G 2008 2 2" xfId="7397"/>
    <cellStyle name="_Fuel Prices 4-14_Sch 40 Substation A&amp;G 2008 2 2 2" xfId="20974"/>
    <cellStyle name="_Fuel Prices 4-14_Sch 40 Substation A&amp;G 2008 2 3" xfId="18534"/>
    <cellStyle name="_Fuel Prices 4-14_Sch 40 Substation A&amp;G 2008 3" xfId="7398"/>
    <cellStyle name="_Fuel Prices 4-14_Sch 40 Substation A&amp;G 2008 3 2" xfId="20975"/>
    <cellStyle name="_Fuel Prices 4-14_Sch 40 Substation A&amp;G 2008 4" xfId="18533"/>
    <cellStyle name="_Fuel Prices 4-14_Sch 40 Substation O&amp;M 2008" xfId="7399"/>
    <cellStyle name="_Fuel Prices 4-14_Sch 40 Substation O&amp;M 2008 2" xfId="7400"/>
    <cellStyle name="_Fuel Prices 4-14_Sch 40 Substation O&amp;M 2008 2 2" xfId="7401"/>
    <cellStyle name="_Fuel Prices 4-14_Sch 40 Substation O&amp;M 2008 2 2 2" xfId="20976"/>
    <cellStyle name="_Fuel Prices 4-14_Sch 40 Substation O&amp;M 2008 2 3" xfId="18536"/>
    <cellStyle name="_Fuel Prices 4-14_Sch 40 Substation O&amp;M 2008 3" xfId="7402"/>
    <cellStyle name="_Fuel Prices 4-14_Sch 40 Substation O&amp;M 2008 3 2" xfId="20977"/>
    <cellStyle name="_Fuel Prices 4-14_Sch 40 Substation O&amp;M 2008 4" xfId="18535"/>
    <cellStyle name="_Fuel Prices 4-14_Subs 2008" xfId="7403"/>
    <cellStyle name="_Fuel Prices 4-14_Subs 2008 2" xfId="7404"/>
    <cellStyle name="_Fuel Prices 4-14_Subs 2008 2 2" xfId="7405"/>
    <cellStyle name="_Fuel Prices 4-14_Subs 2008 2 2 2" xfId="20978"/>
    <cellStyle name="_Fuel Prices 4-14_Subs 2008 2 3" xfId="18538"/>
    <cellStyle name="_Fuel Prices 4-14_Subs 2008 3" xfId="7406"/>
    <cellStyle name="_Fuel Prices 4-14_Subs 2008 3 2" xfId="20979"/>
    <cellStyle name="_Fuel Prices 4-14_Subs 2008 4" xfId="18537"/>
    <cellStyle name="_Fuel Prices 4-14_Wind Integration 10GRC" xfId="1586"/>
    <cellStyle name="_Fuel Prices 4-14_Wind Integration 10GRC 2" xfId="1587"/>
    <cellStyle name="_Fuel Prices 4-14_Wind Integration 10GRC 2 2" xfId="4956"/>
    <cellStyle name="_Fuel Prices 4-14_Wind Integration 10GRC 2 2 2" xfId="24402"/>
    <cellStyle name="_Fuel Prices 4-14_Wind Integration 10GRC 2 3" xfId="24403"/>
    <cellStyle name="_Fuel Prices 4-14_Wind Integration 10GRC 3" xfId="4955"/>
    <cellStyle name="_Fuel Prices 4-14_Wind Integration 10GRC 3 2" xfId="24404"/>
    <cellStyle name="_Fuel Prices 4-14_Wind Integration 10GRC 4" xfId="24405"/>
    <cellStyle name="_Fuel Prices 4-14_Wind Integration 10GRC_DEM-WP(C) ENERG10C--ctn Mid-C_042010 2010GRC" xfId="12734"/>
    <cellStyle name="_Fuel Prices 4-14_Wind Integration 10GRC_DEM-WP(C) ENERG10C--ctn Mid-C_042010 2010GRC 2" xfId="41392"/>
    <cellStyle name="_Gas Transportation Charges_2009GRC_120308" xfId="1588"/>
    <cellStyle name="_Gas Transportation Charges_2009GRC_120308 2" xfId="1589"/>
    <cellStyle name="_Gas Transportation Charges_2009GRC_120308 2 2" xfId="4958"/>
    <cellStyle name="_Gas Transportation Charges_2009GRC_120308 2 2 2" xfId="15097"/>
    <cellStyle name="_Gas Transportation Charges_2009GRC_120308 2 2 2 2" xfId="24406"/>
    <cellStyle name="_Gas Transportation Charges_2009GRC_120308 2 2 2 3" xfId="24407"/>
    <cellStyle name="_Gas Transportation Charges_2009GRC_120308 2 2 3" xfId="24408"/>
    <cellStyle name="_Gas Transportation Charges_2009GRC_120308 2 3" xfId="24409"/>
    <cellStyle name="_Gas Transportation Charges_2009GRC_120308 2 3 2" xfId="24410"/>
    <cellStyle name="_Gas Transportation Charges_2009GRC_120308 2 4" xfId="24411"/>
    <cellStyle name="_Gas Transportation Charges_2009GRC_120308 3" xfId="4957"/>
    <cellStyle name="_Gas Transportation Charges_2009GRC_120308 3 2" xfId="20980"/>
    <cellStyle name="_Gas Transportation Charges_2009GRC_120308 3 2 2" xfId="24412"/>
    <cellStyle name="_Gas Transportation Charges_2009GRC_120308 3 2 2 2" xfId="24413"/>
    <cellStyle name="_Gas Transportation Charges_2009GRC_120308 3 2 3" xfId="24414"/>
    <cellStyle name="_Gas Transportation Charges_2009GRC_120308 3 3" xfId="24415"/>
    <cellStyle name="_Gas Transportation Charges_2009GRC_120308 3 3 2" xfId="24416"/>
    <cellStyle name="_Gas Transportation Charges_2009GRC_120308 3 4" xfId="24417"/>
    <cellStyle name="_Gas Transportation Charges_2009GRC_120308 4" xfId="12735"/>
    <cellStyle name="_Gas Transportation Charges_2009GRC_120308 4 2" xfId="12736"/>
    <cellStyle name="_Gas Transportation Charges_2009GRC_120308 4 2 2" xfId="24418"/>
    <cellStyle name="_Gas Transportation Charges_2009GRC_120308 4 3" xfId="24419"/>
    <cellStyle name="_Gas Transportation Charges_2009GRC_120308 5" xfId="24420"/>
    <cellStyle name="_Gas Transportation Charges_2009GRC_120308 5 2" xfId="24421"/>
    <cellStyle name="_Gas Transportation Charges_2009GRC_120308 5 2 2" xfId="24422"/>
    <cellStyle name="_Gas Transportation Charges_2009GRC_120308 5 3" xfId="24423"/>
    <cellStyle name="_Gas Transportation Charges_2009GRC_120308 6" xfId="24424"/>
    <cellStyle name="_Gas Transportation Charges_2009GRC_120308 6 2" xfId="24425"/>
    <cellStyle name="_Gas Transportation Charges_2009GRC_120308 6 2 2" xfId="24426"/>
    <cellStyle name="_Gas Transportation Charges_2009GRC_120308 6 3" xfId="24427"/>
    <cellStyle name="_Gas Transportation Charges_2009GRC_120308 7" xfId="24428"/>
    <cellStyle name="_Gas Transportation Charges_2009GRC_120308 7 2" xfId="24429"/>
    <cellStyle name="_Gas Transportation Charges_2009GRC_120308 7 2 2" xfId="24430"/>
    <cellStyle name="_Gas Transportation Charges_2009GRC_120308 7 3" xfId="24431"/>
    <cellStyle name="_Gas Transportation Charges_2009GRC_120308 8" xfId="24432"/>
    <cellStyle name="_Gas Transportation Charges_2009GRC_120308_4 31E Reg Asset  Liab and EXH D" xfId="12737"/>
    <cellStyle name="_Gas Transportation Charges_2009GRC_120308_4 31E Reg Asset  Liab and EXH D _ Aug 10 Filing (2)" xfId="12738"/>
    <cellStyle name="_Gas Transportation Charges_2009GRC_120308_4 31E Reg Asset  Liab and EXH D _ Aug 10 Filing (2) 2" xfId="24433"/>
    <cellStyle name="_Gas Transportation Charges_2009GRC_120308_4 31E Reg Asset  Liab and EXH D _ Aug 10 Filing (2) 2 2" xfId="24434"/>
    <cellStyle name="_Gas Transportation Charges_2009GRC_120308_4 31E Reg Asset  Liab and EXH D _ Aug 10 Filing (2) 3" xfId="24435"/>
    <cellStyle name="_Gas Transportation Charges_2009GRC_120308_4 31E Reg Asset  Liab and EXH D 10" xfId="24436"/>
    <cellStyle name="_Gas Transportation Charges_2009GRC_120308_4 31E Reg Asset  Liab and EXH D 10 2" xfId="24437"/>
    <cellStyle name="_Gas Transportation Charges_2009GRC_120308_4 31E Reg Asset  Liab and EXH D 11" xfId="24438"/>
    <cellStyle name="_Gas Transportation Charges_2009GRC_120308_4 31E Reg Asset  Liab and EXH D 11 2" xfId="24439"/>
    <cellStyle name="_Gas Transportation Charges_2009GRC_120308_4 31E Reg Asset  Liab and EXH D 12" xfId="24440"/>
    <cellStyle name="_Gas Transportation Charges_2009GRC_120308_4 31E Reg Asset  Liab and EXH D 12 2" xfId="24441"/>
    <cellStyle name="_Gas Transportation Charges_2009GRC_120308_4 31E Reg Asset  Liab and EXH D 13" xfId="24442"/>
    <cellStyle name="_Gas Transportation Charges_2009GRC_120308_4 31E Reg Asset  Liab and EXH D 13 2" xfId="24443"/>
    <cellStyle name="_Gas Transportation Charges_2009GRC_120308_4 31E Reg Asset  Liab and EXH D 14" xfId="24444"/>
    <cellStyle name="_Gas Transportation Charges_2009GRC_120308_4 31E Reg Asset  Liab and EXH D 14 2" xfId="24445"/>
    <cellStyle name="_Gas Transportation Charges_2009GRC_120308_4 31E Reg Asset  Liab and EXH D 15" xfId="24446"/>
    <cellStyle name="_Gas Transportation Charges_2009GRC_120308_4 31E Reg Asset  Liab and EXH D 15 2" xfId="24447"/>
    <cellStyle name="_Gas Transportation Charges_2009GRC_120308_4 31E Reg Asset  Liab and EXH D 16" xfId="24448"/>
    <cellStyle name="_Gas Transportation Charges_2009GRC_120308_4 31E Reg Asset  Liab and EXH D 16 2" xfId="24449"/>
    <cellStyle name="_Gas Transportation Charges_2009GRC_120308_4 31E Reg Asset  Liab and EXH D 17" xfId="24450"/>
    <cellStyle name="_Gas Transportation Charges_2009GRC_120308_4 31E Reg Asset  Liab and EXH D 17 2" xfId="24451"/>
    <cellStyle name="_Gas Transportation Charges_2009GRC_120308_4 31E Reg Asset  Liab and EXH D 18" xfId="24452"/>
    <cellStyle name="_Gas Transportation Charges_2009GRC_120308_4 31E Reg Asset  Liab and EXH D 18 2" xfId="24453"/>
    <cellStyle name="_Gas Transportation Charges_2009GRC_120308_4 31E Reg Asset  Liab and EXH D 19" xfId="24454"/>
    <cellStyle name="_Gas Transportation Charges_2009GRC_120308_4 31E Reg Asset  Liab and EXH D 19 2" xfId="24455"/>
    <cellStyle name="_Gas Transportation Charges_2009GRC_120308_4 31E Reg Asset  Liab and EXH D 2" xfId="24456"/>
    <cellStyle name="_Gas Transportation Charges_2009GRC_120308_4 31E Reg Asset  Liab and EXH D 2 2" xfId="24457"/>
    <cellStyle name="_Gas Transportation Charges_2009GRC_120308_4 31E Reg Asset  Liab and EXH D 20" xfId="24458"/>
    <cellStyle name="_Gas Transportation Charges_2009GRC_120308_4 31E Reg Asset  Liab and EXH D 20 2" xfId="24459"/>
    <cellStyle name="_Gas Transportation Charges_2009GRC_120308_4 31E Reg Asset  Liab and EXH D 21" xfId="24460"/>
    <cellStyle name="_Gas Transportation Charges_2009GRC_120308_4 31E Reg Asset  Liab and EXH D 21 2" xfId="24461"/>
    <cellStyle name="_Gas Transportation Charges_2009GRC_120308_4 31E Reg Asset  Liab and EXH D 22" xfId="24462"/>
    <cellStyle name="_Gas Transportation Charges_2009GRC_120308_4 31E Reg Asset  Liab and EXH D 22 2" xfId="24463"/>
    <cellStyle name="_Gas Transportation Charges_2009GRC_120308_4 31E Reg Asset  Liab and EXH D 23" xfId="24464"/>
    <cellStyle name="_Gas Transportation Charges_2009GRC_120308_4 31E Reg Asset  Liab and EXH D 23 2" xfId="24465"/>
    <cellStyle name="_Gas Transportation Charges_2009GRC_120308_4 31E Reg Asset  Liab and EXH D 24" xfId="24466"/>
    <cellStyle name="_Gas Transportation Charges_2009GRC_120308_4 31E Reg Asset  Liab and EXH D 24 2" xfId="24467"/>
    <cellStyle name="_Gas Transportation Charges_2009GRC_120308_4 31E Reg Asset  Liab and EXH D 25" xfId="24468"/>
    <cellStyle name="_Gas Transportation Charges_2009GRC_120308_4 31E Reg Asset  Liab and EXH D 25 2" xfId="24469"/>
    <cellStyle name="_Gas Transportation Charges_2009GRC_120308_4 31E Reg Asset  Liab and EXH D 26" xfId="24470"/>
    <cellStyle name="_Gas Transportation Charges_2009GRC_120308_4 31E Reg Asset  Liab and EXH D 26 2" xfId="24471"/>
    <cellStyle name="_Gas Transportation Charges_2009GRC_120308_4 31E Reg Asset  Liab and EXH D 27" xfId="24472"/>
    <cellStyle name="_Gas Transportation Charges_2009GRC_120308_4 31E Reg Asset  Liab and EXH D 27 2" xfId="24473"/>
    <cellStyle name="_Gas Transportation Charges_2009GRC_120308_4 31E Reg Asset  Liab and EXH D 28" xfId="24474"/>
    <cellStyle name="_Gas Transportation Charges_2009GRC_120308_4 31E Reg Asset  Liab and EXH D 28 2" xfId="24475"/>
    <cellStyle name="_Gas Transportation Charges_2009GRC_120308_4 31E Reg Asset  Liab and EXH D 29" xfId="24476"/>
    <cellStyle name="_Gas Transportation Charges_2009GRC_120308_4 31E Reg Asset  Liab and EXH D 29 2" xfId="24477"/>
    <cellStyle name="_Gas Transportation Charges_2009GRC_120308_4 31E Reg Asset  Liab and EXH D 3" xfId="24478"/>
    <cellStyle name="_Gas Transportation Charges_2009GRC_120308_4 31E Reg Asset  Liab and EXH D 3 2" xfId="24479"/>
    <cellStyle name="_Gas Transportation Charges_2009GRC_120308_4 31E Reg Asset  Liab and EXH D 30" xfId="24480"/>
    <cellStyle name="_Gas Transportation Charges_2009GRC_120308_4 31E Reg Asset  Liab and EXH D 30 2" xfId="24481"/>
    <cellStyle name="_Gas Transportation Charges_2009GRC_120308_4 31E Reg Asset  Liab and EXH D 31" xfId="24482"/>
    <cellStyle name="_Gas Transportation Charges_2009GRC_120308_4 31E Reg Asset  Liab and EXH D 32" xfId="24483"/>
    <cellStyle name="_Gas Transportation Charges_2009GRC_120308_4 31E Reg Asset  Liab and EXH D 33" xfId="24484"/>
    <cellStyle name="_Gas Transportation Charges_2009GRC_120308_4 31E Reg Asset  Liab and EXH D 34" xfId="24485"/>
    <cellStyle name="_Gas Transportation Charges_2009GRC_120308_4 31E Reg Asset  Liab and EXH D 35" xfId="24486"/>
    <cellStyle name="_Gas Transportation Charges_2009GRC_120308_4 31E Reg Asset  Liab and EXH D 36" xfId="24487"/>
    <cellStyle name="_Gas Transportation Charges_2009GRC_120308_4 31E Reg Asset  Liab and EXH D 4" xfId="24488"/>
    <cellStyle name="_Gas Transportation Charges_2009GRC_120308_4 31E Reg Asset  Liab and EXH D 4 2" xfId="24489"/>
    <cellStyle name="_Gas Transportation Charges_2009GRC_120308_4 31E Reg Asset  Liab and EXH D 5" xfId="24490"/>
    <cellStyle name="_Gas Transportation Charges_2009GRC_120308_4 31E Reg Asset  Liab and EXH D 5 2" xfId="24491"/>
    <cellStyle name="_Gas Transportation Charges_2009GRC_120308_4 31E Reg Asset  Liab and EXH D 6" xfId="24492"/>
    <cellStyle name="_Gas Transportation Charges_2009GRC_120308_4 31E Reg Asset  Liab and EXH D 6 2" xfId="24493"/>
    <cellStyle name="_Gas Transportation Charges_2009GRC_120308_4 31E Reg Asset  Liab and EXH D 7" xfId="24494"/>
    <cellStyle name="_Gas Transportation Charges_2009GRC_120308_4 31E Reg Asset  Liab and EXH D 7 2" xfId="24495"/>
    <cellStyle name="_Gas Transportation Charges_2009GRC_120308_4 31E Reg Asset  Liab and EXH D 8" xfId="24496"/>
    <cellStyle name="_Gas Transportation Charges_2009GRC_120308_4 31E Reg Asset  Liab and EXH D 8 2" xfId="24497"/>
    <cellStyle name="_Gas Transportation Charges_2009GRC_120308_4 31E Reg Asset  Liab and EXH D 9" xfId="24498"/>
    <cellStyle name="_Gas Transportation Charges_2009GRC_120308_4 31E Reg Asset  Liab and EXH D 9 2" xfId="24499"/>
    <cellStyle name="_Gas Transportation Charges_2009GRC_120308_Chelan PUD Power Costs (8-10)" xfId="12739"/>
    <cellStyle name="_Gas Transportation Charges_2009GRC_120308_Chelan PUD Power Costs (8-10) 2" xfId="24500"/>
    <cellStyle name="_Gas Transportation Charges_2009GRC_120308_compare wind integration" xfId="24501"/>
    <cellStyle name="_Gas Transportation Charges_2009GRC_120308_DEM-WP(C) Chelan Power Costs" xfId="12740"/>
    <cellStyle name="_Gas Transportation Charges_2009GRC_120308_DEM-WP(C) Chelan Power Costs 2" xfId="24502"/>
    <cellStyle name="_Gas Transportation Charges_2009GRC_120308_DEM-WP(C) Chelan Power Costs 2 2" xfId="24503"/>
    <cellStyle name="_Gas Transportation Charges_2009GRC_120308_DEM-WP(C) Chelan Power Costs 3" xfId="24504"/>
    <cellStyle name="_Gas Transportation Charges_2009GRC_120308_DEM-WP(C) Costs Not In AURORA 2010GRC As Filed" xfId="1590"/>
    <cellStyle name="_Gas Transportation Charges_2009GRC_120308_DEM-WP(C) Costs Not In AURORA 2010GRC As Filed 2" xfId="4959"/>
    <cellStyle name="_Gas Transportation Charges_2009GRC_120308_DEM-WP(C) Costs Not In AURORA 2010GRC As Filed 2 2" xfId="24505"/>
    <cellStyle name="_Gas Transportation Charges_2009GRC_120308_DEM-WP(C) Costs Not In AURORA 2010GRC As Filed 2 2 2" xfId="24506"/>
    <cellStyle name="_Gas Transportation Charges_2009GRC_120308_DEM-WP(C) Costs Not In AURORA 2010GRC As Filed 3" xfId="12741"/>
    <cellStyle name="_Gas Transportation Charges_2009GRC_120308_DEM-WP(C) Costs Not In AURORA 2010GRC As Filed 3 2" xfId="24507"/>
    <cellStyle name="_Gas Transportation Charges_2009GRC_120308_DEM-WP(C) Costs Not In AURORA 2010GRC As Filed 3 3" xfId="24508"/>
    <cellStyle name="_Gas Transportation Charges_2009GRC_120308_DEM-WP(C) Costs Not In AURORA 2010GRC As Filed 4" xfId="24509"/>
    <cellStyle name="_Gas Transportation Charges_2009GRC_120308_DEM-WP(C) Costs Not In AURORA 2010GRC As Filed 4 2" xfId="24510"/>
    <cellStyle name="_Gas Transportation Charges_2009GRC_120308_DEM-WP(C) Costs Not In AURORA 2010GRC As Filed 5" xfId="24511"/>
    <cellStyle name="_Gas Transportation Charges_2009GRC_120308_DEM-WP(C) Costs Not In AURORA 2010GRC As Filed 5 2" xfId="24512"/>
    <cellStyle name="_Gas Transportation Charges_2009GRC_120308_DEM-WP(C) Costs Not In AURORA 2010GRC As Filed 6" xfId="24513"/>
    <cellStyle name="_Gas Transportation Charges_2009GRC_120308_DEM-WP(C) Costs Not In AURORA 2010GRC As Filed 6 2" xfId="24514"/>
    <cellStyle name="_Gas Transportation Charges_2009GRC_120308_DEM-WP(C) Costs Not In AURORA 2010GRC As Filed_DEM-WP(C) ENERG10C--ctn Mid-C_042010 2010GRC" xfId="12742"/>
    <cellStyle name="_Gas Transportation Charges_2009GRC_120308_DEM-WP(C) Costs Not In AURORA 2010GRC As Filed_DEM-WP(C) ENERG10C--ctn Mid-C_042010 2010GRC 2" xfId="41393"/>
    <cellStyle name="_Gas Transportation Charges_2009GRC_120308_DEM-WP(C) ENERG10C--ctn Mid-C_042010 2010GRC" xfId="12743"/>
    <cellStyle name="_Gas Transportation Charges_2009GRC_120308_DEM-WP(C) ENERG10C--ctn Mid-C_042010 2010GRC 2" xfId="41394"/>
    <cellStyle name="_Gas Transportation Charges_2009GRC_120308_DEM-WP(C) Gas Transport 2010GRC" xfId="12744"/>
    <cellStyle name="_Gas Transportation Charges_2009GRC_120308_DEM-WP(C) Gas Transport 2010GRC 2" xfId="24515"/>
    <cellStyle name="_Gas Transportation Charges_2009GRC_120308_DEM-WP(C) Gas Transport 2010GRC 2 2" xfId="24516"/>
    <cellStyle name="_Gas Transportation Charges_2009GRC_120308_DEM-WP(C) Gas Transport 2010GRC 3" xfId="24517"/>
    <cellStyle name="_Gas Transportation Charges_2009GRC_120308_NIM Summary" xfId="1591"/>
    <cellStyle name="_Gas Transportation Charges_2009GRC_120308_NIM Summary 09GRC" xfId="1592"/>
    <cellStyle name="_Gas Transportation Charges_2009GRC_120308_NIM Summary 09GRC 2" xfId="1593"/>
    <cellStyle name="_Gas Transportation Charges_2009GRC_120308_NIM Summary 09GRC 2 2" xfId="4962"/>
    <cellStyle name="_Gas Transportation Charges_2009GRC_120308_NIM Summary 09GRC 2 2 2" xfId="24518"/>
    <cellStyle name="_Gas Transportation Charges_2009GRC_120308_NIM Summary 09GRC 2 3" xfId="24519"/>
    <cellStyle name="_Gas Transportation Charges_2009GRC_120308_NIM Summary 09GRC 3" xfId="4961"/>
    <cellStyle name="_Gas Transportation Charges_2009GRC_120308_NIM Summary 09GRC 3 2" xfId="24520"/>
    <cellStyle name="_Gas Transportation Charges_2009GRC_120308_NIM Summary 09GRC 4" xfId="24521"/>
    <cellStyle name="_Gas Transportation Charges_2009GRC_120308_NIM Summary 09GRC_DEM-WP(C) ENERG10C--ctn Mid-C_042010 2010GRC" xfId="12745"/>
    <cellStyle name="_Gas Transportation Charges_2009GRC_120308_NIM Summary 09GRC_DEM-WP(C) ENERG10C--ctn Mid-C_042010 2010GRC 2" xfId="41395"/>
    <cellStyle name="_Gas Transportation Charges_2009GRC_120308_NIM Summary 10" xfId="4960"/>
    <cellStyle name="_Gas Transportation Charges_2009GRC_120308_NIM Summary 10 2" xfId="24522"/>
    <cellStyle name="_Gas Transportation Charges_2009GRC_120308_NIM Summary 11" xfId="6243"/>
    <cellStyle name="_Gas Transportation Charges_2009GRC_120308_NIM Summary 11 2" xfId="24523"/>
    <cellStyle name="_Gas Transportation Charges_2009GRC_120308_NIM Summary 12" xfId="6244"/>
    <cellStyle name="_Gas Transportation Charges_2009GRC_120308_NIM Summary 12 2" xfId="24524"/>
    <cellStyle name="_Gas Transportation Charges_2009GRC_120308_NIM Summary 13" xfId="6242"/>
    <cellStyle name="_Gas Transportation Charges_2009GRC_120308_NIM Summary 13 2" xfId="24525"/>
    <cellStyle name="_Gas Transportation Charges_2009GRC_120308_NIM Summary 14" xfId="6321"/>
    <cellStyle name="_Gas Transportation Charges_2009GRC_120308_NIM Summary 14 2" xfId="24526"/>
    <cellStyle name="_Gas Transportation Charges_2009GRC_120308_NIM Summary 15" xfId="15098"/>
    <cellStyle name="_Gas Transportation Charges_2009GRC_120308_NIM Summary 15 2" xfId="24527"/>
    <cellStyle name="_Gas Transportation Charges_2009GRC_120308_NIM Summary 16" xfId="15099"/>
    <cellStyle name="_Gas Transportation Charges_2009GRC_120308_NIM Summary 16 2" xfId="24528"/>
    <cellStyle name="_Gas Transportation Charges_2009GRC_120308_NIM Summary 17" xfId="15100"/>
    <cellStyle name="_Gas Transportation Charges_2009GRC_120308_NIM Summary 17 2" xfId="24529"/>
    <cellStyle name="_Gas Transportation Charges_2009GRC_120308_NIM Summary 18" xfId="15101"/>
    <cellStyle name="_Gas Transportation Charges_2009GRC_120308_NIM Summary 18 2" xfId="24530"/>
    <cellStyle name="_Gas Transportation Charges_2009GRC_120308_NIM Summary 19" xfId="15102"/>
    <cellStyle name="_Gas Transportation Charges_2009GRC_120308_NIM Summary 19 2" xfId="24531"/>
    <cellStyle name="_Gas Transportation Charges_2009GRC_120308_NIM Summary 2" xfId="1594"/>
    <cellStyle name="_Gas Transportation Charges_2009GRC_120308_NIM Summary 2 2" xfId="4963"/>
    <cellStyle name="_Gas Transportation Charges_2009GRC_120308_NIM Summary 2 2 2" xfId="24532"/>
    <cellStyle name="_Gas Transportation Charges_2009GRC_120308_NIM Summary 2 3" xfId="24533"/>
    <cellStyle name="_Gas Transportation Charges_2009GRC_120308_NIM Summary 20" xfId="15103"/>
    <cellStyle name="_Gas Transportation Charges_2009GRC_120308_NIM Summary 20 2" xfId="24534"/>
    <cellStyle name="_Gas Transportation Charges_2009GRC_120308_NIM Summary 21" xfId="15104"/>
    <cellStyle name="_Gas Transportation Charges_2009GRC_120308_NIM Summary 21 2" xfId="24535"/>
    <cellStyle name="_Gas Transportation Charges_2009GRC_120308_NIM Summary 22" xfId="15105"/>
    <cellStyle name="_Gas Transportation Charges_2009GRC_120308_NIM Summary 22 2" xfId="24536"/>
    <cellStyle name="_Gas Transportation Charges_2009GRC_120308_NIM Summary 23" xfId="15106"/>
    <cellStyle name="_Gas Transportation Charges_2009GRC_120308_NIM Summary 23 2" xfId="24537"/>
    <cellStyle name="_Gas Transportation Charges_2009GRC_120308_NIM Summary 24" xfId="15107"/>
    <cellStyle name="_Gas Transportation Charges_2009GRC_120308_NIM Summary 24 2" xfId="24538"/>
    <cellStyle name="_Gas Transportation Charges_2009GRC_120308_NIM Summary 25" xfId="15108"/>
    <cellStyle name="_Gas Transportation Charges_2009GRC_120308_NIM Summary 25 2" xfId="24539"/>
    <cellStyle name="_Gas Transportation Charges_2009GRC_120308_NIM Summary 26" xfId="15109"/>
    <cellStyle name="_Gas Transportation Charges_2009GRC_120308_NIM Summary 26 2" xfId="24540"/>
    <cellStyle name="_Gas Transportation Charges_2009GRC_120308_NIM Summary 27" xfId="15110"/>
    <cellStyle name="_Gas Transportation Charges_2009GRC_120308_NIM Summary 27 2" xfId="24541"/>
    <cellStyle name="_Gas Transportation Charges_2009GRC_120308_NIM Summary 28" xfId="15111"/>
    <cellStyle name="_Gas Transportation Charges_2009GRC_120308_NIM Summary 28 2" xfId="24542"/>
    <cellStyle name="_Gas Transportation Charges_2009GRC_120308_NIM Summary 29" xfId="15112"/>
    <cellStyle name="_Gas Transportation Charges_2009GRC_120308_NIM Summary 29 2" xfId="24543"/>
    <cellStyle name="_Gas Transportation Charges_2009GRC_120308_NIM Summary 3" xfId="1595"/>
    <cellStyle name="_Gas Transportation Charges_2009GRC_120308_NIM Summary 3 2" xfId="4964"/>
    <cellStyle name="_Gas Transportation Charges_2009GRC_120308_NIM Summary 30" xfId="15113"/>
    <cellStyle name="_Gas Transportation Charges_2009GRC_120308_NIM Summary 30 2" xfId="24544"/>
    <cellStyle name="_Gas Transportation Charges_2009GRC_120308_NIM Summary 31" xfId="15114"/>
    <cellStyle name="_Gas Transportation Charges_2009GRC_120308_NIM Summary 31 2" xfId="24545"/>
    <cellStyle name="_Gas Transportation Charges_2009GRC_120308_NIM Summary 32" xfId="15115"/>
    <cellStyle name="_Gas Transportation Charges_2009GRC_120308_NIM Summary 32 2" xfId="24546"/>
    <cellStyle name="_Gas Transportation Charges_2009GRC_120308_NIM Summary 33" xfId="15116"/>
    <cellStyle name="_Gas Transportation Charges_2009GRC_120308_NIM Summary 33 2" xfId="24547"/>
    <cellStyle name="_Gas Transportation Charges_2009GRC_120308_NIM Summary 34" xfId="15117"/>
    <cellStyle name="_Gas Transportation Charges_2009GRC_120308_NIM Summary 34 2" xfId="24548"/>
    <cellStyle name="_Gas Transportation Charges_2009GRC_120308_NIM Summary 35" xfId="15118"/>
    <cellStyle name="_Gas Transportation Charges_2009GRC_120308_NIM Summary 35 2" xfId="24549"/>
    <cellStyle name="_Gas Transportation Charges_2009GRC_120308_NIM Summary 36" xfId="15119"/>
    <cellStyle name="_Gas Transportation Charges_2009GRC_120308_NIM Summary 36 2" xfId="24550"/>
    <cellStyle name="_Gas Transportation Charges_2009GRC_120308_NIM Summary 37" xfId="15120"/>
    <cellStyle name="_Gas Transportation Charges_2009GRC_120308_NIM Summary 37 2" xfId="24551"/>
    <cellStyle name="_Gas Transportation Charges_2009GRC_120308_NIM Summary 38" xfId="15121"/>
    <cellStyle name="_Gas Transportation Charges_2009GRC_120308_NIM Summary 38 2" xfId="41396"/>
    <cellStyle name="_Gas Transportation Charges_2009GRC_120308_NIM Summary 39" xfId="15122"/>
    <cellStyle name="_Gas Transportation Charges_2009GRC_120308_NIM Summary 39 2" xfId="41397"/>
    <cellStyle name="_Gas Transportation Charges_2009GRC_120308_NIM Summary 4" xfId="1596"/>
    <cellStyle name="_Gas Transportation Charges_2009GRC_120308_NIM Summary 4 2" xfId="4965"/>
    <cellStyle name="_Gas Transportation Charges_2009GRC_120308_NIM Summary 40" xfId="15123"/>
    <cellStyle name="_Gas Transportation Charges_2009GRC_120308_NIM Summary 40 2" xfId="41398"/>
    <cellStyle name="_Gas Transportation Charges_2009GRC_120308_NIM Summary 41" xfId="15124"/>
    <cellStyle name="_Gas Transportation Charges_2009GRC_120308_NIM Summary 41 2" xfId="41399"/>
    <cellStyle name="_Gas Transportation Charges_2009GRC_120308_NIM Summary 42" xfId="16729"/>
    <cellStyle name="_Gas Transportation Charges_2009GRC_120308_NIM Summary 42 2" xfId="41400"/>
    <cellStyle name="_Gas Transportation Charges_2009GRC_120308_NIM Summary 43" xfId="22322"/>
    <cellStyle name="_Gas Transportation Charges_2009GRC_120308_NIM Summary 43 2" xfId="41401"/>
    <cellStyle name="_Gas Transportation Charges_2009GRC_120308_NIM Summary 44" xfId="24552"/>
    <cellStyle name="_Gas Transportation Charges_2009GRC_120308_NIM Summary 44 2" xfId="41402"/>
    <cellStyle name="_Gas Transportation Charges_2009GRC_120308_NIM Summary 45" xfId="24553"/>
    <cellStyle name="_Gas Transportation Charges_2009GRC_120308_NIM Summary 45 2" xfId="41403"/>
    <cellStyle name="_Gas Transportation Charges_2009GRC_120308_NIM Summary 46" xfId="24554"/>
    <cellStyle name="_Gas Transportation Charges_2009GRC_120308_NIM Summary 46 2" xfId="41404"/>
    <cellStyle name="_Gas Transportation Charges_2009GRC_120308_NIM Summary 47" xfId="24555"/>
    <cellStyle name="_Gas Transportation Charges_2009GRC_120308_NIM Summary 47 2" xfId="41405"/>
    <cellStyle name="_Gas Transportation Charges_2009GRC_120308_NIM Summary 48" xfId="24556"/>
    <cellStyle name="_Gas Transportation Charges_2009GRC_120308_NIM Summary 49" xfId="24557"/>
    <cellStyle name="_Gas Transportation Charges_2009GRC_120308_NIM Summary 5" xfId="1597"/>
    <cellStyle name="_Gas Transportation Charges_2009GRC_120308_NIM Summary 5 2" xfId="4966"/>
    <cellStyle name="_Gas Transportation Charges_2009GRC_120308_NIM Summary 50" xfId="24558"/>
    <cellStyle name="_Gas Transportation Charges_2009GRC_120308_NIM Summary 51" xfId="41406"/>
    <cellStyle name="_Gas Transportation Charges_2009GRC_120308_NIM Summary 52" xfId="7407"/>
    <cellStyle name="_Gas Transportation Charges_2009GRC_120308_NIM Summary 6" xfId="1598"/>
    <cellStyle name="_Gas Transportation Charges_2009GRC_120308_NIM Summary 6 2" xfId="4967"/>
    <cellStyle name="_Gas Transportation Charges_2009GRC_120308_NIM Summary 7" xfId="1599"/>
    <cellStyle name="_Gas Transportation Charges_2009GRC_120308_NIM Summary 7 2" xfId="4968"/>
    <cellStyle name="_Gas Transportation Charges_2009GRC_120308_NIM Summary 8" xfId="1600"/>
    <cellStyle name="_Gas Transportation Charges_2009GRC_120308_NIM Summary 8 2" xfId="4969"/>
    <cellStyle name="_Gas Transportation Charges_2009GRC_120308_NIM Summary 9" xfId="1601"/>
    <cellStyle name="_Gas Transportation Charges_2009GRC_120308_NIM Summary 9 2" xfId="4970"/>
    <cellStyle name="_Gas Transportation Charges_2009GRC_120308_NIM Summary_DEM-WP(C) ENERG10C--ctn Mid-C_042010 2010GRC" xfId="12746"/>
    <cellStyle name="_Gas Transportation Charges_2009GRC_120308_NIM Summary_DEM-WP(C) ENERG10C--ctn Mid-C_042010 2010GRC 2" xfId="41407"/>
    <cellStyle name="_Gas Transportation Charges_2009GRC_120308_NIM+O&amp;M" xfId="12747"/>
    <cellStyle name="_Gas Transportation Charges_2009GRC_120308_NIM+O&amp;M 2" xfId="12748"/>
    <cellStyle name="_Gas Transportation Charges_2009GRC_120308_NIM+O&amp;M 2 2" xfId="24559"/>
    <cellStyle name="_Gas Transportation Charges_2009GRC_120308_NIM+O&amp;M 2 2 2" xfId="24560"/>
    <cellStyle name="_Gas Transportation Charges_2009GRC_120308_NIM+O&amp;M 2 3" xfId="24561"/>
    <cellStyle name="_Gas Transportation Charges_2009GRC_120308_NIM+O&amp;M 3" xfId="24562"/>
    <cellStyle name="_Gas Transportation Charges_2009GRC_120308_NIM+O&amp;M 3 2" xfId="24563"/>
    <cellStyle name="_Gas Transportation Charges_2009GRC_120308_NIM+O&amp;M 4" xfId="24564"/>
    <cellStyle name="_Gas Transportation Charges_2009GRC_120308_NIM+O&amp;M Monthly" xfId="12749"/>
    <cellStyle name="_Gas Transportation Charges_2009GRC_120308_NIM+O&amp;M Monthly 2" xfId="12750"/>
    <cellStyle name="_Gas Transportation Charges_2009GRC_120308_NIM+O&amp;M Monthly 2 2" xfId="24565"/>
    <cellStyle name="_Gas Transportation Charges_2009GRC_120308_NIM+O&amp;M Monthly 2 2 2" xfId="24566"/>
    <cellStyle name="_Gas Transportation Charges_2009GRC_120308_NIM+O&amp;M Monthly 2 3" xfId="24567"/>
    <cellStyle name="_Gas Transportation Charges_2009GRC_120308_NIM+O&amp;M Monthly 3" xfId="24568"/>
    <cellStyle name="_Gas Transportation Charges_2009GRC_120308_NIM+O&amp;M Monthly 3 2" xfId="24569"/>
    <cellStyle name="_Gas Transportation Charges_2009GRC_120308_NIM+O&amp;M Monthly 4" xfId="24570"/>
    <cellStyle name="_Gas Transportation Charges_2009GRC_120308_PCA 9 -  Exhibit D April 2010 (3)" xfId="1602"/>
    <cellStyle name="_Gas Transportation Charges_2009GRC_120308_PCA 9 -  Exhibit D April 2010 (3) 2" xfId="1603"/>
    <cellStyle name="_Gas Transportation Charges_2009GRC_120308_PCA 9 -  Exhibit D April 2010 (3) 2 2" xfId="4972"/>
    <cellStyle name="_Gas Transportation Charges_2009GRC_120308_PCA 9 -  Exhibit D April 2010 (3) 2 2 2" xfId="24571"/>
    <cellStyle name="_Gas Transportation Charges_2009GRC_120308_PCA 9 -  Exhibit D April 2010 (3) 2 3" xfId="24572"/>
    <cellStyle name="_Gas Transportation Charges_2009GRC_120308_PCA 9 -  Exhibit D April 2010 (3) 3" xfId="4971"/>
    <cellStyle name="_Gas Transportation Charges_2009GRC_120308_PCA 9 -  Exhibit D April 2010 (3) 3 2" xfId="24573"/>
    <cellStyle name="_Gas Transportation Charges_2009GRC_120308_PCA 9 -  Exhibit D April 2010 (3) 4" xfId="24574"/>
    <cellStyle name="_Gas Transportation Charges_2009GRC_120308_PCA 9 -  Exhibit D April 2010 (3)_DEM-WP(C) ENERG10C--ctn Mid-C_042010 2010GRC" xfId="12751"/>
    <cellStyle name="_Gas Transportation Charges_2009GRC_120308_PCA 9 -  Exhibit D April 2010 (3)_DEM-WP(C) ENERG10C--ctn Mid-C_042010 2010GRC 2" xfId="41408"/>
    <cellStyle name="_Gas Transportation Charges_2009GRC_120308_Reconciliation" xfId="1604"/>
    <cellStyle name="_Gas Transportation Charges_2009GRC_120308_Reconciliation 2" xfId="4973"/>
    <cellStyle name="_Gas Transportation Charges_2009GRC_120308_Reconciliation 2 2" xfId="24575"/>
    <cellStyle name="_Gas Transportation Charges_2009GRC_120308_Reconciliation 2 2 2" xfId="24576"/>
    <cellStyle name="_Gas Transportation Charges_2009GRC_120308_Reconciliation 3" xfId="12752"/>
    <cellStyle name="_Gas Transportation Charges_2009GRC_120308_Reconciliation 3 2" xfId="24577"/>
    <cellStyle name="_Gas Transportation Charges_2009GRC_120308_Reconciliation 3 3" xfId="24578"/>
    <cellStyle name="_Gas Transportation Charges_2009GRC_120308_Reconciliation 4" xfId="24579"/>
    <cellStyle name="_Gas Transportation Charges_2009GRC_120308_Reconciliation 4 2" xfId="24580"/>
    <cellStyle name="_Gas Transportation Charges_2009GRC_120308_Reconciliation 5" xfId="24581"/>
    <cellStyle name="_Gas Transportation Charges_2009GRC_120308_Reconciliation 5 2" xfId="24582"/>
    <cellStyle name="_Gas Transportation Charges_2009GRC_120308_Reconciliation 6" xfId="24583"/>
    <cellStyle name="_Gas Transportation Charges_2009GRC_120308_Reconciliation 6 2" xfId="24584"/>
    <cellStyle name="_Gas Transportation Charges_2009GRC_120308_Reconciliation_DEM-WP(C) ENERG10C--ctn Mid-C_042010 2010GRC" xfId="12753"/>
    <cellStyle name="_Gas Transportation Charges_2009GRC_120308_Reconciliation_DEM-WP(C) ENERG10C--ctn Mid-C_042010 2010GRC 2" xfId="41409"/>
    <cellStyle name="_Gas Transportation Charges_2009GRC_120308_Wind Integration 10GRC" xfId="1605"/>
    <cellStyle name="_Gas Transportation Charges_2009GRC_120308_Wind Integration 10GRC 2" xfId="1606"/>
    <cellStyle name="_Gas Transportation Charges_2009GRC_120308_Wind Integration 10GRC 2 2" xfId="4975"/>
    <cellStyle name="_Gas Transportation Charges_2009GRC_120308_Wind Integration 10GRC 2 2 2" xfId="24585"/>
    <cellStyle name="_Gas Transportation Charges_2009GRC_120308_Wind Integration 10GRC 2 3" xfId="24586"/>
    <cellStyle name="_Gas Transportation Charges_2009GRC_120308_Wind Integration 10GRC 3" xfId="4974"/>
    <cellStyle name="_Gas Transportation Charges_2009GRC_120308_Wind Integration 10GRC 3 2" xfId="24587"/>
    <cellStyle name="_Gas Transportation Charges_2009GRC_120308_Wind Integration 10GRC 4" xfId="24588"/>
    <cellStyle name="_Gas Transportation Charges_2009GRC_120308_Wind Integration 10GRC_DEM-WP(C) ENERG10C--ctn Mid-C_042010 2010GRC" xfId="12754"/>
    <cellStyle name="_Gas Transportation Charges_2009GRC_120308_Wind Integration 10GRC_DEM-WP(C) ENERG10C--ctn Mid-C_042010 2010GRC 2" xfId="41410"/>
    <cellStyle name="_x0013__LSRWEP LGIA like Acctg Petition Aug 2010" xfId="12755"/>
    <cellStyle name="_x0013__LSRWEP LGIA like Acctg Petition Aug 2010 2" xfId="24589"/>
    <cellStyle name="_x0013__LSRWEP LGIA like Acctg Petition Aug 2010 2 2" xfId="24590"/>
    <cellStyle name="_x0013__LSRWEP LGIA like Acctg Petition Aug 2010 3" xfId="24591"/>
    <cellStyle name="_Mid C 09GRC" xfId="12756"/>
    <cellStyle name="_Mid C 09GRC 2" xfId="24592"/>
    <cellStyle name="_Monthly Fixed Input" xfId="1607"/>
    <cellStyle name="_Monthly Fixed Input 2" xfId="1608"/>
    <cellStyle name="_Monthly Fixed Input 2 2" xfId="4977"/>
    <cellStyle name="_Monthly Fixed Input 2 2 2" xfId="24593"/>
    <cellStyle name="_Monthly Fixed Input 2 3" xfId="24594"/>
    <cellStyle name="_Monthly Fixed Input 3" xfId="4976"/>
    <cellStyle name="_Monthly Fixed Input 3 2" xfId="24595"/>
    <cellStyle name="_Monthly Fixed Input 3 2 2" xfId="24596"/>
    <cellStyle name="_Monthly Fixed Input 3 3" xfId="24597"/>
    <cellStyle name="_Monthly Fixed Input 3 4" xfId="24598"/>
    <cellStyle name="_Monthly Fixed Input 4" xfId="24599"/>
    <cellStyle name="_Monthly Fixed Input_DEM-WP(C) ENERG10C--ctn Mid-C_042010 2010GRC" xfId="12757"/>
    <cellStyle name="_Monthly Fixed Input_DEM-WP(C) ENERG10C--ctn Mid-C_042010 2010GRC 2" xfId="41411"/>
    <cellStyle name="_Monthly Fixed Input_NIM Summary" xfId="1609"/>
    <cellStyle name="_Monthly Fixed Input_NIM Summary 2" xfId="1610"/>
    <cellStyle name="_Monthly Fixed Input_NIM Summary 2 2" xfId="4979"/>
    <cellStyle name="_Monthly Fixed Input_NIM Summary 2 2 2" xfId="24600"/>
    <cellStyle name="_Monthly Fixed Input_NIM Summary 2 2 2 2" xfId="24601"/>
    <cellStyle name="_Monthly Fixed Input_NIM Summary 2 2 3" xfId="24602"/>
    <cellStyle name="_Monthly Fixed Input_NIM Summary 2 2 4" xfId="24603"/>
    <cellStyle name="_Monthly Fixed Input_NIM Summary 2 3" xfId="24604"/>
    <cellStyle name="_Monthly Fixed Input_NIM Summary 2 3 2" xfId="24605"/>
    <cellStyle name="_Monthly Fixed Input_NIM Summary 2 4" xfId="24606"/>
    <cellStyle name="_Monthly Fixed Input_NIM Summary 3" xfId="4978"/>
    <cellStyle name="_Monthly Fixed Input_NIM Summary 3 2" xfId="24607"/>
    <cellStyle name="_Monthly Fixed Input_NIM Summary 3 2 2" xfId="24608"/>
    <cellStyle name="_Monthly Fixed Input_NIM Summary 3 3" xfId="24609"/>
    <cellStyle name="_Monthly Fixed Input_NIM Summary 3 4" xfId="24610"/>
    <cellStyle name="_Monthly Fixed Input_NIM Summary 4" xfId="24611"/>
    <cellStyle name="_Monthly Fixed Input_NIM Summary 4 2" xfId="24612"/>
    <cellStyle name="_Monthly Fixed Input_NIM Summary 5" xfId="24613"/>
    <cellStyle name="_Monthly Fixed Input_NIM Summary_DEM-WP(C) ENERG10C--ctn Mid-C_042010 2010GRC" xfId="12758"/>
    <cellStyle name="_Monthly Fixed Input_NIM Summary_DEM-WP(C) ENERG10C--ctn Mid-C_042010 2010GRC 2" xfId="41412"/>
    <cellStyle name="_NIM 06 Base Case Current Trends" xfId="1611"/>
    <cellStyle name="_NIM 06 Base Case Current Trends 2" xfId="1612"/>
    <cellStyle name="_NIM 06 Base Case Current Trends 2 2" xfId="4981"/>
    <cellStyle name="_NIM 06 Base Case Current Trends 2 2 2" xfId="15125"/>
    <cellStyle name="_NIM 06 Base Case Current Trends 2 2 2 2" xfId="24614"/>
    <cellStyle name="_NIM 06 Base Case Current Trends 2 2 2 2 2" xfId="24615"/>
    <cellStyle name="_NIM 06 Base Case Current Trends 2 2 2 3" xfId="24616"/>
    <cellStyle name="_NIM 06 Base Case Current Trends 2 2 2 4" xfId="24617"/>
    <cellStyle name="_NIM 06 Base Case Current Trends 2 2 3" xfId="24618"/>
    <cellStyle name="_NIM 06 Base Case Current Trends 2 2 3 2" xfId="24619"/>
    <cellStyle name="_NIM 06 Base Case Current Trends 2 2 4" xfId="24620"/>
    <cellStyle name="_NIM 06 Base Case Current Trends 2 3" xfId="12759"/>
    <cellStyle name="_NIM 06 Base Case Current Trends 2 3 2" xfId="24621"/>
    <cellStyle name="_NIM 06 Base Case Current Trends 2 3 2 2" xfId="24622"/>
    <cellStyle name="_NIM 06 Base Case Current Trends 2 3 3" xfId="24623"/>
    <cellStyle name="_NIM 06 Base Case Current Trends 2 3 4" xfId="24624"/>
    <cellStyle name="_NIM 06 Base Case Current Trends 2 4" xfId="24625"/>
    <cellStyle name="_NIM 06 Base Case Current Trends 2 4 2" xfId="24626"/>
    <cellStyle name="_NIM 06 Base Case Current Trends 2 5" xfId="24627"/>
    <cellStyle name="_NIM 06 Base Case Current Trends 3" xfId="4980"/>
    <cellStyle name="_NIM 06 Base Case Current Trends 3 2" xfId="20981"/>
    <cellStyle name="_NIM 06 Base Case Current Trends 3 2 2" xfId="24628"/>
    <cellStyle name="_NIM 06 Base Case Current Trends 3 2 3" xfId="24629"/>
    <cellStyle name="_NIM 06 Base Case Current Trends 3 3" xfId="24630"/>
    <cellStyle name="_NIM 06 Base Case Current Trends 3 4" xfId="24631"/>
    <cellStyle name="_NIM 06 Base Case Current Trends 4" xfId="24632"/>
    <cellStyle name="_NIM 06 Base Case Current Trends 4 2" xfId="24633"/>
    <cellStyle name="_NIM 06 Base Case Current Trends 4 2 2" xfId="24634"/>
    <cellStyle name="_NIM 06 Base Case Current Trends 4 3" xfId="24635"/>
    <cellStyle name="_NIM 06 Base Case Current Trends 5" xfId="24636"/>
    <cellStyle name="_NIM 06 Base Case Current Trends 5 2" xfId="24637"/>
    <cellStyle name="_NIM 06 Base Case Current Trends 5 3" xfId="24638"/>
    <cellStyle name="_NIM 06 Base Case Current Trends 6" xfId="24639"/>
    <cellStyle name="_NIM 06 Base Case Current Trends 6 2" xfId="24640"/>
    <cellStyle name="_NIM 06 Base Case Current Trends_Adj Bench DR 3 for Initial Briefs (Electric)" xfId="1613"/>
    <cellStyle name="_NIM 06 Base Case Current Trends_Adj Bench DR 3 for Initial Briefs (Electric) 2" xfId="1614"/>
    <cellStyle name="_NIM 06 Base Case Current Trends_Adj Bench DR 3 for Initial Briefs (Electric) 2 2" xfId="4983"/>
    <cellStyle name="_NIM 06 Base Case Current Trends_Adj Bench DR 3 for Initial Briefs (Electric) 2 2 2" xfId="20982"/>
    <cellStyle name="_NIM 06 Base Case Current Trends_Adj Bench DR 3 for Initial Briefs (Electric) 2 2 2 2" xfId="24641"/>
    <cellStyle name="_NIM 06 Base Case Current Trends_Adj Bench DR 3 for Initial Briefs (Electric) 2 2 3" xfId="24642"/>
    <cellStyle name="_NIM 06 Base Case Current Trends_Adj Bench DR 3 for Initial Briefs (Electric) 2 2 4" xfId="24643"/>
    <cellStyle name="_NIM 06 Base Case Current Trends_Adj Bench DR 3 for Initial Briefs (Electric) 2 3" xfId="16732"/>
    <cellStyle name="_NIM 06 Base Case Current Trends_Adj Bench DR 3 for Initial Briefs (Electric) 2 3 2" xfId="24644"/>
    <cellStyle name="_NIM 06 Base Case Current Trends_Adj Bench DR 3 for Initial Briefs (Electric) 2 4" xfId="24645"/>
    <cellStyle name="_NIM 06 Base Case Current Trends_Adj Bench DR 3 for Initial Briefs (Electric) 3" xfId="4982"/>
    <cellStyle name="_NIM 06 Base Case Current Trends_Adj Bench DR 3 for Initial Briefs (Electric) 3 2" xfId="20983"/>
    <cellStyle name="_NIM 06 Base Case Current Trends_Adj Bench DR 3 for Initial Briefs (Electric) 3 2 2" xfId="24646"/>
    <cellStyle name="_NIM 06 Base Case Current Trends_Adj Bench DR 3 for Initial Briefs (Electric) 3 3" xfId="24647"/>
    <cellStyle name="_NIM 06 Base Case Current Trends_Adj Bench DR 3 for Initial Briefs (Electric) 3 4" xfId="24648"/>
    <cellStyle name="_NIM 06 Base Case Current Trends_Adj Bench DR 3 for Initial Briefs (Electric) 4" xfId="16731"/>
    <cellStyle name="_NIM 06 Base Case Current Trends_Adj Bench DR 3 for Initial Briefs (Electric) 4 2" xfId="24649"/>
    <cellStyle name="_NIM 06 Base Case Current Trends_Adj Bench DR 3 for Initial Briefs (Electric) 5" xfId="24650"/>
    <cellStyle name="_NIM 06 Base Case Current Trends_Adj Bench DR 3 for Initial Briefs (Electric)_DEM-WP(C) ENERG10C--ctn Mid-C_042010 2010GRC" xfId="12760"/>
    <cellStyle name="_NIM 06 Base Case Current Trends_Adj Bench DR 3 for Initial Briefs (Electric)_DEM-WP(C) ENERG10C--ctn Mid-C_042010 2010GRC 2" xfId="41413"/>
    <cellStyle name="_NIM 06 Base Case Current Trends_Book1" xfId="14272"/>
    <cellStyle name="_NIM 06 Base Case Current Trends_Book1 2" xfId="41414"/>
    <cellStyle name="_NIM 06 Base Case Current Trends_Book2" xfId="1615"/>
    <cellStyle name="_NIM 06 Base Case Current Trends_Book2 2" xfId="1616"/>
    <cellStyle name="_NIM 06 Base Case Current Trends_Book2 2 2" xfId="4985"/>
    <cellStyle name="_NIM 06 Base Case Current Trends_Book2 2 2 2" xfId="20984"/>
    <cellStyle name="_NIM 06 Base Case Current Trends_Book2 2 2 2 2" xfId="24651"/>
    <cellStyle name="_NIM 06 Base Case Current Trends_Book2 2 2 3" xfId="24652"/>
    <cellStyle name="_NIM 06 Base Case Current Trends_Book2 2 2 4" xfId="24653"/>
    <cellStyle name="_NIM 06 Base Case Current Trends_Book2 2 3" xfId="16734"/>
    <cellStyle name="_NIM 06 Base Case Current Trends_Book2 2 3 2" xfId="24654"/>
    <cellStyle name="_NIM 06 Base Case Current Trends_Book2 2 4" xfId="24655"/>
    <cellStyle name="_NIM 06 Base Case Current Trends_Book2 3" xfId="4984"/>
    <cellStyle name="_NIM 06 Base Case Current Trends_Book2 3 2" xfId="20985"/>
    <cellStyle name="_NIM 06 Base Case Current Trends_Book2 3 2 2" xfId="24656"/>
    <cellStyle name="_NIM 06 Base Case Current Trends_Book2 3 3" xfId="24657"/>
    <cellStyle name="_NIM 06 Base Case Current Trends_Book2 3 4" xfId="24658"/>
    <cellStyle name="_NIM 06 Base Case Current Trends_Book2 4" xfId="16733"/>
    <cellStyle name="_NIM 06 Base Case Current Trends_Book2 4 2" xfId="24659"/>
    <cellStyle name="_NIM 06 Base Case Current Trends_Book2 5" xfId="24660"/>
    <cellStyle name="_NIM 06 Base Case Current Trends_Book2_Adj Bench DR 3 for Initial Briefs (Electric)" xfId="1617"/>
    <cellStyle name="_NIM 06 Base Case Current Trends_Book2_Adj Bench DR 3 for Initial Briefs (Electric) 2" xfId="1618"/>
    <cellStyle name="_NIM 06 Base Case Current Trends_Book2_Adj Bench DR 3 for Initial Briefs (Electric) 2 2" xfId="4987"/>
    <cellStyle name="_NIM 06 Base Case Current Trends_Book2_Adj Bench DR 3 for Initial Briefs (Electric) 2 2 2" xfId="20986"/>
    <cellStyle name="_NIM 06 Base Case Current Trends_Book2_Adj Bench DR 3 for Initial Briefs (Electric) 2 2 2 2" xfId="24661"/>
    <cellStyle name="_NIM 06 Base Case Current Trends_Book2_Adj Bench DR 3 for Initial Briefs (Electric) 2 2 3" xfId="24662"/>
    <cellStyle name="_NIM 06 Base Case Current Trends_Book2_Adj Bench DR 3 for Initial Briefs (Electric) 2 2 4" xfId="24663"/>
    <cellStyle name="_NIM 06 Base Case Current Trends_Book2_Adj Bench DR 3 for Initial Briefs (Electric) 2 3" xfId="16736"/>
    <cellStyle name="_NIM 06 Base Case Current Trends_Book2_Adj Bench DR 3 for Initial Briefs (Electric) 2 3 2" xfId="24664"/>
    <cellStyle name="_NIM 06 Base Case Current Trends_Book2_Adj Bench DR 3 for Initial Briefs (Electric) 2 4" xfId="24665"/>
    <cellStyle name="_NIM 06 Base Case Current Trends_Book2_Adj Bench DR 3 for Initial Briefs (Electric) 3" xfId="4986"/>
    <cellStyle name="_NIM 06 Base Case Current Trends_Book2_Adj Bench DR 3 for Initial Briefs (Electric) 3 2" xfId="20987"/>
    <cellStyle name="_NIM 06 Base Case Current Trends_Book2_Adj Bench DR 3 for Initial Briefs (Electric) 3 2 2" xfId="24666"/>
    <cellStyle name="_NIM 06 Base Case Current Trends_Book2_Adj Bench DR 3 for Initial Briefs (Electric) 3 3" xfId="24667"/>
    <cellStyle name="_NIM 06 Base Case Current Trends_Book2_Adj Bench DR 3 for Initial Briefs (Electric) 3 4" xfId="24668"/>
    <cellStyle name="_NIM 06 Base Case Current Trends_Book2_Adj Bench DR 3 for Initial Briefs (Electric) 4" xfId="16735"/>
    <cellStyle name="_NIM 06 Base Case Current Trends_Book2_Adj Bench DR 3 for Initial Briefs (Electric) 4 2" xfId="24669"/>
    <cellStyle name="_NIM 06 Base Case Current Trends_Book2_Adj Bench DR 3 for Initial Briefs (Electric) 5" xfId="24670"/>
    <cellStyle name="_NIM 06 Base Case Current Trends_Book2_Adj Bench DR 3 for Initial Briefs (Electric)_DEM-WP(C) ENERG10C--ctn Mid-C_042010 2010GRC" xfId="12761"/>
    <cellStyle name="_NIM 06 Base Case Current Trends_Book2_Adj Bench DR 3 for Initial Briefs (Electric)_DEM-WP(C) ENERG10C--ctn Mid-C_042010 2010GRC 2" xfId="41415"/>
    <cellStyle name="_NIM 06 Base Case Current Trends_Book2_DEM-WP(C) ENERG10C--ctn Mid-C_042010 2010GRC" xfId="12762"/>
    <cellStyle name="_NIM 06 Base Case Current Trends_Book2_DEM-WP(C) ENERG10C--ctn Mid-C_042010 2010GRC 2" xfId="41416"/>
    <cellStyle name="_NIM 06 Base Case Current Trends_Book2_Electric Rev Req Model (2009 GRC) Rebuttal" xfId="1619"/>
    <cellStyle name="_NIM 06 Base Case Current Trends_Book2_Electric Rev Req Model (2009 GRC) Rebuttal 2" xfId="4988"/>
    <cellStyle name="_NIM 06 Base Case Current Trends_Book2_Electric Rev Req Model (2009 GRC) Rebuttal 2 2" xfId="7408"/>
    <cellStyle name="_NIM 06 Base Case Current Trends_Book2_Electric Rev Req Model (2009 GRC) Rebuttal 2 2 2" xfId="20988"/>
    <cellStyle name="_NIM 06 Base Case Current Trends_Book2_Electric Rev Req Model (2009 GRC) Rebuttal 2 3" xfId="18539"/>
    <cellStyle name="_NIM 06 Base Case Current Trends_Book2_Electric Rev Req Model (2009 GRC) Rebuttal 3" xfId="7409"/>
    <cellStyle name="_NIM 06 Base Case Current Trends_Book2_Electric Rev Req Model (2009 GRC) Rebuttal 3 2" xfId="20989"/>
    <cellStyle name="_NIM 06 Base Case Current Trends_Book2_Electric Rev Req Model (2009 GRC) Rebuttal 4" xfId="16737"/>
    <cellStyle name="_NIM 06 Base Case Current Trends_Book2_Electric Rev Req Model (2009 GRC) Rebuttal REmoval of New  WH Solar AdjustMI" xfId="1620"/>
    <cellStyle name="_NIM 06 Base Case Current Trends_Book2_Electric Rev Req Model (2009 GRC) Rebuttal REmoval of New  WH Solar AdjustMI 2" xfId="1621"/>
    <cellStyle name="_NIM 06 Base Case Current Trends_Book2_Electric Rev Req Model (2009 GRC) Rebuttal REmoval of New  WH Solar AdjustMI 2 2" xfId="4990"/>
    <cellStyle name="_NIM 06 Base Case Current Trends_Book2_Electric Rev Req Model (2009 GRC) Rebuttal REmoval of New  WH Solar AdjustMI 2 2 2" xfId="20990"/>
    <cellStyle name="_NIM 06 Base Case Current Trends_Book2_Electric Rev Req Model (2009 GRC) Rebuttal REmoval of New  WH Solar AdjustMI 2 2 2 2" xfId="24671"/>
    <cellStyle name="_NIM 06 Base Case Current Trends_Book2_Electric Rev Req Model (2009 GRC) Rebuttal REmoval of New  WH Solar AdjustMI 2 2 3" xfId="24672"/>
    <cellStyle name="_NIM 06 Base Case Current Trends_Book2_Electric Rev Req Model (2009 GRC) Rebuttal REmoval of New  WH Solar AdjustMI 2 2 4" xfId="24673"/>
    <cellStyle name="_NIM 06 Base Case Current Trends_Book2_Electric Rev Req Model (2009 GRC) Rebuttal REmoval of New  WH Solar AdjustMI 2 3" xfId="16739"/>
    <cellStyle name="_NIM 06 Base Case Current Trends_Book2_Electric Rev Req Model (2009 GRC) Rebuttal REmoval of New  WH Solar AdjustMI 2 3 2" xfId="24674"/>
    <cellStyle name="_NIM 06 Base Case Current Trends_Book2_Electric Rev Req Model (2009 GRC) Rebuttal REmoval of New  WH Solar AdjustMI 2 4" xfId="24675"/>
    <cellStyle name="_NIM 06 Base Case Current Trends_Book2_Electric Rev Req Model (2009 GRC) Rebuttal REmoval of New  WH Solar AdjustMI 3" xfId="4989"/>
    <cellStyle name="_NIM 06 Base Case Current Trends_Book2_Electric Rev Req Model (2009 GRC) Rebuttal REmoval of New  WH Solar AdjustMI 3 2" xfId="20991"/>
    <cellStyle name="_NIM 06 Base Case Current Trends_Book2_Electric Rev Req Model (2009 GRC) Rebuttal REmoval of New  WH Solar AdjustMI 3 2 2" xfId="24676"/>
    <cellStyle name="_NIM 06 Base Case Current Trends_Book2_Electric Rev Req Model (2009 GRC) Rebuttal REmoval of New  WH Solar AdjustMI 3 3" xfId="24677"/>
    <cellStyle name="_NIM 06 Base Case Current Trends_Book2_Electric Rev Req Model (2009 GRC) Rebuttal REmoval of New  WH Solar AdjustMI 3 4" xfId="24678"/>
    <cellStyle name="_NIM 06 Base Case Current Trends_Book2_Electric Rev Req Model (2009 GRC) Rebuttal REmoval of New  WH Solar AdjustMI 4" xfId="16738"/>
    <cellStyle name="_NIM 06 Base Case Current Trends_Book2_Electric Rev Req Model (2009 GRC) Rebuttal REmoval of New  WH Solar AdjustMI 4 2" xfId="24679"/>
    <cellStyle name="_NIM 06 Base Case Current Trends_Book2_Electric Rev Req Model (2009 GRC) Rebuttal REmoval of New  WH Solar AdjustMI 5" xfId="24680"/>
    <cellStyle name="_NIM 06 Base Case Current Trends_Book2_Electric Rev Req Model (2009 GRC) Rebuttal REmoval of New  WH Solar AdjustMI_DEM-WP(C) ENERG10C--ctn Mid-C_042010 2010GRC" xfId="12763"/>
    <cellStyle name="_NIM 06 Base Case Current Trends_Book2_Electric Rev Req Model (2009 GRC) Rebuttal REmoval of New  WH Solar AdjustMI_DEM-WP(C) ENERG10C--ctn Mid-C_042010 2010GRC 2" xfId="41417"/>
    <cellStyle name="_NIM 06 Base Case Current Trends_Book2_Electric Rev Req Model (2009 GRC) Revised 01-18-2010" xfId="1622"/>
    <cellStyle name="_NIM 06 Base Case Current Trends_Book2_Electric Rev Req Model (2009 GRC) Revised 01-18-2010 2" xfId="1623"/>
    <cellStyle name="_NIM 06 Base Case Current Trends_Book2_Electric Rev Req Model (2009 GRC) Revised 01-18-2010 2 2" xfId="4992"/>
    <cellStyle name="_NIM 06 Base Case Current Trends_Book2_Electric Rev Req Model (2009 GRC) Revised 01-18-2010 2 2 2" xfId="20992"/>
    <cellStyle name="_NIM 06 Base Case Current Trends_Book2_Electric Rev Req Model (2009 GRC) Revised 01-18-2010 2 2 2 2" xfId="24681"/>
    <cellStyle name="_NIM 06 Base Case Current Trends_Book2_Electric Rev Req Model (2009 GRC) Revised 01-18-2010 2 2 3" xfId="24682"/>
    <cellStyle name="_NIM 06 Base Case Current Trends_Book2_Electric Rev Req Model (2009 GRC) Revised 01-18-2010 2 2 4" xfId="24683"/>
    <cellStyle name="_NIM 06 Base Case Current Trends_Book2_Electric Rev Req Model (2009 GRC) Revised 01-18-2010 2 3" xfId="16741"/>
    <cellStyle name="_NIM 06 Base Case Current Trends_Book2_Electric Rev Req Model (2009 GRC) Revised 01-18-2010 2 3 2" xfId="24684"/>
    <cellStyle name="_NIM 06 Base Case Current Trends_Book2_Electric Rev Req Model (2009 GRC) Revised 01-18-2010 2 4" xfId="24685"/>
    <cellStyle name="_NIM 06 Base Case Current Trends_Book2_Electric Rev Req Model (2009 GRC) Revised 01-18-2010 3" xfId="4991"/>
    <cellStyle name="_NIM 06 Base Case Current Trends_Book2_Electric Rev Req Model (2009 GRC) Revised 01-18-2010 3 2" xfId="20993"/>
    <cellStyle name="_NIM 06 Base Case Current Trends_Book2_Electric Rev Req Model (2009 GRC) Revised 01-18-2010 3 2 2" xfId="24686"/>
    <cellStyle name="_NIM 06 Base Case Current Trends_Book2_Electric Rev Req Model (2009 GRC) Revised 01-18-2010 3 3" xfId="24687"/>
    <cellStyle name="_NIM 06 Base Case Current Trends_Book2_Electric Rev Req Model (2009 GRC) Revised 01-18-2010 3 4" xfId="24688"/>
    <cellStyle name="_NIM 06 Base Case Current Trends_Book2_Electric Rev Req Model (2009 GRC) Revised 01-18-2010 4" xfId="16740"/>
    <cellStyle name="_NIM 06 Base Case Current Trends_Book2_Electric Rev Req Model (2009 GRC) Revised 01-18-2010 4 2" xfId="24689"/>
    <cellStyle name="_NIM 06 Base Case Current Trends_Book2_Electric Rev Req Model (2009 GRC) Revised 01-18-2010 5" xfId="24690"/>
    <cellStyle name="_NIM 06 Base Case Current Trends_Book2_Electric Rev Req Model (2009 GRC) Revised 01-18-2010_DEM-WP(C) ENERG10C--ctn Mid-C_042010 2010GRC" xfId="12764"/>
    <cellStyle name="_NIM 06 Base Case Current Trends_Book2_Electric Rev Req Model (2009 GRC) Revised 01-18-2010_DEM-WP(C) ENERG10C--ctn Mid-C_042010 2010GRC 2" xfId="41418"/>
    <cellStyle name="_NIM 06 Base Case Current Trends_Book2_Final Order Electric EXHIBIT A-1" xfId="1624"/>
    <cellStyle name="_NIM 06 Base Case Current Trends_Book2_Final Order Electric EXHIBIT A-1 2" xfId="4993"/>
    <cellStyle name="_NIM 06 Base Case Current Trends_Book2_Final Order Electric EXHIBIT A-1 2 2" xfId="7410"/>
    <cellStyle name="_NIM 06 Base Case Current Trends_Book2_Final Order Electric EXHIBIT A-1 2 2 2" xfId="20994"/>
    <cellStyle name="_NIM 06 Base Case Current Trends_Book2_Final Order Electric EXHIBIT A-1 2 3" xfId="18540"/>
    <cellStyle name="_NIM 06 Base Case Current Trends_Book2_Final Order Electric EXHIBIT A-1 2 4" xfId="24691"/>
    <cellStyle name="_NIM 06 Base Case Current Trends_Book2_Final Order Electric EXHIBIT A-1 3" xfId="7411"/>
    <cellStyle name="_NIM 06 Base Case Current Trends_Book2_Final Order Electric EXHIBIT A-1 3 2" xfId="20995"/>
    <cellStyle name="_NIM 06 Base Case Current Trends_Book2_Final Order Electric EXHIBIT A-1 4" xfId="16742"/>
    <cellStyle name="_NIM 06 Base Case Current Trends_Book2_Final Order Electric EXHIBIT A-1 5" xfId="24692"/>
    <cellStyle name="_NIM 06 Base Case Current Trends_Book2_Final Order Electric EXHIBIT A-1 6" xfId="24693"/>
    <cellStyle name="_NIM 06 Base Case Current Trends_Chelan PUD Power Costs (8-10)" xfId="12765"/>
    <cellStyle name="_NIM 06 Base Case Current Trends_Chelan PUD Power Costs (8-10) 2" xfId="24694"/>
    <cellStyle name="_NIM 06 Base Case Current Trends_Colstrip 1&amp;2 Annual O&amp;M Budgets" xfId="24695"/>
    <cellStyle name="_NIM 06 Base Case Current Trends_Confidential Material" xfId="12766"/>
    <cellStyle name="_NIM 06 Base Case Current Trends_Confidential Material 2" xfId="24696"/>
    <cellStyle name="_NIM 06 Base Case Current Trends_DEM-WP(C) Colstrip 12 Coal Cost Forecast 2010GRC" xfId="12767"/>
    <cellStyle name="_NIM 06 Base Case Current Trends_DEM-WP(C) Colstrip 12 Coal Cost Forecast 2010GRC 2" xfId="24697"/>
    <cellStyle name="_NIM 06 Base Case Current Trends_DEM-WP(C) ENERG10C--ctn Mid-C_042010 2010GRC" xfId="12768"/>
    <cellStyle name="_NIM 06 Base Case Current Trends_DEM-WP(C) ENERG10C--ctn Mid-C_042010 2010GRC 2" xfId="41419"/>
    <cellStyle name="_NIM 06 Base Case Current Trends_DEM-WP(C) Production O&amp;M 2010GRC As-Filed" xfId="12769"/>
    <cellStyle name="_NIM 06 Base Case Current Trends_DEM-WP(C) Production O&amp;M 2010GRC As-Filed 2" xfId="12770"/>
    <cellStyle name="_NIM 06 Base Case Current Trends_DEM-WP(C) Production O&amp;M 2010GRC As-Filed 2 2" xfId="24698"/>
    <cellStyle name="_NIM 06 Base Case Current Trends_DEM-WP(C) Production O&amp;M 2010GRC As-Filed 3" xfId="12771"/>
    <cellStyle name="_NIM 06 Base Case Current Trends_DEM-WP(C) Production O&amp;M 2010GRC As-Filed 3 2" xfId="24699"/>
    <cellStyle name="_NIM 06 Base Case Current Trends_DEM-WP(C) Production O&amp;M 2010GRC As-Filed 4" xfId="24700"/>
    <cellStyle name="_NIM 06 Base Case Current Trends_DEM-WP(C) Production O&amp;M 2010GRC As-Filed 4 2" xfId="24701"/>
    <cellStyle name="_NIM 06 Base Case Current Trends_DEM-WP(C) Production O&amp;M 2010GRC As-Filed 5" xfId="24702"/>
    <cellStyle name="_NIM 06 Base Case Current Trends_DEM-WP(C) Production O&amp;M 2010GRC As-Filed 5 2" xfId="24703"/>
    <cellStyle name="_NIM 06 Base Case Current Trends_DEM-WP(C) Production O&amp;M 2010GRC As-Filed 6" xfId="24704"/>
    <cellStyle name="_NIM 06 Base Case Current Trends_DEM-WP(C) Production O&amp;M 2010GRC As-Filed 6 2" xfId="24705"/>
    <cellStyle name="_NIM 06 Base Case Current Trends_Electric Rev Req Model (2009 GRC) " xfId="1625"/>
    <cellStyle name="_NIM 06 Base Case Current Trends_Electric Rev Req Model (2009 GRC)  2" xfId="1626"/>
    <cellStyle name="_NIM 06 Base Case Current Trends_Electric Rev Req Model (2009 GRC)  2 2" xfId="4995"/>
    <cellStyle name="_NIM 06 Base Case Current Trends_Electric Rev Req Model (2009 GRC)  2 2 2" xfId="20996"/>
    <cellStyle name="_NIM 06 Base Case Current Trends_Electric Rev Req Model (2009 GRC)  2 2 2 2" xfId="24706"/>
    <cellStyle name="_NIM 06 Base Case Current Trends_Electric Rev Req Model (2009 GRC)  2 2 3" xfId="24707"/>
    <cellStyle name="_NIM 06 Base Case Current Trends_Electric Rev Req Model (2009 GRC)  2 2 4" xfId="24708"/>
    <cellStyle name="_NIM 06 Base Case Current Trends_Electric Rev Req Model (2009 GRC)  2 3" xfId="16744"/>
    <cellStyle name="_NIM 06 Base Case Current Trends_Electric Rev Req Model (2009 GRC)  2 3 2" xfId="24709"/>
    <cellStyle name="_NIM 06 Base Case Current Trends_Electric Rev Req Model (2009 GRC)  2 4" xfId="24710"/>
    <cellStyle name="_NIM 06 Base Case Current Trends_Electric Rev Req Model (2009 GRC)  3" xfId="4994"/>
    <cellStyle name="_NIM 06 Base Case Current Trends_Electric Rev Req Model (2009 GRC)  3 2" xfId="20997"/>
    <cellStyle name="_NIM 06 Base Case Current Trends_Electric Rev Req Model (2009 GRC)  3 2 2" xfId="24711"/>
    <cellStyle name="_NIM 06 Base Case Current Trends_Electric Rev Req Model (2009 GRC)  3 3" xfId="24712"/>
    <cellStyle name="_NIM 06 Base Case Current Trends_Electric Rev Req Model (2009 GRC)  3 4" xfId="24713"/>
    <cellStyle name="_NIM 06 Base Case Current Trends_Electric Rev Req Model (2009 GRC)  4" xfId="16743"/>
    <cellStyle name="_NIM 06 Base Case Current Trends_Electric Rev Req Model (2009 GRC)  4 2" xfId="24714"/>
    <cellStyle name="_NIM 06 Base Case Current Trends_Electric Rev Req Model (2009 GRC)  5" xfId="24715"/>
    <cellStyle name="_NIM 06 Base Case Current Trends_Electric Rev Req Model (2009 GRC) _DEM-WP(C) ENERG10C--ctn Mid-C_042010 2010GRC" xfId="12772"/>
    <cellStyle name="_NIM 06 Base Case Current Trends_Electric Rev Req Model (2009 GRC) _DEM-WP(C) ENERG10C--ctn Mid-C_042010 2010GRC 2" xfId="41420"/>
    <cellStyle name="_NIM 06 Base Case Current Trends_Electric Rev Req Model (2009 GRC) Rebuttal" xfId="1627"/>
    <cellStyle name="_NIM 06 Base Case Current Trends_Electric Rev Req Model (2009 GRC) Rebuttal 2" xfId="4996"/>
    <cellStyle name="_NIM 06 Base Case Current Trends_Electric Rev Req Model (2009 GRC) Rebuttal 2 2" xfId="7412"/>
    <cellStyle name="_NIM 06 Base Case Current Trends_Electric Rev Req Model (2009 GRC) Rebuttal 2 2 2" xfId="20998"/>
    <cellStyle name="_NIM 06 Base Case Current Trends_Electric Rev Req Model (2009 GRC) Rebuttal 2 3" xfId="18541"/>
    <cellStyle name="_NIM 06 Base Case Current Trends_Electric Rev Req Model (2009 GRC) Rebuttal 3" xfId="7413"/>
    <cellStyle name="_NIM 06 Base Case Current Trends_Electric Rev Req Model (2009 GRC) Rebuttal 3 2" xfId="20999"/>
    <cellStyle name="_NIM 06 Base Case Current Trends_Electric Rev Req Model (2009 GRC) Rebuttal 4" xfId="16745"/>
    <cellStyle name="_NIM 06 Base Case Current Trends_Electric Rev Req Model (2009 GRC) Rebuttal REmoval of New  WH Solar AdjustMI" xfId="1628"/>
    <cellStyle name="_NIM 06 Base Case Current Trends_Electric Rev Req Model (2009 GRC) Rebuttal REmoval of New  WH Solar AdjustMI 2" xfId="1629"/>
    <cellStyle name="_NIM 06 Base Case Current Trends_Electric Rev Req Model (2009 GRC) Rebuttal REmoval of New  WH Solar AdjustMI 2 2" xfId="4998"/>
    <cellStyle name="_NIM 06 Base Case Current Trends_Electric Rev Req Model (2009 GRC) Rebuttal REmoval of New  WH Solar AdjustMI 2 2 2" xfId="21000"/>
    <cellStyle name="_NIM 06 Base Case Current Trends_Electric Rev Req Model (2009 GRC) Rebuttal REmoval of New  WH Solar AdjustMI 2 2 2 2" xfId="24716"/>
    <cellStyle name="_NIM 06 Base Case Current Trends_Electric Rev Req Model (2009 GRC) Rebuttal REmoval of New  WH Solar AdjustMI 2 2 3" xfId="24717"/>
    <cellStyle name="_NIM 06 Base Case Current Trends_Electric Rev Req Model (2009 GRC) Rebuttal REmoval of New  WH Solar AdjustMI 2 2 4" xfId="24718"/>
    <cellStyle name="_NIM 06 Base Case Current Trends_Electric Rev Req Model (2009 GRC) Rebuttal REmoval of New  WH Solar AdjustMI 2 3" xfId="16747"/>
    <cellStyle name="_NIM 06 Base Case Current Trends_Electric Rev Req Model (2009 GRC) Rebuttal REmoval of New  WH Solar AdjustMI 2 3 2" xfId="24719"/>
    <cellStyle name="_NIM 06 Base Case Current Trends_Electric Rev Req Model (2009 GRC) Rebuttal REmoval of New  WH Solar AdjustMI 2 4" xfId="24720"/>
    <cellStyle name="_NIM 06 Base Case Current Trends_Electric Rev Req Model (2009 GRC) Rebuttal REmoval of New  WH Solar AdjustMI 3" xfId="4997"/>
    <cellStyle name="_NIM 06 Base Case Current Trends_Electric Rev Req Model (2009 GRC) Rebuttal REmoval of New  WH Solar AdjustMI 3 2" xfId="21001"/>
    <cellStyle name="_NIM 06 Base Case Current Trends_Electric Rev Req Model (2009 GRC) Rebuttal REmoval of New  WH Solar AdjustMI 3 2 2" xfId="24721"/>
    <cellStyle name="_NIM 06 Base Case Current Trends_Electric Rev Req Model (2009 GRC) Rebuttal REmoval of New  WH Solar AdjustMI 3 3" xfId="24722"/>
    <cellStyle name="_NIM 06 Base Case Current Trends_Electric Rev Req Model (2009 GRC) Rebuttal REmoval of New  WH Solar AdjustMI 3 4" xfId="24723"/>
    <cellStyle name="_NIM 06 Base Case Current Trends_Electric Rev Req Model (2009 GRC) Rebuttal REmoval of New  WH Solar AdjustMI 4" xfId="16746"/>
    <cellStyle name="_NIM 06 Base Case Current Trends_Electric Rev Req Model (2009 GRC) Rebuttal REmoval of New  WH Solar AdjustMI 4 2" xfId="24724"/>
    <cellStyle name="_NIM 06 Base Case Current Trends_Electric Rev Req Model (2009 GRC) Rebuttal REmoval of New  WH Solar AdjustMI 5" xfId="24725"/>
    <cellStyle name="_NIM 06 Base Case Current Trends_Electric Rev Req Model (2009 GRC) Rebuttal REmoval of New  WH Solar AdjustMI_DEM-WP(C) ENERG10C--ctn Mid-C_042010 2010GRC" xfId="12773"/>
    <cellStyle name="_NIM 06 Base Case Current Trends_Electric Rev Req Model (2009 GRC) Rebuttal REmoval of New  WH Solar AdjustMI_DEM-WP(C) ENERG10C--ctn Mid-C_042010 2010GRC 2" xfId="41421"/>
    <cellStyle name="_NIM 06 Base Case Current Trends_Electric Rev Req Model (2009 GRC) Revised 01-18-2010" xfId="1630"/>
    <cellStyle name="_NIM 06 Base Case Current Trends_Electric Rev Req Model (2009 GRC) Revised 01-18-2010 2" xfId="1631"/>
    <cellStyle name="_NIM 06 Base Case Current Trends_Electric Rev Req Model (2009 GRC) Revised 01-18-2010 2 2" xfId="5000"/>
    <cellStyle name="_NIM 06 Base Case Current Trends_Electric Rev Req Model (2009 GRC) Revised 01-18-2010 2 2 2" xfId="21002"/>
    <cellStyle name="_NIM 06 Base Case Current Trends_Electric Rev Req Model (2009 GRC) Revised 01-18-2010 2 2 2 2" xfId="24726"/>
    <cellStyle name="_NIM 06 Base Case Current Trends_Electric Rev Req Model (2009 GRC) Revised 01-18-2010 2 2 3" xfId="24727"/>
    <cellStyle name="_NIM 06 Base Case Current Trends_Electric Rev Req Model (2009 GRC) Revised 01-18-2010 2 2 4" xfId="24728"/>
    <cellStyle name="_NIM 06 Base Case Current Trends_Electric Rev Req Model (2009 GRC) Revised 01-18-2010 2 3" xfId="16749"/>
    <cellStyle name="_NIM 06 Base Case Current Trends_Electric Rev Req Model (2009 GRC) Revised 01-18-2010 2 3 2" xfId="24729"/>
    <cellStyle name="_NIM 06 Base Case Current Trends_Electric Rev Req Model (2009 GRC) Revised 01-18-2010 2 4" xfId="24730"/>
    <cellStyle name="_NIM 06 Base Case Current Trends_Electric Rev Req Model (2009 GRC) Revised 01-18-2010 3" xfId="4999"/>
    <cellStyle name="_NIM 06 Base Case Current Trends_Electric Rev Req Model (2009 GRC) Revised 01-18-2010 3 2" xfId="21003"/>
    <cellStyle name="_NIM 06 Base Case Current Trends_Electric Rev Req Model (2009 GRC) Revised 01-18-2010 3 2 2" xfId="24731"/>
    <cellStyle name="_NIM 06 Base Case Current Trends_Electric Rev Req Model (2009 GRC) Revised 01-18-2010 3 3" xfId="24732"/>
    <cellStyle name="_NIM 06 Base Case Current Trends_Electric Rev Req Model (2009 GRC) Revised 01-18-2010 3 4" xfId="24733"/>
    <cellStyle name="_NIM 06 Base Case Current Trends_Electric Rev Req Model (2009 GRC) Revised 01-18-2010 4" xfId="16748"/>
    <cellStyle name="_NIM 06 Base Case Current Trends_Electric Rev Req Model (2009 GRC) Revised 01-18-2010 4 2" xfId="24734"/>
    <cellStyle name="_NIM 06 Base Case Current Trends_Electric Rev Req Model (2009 GRC) Revised 01-18-2010 5" xfId="24735"/>
    <cellStyle name="_NIM 06 Base Case Current Trends_Electric Rev Req Model (2009 GRC) Revised 01-18-2010_DEM-WP(C) ENERG10C--ctn Mid-C_042010 2010GRC" xfId="12774"/>
    <cellStyle name="_NIM 06 Base Case Current Trends_Electric Rev Req Model (2009 GRC) Revised 01-18-2010_DEM-WP(C) ENERG10C--ctn Mid-C_042010 2010GRC 2" xfId="41422"/>
    <cellStyle name="_NIM 06 Base Case Current Trends_Electric Rev Req Model (2010 GRC)" xfId="14273"/>
    <cellStyle name="_NIM 06 Base Case Current Trends_Electric Rev Req Model (2010 GRC) 2" xfId="41423"/>
    <cellStyle name="_NIM 06 Base Case Current Trends_Electric Rev Req Model (2010 GRC) SF" xfId="14274"/>
    <cellStyle name="_NIM 06 Base Case Current Trends_Electric Rev Req Model (2010 GRC) SF 2" xfId="41424"/>
    <cellStyle name="_NIM 06 Base Case Current Trends_Final Order Electric EXHIBIT A-1" xfId="1632"/>
    <cellStyle name="_NIM 06 Base Case Current Trends_Final Order Electric EXHIBIT A-1 2" xfId="5001"/>
    <cellStyle name="_NIM 06 Base Case Current Trends_Final Order Electric EXHIBIT A-1 2 2" xfId="7414"/>
    <cellStyle name="_NIM 06 Base Case Current Trends_Final Order Electric EXHIBIT A-1 2 2 2" xfId="21004"/>
    <cellStyle name="_NIM 06 Base Case Current Trends_Final Order Electric EXHIBIT A-1 2 3" xfId="18542"/>
    <cellStyle name="_NIM 06 Base Case Current Trends_Final Order Electric EXHIBIT A-1 2 4" xfId="24736"/>
    <cellStyle name="_NIM 06 Base Case Current Trends_Final Order Electric EXHIBIT A-1 3" xfId="7415"/>
    <cellStyle name="_NIM 06 Base Case Current Trends_Final Order Electric EXHIBIT A-1 3 2" xfId="21005"/>
    <cellStyle name="_NIM 06 Base Case Current Trends_Final Order Electric EXHIBIT A-1 4" xfId="16750"/>
    <cellStyle name="_NIM 06 Base Case Current Trends_Final Order Electric EXHIBIT A-1 5" xfId="24737"/>
    <cellStyle name="_NIM 06 Base Case Current Trends_Final Order Electric EXHIBIT A-1 6" xfId="24738"/>
    <cellStyle name="_NIM 06 Base Case Current Trends_NIM Summary" xfId="1633"/>
    <cellStyle name="_NIM 06 Base Case Current Trends_NIM Summary 2" xfId="1634"/>
    <cellStyle name="_NIM 06 Base Case Current Trends_NIM Summary 2 2" xfId="5003"/>
    <cellStyle name="_NIM 06 Base Case Current Trends_NIM Summary 2 2 2" xfId="24739"/>
    <cellStyle name="_NIM 06 Base Case Current Trends_NIM Summary 2 2 2 2" xfId="24740"/>
    <cellStyle name="_NIM 06 Base Case Current Trends_NIM Summary 2 2 3" xfId="24741"/>
    <cellStyle name="_NIM 06 Base Case Current Trends_NIM Summary 2 2 4" xfId="24742"/>
    <cellStyle name="_NIM 06 Base Case Current Trends_NIM Summary 2 3" xfId="24743"/>
    <cellStyle name="_NIM 06 Base Case Current Trends_NIM Summary 2 3 2" xfId="24744"/>
    <cellStyle name="_NIM 06 Base Case Current Trends_NIM Summary 2 4" xfId="24745"/>
    <cellStyle name="_NIM 06 Base Case Current Trends_NIM Summary 3" xfId="5002"/>
    <cellStyle name="_NIM 06 Base Case Current Trends_NIM Summary 3 2" xfId="24746"/>
    <cellStyle name="_NIM 06 Base Case Current Trends_NIM Summary 3 2 2" xfId="24747"/>
    <cellStyle name="_NIM 06 Base Case Current Trends_NIM Summary 3 3" xfId="24748"/>
    <cellStyle name="_NIM 06 Base Case Current Trends_NIM Summary 3 4" xfId="24749"/>
    <cellStyle name="_NIM 06 Base Case Current Trends_NIM Summary 4" xfId="24750"/>
    <cellStyle name="_NIM 06 Base Case Current Trends_NIM Summary 4 2" xfId="24751"/>
    <cellStyle name="_NIM 06 Base Case Current Trends_NIM Summary 5" xfId="24752"/>
    <cellStyle name="_NIM 06 Base Case Current Trends_NIM Summary_DEM-WP(C) ENERG10C--ctn Mid-C_042010 2010GRC" xfId="12775"/>
    <cellStyle name="_NIM 06 Base Case Current Trends_NIM Summary_DEM-WP(C) ENERG10C--ctn Mid-C_042010 2010GRC 2" xfId="41425"/>
    <cellStyle name="_NIM 06 Base Case Current Trends_NIM+O&amp;M" xfId="12776"/>
    <cellStyle name="_NIM 06 Base Case Current Trends_NIM+O&amp;M 2" xfId="12777"/>
    <cellStyle name="_NIM 06 Base Case Current Trends_NIM+O&amp;M 2 2" xfId="24753"/>
    <cellStyle name="_NIM 06 Base Case Current Trends_NIM+O&amp;M 2 2 2" xfId="24754"/>
    <cellStyle name="_NIM 06 Base Case Current Trends_NIM+O&amp;M 2 2 2 2" xfId="24755"/>
    <cellStyle name="_NIM 06 Base Case Current Trends_NIM+O&amp;M 2 2 3" xfId="24756"/>
    <cellStyle name="_NIM 06 Base Case Current Trends_NIM+O&amp;M 2 3" xfId="24757"/>
    <cellStyle name="_NIM 06 Base Case Current Trends_NIM+O&amp;M 2 3 2" xfId="24758"/>
    <cellStyle name="_NIM 06 Base Case Current Trends_NIM+O&amp;M 2 4" xfId="24759"/>
    <cellStyle name="_NIM 06 Base Case Current Trends_NIM+O&amp;M 3" xfId="24760"/>
    <cellStyle name="_NIM 06 Base Case Current Trends_NIM+O&amp;M 3 2" xfId="24761"/>
    <cellStyle name="_NIM 06 Base Case Current Trends_NIM+O&amp;M 3 2 2" xfId="24762"/>
    <cellStyle name="_NIM 06 Base Case Current Trends_NIM+O&amp;M 3 3" xfId="24763"/>
    <cellStyle name="_NIM 06 Base Case Current Trends_NIM+O&amp;M 4" xfId="24764"/>
    <cellStyle name="_NIM 06 Base Case Current Trends_NIM+O&amp;M 4 2" xfId="24765"/>
    <cellStyle name="_NIM 06 Base Case Current Trends_NIM+O&amp;M 5" xfId="24766"/>
    <cellStyle name="_NIM 06 Base Case Current Trends_NIM+O&amp;M Monthly" xfId="12778"/>
    <cellStyle name="_NIM 06 Base Case Current Trends_NIM+O&amp;M Monthly 2" xfId="12779"/>
    <cellStyle name="_NIM 06 Base Case Current Trends_NIM+O&amp;M Monthly 2 2" xfId="24767"/>
    <cellStyle name="_NIM 06 Base Case Current Trends_NIM+O&amp;M Monthly 2 2 2" xfId="24768"/>
    <cellStyle name="_NIM 06 Base Case Current Trends_NIM+O&amp;M Monthly 2 2 2 2" xfId="24769"/>
    <cellStyle name="_NIM 06 Base Case Current Trends_NIM+O&amp;M Monthly 2 2 3" xfId="24770"/>
    <cellStyle name="_NIM 06 Base Case Current Trends_NIM+O&amp;M Monthly 2 3" xfId="24771"/>
    <cellStyle name="_NIM 06 Base Case Current Trends_NIM+O&amp;M Monthly 2 3 2" xfId="24772"/>
    <cellStyle name="_NIM 06 Base Case Current Trends_NIM+O&amp;M Monthly 2 4" xfId="24773"/>
    <cellStyle name="_NIM 06 Base Case Current Trends_NIM+O&amp;M Monthly 3" xfId="24774"/>
    <cellStyle name="_NIM 06 Base Case Current Trends_NIM+O&amp;M Monthly 3 2" xfId="24775"/>
    <cellStyle name="_NIM 06 Base Case Current Trends_NIM+O&amp;M Monthly 3 2 2" xfId="24776"/>
    <cellStyle name="_NIM 06 Base Case Current Trends_NIM+O&amp;M Monthly 3 3" xfId="24777"/>
    <cellStyle name="_NIM 06 Base Case Current Trends_NIM+O&amp;M Monthly 4" xfId="24778"/>
    <cellStyle name="_NIM 06 Base Case Current Trends_NIM+O&amp;M Monthly 4 2" xfId="24779"/>
    <cellStyle name="_NIM 06 Base Case Current Trends_NIM+O&amp;M Monthly 5" xfId="24780"/>
    <cellStyle name="_NIM 06 Base Case Current Trends_Rebuttal Power Costs" xfId="1635"/>
    <cellStyle name="_NIM 06 Base Case Current Trends_Rebuttal Power Costs 2" xfId="1636"/>
    <cellStyle name="_NIM 06 Base Case Current Trends_Rebuttal Power Costs 2 2" xfId="5005"/>
    <cellStyle name="_NIM 06 Base Case Current Trends_Rebuttal Power Costs 2 2 2" xfId="21006"/>
    <cellStyle name="_NIM 06 Base Case Current Trends_Rebuttal Power Costs 2 2 2 2" xfId="24781"/>
    <cellStyle name="_NIM 06 Base Case Current Trends_Rebuttal Power Costs 2 2 3" xfId="24782"/>
    <cellStyle name="_NIM 06 Base Case Current Trends_Rebuttal Power Costs 2 2 4" xfId="24783"/>
    <cellStyle name="_NIM 06 Base Case Current Trends_Rebuttal Power Costs 2 3" xfId="16752"/>
    <cellStyle name="_NIM 06 Base Case Current Trends_Rebuttal Power Costs 2 3 2" xfId="24784"/>
    <cellStyle name="_NIM 06 Base Case Current Trends_Rebuttal Power Costs 2 4" xfId="24785"/>
    <cellStyle name="_NIM 06 Base Case Current Trends_Rebuttal Power Costs 3" xfId="5004"/>
    <cellStyle name="_NIM 06 Base Case Current Trends_Rebuttal Power Costs 3 2" xfId="21007"/>
    <cellStyle name="_NIM 06 Base Case Current Trends_Rebuttal Power Costs 3 2 2" xfId="24786"/>
    <cellStyle name="_NIM 06 Base Case Current Trends_Rebuttal Power Costs 3 3" xfId="24787"/>
    <cellStyle name="_NIM 06 Base Case Current Trends_Rebuttal Power Costs 3 4" xfId="24788"/>
    <cellStyle name="_NIM 06 Base Case Current Trends_Rebuttal Power Costs 4" xfId="16751"/>
    <cellStyle name="_NIM 06 Base Case Current Trends_Rebuttal Power Costs 4 2" xfId="24789"/>
    <cellStyle name="_NIM 06 Base Case Current Trends_Rebuttal Power Costs 5" xfId="24790"/>
    <cellStyle name="_NIM 06 Base Case Current Trends_Rebuttal Power Costs_Adj Bench DR 3 for Initial Briefs (Electric)" xfId="1637"/>
    <cellStyle name="_NIM 06 Base Case Current Trends_Rebuttal Power Costs_Adj Bench DR 3 for Initial Briefs (Electric) 2" xfId="1638"/>
    <cellStyle name="_NIM 06 Base Case Current Trends_Rebuttal Power Costs_Adj Bench DR 3 for Initial Briefs (Electric) 2 2" xfId="5007"/>
    <cellStyle name="_NIM 06 Base Case Current Trends_Rebuttal Power Costs_Adj Bench DR 3 for Initial Briefs (Electric) 2 2 2" xfId="21008"/>
    <cellStyle name="_NIM 06 Base Case Current Trends_Rebuttal Power Costs_Adj Bench DR 3 for Initial Briefs (Electric) 2 2 2 2" xfId="24791"/>
    <cellStyle name="_NIM 06 Base Case Current Trends_Rebuttal Power Costs_Adj Bench DR 3 for Initial Briefs (Electric) 2 2 3" xfId="24792"/>
    <cellStyle name="_NIM 06 Base Case Current Trends_Rebuttal Power Costs_Adj Bench DR 3 for Initial Briefs (Electric) 2 2 4" xfId="24793"/>
    <cellStyle name="_NIM 06 Base Case Current Trends_Rebuttal Power Costs_Adj Bench DR 3 for Initial Briefs (Electric) 2 3" xfId="16754"/>
    <cellStyle name="_NIM 06 Base Case Current Trends_Rebuttal Power Costs_Adj Bench DR 3 for Initial Briefs (Electric) 2 3 2" xfId="24794"/>
    <cellStyle name="_NIM 06 Base Case Current Trends_Rebuttal Power Costs_Adj Bench DR 3 for Initial Briefs (Electric) 2 4" xfId="24795"/>
    <cellStyle name="_NIM 06 Base Case Current Trends_Rebuttal Power Costs_Adj Bench DR 3 for Initial Briefs (Electric) 3" xfId="5006"/>
    <cellStyle name="_NIM 06 Base Case Current Trends_Rebuttal Power Costs_Adj Bench DR 3 for Initial Briefs (Electric) 3 2" xfId="21009"/>
    <cellStyle name="_NIM 06 Base Case Current Trends_Rebuttal Power Costs_Adj Bench DR 3 for Initial Briefs (Electric) 3 2 2" xfId="24796"/>
    <cellStyle name="_NIM 06 Base Case Current Trends_Rebuttal Power Costs_Adj Bench DR 3 for Initial Briefs (Electric) 3 3" xfId="24797"/>
    <cellStyle name="_NIM 06 Base Case Current Trends_Rebuttal Power Costs_Adj Bench DR 3 for Initial Briefs (Electric) 3 4" xfId="24798"/>
    <cellStyle name="_NIM 06 Base Case Current Trends_Rebuttal Power Costs_Adj Bench DR 3 for Initial Briefs (Electric) 4" xfId="16753"/>
    <cellStyle name="_NIM 06 Base Case Current Trends_Rebuttal Power Costs_Adj Bench DR 3 for Initial Briefs (Electric) 4 2" xfId="24799"/>
    <cellStyle name="_NIM 06 Base Case Current Trends_Rebuttal Power Costs_Adj Bench DR 3 for Initial Briefs (Electric) 5" xfId="24800"/>
    <cellStyle name="_NIM 06 Base Case Current Trends_Rebuttal Power Costs_Adj Bench DR 3 for Initial Briefs (Electric)_DEM-WP(C) ENERG10C--ctn Mid-C_042010 2010GRC" xfId="12780"/>
    <cellStyle name="_NIM 06 Base Case Current Trends_Rebuttal Power Costs_Adj Bench DR 3 for Initial Briefs (Electric)_DEM-WP(C) ENERG10C--ctn Mid-C_042010 2010GRC 2" xfId="41426"/>
    <cellStyle name="_NIM 06 Base Case Current Trends_Rebuttal Power Costs_DEM-WP(C) ENERG10C--ctn Mid-C_042010 2010GRC" xfId="12781"/>
    <cellStyle name="_NIM 06 Base Case Current Trends_Rebuttal Power Costs_DEM-WP(C) ENERG10C--ctn Mid-C_042010 2010GRC 2" xfId="41427"/>
    <cellStyle name="_NIM 06 Base Case Current Trends_Rebuttal Power Costs_Electric Rev Req Model (2009 GRC) Rebuttal" xfId="1639"/>
    <cellStyle name="_NIM 06 Base Case Current Trends_Rebuttal Power Costs_Electric Rev Req Model (2009 GRC) Rebuttal 2" xfId="5008"/>
    <cellStyle name="_NIM 06 Base Case Current Trends_Rebuttal Power Costs_Electric Rev Req Model (2009 GRC) Rebuttal 2 2" xfId="7416"/>
    <cellStyle name="_NIM 06 Base Case Current Trends_Rebuttal Power Costs_Electric Rev Req Model (2009 GRC) Rebuttal 2 2 2" xfId="21010"/>
    <cellStyle name="_NIM 06 Base Case Current Trends_Rebuttal Power Costs_Electric Rev Req Model (2009 GRC) Rebuttal 2 3" xfId="18543"/>
    <cellStyle name="_NIM 06 Base Case Current Trends_Rebuttal Power Costs_Electric Rev Req Model (2009 GRC) Rebuttal 3" xfId="7417"/>
    <cellStyle name="_NIM 06 Base Case Current Trends_Rebuttal Power Costs_Electric Rev Req Model (2009 GRC) Rebuttal 3 2" xfId="21011"/>
    <cellStyle name="_NIM 06 Base Case Current Trends_Rebuttal Power Costs_Electric Rev Req Model (2009 GRC) Rebuttal 4" xfId="16755"/>
    <cellStyle name="_NIM 06 Base Case Current Trends_Rebuttal Power Costs_Electric Rev Req Model (2009 GRC) Rebuttal REmoval of New  WH Solar AdjustMI" xfId="1640"/>
    <cellStyle name="_NIM 06 Base Case Current Trends_Rebuttal Power Costs_Electric Rev Req Model (2009 GRC) Rebuttal REmoval of New  WH Solar AdjustMI 2" xfId="1641"/>
    <cellStyle name="_NIM 06 Base Case Current Trends_Rebuttal Power Costs_Electric Rev Req Model (2009 GRC) Rebuttal REmoval of New  WH Solar AdjustMI 2 2" xfId="5010"/>
    <cellStyle name="_NIM 06 Base Case Current Trends_Rebuttal Power Costs_Electric Rev Req Model (2009 GRC) Rebuttal REmoval of New  WH Solar AdjustMI 2 2 2" xfId="21012"/>
    <cellStyle name="_NIM 06 Base Case Current Trends_Rebuttal Power Costs_Electric Rev Req Model (2009 GRC) Rebuttal REmoval of New  WH Solar AdjustMI 2 2 2 2" xfId="24801"/>
    <cellStyle name="_NIM 06 Base Case Current Trends_Rebuttal Power Costs_Electric Rev Req Model (2009 GRC) Rebuttal REmoval of New  WH Solar AdjustMI 2 2 3" xfId="24802"/>
    <cellStyle name="_NIM 06 Base Case Current Trends_Rebuttal Power Costs_Electric Rev Req Model (2009 GRC) Rebuttal REmoval of New  WH Solar AdjustMI 2 2 4" xfId="24803"/>
    <cellStyle name="_NIM 06 Base Case Current Trends_Rebuttal Power Costs_Electric Rev Req Model (2009 GRC) Rebuttal REmoval of New  WH Solar AdjustMI 2 3" xfId="16757"/>
    <cellStyle name="_NIM 06 Base Case Current Trends_Rebuttal Power Costs_Electric Rev Req Model (2009 GRC) Rebuttal REmoval of New  WH Solar AdjustMI 2 3 2" xfId="24804"/>
    <cellStyle name="_NIM 06 Base Case Current Trends_Rebuttal Power Costs_Electric Rev Req Model (2009 GRC) Rebuttal REmoval of New  WH Solar AdjustMI 2 4" xfId="24805"/>
    <cellStyle name="_NIM 06 Base Case Current Trends_Rebuttal Power Costs_Electric Rev Req Model (2009 GRC) Rebuttal REmoval of New  WH Solar AdjustMI 3" xfId="5009"/>
    <cellStyle name="_NIM 06 Base Case Current Trends_Rebuttal Power Costs_Electric Rev Req Model (2009 GRC) Rebuttal REmoval of New  WH Solar AdjustMI 3 2" xfId="21013"/>
    <cellStyle name="_NIM 06 Base Case Current Trends_Rebuttal Power Costs_Electric Rev Req Model (2009 GRC) Rebuttal REmoval of New  WH Solar AdjustMI 3 2 2" xfId="24806"/>
    <cellStyle name="_NIM 06 Base Case Current Trends_Rebuttal Power Costs_Electric Rev Req Model (2009 GRC) Rebuttal REmoval of New  WH Solar AdjustMI 3 3" xfId="24807"/>
    <cellStyle name="_NIM 06 Base Case Current Trends_Rebuttal Power Costs_Electric Rev Req Model (2009 GRC) Rebuttal REmoval of New  WH Solar AdjustMI 3 4" xfId="24808"/>
    <cellStyle name="_NIM 06 Base Case Current Trends_Rebuttal Power Costs_Electric Rev Req Model (2009 GRC) Rebuttal REmoval of New  WH Solar AdjustMI 4" xfId="16756"/>
    <cellStyle name="_NIM 06 Base Case Current Trends_Rebuttal Power Costs_Electric Rev Req Model (2009 GRC) Rebuttal REmoval of New  WH Solar AdjustMI 4 2" xfId="24809"/>
    <cellStyle name="_NIM 06 Base Case Current Trends_Rebuttal Power Costs_Electric Rev Req Model (2009 GRC) Rebuttal REmoval of New  WH Solar AdjustMI 5" xfId="24810"/>
    <cellStyle name="_NIM 06 Base Case Current Trends_Rebuttal Power Costs_Electric Rev Req Model (2009 GRC) Rebuttal REmoval of New  WH Solar AdjustMI_DEM-WP(C) ENERG10C--ctn Mid-C_042010 2010GRC" xfId="12782"/>
    <cellStyle name="_NIM 06 Base Case Current Trends_Rebuttal Power Costs_Electric Rev Req Model (2009 GRC) Rebuttal REmoval of New  WH Solar AdjustMI_DEM-WP(C) ENERG10C--ctn Mid-C_042010 2010GRC 2" xfId="41428"/>
    <cellStyle name="_NIM 06 Base Case Current Trends_Rebuttal Power Costs_Electric Rev Req Model (2009 GRC) Revised 01-18-2010" xfId="1642"/>
    <cellStyle name="_NIM 06 Base Case Current Trends_Rebuttal Power Costs_Electric Rev Req Model (2009 GRC) Revised 01-18-2010 2" xfId="1643"/>
    <cellStyle name="_NIM 06 Base Case Current Trends_Rebuttal Power Costs_Electric Rev Req Model (2009 GRC) Revised 01-18-2010 2 2" xfId="5012"/>
    <cellStyle name="_NIM 06 Base Case Current Trends_Rebuttal Power Costs_Electric Rev Req Model (2009 GRC) Revised 01-18-2010 2 2 2" xfId="21014"/>
    <cellStyle name="_NIM 06 Base Case Current Trends_Rebuttal Power Costs_Electric Rev Req Model (2009 GRC) Revised 01-18-2010 2 2 2 2" xfId="24811"/>
    <cellStyle name="_NIM 06 Base Case Current Trends_Rebuttal Power Costs_Electric Rev Req Model (2009 GRC) Revised 01-18-2010 2 2 3" xfId="24812"/>
    <cellStyle name="_NIM 06 Base Case Current Trends_Rebuttal Power Costs_Electric Rev Req Model (2009 GRC) Revised 01-18-2010 2 2 4" xfId="24813"/>
    <cellStyle name="_NIM 06 Base Case Current Trends_Rebuttal Power Costs_Electric Rev Req Model (2009 GRC) Revised 01-18-2010 2 3" xfId="16759"/>
    <cellStyle name="_NIM 06 Base Case Current Trends_Rebuttal Power Costs_Electric Rev Req Model (2009 GRC) Revised 01-18-2010 2 3 2" xfId="24814"/>
    <cellStyle name="_NIM 06 Base Case Current Trends_Rebuttal Power Costs_Electric Rev Req Model (2009 GRC) Revised 01-18-2010 2 4" xfId="24815"/>
    <cellStyle name="_NIM 06 Base Case Current Trends_Rebuttal Power Costs_Electric Rev Req Model (2009 GRC) Revised 01-18-2010 3" xfId="5011"/>
    <cellStyle name="_NIM 06 Base Case Current Trends_Rebuttal Power Costs_Electric Rev Req Model (2009 GRC) Revised 01-18-2010 3 2" xfId="21015"/>
    <cellStyle name="_NIM 06 Base Case Current Trends_Rebuttal Power Costs_Electric Rev Req Model (2009 GRC) Revised 01-18-2010 3 2 2" xfId="24816"/>
    <cellStyle name="_NIM 06 Base Case Current Trends_Rebuttal Power Costs_Electric Rev Req Model (2009 GRC) Revised 01-18-2010 3 3" xfId="24817"/>
    <cellStyle name="_NIM 06 Base Case Current Trends_Rebuttal Power Costs_Electric Rev Req Model (2009 GRC) Revised 01-18-2010 3 4" xfId="24818"/>
    <cellStyle name="_NIM 06 Base Case Current Trends_Rebuttal Power Costs_Electric Rev Req Model (2009 GRC) Revised 01-18-2010 4" xfId="16758"/>
    <cellStyle name="_NIM 06 Base Case Current Trends_Rebuttal Power Costs_Electric Rev Req Model (2009 GRC) Revised 01-18-2010 4 2" xfId="24819"/>
    <cellStyle name="_NIM 06 Base Case Current Trends_Rebuttal Power Costs_Electric Rev Req Model (2009 GRC) Revised 01-18-2010 5" xfId="24820"/>
    <cellStyle name="_NIM 06 Base Case Current Trends_Rebuttal Power Costs_Electric Rev Req Model (2009 GRC) Revised 01-18-2010_DEM-WP(C) ENERG10C--ctn Mid-C_042010 2010GRC" xfId="12783"/>
    <cellStyle name="_NIM 06 Base Case Current Trends_Rebuttal Power Costs_Electric Rev Req Model (2009 GRC) Revised 01-18-2010_DEM-WP(C) ENERG10C--ctn Mid-C_042010 2010GRC 2" xfId="41429"/>
    <cellStyle name="_NIM 06 Base Case Current Trends_Rebuttal Power Costs_Final Order Electric EXHIBIT A-1" xfId="1644"/>
    <cellStyle name="_NIM 06 Base Case Current Trends_Rebuttal Power Costs_Final Order Electric EXHIBIT A-1 2" xfId="5013"/>
    <cellStyle name="_NIM 06 Base Case Current Trends_Rebuttal Power Costs_Final Order Electric EXHIBIT A-1 2 2" xfId="7418"/>
    <cellStyle name="_NIM 06 Base Case Current Trends_Rebuttal Power Costs_Final Order Electric EXHIBIT A-1 2 2 2" xfId="21016"/>
    <cellStyle name="_NIM 06 Base Case Current Trends_Rebuttal Power Costs_Final Order Electric EXHIBIT A-1 2 3" xfId="18544"/>
    <cellStyle name="_NIM 06 Base Case Current Trends_Rebuttal Power Costs_Final Order Electric EXHIBIT A-1 2 4" xfId="24821"/>
    <cellStyle name="_NIM 06 Base Case Current Trends_Rebuttal Power Costs_Final Order Electric EXHIBIT A-1 3" xfId="7419"/>
    <cellStyle name="_NIM 06 Base Case Current Trends_Rebuttal Power Costs_Final Order Electric EXHIBIT A-1 3 2" xfId="21017"/>
    <cellStyle name="_NIM 06 Base Case Current Trends_Rebuttal Power Costs_Final Order Electric EXHIBIT A-1 4" xfId="16760"/>
    <cellStyle name="_NIM 06 Base Case Current Trends_Rebuttal Power Costs_Final Order Electric EXHIBIT A-1 5" xfId="24822"/>
    <cellStyle name="_NIM 06 Base Case Current Trends_Rebuttal Power Costs_Final Order Electric EXHIBIT A-1 6" xfId="24823"/>
    <cellStyle name="_NIM 06 Base Case Current Trends_TENASKA REGULATORY ASSET" xfId="1645"/>
    <cellStyle name="_NIM 06 Base Case Current Trends_TENASKA REGULATORY ASSET 2" xfId="5014"/>
    <cellStyle name="_NIM 06 Base Case Current Trends_TENASKA REGULATORY ASSET 2 2" xfId="7420"/>
    <cellStyle name="_NIM 06 Base Case Current Trends_TENASKA REGULATORY ASSET 2 2 2" xfId="21018"/>
    <cellStyle name="_NIM 06 Base Case Current Trends_TENASKA REGULATORY ASSET 2 3" xfId="18545"/>
    <cellStyle name="_NIM 06 Base Case Current Trends_TENASKA REGULATORY ASSET 2 4" xfId="24824"/>
    <cellStyle name="_NIM 06 Base Case Current Trends_TENASKA REGULATORY ASSET 3" xfId="7421"/>
    <cellStyle name="_NIM 06 Base Case Current Trends_TENASKA REGULATORY ASSET 3 2" xfId="21019"/>
    <cellStyle name="_NIM 06 Base Case Current Trends_TENASKA REGULATORY ASSET 4" xfId="16761"/>
    <cellStyle name="_NIM 06 Base Case Current Trends_TENASKA REGULATORY ASSET 5" xfId="24825"/>
    <cellStyle name="_NIM 06 Base Case Current Trends_TENASKA REGULATORY ASSET 6" xfId="24826"/>
    <cellStyle name="_NIM Summary 09GRC" xfId="1646"/>
    <cellStyle name="_NIM Summary 09GRC 2" xfId="1647"/>
    <cellStyle name="_NIM Summary 09GRC 2 2" xfId="5016"/>
    <cellStyle name="_NIM Summary 09GRC 2 2 2" xfId="24827"/>
    <cellStyle name="_NIM Summary 09GRC 2 2 2 2" xfId="24828"/>
    <cellStyle name="_NIM Summary 09GRC 2 2 3" xfId="24829"/>
    <cellStyle name="_NIM Summary 09GRC 2 2 4" xfId="24830"/>
    <cellStyle name="_NIM Summary 09GRC 2 3" xfId="24831"/>
    <cellStyle name="_NIM Summary 09GRC 2 3 2" xfId="24832"/>
    <cellStyle name="_NIM Summary 09GRC 2 4" xfId="24833"/>
    <cellStyle name="_NIM Summary 09GRC 3" xfId="5015"/>
    <cellStyle name="_NIM Summary 09GRC 3 2" xfId="24834"/>
    <cellStyle name="_NIM Summary 09GRC 3 2 2" xfId="24835"/>
    <cellStyle name="_NIM Summary 09GRC 3 3" xfId="24836"/>
    <cellStyle name="_NIM Summary 09GRC 3 4" xfId="24837"/>
    <cellStyle name="_NIM Summary 09GRC 4" xfId="24838"/>
    <cellStyle name="_NIM Summary 09GRC 4 2" xfId="24839"/>
    <cellStyle name="_NIM Summary 09GRC 5" xfId="24840"/>
    <cellStyle name="_NIM Summary 09GRC_DEM-WP(C) ENERG10C--ctn Mid-C_042010 2010GRC" xfId="12784"/>
    <cellStyle name="_NIM Summary 09GRC_DEM-WP(C) ENERG10C--ctn Mid-C_042010 2010GRC 2" xfId="41430"/>
    <cellStyle name="_NIM Summary 09GRC_NIM Summary" xfId="1648"/>
    <cellStyle name="_NIM Summary 09GRC_NIM Summary 2" xfId="1649"/>
    <cellStyle name="_NIM Summary 09GRC_NIM Summary 2 2" xfId="5018"/>
    <cellStyle name="_NIM Summary 09GRC_NIM Summary 2 2 2" xfId="24841"/>
    <cellStyle name="_NIM Summary 09GRC_NIM Summary 2 2 2 2" xfId="24842"/>
    <cellStyle name="_NIM Summary 09GRC_NIM Summary 2 2 3" xfId="24843"/>
    <cellStyle name="_NIM Summary 09GRC_NIM Summary 2 2 4" xfId="24844"/>
    <cellStyle name="_NIM Summary 09GRC_NIM Summary 2 3" xfId="24845"/>
    <cellStyle name="_NIM Summary 09GRC_NIM Summary 2 3 2" xfId="24846"/>
    <cellStyle name="_NIM Summary 09GRC_NIM Summary 2 4" xfId="24847"/>
    <cellStyle name="_NIM Summary 09GRC_NIM Summary 3" xfId="5017"/>
    <cellStyle name="_NIM Summary 09GRC_NIM Summary 3 2" xfId="24848"/>
    <cellStyle name="_NIM Summary 09GRC_NIM Summary 3 2 2" xfId="24849"/>
    <cellStyle name="_NIM Summary 09GRC_NIM Summary 3 3" xfId="24850"/>
    <cellStyle name="_NIM Summary 09GRC_NIM Summary 3 4" xfId="24851"/>
    <cellStyle name="_NIM Summary 09GRC_NIM Summary 4" xfId="24852"/>
    <cellStyle name="_NIM Summary 09GRC_NIM Summary 4 2" xfId="24853"/>
    <cellStyle name="_NIM Summary 09GRC_NIM Summary 5" xfId="24854"/>
    <cellStyle name="_NIM Summary 09GRC_NIM Summary_DEM-WP(C) ENERG10C--ctn Mid-C_042010 2010GRC" xfId="12785"/>
    <cellStyle name="_NIM Summary 09GRC_NIM Summary_DEM-WP(C) ENERG10C--ctn Mid-C_042010 2010GRC 2" xfId="41431"/>
    <cellStyle name="_PC DRAFT 10 15 07" xfId="1650"/>
    <cellStyle name="_PC DRAFT 10 15 07 2" xfId="5019"/>
    <cellStyle name="_PC DRAFT 10 15 07 2 2" xfId="24855"/>
    <cellStyle name="_PCA 7 - Exhibit D update 9_30_2008" xfId="1651"/>
    <cellStyle name="_PCA 7 - Exhibit D update 9_30_2008 2" xfId="5020"/>
    <cellStyle name="_PCA 7 - Exhibit D update 9_30_2008 2 2" xfId="12786"/>
    <cellStyle name="_PCA 7 - Exhibit D update 9_30_2008 2 2 2" xfId="24856"/>
    <cellStyle name="_PCA 7 - Exhibit D update 9_30_2008 2 2 2 2" xfId="24857"/>
    <cellStyle name="_PCA 7 - Exhibit D update 9_30_2008 2 2 2 2 2" xfId="24858"/>
    <cellStyle name="_PCA 7 - Exhibit D update 9_30_2008 2 2 2 3" xfId="24859"/>
    <cellStyle name="_PCA 7 - Exhibit D update 9_30_2008 2 2 3" xfId="24860"/>
    <cellStyle name="_PCA 7 - Exhibit D update 9_30_2008 2 2 3 2" xfId="24861"/>
    <cellStyle name="_PCA 7 - Exhibit D update 9_30_2008 2 2 4" xfId="24862"/>
    <cellStyle name="_PCA 7 - Exhibit D update 9_30_2008 2 3" xfId="24863"/>
    <cellStyle name="_PCA 7 - Exhibit D update 9_30_2008 2 3 2" xfId="24864"/>
    <cellStyle name="_PCA 7 - Exhibit D update 9_30_2008 2 3 2 2" xfId="24865"/>
    <cellStyle name="_PCA 7 - Exhibit D update 9_30_2008 2 3 3" xfId="24866"/>
    <cellStyle name="_PCA 7 - Exhibit D update 9_30_2008 2 4" xfId="24867"/>
    <cellStyle name="_PCA 7 - Exhibit D update 9_30_2008 2 4 2" xfId="24868"/>
    <cellStyle name="_PCA 7 - Exhibit D update 9_30_2008 2 5" xfId="24869"/>
    <cellStyle name="_PCA 7 - Exhibit D update 9_30_2008 3" xfId="12787"/>
    <cellStyle name="_PCA 7 - Exhibit D update 9_30_2008 3 2" xfId="24870"/>
    <cellStyle name="_PCA 7 - Exhibit D update 9_30_2008 3 2 2" xfId="24871"/>
    <cellStyle name="_PCA 7 - Exhibit D update 9_30_2008 3 2 2 2" xfId="24872"/>
    <cellStyle name="_PCA 7 - Exhibit D update 9_30_2008 3 2 2 2 2" xfId="24873"/>
    <cellStyle name="_PCA 7 - Exhibit D update 9_30_2008 3 2 2 3" xfId="24874"/>
    <cellStyle name="_PCA 7 - Exhibit D update 9_30_2008 3 2 3" xfId="24875"/>
    <cellStyle name="_PCA 7 - Exhibit D update 9_30_2008 3 2 3 2" xfId="24876"/>
    <cellStyle name="_PCA 7 - Exhibit D update 9_30_2008 3 2 4" xfId="24877"/>
    <cellStyle name="_PCA 7 - Exhibit D update 9_30_2008 3 2 5" xfId="24878"/>
    <cellStyle name="_PCA 7 - Exhibit D update 9_30_2008 3 3" xfId="24879"/>
    <cellStyle name="_PCA 7 - Exhibit D update 9_30_2008 3 3 2" xfId="24880"/>
    <cellStyle name="_PCA 7 - Exhibit D update 9_30_2008 3 3 2 2" xfId="24881"/>
    <cellStyle name="_PCA 7 - Exhibit D update 9_30_2008 3 3 3" xfId="24882"/>
    <cellStyle name="_PCA 7 - Exhibit D update 9_30_2008 3 4" xfId="24883"/>
    <cellStyle name="_PCA 7 - Exhibit D update 9_30_2008 3 4 2" xfId="24884"/>
    <cellStyle name="_PCA 7 - Exhibit D update 9_30_2008 3 5" xfId="24885"/>
    <cellStyle name="_PCA 7 - Exhibit D update 9_30_2008 4" xfId="12788"/>
    <cellStyle name="_PCA 7 - Exhibit D update 9_30_2008 4 2" xfId="12789"/>
    <cellStyle name="_PCA 7 - Exhibit D update 9_30_2008 4 2 2" xfId="24886"/>
    <cellStyle name="_PCA 7 - Exhibit D update 9_30_2008 4 2 2 2" xfId="24887"/>
    <cellStyle name="_PCA 7 - Exhibit D update 9_30_2008 4 2 3" xfId="24888"/>
    <cellStyle name="_PCA 7 - Exhibit D update 9_30_2008 4 3" xfId="24889"/>
    <cellStyle name="_PCA 7 - Exhibit D update 9_30_2008 4 3 2" xfId="24890"/>
    <cellStyle name="_PCA 7 - Exhibit D update 9_30_2008 4 4" xfId="24891"/>
    <cellStyle name="_PCA 7 - Exhibit D update 9_30_2008 5" xfId="24892"/>
    <cellStyle name="_PCA 7 - Exhibit D update 9_30_2008 5 2" xfId="24893"/>
    <cellStyle name="_PCA 7 - Exhibit D update 9_30_2008 5 2 2" xfId="24894"/>
    <cellStyle name="_PCA 7 - Exhibit D update 9_30_2008 5 2 2 2" xfId="24895"/>
    <cellStyle name="_PCA 7 - Exhibit D update 9_30_2008 5 2 3" xfId="24896"/>
    <cellStyle name="_PCA 7 - Exhibit D update 9_30_2008 5 2 4" xfId="24897"/>
    <cellStyle name="_PCA 7 - Exhibit D update 9_30_2008 5 3" xfId="24898"/>
    <cellStyle name="_PCA 7 - Exhibit D update 9_30_2008 5 3 2" xfId="24899"/>
    <cellStyle name="_PCA 7 - Exhibit D update 9_30_2008 5 4" xfId="24900"/>
    <cellStyle name="_PCA 7 - Exhibit D update 9_30_2008 5 5" xfId="24901"/>
    <cellStyle name="_PCA 7 - Exhibit D update 9_30_2008 6" xfId="24902"/>
    <cellStyle name="_PCA 7 - Exhibit D update 9_30_2008 6 2" xfId="24903"/>
    <cellStyle name="_PCA 7 - Exhibit D update 9_30_2008 6 2 2" xfId="24904"/>
    <cellStyle name="_PCA 7 - Exhibit D update 9_30_2008 6 2 2 2" xfId="24905"/>
    <cellStyle name="_PCA 7 - Exhibit D update 9_30_2008 6 2 3" xfId="24906"/>
    <cellStyle name="_PCA 7 - Exhibit D update 9_30_2008 6 2 4" xfId="24907"/>
    <cellStyle name="_PCA 7 - Exhibit D update 9_30_2008 6 3" xfId="24908"/>
    <cellStyle name="_PCA 7 - Exhibit D update 9_30_2008 6 3 2" xfId="24909"/>
    <cellStyle name="_PCA 7 - Exhibit D update 9_30_2008 6 4" xfId="24910"/>
    <cellStyle name="_PCA 7 - Exhibit D update 9_30_2008 6 5" xfId="24911"/>
    <cellStyle name="_PCA 7 - Exhibit D update 9_30_2008 7" xfId="24912"/>
    <cellStyle name="_PCA 7 - Exhibit D update 9_30_2008 7 2" xfId="24913"/>
    <cellStyle name="_PCA 7 - Exhibit D update 9_30_2008 8" xfId="24914"/>
    <cellStyle name="_PCA 7 - Exhibit D update 9_30_2008_Chelan PUD Power Costs (8-10)" xfId="12790"/>
    <cellStyle name="_PCA 7 - Exhibit D update 9_30_2008_Chelan PUD Power Costs (8-10) 2" xfId="24915"/>
    <cellStyle name="_PCA 7 - Exhibit D update 9_30_2008_DEM-WP(C) Chelan Power Costs" xfId="12791"/>
    <cellStyle name="_PCA 7 - Exhibit D update 9_30_2008_DEM-WP(C) Chelan Power Costs 2" xfId="24916"/>
    <cellStyle name="_PCA 7 - Exhibit D update 9_30_2008_DEM-WP(C) Chelan Power Costs 2 2" xfId="24917"/>
    <cellStyle name="_PCA 7 - Exhibit D update 9_30_2008_DEM-WP(C) Chelan Power Costs 2 2 2" xfId="24918"/>
    <cellStyle name="_PCA 7 - Exhibit D update 9_30_2008_DEM-WP(C) Chelan Power Costs 2 3" xfId="24919"/>
    <cellStyle name="_PCA 7 - Exhibit D update 9_30_2008_DEM-WP(C) Chelan Power Costs 2 4" xfId="24920"/>
    <cellStyle name="_PCA 7 - Exhibit D update 9_30_2008_DEM-WP(C) Chelan Power Costs 3" xfId="24921"/>
    <cellStyle name="_PCA 7 - Exhibit D update 9_30_2008_DEM-WP(C) Chelan Power Costs 3 2" xfId="24922"/>
    <cellStyle name="_PCA 7 - Exhibit D update 9_30_2008_DEM-WP(C) Chelan Power Costs 4" xfId="24923"/>
    <cellStyle name="_PCA 7 - Exhibit D update 9_30_2008_DEM-WP(C) ENERG10C--ctn Mid-C_042010 2010GRC" xfId="12792"/>
    <cellStyle name="_PCA 7 - Exhibit D update 9_30_2008_DEM-WP(C) ENERG10C--ctn Mid-C_042010 2010GRC 2" xfId="41432"/>
    <cellStyle name="_PCA 7 - Exhibit D update 9_30_2008_DEM-WP(C) Gas Transport 2010GRC" xfId="12793"/>
    <cellStyle name="_PCA 7 - Exhibit D update 9_30_2008_DEM-WP(C) Gas Transport 2010GRC 2" xfId="24924"/>
    <cellStyle name="_PCA 7 - Exhibit D update 9_30_2008_DEM-WP(C) Gas Transport 2010GRC 2 2" xfId="24925"/>
    <cellStyle name="_PCA 7 - Exhibit D update 9_30_2008_DEM-WP(C) Gas Transport 2010GRC 2 2 2" xfId="24926"/>
    <cellStyle name="_PCA 7 - Exhibit D update 9_30_2008_DEM-WP(C) Gas Transport 2010GRC 2 3" xfId="24927"/>
    <cellStyle name="_PCA 7 - Exhibit D update 9_30_2008_DEM-WP(C) Gas Transport 2010GRC 2 4" xfId="24928"/>
    <cellStyle name="_PCA 7 - Exhibit D update 9_30_2008_DEM-WP(C) Gas Transport 2010GRC 3" xfId="24929"/>
    <cellStyle name="_PCA 7 - Exhibit D update 9_30_2008_DEM-WP(C) Gas Transport 2010GRC 3 2" xfId="24930"/>
    <cellStyle name="_PCA 7 - Exhibit D update 9_30_2008_DEM-WP(C) Gas Transport 2010GRC 4" xfId="24931"/>
    <cellStyle name="_PCA 7 - Exhibit D update 9_30_2008_NIM Summary" xfId="1652"/>
    <cellStyle name="_PCA 7 - Exhibit D update 9_30_2008_NIM Summary 2" xfId="1653"/>
    <cellStyle name="_PCA 7 - Exhibit D update 9_30_2008_NIM Summary 2 2" xfId="5022"/>
    <cellStyle name="_PCA 7 - Exhibit D update 9_30_2008_NIM Summary 2 2 2" xfId="24932"/>
    <cellStyle name="_PCA 7 - Exhibit D update 9_30_2008_NIM Summary 2 2 2 2" xfId="24933"/>
    <cellStyle name="_PCA 7 - Exhibit D update 9_30_2008_NIM Summary 2 2 3" xfId="24934"/>
    <cellStyle name="_PCA 7 - Exhibit D update 9_30_2008_NIM Summary 2 2 4" xfId="24935"/>
    <cellStyle name="_PCA 7 - Exhibit D update 9_30_2008_NIM Summary 2 3" xfId="24936"/>
    <cellStyle name="_PCA 7 - Exhibit D update 9_30_2008_NIM Summary 2 3 2" xfId="24937"/>
    <cellStyle name="_PCA 7 - Exhibit D update 9_30_2008_NIM Summary 2 4" xfId="24938"/>
    <cellStyle name="_PCA 7 - Exhibit D update 9_30_2008_NIM Summary 3" xfId="5021"/>
    <cellStyle name="_PCA 7 - Exhibit D update 9_30_2008_NIM Summary 3 2" xfId="24939"/>
    <cellStyle name="_PCA 7 - Exhibit D update 9_30_2008_NIM Summary 3 2 2" xfId="24940"/>
    <cellStyle name="_PCA 7 - Exhibit D update 9_30_2008_NIM Summary 3 3" xfId="24941"/>
    <cellStyle name="_PCA 7 - Exhibit D update 9_30_2008_NIM Summary 3 4" xfId="24942"/>
    <cellStyle name="_PCA 7 - Exhibit D update 9_30_2008_NIM Summary 4" xfId="24943"/>
    <cellStyle name="_PCA 7 - Exhibit D update 9_30_2008_NIM Summary 4 2" xfId="24944"/>
    <cellStyle name="_PCA 7 - Exhibit D update 9_30_2008_NIM Summary 5" xfId="24945"/>
    <cellStyle name="_PCA 7 - Exhibit D update 9_30_2008_NIM Summary_DEM-WP(C) ENERG10C--ctn Mid-C_042010 2010GRC" xfId="12794"/>
    <cellStyle name="_PCA 7 - Exhibit D update 9_30_2008_NIM Summary_DEM-WP(C) ENERG10C--ctn Mid-C_042010 2010GRC 2" xfId="41433"/>
    <cellStyle name="_PCA 7 - Exhibit D update 9_30_2008_Transmission Workbook for May BOD" xfId="1654"/>
    <cellStyle name="_PCA 7 - Exhibit D update 9_30_2008_Transmission Workbook for May BOD 2" xfId="1655"/>
    <cellStyle name="_PCA 7 - Exhibit D update 9_30_2008_Transmission Workbook for May BOD 2 2" xfId="5024"/>
    <cellStyle name="_PCA 7 - Exhibit D update 9_30_2008_Transmission Workbook for May BOD 2 2 2" xfId="24946"/>
    <cellStyle name="_PCA 7 - Exhibit D update 9_30_2008_Transmission Workbook for May BOD 2 2 2 2" xfId="24947"/>
    <cellStyle name="_PCA 7 - Exhibit D update 9_30_2008_Transmission Workbook for May BOD 2 2 3" xfId="24948"/>
    <cellStyle name="_PCA 7 - Exhibit D update 9_30_2008_Transmission Workbook for May BOD 2 2 4" xfId="24949"/>
    <cellStyle name="_PCA 7 - Exhibit D update 9_30_2008_Transmission Workbook for May BOD 2 3" xfId="24950"/>
    <cellStyle name="_PCA 7 - Exhibit D update 9_30_2008_Transmission Workbook for May BOD 2 3 2" xfId="24951"/>
    <cellStyle name="_PCA 7 - Exhibit D update 9_30_2008_Transmission Workbook for May BOD 2 4" xfId="24952"/>
    <cellStyle name="_PCA 7 - Exhibit D update 9_30_2008_Transmission Workbook for May BOD 3" xfId="5023"/>
    <cellStyle name="_PCA 7 - Exhibit D update 9_30_2008_Transmission Workbook for May BOD 3 2" xfId="24953"/>
    <cellStyle name="_PCA 7 - Exhibit D update 9_30_2008_Transmission Workbook for May BOD 3 2 2" xfId="24954"/>
    <cellStyle name="_PCA 7 - Exhibit D update 9_30_2008_Transmission Workbook for May BOD 3 3" xfId="24955"/>
    <cellStyle name="_PCA 7 - Exhibit D update 9_30_2008_Transmission Workbook for May BOD 3 4" xfId="24956"/>
    <cellStyle name="_PCA 7 - Exhibit D update 9_30_2008_Transmission Workbook for May BOD 4" xfId="24957"/>
    <cellStyle name="_PCA 7 - Exhibit D update 9_30_2008_Transmission Workbook for May BOD 4 2" xfId="24958"/>
    <cellStyle name="_PCA 7 - Exhibit D update 9_30_2008_Transmission Workbook for May BOD 5" xfId="24959"/>
    <cellStyle name="_PCA 7 - Exhibit D update 9_30_2008_Transmission Workbook for May BOD_DEM-WP(C) ENERG10C--ctn Mid-C_042010 2010GRC" xfId="12795"/>
    <cellStyle name="_PCA 7 - Exhibit D update 9_30_2008_Transmission Workbook for May BOD_DEM-WP(C) ENERG10C--ctn Mid-C_042010 2010GRC 2" xfId="41434"/>
    <cellStyle name="_PCA 7 - Exhibit D update 9_30_2008_Wind Integration 10GRC" xfId="1656"/>
    <cellStyle name="_PCA 7 - Exhibit D update 9_30_2008_Wind Integration 10GRC 2" xfId="1657"/>
    <cellStyle name="_PCA 7 - Exhibit D update 9_30_2008_Wind Integration 10GRC 2 2" xfId="5026"/>
    <cellStyle name="_PCA 7 - Exhibit D update 9_30_2008_Wind Integration 10GRC 2 2 2" xfId="24960"/>
    <cellStyle name="_PCA 7 - Exhibit D update 9_30_2008_Wind Integration 10GRC 2 2 2 2" xfId="24961"/>
    <cellStyle name="_PCA 7 - Exhibit D update 9_30_2008_Wind Integration 10GRC 2 2 3" xfId="24962"/>
    <cellStyle name="_PCA 7 - Exhibit D update 9_30_2008_Wind Integration 10GRC 2 2 4" xfId="24963"/>
    <cellStyle name="_PCA 7 - Exhibit D update 9_30_2008_Wind Integration 10GRC 2 3" xfId="24964"/>
    <cellStyle name="_PCA 7 - Exhibit D update 9_30_2008_Wind Integration 10GRC 2 3 2" xfId="24965"/>
    <cellStyle name="_PCA 7 - Exhibit D update 9_30_2008_Wind Integration 10GRC 2 4" xfId="24966"/>
    <cellStyle name="_PCA 7 - Exhibit D update 9_30_2008_Wind Integration 10GRC 3" xfId="5025"/>
    <cellStyle name="_PCA 7 - Exhibit D update 9_30_2008_Wind Integration 10GRC 3 2" xfId="24967"/>
    <cellStyle name="_PCA 7 - Exhibit D update 9_30_2008_Wind Integration 10GRC 3 2 2" xfId="24968"/>
    <cellStyle name="_PCA 7 - Exhibit D update 9_30_2008_Wind Integration 10GRC 3 3" xfId="24969"/>
    <cellStyle name="_PCA 7 - Exhibit D update 9_30_2008_Wind Integration 10GRC 3 4" xfId="24970"/>
    <cellStyle name="_PCA 7 - Exhibit D update 9_30_2008_Wind Integration 10GRC 4" xfId="24971"/>
    <cellStyle name="_PCA 7 - Exhibit D update 9_30_2008_Wind Integration 10GRC 4 2" xfId="24972"/>
    <cellStyle name="_PCA 7 - Exhibit D update 9_30_2008_Wind Integration 10GRC 5" xfId="24973"/>
    <cellStyle name="_PCA 7 - Exhibit D update 9_30_2008_Wind Integration 10GRC_DEM-WP(C) ENERG10C--ctn Mid-C_042010 2010GRC" xfId="12796"/>
    <cellStyle name="_PCA 7 - Exhibit D update 9_30_2008_Wind Integration 10GRC_DEM-WP(C) ENERG10C--ctn Mid-C_042010 2010GRC 2" xfId="41435"/>
    <cellStyle name="_Portfolio SPlan Base Case.xls Chart 1" xfId="1658"/>
    <cellStyle name="_Portfolio SPlan Base Case.xls Chart 1 2" xfId="1659"/>
    <cellStyle name="_Portfolio SPlan Base Case.xls Chart 1 2 2" xfId="5028"/>
    <cellStyle name="_Portfolio SPlan Base Case.xls Chart 1 2 2 2" xfId="21020"/>
    <cellStyle name="_Portfolio SPlan Base Case.xls Chart 1 2 2 2 2" xfId="24974"/>
    <cellStyle name="_Portfolio SPlan Base Case.xls Chart 1 2 2 2 2 2" xfId="24975"/>
    <cellStyle name="_Portfolio SPlan Base Case.xls Chart 1 2 2 2 3" xfId="24976"/>
    <cellStyle name="_Portfolio SPlan Base Case.xls Chart 1 2 2 3" xfId="24977"/>
    <cellStyle name="_Portfolio SPlan Base Case.xls Chart 1 2 2 3 2" xfId="24978"/>
    <cellStyle name="_Portfolio SPlan Base Case.xls Chart 1 2 2 4" xfId="24979"/>
    <cellStyle name="_Portfolio SPlan Base Case.xls Chart 1 2 3" xfId="16763"/>
    <cellStyle name="_Portfolio SPlan Base Case.xls Chart 1 2 3 2" xfId="24980"/>
    <cellStyle name="_Portfolio SPlan Base Case.xls Chart 1 2 3 2 2" xfId="24981"/>
    <cellStyle name="_Portfolio SPlan Base Case.xls Chart 1 2 3 3" xfId="24982"/>
    <cellStyle name="_Portfolio SPlan Base Case.xls Chart 1 2 4" xfId="24983"/>
    <cellStyle name="_Portfolio SPlan Base Case.xls Chart 1 2 4 2" xfId="24984"/>
    <cellStyle name="_Portfolio SPlan Base Case.xls Chart 1 2 5" xfId="24985"/>
    <cellStyle name="_Portfolio SPlan Base Case.xls Chart 1 3" xfId="5027"/>
    <cellStyle name="_Portfolio SPlan Base Case.xls Chart 1 3 2" xfId="21021"/>
    <cellStyle name="_Portfolio SPlan Base Case.xls Chart 1 3 2 2" xfId="24986"/>
    <cellStyle name="_Portfolio SPlan Base Case.xls Chart 1 3 2 3" xfId="24987"/>
    <cellStyle name="_Portfolio SPlan Base Case.xls Chart 1 3 3" xfId="24988"/>
    <cellStyle name="_Portfolio SPlan Base Case.xls Chart 1 3 4" xfId="24989"/>
    <cellStyle name="_Portfolio SPlan Base Case.xls Chart 1 4" xfId="16762"/>
    <cellStyle name="_Portfolio SPlan Base Case.xls Chart 1 4 2" xfId="24990"/>
    <cellStyle name="_Portfolio SPlan Base Case.xls Chart 1 4 2 2" xfId="24991"/>
    <cellStyle name="_Portfolio SPlan Base Case.xls Chart 1 4 3" xfId="24992"/>
    <cellStyle name="_Portfolio SPlan Base Case.xls Chart 1 5" xfId="24993"/>
    <cellStyle name="_Portfolio SPlan Base Case.xls Chart 1 5 2" xfId="24994"/>
    <cellStyle name="_Portfolio SPlan Base Case.xls Chart 1 5 3" xfId="24995"/>
    <cellStyle name="_Portfolio SPlan Base Case.xls Chart 1 6" xfId="24996"/>
    <cellStyle name="_Portfolio SPlan Base Case.xls Chart 1 6 2" xfId="24997"/>
    <cellStyle name="_Portfolio SPlan Base Case.xls Chart 1_Adj Bench DR 3 for Initial Briefs (Electric)" xfId="1660"/>
    <cellStyle name="_Portfolio SPlan Base Case.xls Chart 1_Adj Bench DR 3 for Initial Briefs (Electric) 2" xfId="1661"/>
    <cellStyle name="_Portfolio SPlan Base Case.xls Chart 1_Adj Bench DR 3 for Initial Briefs (Electric) 2 2" xfId="5030"/>
    <cellStyle name="_Portfolio SPlan Base Case.xls Chart 1_Adj Bench DR 3 for Initial Briefs (Electric) 2 2 2" xfId="21022"/>
    <cellStyle name="_Portfolio SPlan Base Case.xls Chart 1_Adj Bench DR 3 for Initial Briefs (Electric) 2 2 2 2" xfId="24998"/>
    <cellStyle name="_Portfolio SPlan Base Case.xls Chart 1_Adj Bench DR 3 for Initial Briefs (Electric) 2 2 3" xfId="24999"/>
    <cellStyle name="_Portfolio SPlan Base Case.xls Chart 1_Adj Bench DR 3 for Initial Briefs (Electric) 2 2 4" xfId="25000"/>
    <cellStyle name="_Portfolio SPlan Base Case.xls Chart 1_Adj Bench DR 3 for Initial Briefs (Electric) 2 3" xfId="16765"/>
    <cellStyle name="_Portfolio SPlan Base Case.xls Chart 1_Adj Bench DR 3 for Initial Briefs (Electric) 2 3 2" xfId="25001"/>
    <cellStyle name="_Portfolio SPlan Base Case.xls Chart 1_Adj Bench DR 3 for Initial Briefs (Electric) 2 4" xfId="25002"/>
    <cellStyle name="_Portfolio SPlan Base Case.xls Chart 1_Adj Bench DR 3 for Initial Briefs (Electric) 3" xfId="5029"/>
    <cellStyle name="_Portfolio SPlan Base Case.xls Chart 1_Adj Bench DR 3 for Initial Briefs (Electric) 3 2" xfId="21023"/>
    <cellStyle name="_Portfolio SPlan Base Case.xls Chart 1_Adj Bench DR 3 for Initial Briefs (Electric) 3 2 2" xfId="25003"/>
    <cellStyle name="_Portfolio SPlan Base Case.xls Chart 1_Adj Bench DR 3 for Initial Briefs (Electric) 3 3" xfId="25004"/>
    <cellStyle name="_Portfolio SPlan Base Case.xls Chart 1_Adj Bench DR 3 for Initial Briefs (Electric) 3 4" xfId="25005"/>
    <cellStyle name="_Portfolio SPlan Base Case.xls Chart 1_Adj Bench DR 3 for Initial Briefs (Electric) 4" xfId="16764"/>
    <cellStyle name="_Portfolio SPlan Base Case.xls Chart 1_Adj Bench DR 3 for Initial Briefs (Electric) 4 2" xfId="25006"/>
    <cellStyle name="_Portfolio SPlan Base Case.xls Chart 1_Adj Bench DR 3 for Initial Briefs (Electric) 5" xfId="25007"/>
    <cellStyle name="_Portfolio SPlan Base Case.xls Chart 1_Adj Bench DR 3 for Initial Briefs (Electric)_DEM-WP(C) ENERG10C--ctn Mid-C_042010 2010GRC" xfId="12797"/>
    <cellStyle name="_Portfolio SPlan Base Case.xls Chart 1_Adj Bench DR 3 for Initial Briefs (Electric)_DEM-WP(C) ENERG10C--ctn Mid-C_042010 2010GRC 2" xfId="41436"/>
    <cellStyle name="_Portfolio SPlan Base Case.xls Chart 1_Book1" xfId="14275"/>
    <cellStyle name="_Portfolio SPlan Base Case.xls Chart 1_Book1 2" xfId="41437"/>
    <cellStyle name="_Portfolio SPlan Base Case.xls Chart 1_Book2" xfId="1662"/>
    <cellStyle name="_Portfolio SPlan Base Case.xls Chart 1_Book2 2" xfId="1663"/>
    <cellStyle name="_Portfolio SPlan Base Case.xls Chart 1_Book2 2 2" xfId="5032"/>
    <cellStyle name="_Portfolio SPlan Base Case.xls Chart 1_Book2 2 2 2" xfId="21024"/>
    <cellStyle name="_Portfolio SPlan Base Case.xls Chart 1_Book2 2 2 2 2" xfId="25008"/>
    <cellStyle name="_Portfolio SPlan Base Case.xls Chart 1_Book2 2 2 3" xfId="25009"/>
    <cellStyle name="_Portfolio SPlan Base Case.xls Chart 1_Book2 2 2 4" xfId="25010"/>
    <cellStyle name="_Portfolio SPlan Base Case.xls Chart 1_Book2 2 3" xfId="16767"/>
    <cellStyle name="_Portfolio SPlan Base Case.xls Chart 1_Book2 2 3 2" xfId="25011"/>
    <cellStyle name="_Portfolio SPlan Base Case.xls Chart 1_Book2 2 4" xfId="25012"/>
    <cellStyle name="_Portfolio SPlan Base Case.xls Chart 1_Book2 3" xfId="5031"/>
    <cellStyle name="_Portfolio SPlan Base Case.xls Chart 1_Book2 3 2" xfId="21025"/>
    <cellStyle name="_Portfolio SPlan Base Case.xls Chart 1_Book2 3 2 2" xfId="25013"/>
    <cellStyle name="_Portfolio SPlan Base Case.xls Chart 1_Book2 3 3" xfId="25014"/>
    <cellStyle name="_Portfolio SPlan Base Case.xls Chart 1_Book2 3 4" xfId="25015"/>
    <cellStyle name="_Portfolio SPlan Base Case.xls Chart 1_Book2 4" xfId="16766"/>
    <cellStyle name="_Portfolio SPlan Base Case.xls Chart 1_Book2 4 2" xfId="25016"/>
    <cellStyle name="_Portfolio SPlan Base Case.xls Chart 1_Book2 5" xfId="25017"/>
    <cellStyle name="_Portfolio SPlan Base Case.xls Chart 1_Book2_Adj Bench DR 3 for Initial Briefs (Electric)" xfId="1664"/>
    <cellStyle name="_Portfolio SPlan Base Case.xls Chart 1_Book2_Adj Bench DR 3 for Initial Briefs (Electric) 2" xfId="1665"/>
    <cellStyle name="_Portfolio SPlan Base Case.xls Chart 1_Book2_Adj Bench DR 3 for Initial Briefs (Electric) 2 2" xfId="5034"/>
    <cellStyle name="_Portfolio SPlan Base Case.xls Chart 1_Book2_Adj Bench DR 3 for Initial Briefs (Electric) 2 2 2" xfId="21026"/>
    <cellStyle name="_Portfolio SPlan Base Case.xls Chart 1_Book2_Adj Bench DR 3 for Initial Briefs (Electric) 2 2 2 2" xfId="25018"/>
    <cellStyle name="_Portfolio SPlan Base Case.xls Chart 1_Book2_Adj Bench DR 3 for Initial Briefs (Electric) 2 2 3" xfId="25019"/>
    <cellStyle name="_Portfolio SPlan Base Case.xls Chart 1_Book2_Adj Bench DR 3 for Initial Briefs (Electric) 2 2 4" xfId="25020"/>
    <cellStyle name="_Portfolio SPlan Base Case.xls Chart 1_Book2_Adj Bench DR 3 for Initial Briefs (Electric) 2 3" xfId="16769"/>
    <cellStyle name="_Portfolio SPlan Base Case.xls Chart 1_Book2_Adj Bench DR 3 for Initial Briefs (Electric) 2 3 2" xfId="25021"/>
    <cellStyle name="_Portfolio SPlan Base Case.xls Chart 1_Book2_Adj Bench DR 3 for Initial Briefs (Electric) 2 4" xfId="25022"/>
    <cellStyle name="_Portfolio SPlan Base Case.xls Chart 1_Book2_Adj Bench DR 3 for Initial Briefs (Electric) 3" xfId="5033"/>
    <cellStyle name="_Portfolio SPlan Base Case.xls Chart 1_Book2_Adj Bench DR 3 for Initial Briefs (Electric) 3 2" xfId="21027"/>
    <cellStyle name="_Portfolio SPlan Base Case.xls Chart 1_Book2_Adj Bench DR 3 for Initial Briefs (Electric) 3 2 2" xfId="25023"/>
    <cellStyle name="_Portfolio SPlan Base Case.xls Chart 1_Book2_Adj Bench DR 3 for Initial Briefs (Electric) 3 3" xfId="25024"/>
    <cellStyle name="_Portfolio SPlan Base Case.xls Chart 1_Book2_Adj Bench DR 3 for Initial Briefs (Electric) 3 4" xfId="25025"/>
    <cellStyle name="_Portfolio SPlan Base Case.xls Chart 1_Book2_Adj Bench DR 3 for Initial Briefs (Electric) 4" xfId="16768"/>
    <cellStyle name="_Portfolio SPlan Base Case.xls Chart 1_Book2_Adj Bench DR 3 for Initial Briefs (Electric) 4 2" xfId="25026"/>
    <cellStyle name="_Portfolio SPlan Base Case.xls Chart 1_Book2_Adj Bench DR 3 for Initial Briefs (Electric) 5" xfId="25027"/>
    <cellStyle name="_Portfolio SPlan Base Case.xls Chart 1_Book2_Adj Bench DR 3 for Initial Briefs (Electric)_DEM-WP(C) ENERG10C--ctn Mid-C_042010 2010GRC" xfId="12798"/>
    <cellStyle name="_Portfolio SPlan Base Case.xls Chart 1_Book2_Adj Bench DR 3 for Initial Briefs (Electric)_DEM-WP(C) ENERG10C--ctn Mid-C_042010 2010GRC 2" xfId="41438"/>
    <cellStyle name="_Portfolio SPlan Base Case.xls Chart 1_Book2_DEM-WP(C) ENERG10C--ctn Mid-C_042010 2010GRC" xfId="12799"/>
    <cellStyle name="_Portfolio SPlan Base Case.xls Chart 1_Book2_DEM-WP(C) ENERG10C--ctn Mid-C_042010 2010GRC 2" xfId="41439"/>
    <cellStyle name="_Portfolio SPlan Base Case.xls Chart 1_Book2_Electric Rev Req Model (2009 GRC) Rebuttal" xfId="1666"/>
    <cellStyle name="_Portfolio SPlan Base Case.xls Chart 1_Book2_Electric Rev Req Model (2009 GRC) Rebuttal 2" xfId="5035"/>
    <cellStyle name="_Portfolio SPlan Base Case.xls Chart 1_Book2_Electric Rev Req Model (2009 GRC) Rebuttal 2 2" xfId="7422"/>
    <cellStyle name="_Portfolio SPlan Base Case.xls Chart 1_Book2_Electric Rev Req Model (2009 GRC) Rebuttal 2 2 2" xfId="21028"/>
    <cellStyle name="_Portfolio SPlan Base Case.xls Chart 1_Book2_Electric Rev Req Model (2009 GRC) Rebuttal 2 3" xfId="18546"/>
    <cellStyle name="_Portfolio SPlan Base Case.xls Chart 1_Book2_Electric Rev Req Model (2009 GRC) Rebuttal 3" xfId="7423"/>
    <cellStyle name="_Portfolio SPlan Base Case.xls Chart 1_Book2_Electric Rev Req Model (2009 GRC) Rebuttal 3 2" xfId="21029"/>
    <cellStyle name="_Portfolio SPlan Base Case.xls Chart 1_Book2_Electric Rev Req Model (2009 GRC) Rebuttal 4" xfId="16770"/>
    <cellStyle name="_Portfolio SPlan Base Case.xls Chart 1_Book2_Electric Rev Req Model (2009 GRC) Rebuttal REmoval of New  WH Solar AdjustMI" xfId="1667"/>
    <cellStyle name="_Portfolio SPlan Base Case.xls Chart 1_Book2_Electric Rev Req Model (2009 GRC) Rebuttal REmoval of New  WH Solar AdjustMI 2" xfId="1668"/>
    <cellStyle name="_Portfolio SPlan Base Case.xls Chart 1_Book2_Electric Rev Req Model (2009 GRC) Rebuttal REmoval of New  WH Solar AdjustMI 2 2" xfId="5037"/>
    <cellStyle name="_Portfolio SPlan Base Case.xls Chart 1_Book2_Electric Rev Req Model (2009 GRC) Rebuttal REmoval of New  WH Solar AdjustMI 2 2 2" xfId="21030"/>
    <cellStyle name="_Portfolio SPlan Base Case.xls Chart 1_Book2_Electric Rev Req Model (2009 GRC) Rebuttal REmoval of New  WH Solar AdjustMI 2 2 2 2" xfId="25028"/>
    <cellStyle name="_Portfolio SPlan Base Case.xls Chart 1_Book2_Electric Rev Req Model (2009 GRC) Rebuttal REmoval of New  WH Solar AdjustMI 2 2 3" xfId="25029"/>
    <cellStyle name="_Portfolio SPlan Base Case.xls Chart 1_Book2_Electric Rev Req Model (2009 GRC) Rebuttal REmoval of New  WH Solar AdjustMI 2 2 4" xfId="25030"/>
    <cellStyle name="_Portfolio SPlan Base Case.xls Chart 1_Book2_Electric Rev Req Model (2009 GRC) Rebuttal REmoval of New  WH Solar AdjustMI 2 3" xfId="16772"/>
    <cellStyle name="_Portfolio SPlan Base Case.xls Chart 1_Book2_Electric Rev Req Model (2009 GRC) Rebuttal REmoval of New  WH Solar AdjustMI 2 3 2" xfId="25031"/>
    <cellStyle name="_Portfolio SPlan Base Case.xls Chart 1_Book2_Electric Rev Req Model (2009 GRC) Rebuttal REmoval of New  WH Solar AdjustMI 2 4" xfId="25032"/>
    <cellStyle name="_Portfolio SPlan Base Case.xls Chart 1_Book2_Electric Rev Req Model (2009 GRC) Rebuttal REmoval of New  WH Solar AdjustMI 3" xfId="5036"/>
    <cellStyle name="_Portfolio SPlan Base Case.xls Chart 1_Book2_Electric Rev Req Model (2009 GRC) Rebuttal REmoval of New  WH Solar AdjustMI 3 2" xfId="21031"/>
    <cellStyle name="_Portfolio SPlan Base Case.xls Chart 1_Book2_Electric Rev Req Model (2009 GRC) Rebuttal REmoval of New  WH Solar AdjustMI 3 2 2" xfId="25033"/>
    <cellStyle name="_Portfolio SPlan Base Case.xls Chart 1_Book2_Electric Rev Req Model (2009 GRC) Rebuttal REmoval of New  WH Solar AdjustMI 3 3" xfId="25034"/>
    <cellStyle name="_Portfolio SPlan Base Case.xls Chart 1_Book2_Electric Rev Req Model (2009 GRC) Rebuttal REmoval of New  WH Solar AdjustMI 3 4" xfId="25035"/>
    <cellStyle name="_Portfolio SPlan Base Case.xls Chart 1_Book2_Electric Rev Req Model (2009 GRC) Rebuttal REmoval of New  WH Solar AdjustMI 4" xfId="16771"/>
    <cellStyle name="_Portfolio SPlan Base Case.xls Chart 1_Book2_Electric Rev Req Model (2009 GRC) Rebuttal REmoval of New  WH Solar AdjustMI 4 2" xfId="25036"/>
    <cellStyle name="_Portfolio SPlan Base Case.xls Chart 1_Book2_Electric Rev Req Model (2009 GRC) Rebuttal REmoval of New  WH Solar AdjustMI 5" xfId="25037"/>
    <cellStyle name="_Portfolio SPlan Base Case.xls Chart 1_Book2_Electric Rev Req Model (2009 GRC) Rebuttal REmoval of New  WH Solar AdjustMI_DEM-WP(C) ENERG10C--ctn Mid-C_042010 2010GRC" xfId="12800"/>
    <cellStyle name="_Portfolio SPlan Base Case.xls Chart 1_Book2_Electric Rev Req Model (2009 GRC) Rebuttal REmoval of New  WH Solar AdjustMI_DEM-WP(C) ENERG10C--ctn Mid-C_042010 2010GRC 2" xfId="41440"/>
    <cellStyle name="_Portfolio SPlan Base Case.xls Chart 1_Book2_Electric Rev Req Model (2009 GRC) Revised 01-18-2010" xfId="1669"/>
    <cellStyle name="_Portfolio SPlan Base Case.xls Chart 1_Book2_Electric Rev Req Model (2009 GRC) Revised 01-18-2010 2" xfId="1670"/>
    <cellStyle name="_Portfolio SPlan Base Case.xls Chart 1_Book2_Electric Rev Req Model (2009 GRC) Revised 01-18-2010 2 2" xfId="5039"/>
    <cellStyle name="_Portfolio SPlan Base Case.xls Chart 1_Book2_Electric Rev Req Model (2009 GRC) Revised 01-18-2010 2 2 2" xfId="21032"/>
    <cellStyle name="_Portfolio SPlan Base Case.xls Chart 1_Book2_Electric Rev Req Model (2009 GRC) Revised 01-18-2010 2 2 2 2" xfId="25038"/>
    <cellStyle name="_Portfolio SPlan Base Case.xls Chart 1_Book2_Electric Rev Req Model (2009 GRC) Revised 01-18-2010 2 2 3" xfId="25039"/>
    <cellStyle name="_Portfolio SPlan Base Case.xls Chart 1_Book2_Electric Rev Req Model (2009 GRC) Revised 01-18-2010 2 2 4" xfId="25040"/>
    <cellStyle name="_Portfolio SPlan Base Case.xls Chart 1_Book2_Electric Rev Req Model (2009 GRC) Revised 01-18-2010 2 3" xfId="16774"/>
    <cellStyle name="_Portfolio SPlan Base Case.xls Chart 1_Book2_Electric Rev Req Model (2009 GRC) Revised 01-18-2010 2 3 2" xfId="25041"/>
    <cellStyle name="_Portfolio SPlan Base Case.xls Chart 1_Book2_Electric Rev Req Model (2009 GRC) Revised 01-18-2010 2 4" xfId="25042"/>
    <cellStyle name="_Portfolio SPlan Base Case.xls Chart 1_Book2_Electric Rev Req Model (2009 GRC) Revised 01-18-2010 3" xfId="5038"/>
    <cellStyle name="_Portfolio SPlan Base Case.xls Chart 1_Book2_Electric Rev Req Model (2009 GRC) Revised 01-18-2010 3 2" xfId="21033"/>
    <cellStyle name="_Portfolio SPlan Base Case.xls Chart 1_Book2_Electric Rev Req Model (2009 GRC) Revised 01-18-2010 3 2 2" xfId="25043"/>
    <cellStyle name="_Portfolio SPlan Base Case.xls Chart 1_Book2_Electric Rev Req Model (2009 GRC) Revised 01-18-2010 3 3" xfId="25044"/>
    <cellStyle name="_Portfolio SPlan Base Case.xls Chart 1_Book2_Electric Rev Req Model (2009 GRC) Revised 01-18-2010 3 4" xfId="25045"/>
    <cellStyle name="_Portfolio SPlan Base Case.xls Chart 1_Book2_Electric Rev Req Model (2009 GRC) Revised 01-18-2010 4" xfId="16773"/>
    <cellStyle name="_Portfolio SPlan Base Case.xls Chart 1_Book2_Electric Rev Req Model (2009 GRC) Revised 01-18-2010 4 2" xfId="25046"/>
    <cellStyle name="_Portfolio SPlan Base Case.xls Chart 1_Book2_Electric Rev Req Model (2009 GRC) Revised 01-18-2010 5" xfId="25047"/>
    <cellStyle name="_Portfolio SPlan Base Case.xls Chart 1_Book2_Electric Rev Req Model (2009 GRC) Revised 01-18-2010_DEM-WP(C) ENERG10C--ctn Mid-C_042010 2010GRC" xfId="12801"/>
    <cellStyle name="_Portfolio SPlan Base Case.xls Chart 1_Book2_Electric Rev Req Model (2009 GRC) Revised 01-18-2010_DEM-WP(C) ENERG10C--ctn Mid-C_042010 2010GRC 2" xfId="41441"/>
    <cellStyle name="_Portfolio SPlan Base Case.xls Chart 1_Book2_Final Order Electric EXHIBIT A-1" xfId="1671"/>
    <cellStyle name="_Portfolio SPlan Base Case.xls Chart 1_Book2_Final Order Electric EXHIBIT A-1 2" xfId="5040"/>
    <cellStyle name="_Portfolio SPlan Base Case.xls Chart 1_Book2_Final Order Electric EXHIBIT A-1 2 2" xfId="7424"/>
    <cellStyle name="_Portfolio SPlan Base Case.xls Chart 1_Book2_Final Order Electric EXHIBIT A-1 2 2 2" xfId="21034"/>
    <cellStyle name="_Portfolio SPlan Base Case.xls Chart 1_Book2_Final Order Electric EXHIBIT A-1 2 3" xfId="18547"/>
    <cellStyle name="_Portfolio SPlan Base Case.xls Chart 1_Book2_Final Order Electric EXHIBIT A-1 2 4" xfId="25048"/>
    <cellStyle name="_Portfolio SPlan Base Case.xls Chart 1_Book2_Final Order Electric EXHIBIT A-1 3" xfId="7425"/>
    <cellStyle name="_Portfolio SPlan Base Case.xls Chart 1_Book2_Final Order Electric EXHIBIT A-1 3 2" xfId="21035"/>
    <cellStyle name="_Portfolio SPlan Base Case.xls Chart 1_Book2_Final Order Electric EXHIBIT A-1 4" xfId="16775"/>
    <cellStyle name="_Portfolio SPlan Base Case.xls Chart 1_Book2_Final Order Electric EXHIBIT A-1 5" xfId="25049"/>
    <cellStyle name="_Portfolio SPlan Base Case.xls Chart 1_Book2_Final Order Electric EXHIBIT A-1 6" xfId="25050"/>
    <cellStyle name="_Portfolio SPlan Base Case.xls Chart 1_Chelan PUD Power Costs (8-10)" xfId="12802"/>
    <cellStyle name="_Portfolio SPlan Base Case.xls Chart 1_Chelan PUD Power Costs (8-10) 2" xfId="25051"/>
    <cellStyle name="_Portfolio SPlan Base Case.xls Chart 1_Colstrip 1&amp;2 Annual O&amp;M Budgets" xfId="25052"/>
    <cellStyle name="_Portfolio SPlan Base Case.xls Chart 1_Confidential Material" xfId="12803"/>
    <cellStyle name="_Portfolio SPlan Base Case.xls Chart 1_Confidential Material 2" xfId="25053"/>
    <cellStyle name="_Portfolio SPlan Base Case.xls Chart 1_DEM-WP(C) Colstrip 12 Coal Cost Forecast 2010GRC" xfId="12804"/>
    <cellStyle name="_Portfolio SPlan Base Case.xls Chart 1_DEM-WP(C) Colstrip 12 Coal Cost Forecast 2010GRC 2" xfId="25054"/>
    <cellStyle name="_Portfolio SPlan Base Case.xls Chart 1_DEM-WP(C) ENERG10C--ctn Mid-C_042010 2010GRC" xfId="12805"/>
    <cellStyle name="_Portfolio SPlan Base Case.xls Chart 1_DEM-WP(C) ENERG10C--ctn Mid-C_042010 2010GRC 2" xfId="41442"/>
    <cellStyle name="_Portfolio SPlan Base Case.xls Chart 1_DEM-WP(C) Production O&amp;M 2010GRC As-Filed" xfId="12806"/>
    <cellStyle name="_Portfolio SPlan Base Case.xls Chart 1_DEM-WP(C) Production O&amp;M 2010GRC As-Filed 2" xfId="12807"/>
    <cellStyle name="_Portfolio SPlan Base Case.xls Chart 1_DEM-WP(C) Production O&amp;M 2010GRC As-Filed 2 2" xfId="25055"/>
    <cellStyle name="_Portfolio SPlan Base Case.xls Chart 1_DEM-WP(C) Production O&amp;M 2010GRC As-Filed 3" xfId="12808"/>
    <cellStyle name="_Portfolio SPlan Base Case.xls Chart 1_DEM-WP(C) Production O&amp;M 2010GRC As-Filed 3 2" xfId="25056"/>
    <cellStyle name="_Portfolio SPlan Base Case.xls Chart 1_DEM-WP(C) Production O&amp;M 2010GRC As-Filed 4" xfId="25057"/>
    <cellStyle name="_Portfolio SPlan Base Case.xls Chart 1_DEM-WP(C) Production O&amp;M 2010GRC As-Filed 4 2" xfId="25058"/>
    <cellStyle name="_Portfolio SPlan Base Case.xls Chart 1_DEM-WP(C) Production O&amp;M 2010GRC As-Filed 5" xfId="25059"/>
    <cellStyle name="_Portfolio SPlan Base Case.xls Chart 1_DEM-WP(C) Production O&amp;M 2010GRC As-Filed 5 2" xfId="25060"/>
    <cellStyle name="_Portfolio SPlan Base Case.xls Chart 1_DEM-WP(C) Production O&amp;M 2010GRC As-Filed 6" xfId="25061"/>
    <cellStyle name="_Portfolio SPlan Base Case.xls Chart 1_DEM-WP(C) Production O&amp;M 2010GRC As-Filed 6 2" xfId="25062"/>
    <cellStyle name="_Portfolio SPlan Base Case.xls Chart 1_Electric Rev Req Model (2009 GRC) " xfId="1672"/>
    <cellStyle name="_Portfolio SPlan Base Case.xls Chart 1_Electric Rev Req Model (2009 GRC)  2" xfId="1673"/>
    <cellStyle name="_Portfolio SPlan Base Case.xls Chart 1_Electric Rev Req Model (2009 GRC)  2 2" xfId="5042"/>
    <cellStyle name="_Portfolio SPlan Base Case.xls Chart 1_Electric Rev Req Model (2009 GRC)  2 2 2" xfId="21036"/>
    <cellStyle name="_Portfolio SPlan Base Case.xls Chart 1_Electric Rev Req Model (2009 GRC)  2 2 2 2" xfId="25063"/>
    <cellStyle name="_Portfolio SPlan Base Case.xls Chart 1_Electric Rev Req Model (2009 GRC)  2 2 3" xfId="25064"/>
    <cellStyle name="_Portfolio SPlan Base Case.xls Chart 1_Electric Rev Req Model (2009 GRC)  2 2 4" xfId="25065"/>
    <cellStyle name="_Portfolio SPlan Base Case.xls Chart 1_Electric Rev Req Model (2009 GRC)  2 3" xfId="16777"/>
    <cellStyle name="_Portfolio SPlan Base Case.xls Chart 1_Electric Rev Req Model (2009 GRC)  2 3 2" xfId="25066"/>
    <cellStyle name="_Portfolio SPlan Base Case.xls Chart 1_Electric Rev Req Model (2009 GRC)  2 4" xfId="25067"/>
    <cellStyle name="_Portfolio SPlan Base Case.xls Chart 1_Electric Rev Req Model (2009 GRC)  3" xfId="5041"/>
    <cellStyle name="_Portfolio SPlan Base Case.xls Chart 1_Electric Rev Req Model (2009 GRC)  3 2" xfId="21037"/>
    <cellStyle name="_Portfolio SPlan Base Case.xls Chart 1_Electric Rev Req Model (2009 GRC)  3 2 2" xfId="25068"/>
    <cellStyle name="_Portfolio SPlan Base Case.xls Chart 1_Electric Rev Req Model (2009 GRC)  3 3" xfId="25069"/>
    <cellStyle name="_Portfolio SPlan Base Case.xls Chart 1_Electric Rev Req Model (2009 GRC)  3 4" xfId="25070"/>
    <cellStyle name="_Portfolio SPlan Base Case.xls Chart 1_Electric Rev Req Model (2009 GRC)  4" xfId="16776"/>
    <cellStyle name="_Portfolio SPlan Base Case.xls Chart 1_Electric Rev Req Model (2009 GRC)  4 2" xfId="25071"/>
    <cellStyle name="_Portfolio SPlan Base Case.xls Chart 1_Electric Rev Req Model (2009 GRC)  5" xfId="25072"/>
    <cellStyle name="_Portfolio SPlan Base Case.xls Chart 1_Electric Rev Req Model (2009 GRC) _DEM-WP(C) ENERG10C--ctn Mid-C_042010 2010GRC" xfId="12809"/>
    <cellStyle name="_Portfolio SPlan Base Case.xls Chart 1_Electric Rev Req Model (2009 GRC) _DEM-WP(C) ENERG10C--ctn Mid-C_042010 2010GRC 2" xfId="41443"/>
    <cellStyle name="_Portfolio SPlan Base Case.xls Chart 1_Electric Rev Req Model (2009 GRC) Rebuttal" xfId="1674"/>
    <cellStyle name="_Portfolio SPlan Base Case.xls Chart 1_Electric Rev Req Model (2009 GRC) Rebuttal 2" xfId="5043"/>
    <cellStyle name="_Portfolio SPlan Base Case.xls Chart 1_Electric Rev Req Model (2009 GRC) Rebuttal 2 2" xfId="7426"/>
    <cellStyle name="_Portfolio SPlan Base Case.xls Chart 1_Electric Rev Req Model (2009 GRC) Rebuttal 2 2 2" xfId="21038"/>
    <cellStyle name="_Portfolio SPlan Base Case.xls Chart 1_Electric Rev Req Model (2009 GRC) Rebuttal 2 3" xfId="18548"/>
    <cellStyle name="_Portfolio SPlan Base Case.xls Chart 1_Electric Rev Req Model (2009 GRC) Rebuttal 3" xfId="7427"/>
    <cellStyle name="_Portfolio SPlan Base Case.xls Chart 1_Electric Rev Req Model (2009 GRC) Rebuttal 3 2" xfId="21039"/>
    <cellStyle name="_Portfolio SPlan Base Case.xls Chart 1_Electric Rev Req Model (2009 GRC) Rebuttal 4" xfId="16778"/>
    <cellStyle name="_Portfolio SPlan Base Case.xls Chart 1_Electric Rev Req Model (2009 GRC) Rebuttal REmoval of New  WH Solar AdjustMI" xfId="1675"/>
    <cellStyle name="_Portfolio SPlan Base Case.xls Chart 1_Electric Rev Req Model (2009 GRC) Rebuttal REmoval of New  WH Solar AdjustMI 2" xfId="1676"/>
    <cellStyle name="_Portfolio SPlan Base Case.xls Chart 1_Electric Rev Req Model (2009 GRC) Rebuttal REmoval of New  WH Solar AdjustMI 2 2" xfId="5045"/>
    <cellStyle name="_Portfolio SPlan Base Case.xls Chart 1_Electric Rev Req Model (2009 GRC) Rebuttal REmoval of New  WH Solar AdjustMI 2 2 2" xfId="21040"/>
    <cellStyle name="_Portfolio SPlan Base Case.xls Chart 1_Electric Rev Req Model (2009 GRC) Rebuttal REmoval of New  WH Solar AdjustMI 2 2 2 2" xfId="25073"/>
    <cellStyle name="_Portfolio SPlan Base Case.xls Chart 1_Electric Rev Req Model (2009 GRC) Rebuttal REmoval of New  WH Solar AdjustMI 2 2 3" xfId="25074"/>
    <cellStyle name="_Portfolio SPlan Base Case.xls Chart 1_Electric Rev Req Model (2009 GRC) Rebuttal REmoval of New  WH Solar AdjustMI 2 2 4" xfId="25075"/>
    <cellStyle name="_Portfolio SPlan Base Case.xls Chart 1_Electric Rev Req Model (2009 GRC) Rebuttal REmoval of New  WH Solar AdjustMI 2 3" xfId="16780"/>
    <cellStyle name="_Portfolio SPlan Base Case.xls Chart 1_Electric Rev Req Model (2009 GRC) Rebuttal REmoval of New  WH Solar AdjustMI 2 3 2" xfId="25076"/>
    <cellStyle name="_Portfolio SPlan Base Case.xls Chart 1_Electric Rev Req Model (2009 GRC) Rebuttal REmoval of New  WH Solar AdjustMI 2 4" xfId="25077"/>
    <cellStyle name="_Portfolio SPlan Base Case.xls Chart 1_Electric Rev Req Model (2009 GRC) Rebuttal REmoval of New  WH Solar AdjustMI 3" xfId="5044"/>
    <cellStyle name="_Portfolio SPlan Base Case.xls Chart 1_Electric Rev Req Model (2009 GRC) Rebuttal REmoval of New  WH Solar AdjustMI 3 2" xfId="21041"/>
    <cellStyle name="_Portfolio SPlan Base Case.xls Chart 1_Electric Rev Req Model (2009 GRC) Rebuttal REmoval of New  WH Solar AdjustMI 3 2 2" xfId="25078"/>
    <cellStyle name="_Portfolio SPlan Base Case.xls Chart 1_Electric Rev Req Model (2009 GRC) Rebuttal REmoval of New  WH Solar AdjustMI 3 3" xfId="25079"/>
    <cellStyle name="_Portfolio SPlan Base Case.xls Chart 1_Electric Rev Req Model (2009 GRC) Rebuttal REmoval of New  WH Solar AdjustMI 3 4" xfId="25080"/>
    <cellStyle name="_Portfolio SPlan Base Case.xls Chart 1_Electric Rev Req Model (2009 GRC) Rebuttal REmoval of New  WH Solar AdjustMI 4" xfId="16779"/>
    <cellStyle name="_Portfolio SPlan Base Case.xls Chart 1_Electric Rev Req Model (2009 GRC) Rebuttal REmoval of New  WH Solar AdjustMI 4 2" xfId="25081"/>
    <cellStyle name="_Portfolio SPlan Base Case.xls Chart 1_Electric Rev Req Model (2009 GRC) Rebuttal REmoval of New  WH Solar AdjustMI 5" xfId="25082"/>
    <cellStyle name="_Portfolio SPlan Base Case.xls Chart 1_Electric Rev Req Model (2009 GRC) Rebuttal REmoval of New  WH Solar AdjustMI_DEM-WP(C) ENERG10C--ctn Mid-C_042010 2010GRC" xfId="12810"/>
    <cellStyle name="_Portfolio SPlan Base Case.xls Chart 1_Electric Rev Req Model (2009 GRC) Rebuttal REmoval of New  WH Solar AdjustMI_DEM-WP(C) ENERG10C--ctn Mid-C_042010 2010GRC 2" xfId="41444"/>
    <cellStyle name="_Portfolio SPlan Base Case.xls Chart 1_Electric Rev Req Model (2009 GRC) Revised 01-18-2010" xfId="1677"/>
    <cellStyle name="_Portfolio SPlan Base Case.xls Chart 1_Electric Rev Req Model (2009 GRC) Revised 01-18-2010 2" xfId="1678"/>
    <cellStyle name="_Portfolio SPlan Base Case.xls Chart 1_Electric Rev Req Model (2009 GRC) Revised 01-18-2010 2 2" xfId="5047"/>
    <cellStyle name="_Portfolio SPlan Base Case.xls Chart 1_Electric Rev Req Model (2009 GRC) Revised 01-18-2010 2 2 2" xfId="21042"/>
    <cellStyle name="_Portfolio SPlan Base Case.xls Chart 1_Electric Rev Req Model (2009 GRC) Revised 01-18-2010 2 2 2 2" xfId="25083"/>
    <cellStyle name="_Portfolio SPlan Base Case.xls Chart 1_Electric Rev Req Model (2009 GRC) Revised 01-18-2010 2 2 3" xfId="25084"/>
    <cellStyle name="_Portfolio SPlan Base Case.xls Chart 1_Electric Rev Req Model (2009 GRC) Revised 01-18-2010 2 2 4" xfId="25085"/>
    <cellStyle name="_Portfolio SPlan Base Case.xls Chart 1_Electric Rev Req Model (2009 GRC) Revised 01-18-2010 2 3" xfId="16782"/>
    <cellStyle name="_Portfolio SPlan Base Case.xls Chart 1_Electric Rev Req Model (2009 GRC) Revised 01-18-2010 2 3 2" xfId="25086"/>
    <cellStyle name="_Portfolio SPlan Base Case.xls Chart 1_Electric Rev Req Model (2009 GRC) Revised 01-18-2010 2 4" xfId="25087"/>
    <cellStyle name="_Portfolio SPlan Base Case.xls Chart 1_Electric Rev Req Model (2009 GRC) Revised 01-18-2010 3" xfId="5046"/>
    <cellStyle name="_Portfolio SPlan Base Case.xls Chart 1_Electric Rev Req Model (2009 GRC) Revised 01-18-2010 3 2" xfId="21043"/>
    <cellStyle name="_Portfolio SPlan Base Case.xls Chart 1_Electric Rev Req Model (2009 GRC) Revised 01-18-2010 3 2 2" xfId="25088"/>
    <cellStyle name="_Portfolio SPlan Base Case.xls Chart 1_Electric Rev Req Model (2009 GRC) Revised 01-18-2010 3 3" xfId="25089"/>
    <cellStyle name="_Portfolio SPlan Base Case.xls Chart 1_Electric Rev Req Model (2009 GRC) Revised 01-18-2010 3 4" xfId="25090"/>
    <cellStyle name="_Portfolio SPlan Base Case.xls Chart 1_Electric Rev Req Model (2009 GRC) Revised 01-18-2010 4" xfId="16781"/>
    <cellStyle name="_Portfolio SPlan Base Case.xls Chart 1_Electric Rev Req Model (2009 GRC) Revised 01-18-2010 4 2" xfId="25091"/>
    <cellStyle name="_Portfolio SPlan Base Case.xls Chart 1_Electric Rev Req Model (2009 GRC) Revised 01-18-2010 5" xfId="25092"/>
    <cellStyle name="_Portfolio SPlan Base Case.xls Chart 1_Electric Rev Req Model (2009 GRC) Revised 01-18-2010_DEM-WP(C) ENERG10C--ctn Mid-C_042010 2010GRC" xfId="12811"/>
    <cellStyle name="_Portfolio SPlan Base Case.xls Chart 1_Electric Rev Req Model (2009 GRC) Revised 01-18-2010_DEM-WP(C) ENERG10C--ctn Mid-C_042010 2010GRC 2" xfId="41445"/>
    <cellStyle name="_Portfolio SPlan Base Case.xls Chart 1_Electric Rev Req Model (2010 GRC)" xfId="14276"/>
    <cellStyle name="_Portfolio SPlan Base Case.xls Chart 1_Electric Rev Req Model (2010 GRC) 2" xfId="41446"/>
    <cellStyle name="_Portfolio SPlan Base Case.xls Chart 1_Electric Rev Req Model (2010 GRC) SF" xfId="14277"/>
    <cellStyle name="_Portfolio SPlan Base Case.xls Chart 1_Electric Rev Req Model (2010 GRC) SF 2" xfId="41447"/>
    <cellStyle name="_Portfolio SPlan Base Case.xls Chart 1_Final Order Electric EXHIBIT A-1" xfId="1679"/>
    <cellStyle name="_Portfolio SPlan Base Case.xls Chart 1_Final Order Electric EXHIBIT A-1 2" xfId="5048"/>
    <cellStyle name="_Portfolio SPlan Base Case.xls Chart 1_Final Order Electric EXHIBIT A-1 2 2" xfId="7428"/>
    <cellStyle name="_Portfolio SPlan Base Case.xls Chart 1_Final Order Electric EXHIBIT A-1 2 2 2" xfId="21044"/>
    <cellStyle name="_Portfolio SPlan Base Case.xls Chart 1_Final Order Electric EXHIBIT A-1 2 3" xfId="18549"/>
    <cellStyle name="_Portfolio SPlan Base Case.xls Chart 1_Final Order Electric EXHIBIT A-1 2 4" xfId="25093"/>
    <cellStyle name="_Portfolio SPlan Base Case.xls Chart 1_Final Order Electric EXHIBIT A-1 3" xfId="7429"/>
    <cellStyle name="_Portfolio SPlan Base Case.xls Chart 1_Final Order Electric EXHIBIT A-1 3 2" xfId="21045"/>
    <cellStyle name="_Portfolio SPlan Base Case.xls Chart 1_Final Order Electric EXHIBIT A-1 4" xfId="16783"/>
    <cellStyle name="_Portfolio SPlan Base Case.xls Chart 1_Final Order Electric EXHIBIT A-1 5" xfId="25094"/>
    <cellStyle name="_Portfolio SPlan Base Case.xls Chart 1_Final Order Electric EXHIBIT A-1 6" xfId="25095"/>
    <cellStyle name="_Portfolio SPlan Base Case.xls Chart 1_NIM Summary" xfId="1680"/>
    <cellStyle name="_Portfolio SPlan Base Case.xls Chart 1_NIM Summary 2" xfId="1681"/>
    <cellStyle name="_Portfolio SPlan Base Case.xls Chart 1_NIM Summary 2 2" xfId="5050"/>
    <cellStyle name="_Portfolio SPlan Base Case.xls Chart 1_NIM Summary 2 2 2" xfId="25096"/>
    <cellStyle name="_Portfolio SPlan Base Case.xls Chart 1_NIM Summary 2 2 2 2" xfId="25097"/>
    <cellStyle name="_Portfolio SPlan Base Case.xls Chart 1_NIM Summary 2 2 3" xfId="25098"/>
    <cellStyle name="_Portfolio SPlan Base Case.xls Chart 1_NIM Summary 2 2 4" xfId="25099"/>
    <cellStyle name="_Portfolio SPlan Base Case.xls Chart 1_NIM Summary 2 3" xfId="25100"/>
    <cellStyle name="_Portfolio SPlan Base Case.xls Chart 1_NIM Summary 2 3 2" xfId="25101"/>
    <cellStyle name="_Portfolio SPlan Base Case.xls Chart 1_NIM Summary 2 4" xfId="25102"/>
    <cellStyle name="_Portfolio SPlan Base Case.xls Chart 1_NIM Summary 3" xfId="5049"/>
    <cellStyle name="_Portfolio SPlan Base Case.xls Chart 1_NIM Summary 3 2" xfId="25103"/>
    <cellStyle name="_Portfolio SPlan Base Case.xls Chart 1_NIM Summary 3 2 2" xfId="25104"/>
    <cellStyle name="_Portfolio SPlan Base Case.xls Chart 1_NIM Summary 3 3" xfId="25105"/>
    <cellStyle name="_Portfolio SPlan Base Case.xls Chart 1_NIM Summary 3 4" xfId="25106"/>
    <cellStyle name="_Portfolio SPlan Base Case.xls Chart 1_NIM Summary 4" xfId="25107"/>
    <cellStyle name="_Portfolio SPlan Base Case.xls Chart 1_NIM Summary 4 2" xfId="25108"/>
    <cellStyle name="_Portfolio SPlan Base Case.xls Chart 1_NIM Summary 5" xfId="25109"/>
    <cellStyle name="_Portfolio SPlan Base Case.xls Chart 1_NIM Summary_DEM-WP(C) ENERG10C--ctn Mid-C_042010 2010GRC" xfId="12812"/>
    <cellStyle name="_Portfolio SPlan Base Case.xls Chart 1_NIM Summary_DEM-WP(C) ENERG10C--ctn Mid-C_042010 2010GRC 2" xfId="41448"/>
    <cellStyle name="_Portfolio SPlan Base Case.xls Chart 1_Rebuttal Power Costs" xfId="1682"/>
    <cellStyle name="_Portfolio SPlan Base Case.xls Chart 1_Rebuttal Power Costs 2" xfId="1683"/>
    <cellStyle name="_Portfolio SPlan Base Case.xls Chart 1_Rebuttal Power Costs 2 2" xfId="5052"/>
    <cellStyle name="_Portfolio SPlan Base Case.xls Chart 1_Rebuttal Power Costs 2 2 2" xfId="21046"/>
    <cellStyle name="_Portfolio SPlan Base Case.xls Chart 1_Rebuttal Power Costs 2 2 2 2" xfId="25110"/>
    <cellStyle name="_Portfolio SPlan Base Case.xls Chart 1_Rebuttal Power Costs 2 2 3" xfId="25111"/>
    <cellStyle name="_Portfolio SPlan Base Case.xls Chart 1_Rebuttal Power Costs 2 2 4" xfId="25112"/>
    <cellStyle name="_Portfolio SPlan Base Case.xls Chart 1_Rebuttal Power Costs 2 3" xfId="16785"/>
    <cellStyle name="_Portfolio SPlan Base Case.xls Chart 1_Rebuttal Power Costs 2 3 2" xfId="25113"/>
    <cellStyle name="_Portfolio SPlan Base Case.xls Chart 1_Rebuttal Power Costs 2 4" xfId="25114"/>
    <cellStyle name="_Portfolio SPlan Base Case.xls Chart 1_Rebuttal Power Costs 3" xfId="5051"/>
    <cellStyle name="_Portfolio SPlan Base Case.xls Chart 1_Rebuttal Power Costs 3 2" xfId="21047"/>
    <cellStyle name="_Portfolio SPlan Base Case.xls Chart 1_Rebuttal Power Costs 3 2 2" xfId="25115"/>
    <cellStyle name="_Portfolio SPlan Base Case.xls Chart 1_Rebuttal Power Costs 3 3" xfId="25116"/>
    <cellStyle name="_Portfolio SPlan Base Case.xls Chart 1_Rebuttal Power Costs 3 4" xfId="25117"/>
    <cellStyle name="_Portfolio SPlan Base Case.xls Chart 1_Rebuttal Power Costs 4" xfId="16784"/>
    <cellStyle name="_Portfolio SPlan Base Case.xls Chart 1_Rebuttal Power Costs 4 2" xfId="25118"/>
    <cellStyle name="_Portfolio SPlan Base Case.xls Chart 1_Rebuttal Power Costs 5" xfId="25119"/>
    <cellStyle name="_Portfolio SPlan Base Case.xls Chart 1_Rebuttal Power Costs_Adj Bench DR 3 for Initial Briefs (Electric)" xfId="1684"/>
    <cellStyle name="_Portfolio SPlan Base Case.xls Chart 1_Rebuttal Power Costs_Adj Bench DR 3 for Initial Briefs (Electric) 2" xfId="1685"/>
    <cellStyle name="_Portfolio SPlan Base Case.xls Chart 1_Rebuttal Power Costs_Adj Bench DR 3 for Initial Briefs (Electric) 2 2" xfId="5054"/>
    <cellStyle name="_Portfolio SPlan Base Case.xls Chart 1_Rebuttal Power Costs_Adj Bench DR 3 for Initial Briefs (Electric) 2 2 2" xfId="21048"/>
    <cellStyle name="_Portfolio SPlan Base Case.xls Chart 1_Rebuttal Power Costs_Adj Bench DR 3 for Initial Briefs (Electric) 2 2 2 2" xfId="25120"/>
    <cellStyle name="_Portfolio SPlan Base Case.xls Chart 1_Rebuttal Power Costs_Adj Bench DR 3 for Initial Briefs (Electric) 2 2 3" xfId="25121"/>
    <cellStyle name="_Portfolio SPlan Base Case.xls Chart 1_Rebuttal Power Costs_Adj Bench DR 3 for Initial Briefs (Electric) 2 2 4" xfId="25122"/>
    <cellStyle name="_Portfolio SPlan Base Case.xls Chart 1_Rebuttal Power Costs_Adj Bench DR 3 for Initial Briefs (Electric) 2 3" xfId="16787"/>
    <cellStyle name="_Portfolio SPlan Base Case.xls Chart 1_Rebuttal Power Costs_Adj Bench DR 3 for Initial Briefs (Electric) 2 3 2" xfId="25123"/>
    <cellStyle name="_Portfolio SPlan Base Case.xls Chart 1_Rebuttal Power Costs_Adj Bench DR 3 for Initial Briefs (Electric) 2 4" xfId="25124"/>
    <cellStyle name="_Portfolio SPlan Base Case.xls Chart 1_Rebuttal Power Costs_Adj Bench DR 3 for Initial Briefs (Electric) 3" xfId="5053"/>
    <cellStyle name="_Portfolio SPlan Base Case.xls Chart 1_Rebuttal Power Costs_Adj Bench DR 3 for Initial Briefs (Electric) 3 2" xfId="21049"/>
    <cellStyle name="_Portfolio SPlan Base Case.xls Chart 1_Rebuttal Power Costs_Adj Bench DR 3 for Initial Briefs (Electric) 3 2 2" xfId="25125"/>
    <cellStyle name="_Portfolio SPlan Base Case.xls Chart 1_Rebuttal Power Costs_Adj Bench DR 3 for Initial Briefs (Electric) 3 3" xfId="25126"/>
    <cellStyle name="_Portfolio SPlan Base Case.xls Chart 1_Rebuttal Power Costs_Adj Bench DR 3 for Initial Briefs (Electric) 3 4" xfId="25127"/>
    <cellStyle name="_Portfolio SPlan Base Case.xls Chart 1_Rebuttal Power Costs_Adj Bench DR 3 for Initial Briefs (Electric) 4" xfId="16786"/>
    <cellStyle name="_Portfolio SPlan Base Case.xls Chart 1_Rebuttal Power Costs_Adj Bench DR 3 for Initial Briefs (Electric) 4 2" xfId="25128"/>
    <cellStyle name="_Portfolio SPlan Base Case.xls Chart 1_Rebuttal Power Costs_Adj Bench DR 3 for Initial Briefs (Electric) 5" xfId="25129"/>
    <cellStyle name="_Portfolio SPlan Base Case.xls Chart 1_Rebuttal Power Costs_Adj Bench DR 3 for Initial Briefs (Electric)_DEM-WP(C) ENERG10C--ctn Mid-C_042010 2010GRC" xfId="12813"/>
    <cellStyle name="_Portfolio SPlan Base Case.xls Chart 1_Rebuttal Power Costs_Adj Bench DR 3 for Initial Briefs (Electric)_DEM-WP(C) ENERG10C--ctn Mid-C_042010 2010GRC 2" xfId="41449"/>
    <cellStyle name="_Portfolio SPlan Base Case.xls Chart 1_Rebuttal Power Costs_DEM-WP(C) ENERG10C--ctn Mid-C_042010 2010GRC" xfId="12814"/>
    <cellStyle name="_Portfolio SPlan Base Case.xls Chart 1_Rebuttal Power Costs_DEM-WP(C) ENERG10C--ctn Mid-C_042010 2010GRC 2" xfId="41450"/>
    <cellStyle name="_Portfolio SPlan Base Case.xls Chart 1_Rebuttal Power Costs_Electric Rev Req Model (2009 GRC) Rebuttal" xfId="1686"/>
    <cellStyle name="_Portfolio SPlan Base Case.xls Chart 1_Rebuttal Power Costs_Electric Rev Req Model (2009 GRC) Rebuttal 2" xfId="5055"/>
    <cellStyle name="_Portfolio SPlan Base Case.xls Chart 1_Rebuttal Power Costs_Electric Rev Req Model (2009 GRC) Rebuttal 2 2" xfId="7430"/>
    <cellStyle name="_Portfolio SPlan Base Case.xls Chart 1_Rebuttal Power Costs_Electric Rev Req Model (2009 GRC) Rebuttal 2 2 2" xfId="21050"/>
    <cellStyle name="_Portfolio SPlan Base Case.xls Chart 1_Rebuttal Power Costs_Electric Rev Req Model (2009 GRC) Rebuttal 2 3" xfId="18550"/>
    <cellStyle name="_Portfolio SPlan Base Case.xls Chart 1_Rebuttal Power Costs_Electric Rev Req Model (2009 GRC) Rebuttal 3" xfId="7431"/>
    <cellStyle name="_Portfolio SPlan Base Case.xls Chart 1_Rebuttal Power Costs_Electric Rev Req Model (2009 GRC) Rebuttal 3 2" xfId="21051"/>
    <cellStyle name="_Portfolio SPlan Base Case.xls Chart 1_Rebuttal Power Costs_Electric Rev Req Model (2009 GRC) Rebuttal 4" xfId="16788"/>
    <cellStyle name="_Portfolio SPlan Base Case.xls Chart 1_Rebuttal Power Costs_Electric Rev Req Model (2009 GRC) Rebuttal REmoval of New  WH Solar AdjustMI" xfId="1687"/>
    <cellStyle name="_Portfolio SPlan Base Case.xls Chart 1_Rebuttal Power Costs_Electric Rev Req Model (2009 GRC) Rebuttal REmoval of New  WH Solar AdjustMI 2" xfId="1688"/>
    <cellStyle name="_Portfolio SPlan Base Case.xls Chart 1_Rebuttal Power Costs_Electric Rev Req Model (2009 GRC) Rebuttal REmoval of New  WH Solar AdjustMI 2 2" xfId="5057"/>
    <cellStyle name="_Portfolio SPlan Base Case.xls Chart 1_Rebuttal Power Costs_Electric Rev Req Model (2009 GRC) Rebuttal REmoval of New  WH Solar AdjustMI 2 2 2" xfId="21052"/>
    <cellStyle name="_Portfolio SPlan Base Case.xls Chart 1_Rebuttal Power Costs_Electric Rev Req Model (2009 GRC) Rebuttal REmoval of New  WH Solar AdjustMI 2 2 2 2" xfId="25130"/>
    <cellStyle name="_Portfolio SPlan Base Case.xls Chart 1_Rebuttal Power Costs_Electric Rev Req Model (2009 GRC) Rebuttal REmoval of New  WH Solar AdjustMI 2 2 3" xfId="25131"/>
    <cellStyle name="_Portfolio SPlan Base Case.xls Chart 1_Rebuttal Power Costs_Electric Rev Req Model (2009 GRC) Rebuttal REmoval of New  WH Solar AdjustMI 2 2 4" xfId="25132"/>
    <cellStyle name="_Portfolio SPlan Base Case.xls Chart 1_Rebuttal Power Costs_Electric Rev Req Model (2009 GRC) Rebuttal REmoval of New  WH Solar AdjustMI 2 3" xfId="16790"/>
    <cellStyle name="_Portfolio SPlan Base Case.xls Chart 1_Rebuttal Power Costs_Electric Rev Req Model (2009 GRC) Rebuttal REmoval of New  WH Solar AdjustMI 2 3 2" xfId="25133"/>
    <cellStyle name="_Portfolio SPlan Base Case.xls Chart 1_Rebuttal Power Costs_Electric Rev Req Model (2009 GRC) Rebuttal REmoval of New  WH Solar AdjustMI 2 4" xfId="25134"/>
    <cellStyle name="_Portfolio SPlan Base Case.xls Chart 1_Rebuttal Power Costs_Electric Rev Req Model (2009 GRC) Rebuttal REmoval of New  WH Solar AdjustMI 3" xfId="5056"/>
    <cellStyle name="_Portfolio SPlan Base Case.xls Chart 1_Rebuttal Power Costs_Electric Rev Req Model (2009 GRC) Rebuttal REmoval of New  WH Solar AdjustMI 3 2" xfId="21053"/>
    <cellStyle name="_Portfolio SPlan Base Case.xls Chart 1_Rebuttal Power Costs_Electric Rev Req Model (2009 GRC) Rebuttal REmoval of New  WH Solar AdjustMI 3 2 2" xfId="25135"/>
    <cellStyle name="_Portfolio SPlan Base Case.xls Chart 1_Rebuttal Power Costs_Electric Rev Req Model (2009 GRC) Rebuttal REmoval of New  WH Solar AdjustMI 3 3" xfId="25136"/>
    <cellStyle name="_Portfolio SPlan Base Case.xls Chart 1_Rebuttal Power Costs_Electric Rev Req Model (2009 GRC) Rebuttal REmoval of New  WH Solar AdjustMI 3 4" xfId="25137"/>
    <cellStyle name="_Portfolio SPlan Base Case.xls Chart 1_Rebuttal Power Costs_Electric Rev Req Model (2009 GRC) Rebuttal REmoval of New  WH Solar AdjustMI 4" xfId="16789"/>
    <cellStyle name="_Portfolio SPlan Base Case.xls Chart 1_Rebuttal Power Costs_Electric Rev Req Model (2009 GRC) Rebuttal REmoval of New  WH Solar AdjustMI 4 2" xfId="25138"/>
    <cellStyle name="_Portfolio SPlan Base Case.xls Chart 1_Rebuttal Power Costs_Electric Rev Req Model (2009 GRC) Rebuttal REmoval of New  WH Solar AdjustMI 5" xfId="25139"/>
    <cellStyle name="_Portfolio SPlan Base Case.xls Chart 1_Rebuttal Power Costs_Electric Rev Req Model (2009 GRC) Rebuttal REmoval of New  WH Solar AdjustMI_DEM-WP(C) ENERG10C--ctn Mid-C_042010 2010GRC" xfId="12815"/>
    <cellStyle name="_Portfolio SPlan Base Case.xls Chart 1_Rebuttal Power Costs_Electric Rev Req Model (2009 GRC) Rebuttal REmoval of New  WH Solar AdjustMI_DEM-WP(C) ENERG10C--ctn Mid-C_042010 2010GRC 2" xfId="41451"/>
    <cellStyle name="_Portfolio SPlan Base Case.xls Chart 1_Rebuttal Power Costs_Electric Rev Req Model (2009 GRC) Revised 01-18-2010" xfId="1689"/>
    <cellStyle name="_Portfolio SPlan Base Case.xls Chart 1_Rebuttal Power Costs_Electric Rev Req Model (2009 GRC) Revised 01-18-2010 2" xfId="1690"/>
    <cellStyle name="_Portfolio SPlan Base Case.xls Chart 1_Rebuttal Power Costs_Electric Rev Req Model (2009 GRC) Revised 01-18-2010 2 2" xfId="5059"/>
    <cellStyle name="_Portfolio SPlan Base Case.xls Chart 1_Rebuttal Power Costs_Electric Rev Req Model (2009 GRC) Revised 01-18-2010 2 2 2" xfId="21054"/>
    <cellStyle name="_Portfolio SPlan Base Case.xls Chart 1_Rebuttal Power Costs_Electric Rev Req Model (2009 GRC) Revised 01-18-2010 2 2 2 2" xfId="25140"/>
    <cellStyle name="_Portfolio SPlan Base Case.xls Chart 1_Rebuttal Power Costs_Electric Rev Req Model (2009 GRC) Revised 01-18-2010 2 2 3" xfId="25141"/>
    <cellStyle name="_Portfolio SPlan Base Case.xls Chart 1_Rebuttal Power Costs_Electric Rev Req Model (2009 GRC) Revised 01-18-2010 2 2 4" xfId="25142"/>
    <cellStyle name="_Portfolio SPlan Base Case.xls Chart 1_Rebuttal Power Costs_Electric Rev Req Model (2009 GRC) Revised 01-18-2010 2 3" xfId="16792"/>
    <cellStyle name="_Portfolio SPlan Base Case.xls Chart 1_Rebuttal Power Costs_Electric Rev Req Model (2009 GRC) Revised 01-18-2010 2 3 2" xfId="25143"/>
    <cellStyle name="_Portfolio SPlan Base Case.xls Chart 1_Rebuttal Power Costs_Electric Rev Req Model (2009 GRC) Revised 01-18-2010 2 4" xfId="25144"/>
    <cellStyle name="_Portfolio SPlan Base Case.xls Chart 1_Rebuttal Power Costs_Electric Rev Req Model (2009 GRC) Revised 01-18-2010 3" xfId="5058"/>
    <cellStyle name="_Portfolio SPlan Base Case.xls Chart 1_Rebuttal Power Costs_Electric Rev Req Model (2009 GRC) Revised 01-18-2010 3 2" xfId="21055"/>
    <cellStyle name="_Portfolio SPlan Base Case.xls Chart 1_Rebuttal Power Costs_Electric Rev Req Model (2009 GRC) Revised 01-18-2010 3 2 2" xfId="25145"/>
    <cellStyle name="_Portfolio SPlan Base Case.xls Chart 1_Rebuttal Power Costs_Electric Rev Req Model (2009 GRC) Revised 01-18-2010 3 3" xfId="25146"/>
    <cellStyle name="_Portfolio SPlan Base Case.xls Chart 1_Rebuttal Power Costs_Electric Rev Req Model (2009 GRC) Revised 01-18-2010 3 4" xfId="25147"/>
    <cellStyle name="_Portfolio SPlan Base Case.xls Chart 1_Rebuttal Power Costs_Electric Rev Req Model (2009 GRC) Revised 01-18-2010 4" xfId="16791"/>
    <cellStyle name="_Portfolio SPlan Base Case.xls Chart 1_Rebuttal Power Costs_Electric Rev Req Model (2009 GRC) Revised 01-18-2010 4 2" xfId="25148"/>
    <cellStyle name="_Portfolio SPlan Base Case.xls Chart 1_Rebuttal Power Costs_Electric Rev Req Model (2009 GRC) Revised 01-18-2010 5" xfId="25149"/>
    <cellStyle name="_Portfolio SPlan Base Case.xls Chart 1_Rebuttal Power Costs_Electric Rev Req Model (2009 GRC) Revised 01-18-2010_DEM-WP(C) ENERG10C--ctn Mid-C_042010 2010GRC" xfId="12816"/>
    <cellStyle name="_Portfolio SPlan Base Case.xls Chart 1_Rebuttal Power Costs_Electric Rev Req Model (2009 GRC) Revised 01-18-2010_DEM-WP(C) ENERG10C--ctn Mid-C_042010 2010GRC 2" xfId="41452"/>
    <cellStyle name="_Portfolio SPlan Base Case.xls Chart 1_Rebuttal Power Costs_Final Order Electric EXHIBIT A-1" xfId="1691"/>
    <cellStyle name="_Portfolio SPlan Base Case.xls Chart 1_Rebuttal Power Costs_Final Order Electric EXHIBIT A-1 2" xfId="5060"/>
    <cellStyle name="_Portfolio SPlan Base Case.xls Chart 1_Rebuttal Power Costs_Final Order Electric EXHIBIT A-1 2 2" xfId="7432"/>
    <cellStyle name="_Portfolio SPlan Base Case.xls Chart 1_Rebuttal Power Costs_Final Order Electric EXHIBIT A-1 2 2 2" xfId="21056"/>
    <cellStyle name="_Portfolio SPlan Base Case.xls Chart 1_Rebuttal Power Costs_Final Order Electric EXHIBIT A-1 2 3" xfId="18551"/>
    <cellStyle name="_Portfolio SPlan Base Case.xls Chart 1_Rebuttal Power Costs_Final Order Electric EXHIBIT A-1 2 4" xfId="25150"/>
    <cellStyle name="_Portfolio SPlan Base Case.xls Chart 1_Rebuttal Power Costs_Final Order Electric EXHIBIT A-1 3" xfId="7433"/>
    <cellStyle name="_Portfolio SPlan Base Case.xls Chart 1_Rebuttal Power Costs_Final Order Electric EXHIBIT A-1 3 2" xfId="21057"/>
    <cellStyle name="_Portfolio SPlan Base Case.xls Chart 1_Rebuttal Power Costs_Final Order Electric EXHIBIT A-1 4" xfId="16793"/>
    <cellStyle name="_Portfolio SPlan Base Case.xls Chart 1_Rebuttal Power Costs_Final Order Electric EXHIBIT A-1 5" xfId="25151"/>
    <cellStyle name="_Portfolio SPlan Base Case.xls Chart 1_Rebuttal Power Costs_Final Order Electric EXHIBIT A-1 6" xfId="25152"/>
    <cellStyle name="_Portfolio SPlan Base Case.xls Chart 1_TENASKA REGULATORY ASSET" xfId="1692"/>
    <cellStyle name="_Portfolio SPlan Base Case.xls Chart 1_TENASKA REGULATORY ASSET 2" xfId="5061"/>
    <cellStyle name="_Portfolio SPlan Base Case.xls Chart 1_TENASKA REGULATORY ASSET 2 2" xfId="7434"/>
    <cellStyle name="_Portfolio SPlan Base Case.xls Chart 1_TENASKA REGULATORY ASSET 2 2 2" xfId="21058"/>
    <cellStyle name="_Portfolio SPlan Base Case.xls Chart 1_TENASKA REGULATORY ASSET 2 3" xfId="18552"/>
    <cellStyle name="_Portfolio SPlan Base Case.xls Chart 1_TENASKA REGULATORY ASSET 2 4" xfId="25153"/>
    <cellStyle name="_Portfolio SPlan Base Case.xls Chart 1_TENASKA REGULATORY ASSET 3" xfId="7435"/>
    <cellStyle name="_Portfolio SPlan Base Case.xls Chart 1_TENASKA REGULATORY ASSET 3 2" xfId="21059"/>
    <cellStyle name="_Portfolio SPlan Base Case.xls Chart 1_TENASKA REGULATORY ASSET 4" xfId="16794"/>
    <cellStyle name="_Portfolio SPlan Base Case.xls Chart 1_TENASKA REGULATORY ASSET 5" xfId="25154"/>
    <cellStyle name="_Portfolio SPlan Base Case.xls Chart 1_TENASKA REGULATORY ASSET 6" xfId="25155"/>
    <cellStyle name="_Portfolio SPlan Base Case.xls Chart 2" xfId="1693"/>
    <cellStyle name="_Portfolio SPlan Base Case.xls Chart 2 2" xfId="1694"/>
    <cellStyle name="_Portfolio SPlan Base Case.xls Chart 2 2 2" xfId="5063"/>
    <cellStyle name="_Portfolio SPlan Base Case.xls Chart 2 2 2 2" xfId="21060"/>
    <cellStyle name="_Portfolio SPlan Base Case.xls Chart 2 2 2 2 2" xfId="25156"/>
    <cellStyle name="_Portfolio SPlan Base Case.xls Chart 2 2 2 2 2 2" xfId="25157"/>
    <cellStyle name="_Portfolio SPlan Base Case.xls Chart 2 2 2 2 3" xfId="25158"/>
    <cellStyle name="_Portfolio SPlan Base Case.xls Chart 2 2 2 3" xfId="25159"/>
    <cellStyle name="_Portfolio SPlan Base Case.xls Chart 2 2 2 3 2" xfId="25160"/>
    <cellStyle name="_Portfolio SPlan Base Case.xls Chart 2 2 2 4" xfId="25161"/>
    <cellStyle name="_Portfolio SPlan Base Case.xls Chart 2 2 3" xfId="16796"/>
    <cellStyle name="_Portfolio SPlan Base Case.xls Chart 2 2 3 2" xfId="25162"/>
    <cellStyle name="_Portfolio SPlan Base Case.xls Chart 2 2 3 2 2" xfId="25163"/>
    <cellStyle name="_Portfolio SPlan Base Case.xls Chart 2 2 3 3" xfId="25164"/>
    <cellStyle name="_Portfolio SPlan Base Case.xls Chart 2 2 4" xfId="25165"/>
    <cellStyle name="_Portfolio SPlan Base Case.xls Chart 2 2 4 2" xfId="25166"/>
    <cellStyle name="_Portfolio SPlan Base Case.xls Chart 2 2 5" xfId="25167"/>
    <cellStyle name="_Portfolio SPlan Base Case.xls Chart 2 3" xfId="5062"/>
    <cellStyle name="_Portfolio SPlan Base Case.xls Chart 2 3 2" xfId="21061"/>
    <cellStyle name="_Portfolio SPlan Base Case.xls Chart 2 3 2 2" xfId="25168"/>
    <cellStyle name="_Portfolio SPlan Base Case.xls Chart 2 3 2 3" xfId="25169"/>
    <cellStyle name="_Portfolio SPlan Base Case.xls Chart 2 3 3" xfId="25170"/>
    <cellStyle name="_Portfolio SPlan Base Case.xls Chart 2 3 4" xfId="25171"/>
    <cellStyle name="_Portfolio SPlan Base Case.xls Chart 2 4" xfId="16795"/>
    <cellStyle name="_Portfolio SPlan Base Case.xls Chart 2 4 2" xfId="25172"/>
    <cellStyle name="_Portfolio SPlan Base Case.xls Chart 2 4 2 2" xfId="25173"/>
    <cellStyle name="_Portfolio SPlan Base Case.xls Chart 2 4 3" xfId="25174"/>
    <cellStyle name="_Portfolio SPlan Base Case.xls Chart 2 5" xfId="25175"/>
    <cellStyle name="_Portfolio SPlan Base Case.xls Chart 2 5 2" xfId="25176"/>
    <cellStyle name="_Portfolio SPlan Base Case.xls Chart 2 5 3" xfId="25177"/>
    <cellStyle name="_Portfolio SPlan Base Case.xls Chart 2 6" xfId="25178"/>
    <cellStyle name="_Portfolio SPlan Base Case.xls Chart 2 6 2" xfId="25179"/>
    <cellStyle name="_Portfolio SPlan Base Case.xls Chart 2_Adj Bench DR 3 for Initial Briefs (Electric)" xfId="1695"/>
    <cellStyle name="_Portfolio SPlan Base Case.xls Chart 2_Adj Bench DR 3 for Initial Briefs (Electric) 2" xfId="1696"/>
    <cellStyle name="_Portfolio SPlan Base Case.xls Chart 2_Adj Bench DR 3 for Initial Briefs (Electric) 2 2" xfId="5065"/>
    <cellStyle name="_Portfolio SPlan Base Case.xls Chart 2_Adj Bench DR 3 for Initial Briefs (Electric) 2 2 2" xfId="21062"/>
    <cellStyle name="_Portfolio SPlan Base Case.xls Chart 2_Adj Bench DR 3 for Initial Briefs (Electric) 2 2 2 2" xfId="25180"/>
    <cellStyle name="_Portfolio SPlan Base Case.xls Chart 2_Adj Bench DR 3 for Initial Briefs (Electric) 2 2 3" xfId="25181"/>
    <cellStyle name="_Portfolio SPlan Base Case.xls Chart 2_Adj Bench DR 3 for Initial Briefs (Electric) 2 2 4" xfId="25182"/>
    <cellStyle name="_Portfolio SPlan Base Case.xls Chart 2_Adj Bench DR 3 for Initial Briefs (Electric) 2 3" xfId="16798"/>
    <cellStyle name="_Portfolio SPlan Base Case.xls Chart 2_Adj Bench DR 3 for Initial Briefs (Electric) 2 3 2" xfId="25183"/>
    <cellStyle name="_Portfolio SPlan Base Case.xls Chart 2_Adj Bench DR 3 for Initial Briefs (Electric) 2 4" xfId="25184"/>
    <cellStyle name="_Portfolio SPlan Base Case.xls Chart 2_Adj Bench DR 3 for Initial Briefs (Electric) 3" xfId="5064"/>
    <cellStyle name="_Portfolio SPlan Base Case.xls Chart 2_Adj Bench DR 3 for Initial Briefs (Electric) 3 2" xfId="21063"/>
    <cellStyle name="_Portfolio SPlan Base Case.xls Chart 2_Adj Bench DR 3 for Initial Briefs (Electric) 3 2 2" xfId="25185"/>
    <cellStyle name="_Portfolio SPlan Base Case.xls Chart 2_Adj Bench DR 3 for Initial Briefs (Electric) 3 3" xfId="25186"/>
    <cellStyle name="_Portfolio SPlan Base Case.xls Chart 2_Adj Bench DR 3 for Initial Briefs (Electric) 3 4" xfId="25187"/>
    <cellStyle name="_Portfolio SPlan Base Case.xls Chart 2_Adj Bench DR 3 for Initial Briefs (Electric) 4" xfId="16797"/>
    <cellStyle name="_Portfolio SPlan Base Case.xls Chart 2_Adj Bench DR 3 for Initial Briefs (Electric) 4 2" xfId="25188"/>
    <cellStyle name="_Portfolio SPlan Base Case.xls Chart 2_Adj Bench DR 3 for Initial Briefs (Electric) 5" xfId="25189"/>
    <cellStyle name="_Portfolio SPlan Base Case.xls Chart 2_Adj Bench DR 3 for Initial Briefs (Electric)_DEM-WP(C) ENERG10C--ctn Mid-C_042010 2010GRC" xfId="12817"/>
    <cellStyle name="_Portfolio SPlan Base Case.xls Chart 2_Adj Bench DR 3 for Initial Briefs (Electric)_DEM-WP(C) ENERG10C--ctn Mid-C_042010 2010GRC 2" xfId="41453"/>
    <cellStyle name="_Portfolio SPlan Base Case.xls Chart 2_Book1" xfId="14278"/>
    <cellStyle name="_Portfolio SPlan Base Case.xls Chart 2_Book1 2" xfId="41454"/>
    <cellStyle name="_Portfolio SPlan Base Case.xls Chart 2_Book2" xfId="1697"/>
    <cellStyle name="_Portfolio SPlan Base Case.xls Chart 2_Book2 2" xfId="1698"/>
    <cellStyle name="_Portfolio SPlan Base Case.xls Chart 2_Book2 2 2" xfId="5067"/>
    <cellStyle name="_Portfolio SPlan Base Case.xls Chart 2_Book2 2 2 2" xfId="21064"/>
    <cellStyle name="_Portfolio SPlan Base Case.xls Chart 2_Book2 2 2 2 2" xfId="25190"/>
    <cellStyle name="_Portfolio SPlan Base Case.xls Chart 2_Book2 2 2 3" xfId="25191"/>
    <cellStyle name="_Portfolio SPlan Base Case.xls Chart 2_Book2 2 2 4" xfId="25192"/>
    <cellStyle name="_Portfolio SPlan Base Case.xls Chart 2_Book2 2 3" xfId="16800"/>
    <cellStyle name="_Portfolio SPlan Base Case.xls Chart 2_Book2 2 3 2" xfId="25193"/>
    <cellStyle name="_Portfolio SPlan Base Case.xls Chart 2_Book2 2 4" xfId="25194"/>
    <cellStyle name="_Portfolio SPlan Base Case.xls Chart 2_Book2 3" xfId="5066"/>
    <cellStyle name="_Portfolio SPlan Base Case.xls Chart 2_Book2 3 2" xfId="21065"/>
    <cellStyle name="_Portfolio SPlan Base Case.xls Chart 2_Book2 3 2 2" xfId="25195"/>
    <cellStyle name="_Portfolio SPlan Base Case.xls Chart 2_Book2 3 3" xfId="25196"/>
    <cellStyle name="_Portfolio SPlan Base Case.xls Chart 2_Book2 3 4" xfId="25197"/>
    <cellStyle name="_Portfolio SPlan Base Case.xls Chart 2_Book2 4" xfId="16799"/>
    <cellStyle name="_Portfolio SPlan Base Case.xls Chart 2_Book2 4 2" xfId="25198"/>
    <cellStyle name="_Portfolio SPlan Base Case.xls Chart 2_Book2 5" xfId="25199"/>
    <cellStyle name="_Portfolio SPlan Base Case.xls Chart 2_Book2_Adj Bench DR 3 for Initial Briefs (Electric)" xfId="1699"/>
    <cellStyle name="_Portfolio SPlan Base Case.xls Chart 2_Book2_Adj Bench DR 3 for Initial Briefs (Electric) 2" xfId="1700"/>
    <cellStyle name="_Portfolio SPlan Base Case.xls Chart 2_Book2_Adj Bench DR 3 for Initial Briefs (Electric) 2 2" xfId="5069"/>
    <cellStyle name="_Portfolio SPlan Base Case.xls Chart 2_Book2_Adj Bench DR 3 for Initial Briefs (Electric) 2 2 2" xfId="21066"/>
    <cellStyle name="_Portfolio SPlan Base Case.xls Chart 2_Book2_Adj Bench DR 3 for Initial Briefs (Electric) 2 2 2 2" xfId="25200"/>
    <cellStyle name="_Portfolio SPlan Base Case.xls Chart 2_Book2_Adj Bench DR 3 for Initial Briefs (Electric) 2 2 3" xfId="25201"/>
    <cellStyle name="_Portfolio SPlan Base Case.xls Chart 2_Book2_Adj Bench DR 3 for Initial Briefs (Electric) 2 2 4" xfId="25202"/>
    <cellStyle name="_Portfolio SPlan Base Case.xls Chart 2_Book2_Adj Bench DR 3 for Initial Briefs (Electric) 2 3" xfId="16802"/>
    <cellStyle name="_Portfolio SPlan Base Case.xls Chart 2_Book2_Adj Bench DR 3 for Initial Briefs (Electric) 2 3 2" xfId="25203"/>
    <cellStyle name="_Portfolio SPlan Base Case.xls Chart 2_Book2_Adj Bench DR 3 for Initial Briefs (Electric) 2 4" xfId="25204"/>
    <cellStyle name="_Portfolio SPlan Base Case.xls Chart 2_Book2_Adj Bench DR 3 for Initial Briefs (Electric) 3" xfId="5068"/>
    <cellStyle name="_Portfolio SPlan Base Case.xls Chart 2_Book2_Adj Bench DR 3 for Initial Briefs (Electric) 3 2" xfId="21067"/>
    <cellStyle name="_Portfolio SPlan Base Case.xls Chart 2_Book2_Adj Bench DR 3 for Initial Briefs (Electric) 3 2 2" xfId="25205"/>
    <cellStyle name="_Portfolio SPlan Base Case.xls Chart 2_Book2_Adj Bench DR 3 for Initial Briefs (Electric) 3 3" xfId="25206"/>
    <cellStyle name="_Portfolio SPlan Base Case.xls Chart 2_Book2_Adj Bench DR 3 for Initial Briefs (Electric) 3 4" xfId="25207"/>
    <cellStyle name="_Portfolio SPlan Base Case.xls Chart 2_Book2_Adj Bench DR 3 for Initial Briefs (Electric) 4" xfId="16801"/>
    <cellStyle name="_Portfolio SPlan Base Case.xls Chart 2_Book2_Adj Bench DR 3 for Initial Briefs (Electric) 4 2" xfId="25208"/>
    <cellStyle name="_Portfolio SPlan Base Case.xls Chart 2_Book2_Adj Bench DR 3 for Initial Briefs (Electric) 5" xfId="25209"/>
    <cellStyle name="_Portfolio SPlan Base Case.xls Chart 2_Book2_Adj Bench DR 3 for Initial Briefs (Electric)_DEM-WP(C) ENERG10C--ctn Mid-C_042010 2010GRC" xfId="12818"/>
    <cellStyle name="_Portfolio SPlan Base Case.xls Chart 2_Book2_Adj Bench DR 3 for Initial Briefs (Electric)_DEM-WP(C) ENERG10C--ctn Mid-C_042010 2010GRC 2" xfId="41455"/>
    <cellStyle name="_Portfolio SPlan Base Case.xls Chart 2_Book2_DEM-WP(C) ENERG10C--ctn Mid-C_042010 2010GRC" xfId="12819"/>
    <cellStyle name="_Portfolio SPlan Base Case.xls Chart 2_Book2_DEM-WP(C) ENERG10C--ctn Mid-C_042010 2010GRC 2" xfId="41456"/>
    <cellStyle name="_Portfolio SPlan Base Case.xls Chart 2_Book2_Electric Rev Req Model (2009 GRC) Rebuttal" xfId="1701"/>
    <cellStyle name="_Portfolio SPlan Base Case.xls Chart 2_Book2_Electric Rev Req Model (2009 GRC) Rebuttal 2" xfId="5070"/>
    <cellStyle name="_Portfolio SPlan Base Case.xls Chart 2_Book2_Electric Rev Req Model (2009 GRC) Rebuttal 2 2" xfId="7436"/>
    <cellStyle name="_Portfolio SPlan Base Case.xls Chart 2_Book2_Electric Rev Req Model (2009 GRC) Rebuttal 2 2 2" xfId="21068"/>
    <cellStyle name="_Portfolio SPlan Base Case.xls Chart 2_Book2_Electric Rev Req Model (2009 GRC) Rebuttal 2 3" xfId="18553"/>
    <cellStyle name="_Portfolio SPlan Base Case.xls Chart 2_Book2_Electric Rev Req Model (2009 GRC) Rebuttal 3" xfId="7437"/>
    <cellStyle name="_Portfolio SPlan Base Case.xls Chart 2_Book2_Electric Rev Req Model (2009 GRC) Rebuttal 3 2" xfId="21069"/>
    <cellStyle name="_Portfolio SPlan Base Case.xls Chart 2_Book2_Electric Rev Req Model (2009 GRC) Rebuttal 4" xfId="16803"/>
    <cellStyle name="_Portfolio SPlan Base Case.xls Chart 2_Book2_Electric Rev Req Model (2009 GRC) Rebuttal REmoval of New  WH Solar AdjustMI" xfId="1702"/>
    <cellStyle name="_Portfolio SPlan Base Case.xls Chart 2_Book2_Electric Rev Req Model (2009 GRC) Rebuttal REmoval of New  WH Solar AdjustMI 2" xfId="1703"/>
    <cellStyle name="_Portfolio SPlan Base Case.xls Chart 2_Book2_Electric Rev Req Model (2009 GRC) Rebuttal REmoval of New  WH Solar AdjustMI 2 2" xfId="5072"/>
    <cellStyle name="_Portfolio SPlan Base Case.xls Chart 2_Book2_Electric Rev Req Model (2009 GRC) Rebuttal REmoval of New  WH Solar AdjustMI 2 2 2" xfId="21070"/>
    <cellStyle name="_Portfolio SPlan Base Case.xls Chart 2_Book2_Electric Rev Req Model (2009 GRC) Rebuttal REmoval of New  WH Solar AdjustMI 2 2 2 2" xfId="25210"/>
    <cellStyle name="_Portfolio SPlan Base Case.xls Chart 2_Book2_Electric Rev Req Model (2009 GRC) Rebuttal REmoval of New  WH Solar AdjustMI 2 2 3" xfId="25211"/>
    <cellStyle name="_Portfolio SPlan Base Case.xls Chart 2_Book2_Electric Rev Req Model (2009 GRC) Rebuttal REmoval of New  WH Solar AdjustMI 2 2 4" xfId="25212"/>
    <cellStyle name="_Portfolio SPlan Base Case.xls Chart 2_Book2_Electric Rev Req Model (2009 GRC) Rebuttal REmoval of New  WH Solar AdjustMI 2 3" xfId="16805"/>
    <cellStyle name="_Portfolio SPlan Base Case.xls Chart 2_Book2_Electric Rev Req Model (2009 GRC) Rebuttal REmoval of New  WH Solar AdjustMI 2 3 2" xfId="25213"/>
    <cellStyle name="_Portfolio SPlan Base Case.xls Chart 2_Book2_Electric Rev Req Model (2009 GRC) Rebuttal REmoval of New  WH Solar AdjustMI 2 4" xfId="25214"/>
    <cellStyle name="_Portfolio SPlan Base Case.xls Chart 2_Book2_Electric Rev Req Model (2009 GRC) Rebuttal REmoval of New  WH Solar AdjustMI 3" xfId="5071"/>
    <cellStyle name="_Portfolio SPlan Base Case.xls Chart 2_Book2_Electric Rev Req Model (2009 GRC) Rebuttal REmoval of New  WH Solar AdjustMI 3 2" xfId="21071"/>
    <cellStyle name="_Portfolio SPlan Base Case.xls Chart 2_Book2_Electric Rev Req Model (2009 GRC) Rebuttal REmoval of New  WH Solar AdjustMI 3 2 2" xfId="25215"/>
    <cellStyle name="_Portfolio SPlan Base Case.xls Chart 2_Book2_Electric Rev Req Model (2009 GRC) Rebuttal REmoval of New  WH Solar AdjustMI 3 3" xfId="25216"/>
    <cellStyle name="_Portfolio SPlan Base Case.xls Chart 2_Book2_Electric Rev Req Model (2009 GRC) Rebuttal REmoval of New  WH Solar AdjustMI 3 4" xfId="25217"/>
    <cellStyle name="_Portfolio SPlan Base Case.xls Chart 2_Book2_Electric Rev Req Model (2009 GRC) Rebuttal REmoval of New  WH Solar AdjustMI 4" xfId="16804"/>
    <cellStyle name="_Portfolio SPlan Base Case.xls Chart 2_Book2_Electric Rev Req Model (2009 GRC) Rebuttal REmoval of New  WH Solar AdjustMI 4 2" xfId="25218"/>
    <cellStyle name="_Portfolio SPlan Base Case.xls Chart 2_Book2_Electric Rev Req Model (2009 GRC) Rebuttal REmoval of New  WH Solar AdjustMI 5" xfId="25219"/>
    <cellStyle name="_Portfolio SPlan Base Case.xls Chart 2_Book2_Electric Rev Req Model (2009 GRC) Rebuttal REmoval of New  WH Solar AdjustMI_DEM-WP(C) ENERG10C--ctn Mid-C_042010 2010GRC" xfId="12820"/>
    <cellStyle name="_Portfolio SPlan Base Case.xls Chart 2_Book2_Electric Rev Req Model (2009 GRC) Rebuttal REmoval of New  WH Solar AdjustMI_DEM-WP(C) ENERG10C--ctn Mid-C_042010 2010GRC 2" xfId="41457"/>
    <cellStyle name="_Portfolio SPlan Base Case.xls Chart 2_Book2_Electric Rev Req Model (2009 GRC) Revised 01-18-2010" xfId="1704"/>
    <cellStyle name="_Portfolio SPlan Base Case.xls Chart 2_Book2_Electric Rev Req Model (2009 GRC) Revised 01-18-2010 2" xfId="1705"/>
    <cellStyle name="_Portfolio SPlan Base Case.xls Chart 2_Book2_Electric Rev Req Model (2009 GRC) Revised 01-18-2010 2 2" xfId="5074"/>
    <cellStyle name="_Portfolio SPlan Base Case.xls Chart 2_Book2_Electric Rev Req Model (2009 GRC) Revised 01-18-2010 2 2 2" xfId="21072"/>
    <cellStyle name="_Portfolio SPlan Base Case.xls Chart 2_Book2_Electric Rev Req Model (2009 GRC) Revised 01-18-2010 2 2 2 2" xfId="25220"/>
    <cellStyle name="_Portfolio SPlan Base Case.xls Chart 2_Book2_Electric Rev Req Model (2009 GRC) Revised 01-18-2010 2 2 3" xfId="25221"/>
    <cellStyle name="_Portfolio SPlan Base Case.xls Chart 2_Book2_Electric Rev Req Model (2009 GRC) Revised 01-18-2010 2 2 4" xfId="25222"/>
    <cellStyle name="_Portfolio SPlan Base Case.xls Chart 2_Book2_Electric Rev Req Model (2009 GRC) Revised 01-18-2010 2 3" xfId="16807"/>
    <cellStyle name="_Portfolio SPlan Base Case.xls Chart 2_Book2_Electric Rev Req Model (2009 GRC) Revised 01-18-2010 2 3 2" xfId="25223"/>
    <cellStyle name="_Portfolio SPlan Base Case.xls Chart 2_Book2_Electric Rev Req Model (2009 GRC) Revised 01-18-2010 2 4" xfId="25224"/>
    <cellStyle name="_Portfolio SPlan Base Case.xls Chart 2_Book2_Electric Rev Req Model (2009 GRC) Revised 01-18-2010 3" xfId="5073"/>
    <cellStyle name="_Portfolio SPlan Base Case.xls Chart 2_Book2_Electric Rev Req Model (2009 GRC) Revised 01-18-2010 3 2" xfId="21073"/>
    <cellStyle name="_Portfolio SPlan Base Case.xls Chart 2_Book2_Electric Rev Req Model (2009 GRC) Revised 01-18-2010 3 2 2" xfId="25225"/>
    <cellStyle name="_Portfolio SPlan Base Case.xls Chart 2_Book2_Electric Rev Req Model (2009 GRC) Revised 01-18-2010 3 3" xfId="25226"/>
    <cellStyle name="_Portfolio SPlan Base Case.xls Chart 2_Book2_Electric Rev Req Model (2009 GRC) Revised 01-18-2010 3 4" xfId="25227"/>
    <cellStyle name="_Portfolio SPlan Base Case.xls Chart 2_Book2_Electric Rev Req Model (2009 GRC) Revised 01-18-2010 4" xfId="16806"/>
    <cellStyle name="_Portfolio SPlan Base Case.xls Chart 2_Book2_Electric Rev Req Model (2009 GRC) Revised 01-18-2010 4 2" xfId="25228"/>
    <cellStyle name="_Portfolio SPlan Base Case.xls Chart 2_Book2_Electric Rev Req Model (2009 GRC) Revised 01-18-2010 5" xfId="25229"/>
    <cellStyle name="_Portfolio SPlan Base Case.xls Chart 2_Book2_Electric Rev Req Model (2009 GRC) Revised 01-18-2010_DEM-WP(C) ENERG10C--ctn Mid-C_042010 2010GRC" xfId="12821"/>
    <cellStyle name="_Portfolio SPlan Base Case.xls Chart 2_Book2_Electric Rev Req Model (2009 GRC) Revised 01-18-2010_DEM-WP(C) ENERG10C--ctn Mid-C_042010 2010GRC 2" xfId="41458"/>
    <cellStyle name="_Portfolio SPlan Base Case.xls Chart 2_Book2_Final Order Electric EXHIBIT A-1" xfId="1706"/>
    <cellStyle name="_Portfolio SPlan Base Case.xls Chart 2_Book2_Final Order Electric EXHIBIT A-1 2" xfId="5075"/>
    <cellStyle name="_Portfolio SPlan Base Case.xls Chart 2_Book2_Final Order Electric EXHIBIT A-1 2 2" xfId="7438"/>
    <cellStyle name="_Portfolio SPlan Base Case.xls Chart 2_Book2_Final Order Electric EXHIBIT A-1 2 2 2" xfId="21074"/>
    <cellStyle name="_Portfolio SPlan Base Case.xls Chart 2_Book2_Final Order Electric EXHIBIT A-1 2 3" xfId="18554"/>
    <cellStyle name="_Portfolio SPlan Base Case.xls Chart 2_Book2_Final Order Electric EXHIBIT A-1 2 4" xfId="25230"/>
    <cellStyle name="_Portfolio SPlan Base Case.xls Chart 2_Book2_Final Order Electric EXHIBIT A-1 3" xfId="7439"/>
    <cellStyle name="_Portfolio SPlan Base Case.xls Chart 2_Book2_Final Order Electric EXHIBIT A-1 3 2" xfId="21075"/>
    <cellStyle name="_Portfolio SPlan Base Case.xls Chart 2_Book2_Final Order Electric EXHIBIT A-1 4" xfId="16808"/>
    <cellStyle name="_Portfolio SPlan Base Case.xls Chart 2_Book2_Final Order Electric EXHIBIT A-1 5" xfId="25231"/>
    <cellStyle name="_Portfolio SPlan Base Case.xls Chart 2_Book2_Final Order Electric EXHIBIT A-1 6" xfId="25232"/>
    <cellStyle name="_Portfolio SPlan Base Case.xls Chart 2_Chelan PUD Power Costs (8-10)" xfId="12822"/>
    <cellStyle name="_Portfolio SPlan Base Case.xls Chart 2_Chelan PUD Power Costs (8-10) 2" xfId="25233"/>
    <cellStyle name="_Portfolio SPlan Base Case.xls Chart 2_Colstrip 1&amp;2 Annual O&amp;M Budgets" xfId="25234"/>
    <cellStyle name="_Portfolio SPlan Base Case.xls Chart 2_Confidential Material" xfId="12823"/>
    <cellStyle name="_Portfolio SPlan Base Case.xls Chart 2_Confidential Material 2" xfId="25235"/>
    <cellStyle name="_Portfolio SPlan Base Case.xls Chart 2_DEM-WP(C) Colstrip 12 Coal Cost Forecast 2010GRC" xfId="12824"/>
    <cellStyle name="_Portfolio SPlan Base Case.xls Chart 2_DEM-WP(C) Colstrip 12 Coal Cost Forecast 2010GRC 2" xfId="25236"/>
    <cellStyle name="_Portfolio SPlan Base Case.xls Chart 2_DEM-WP(C) ENERG10C--ctn Mid-C_042010 2010GRC" xfId="12825"/>
    <cellStyle name="_Portfolio SPlan Base Case.xls Chart 2_DEM-WP(C) ENERG10C--ctn Mid-C_042010 2010GRC 2" xfId="41459"/>
    <cellStyle name="_Portfolio SPlan Base Case.xls Chart 2_DEM-WP(C) Production O&amp;M 2010GRC As-Filed" xfId="12826"/>
    <cellStyle name="_Portfolio SPlan Base Case.xls Chart 2_DEM-WP(C) Production O&amp;M 2010GRC As-Filed 2" xfId="12827"/>
    <cellStyle name="_Portfolio SPlan Base Case.xls Chart 2_DEM-WP(C) Production O&amp;M 2010GRC As-Filed 2 2" xfId="25237"/>
    <cellStyle name="_Portfolio SPlan Base Case.xls Chart 2_DEM-WP(C) Production O&amp;M 2010GRC As-Filed 3" xfId="12828"/>
    <cellStyle name="_Portfolio SPlan Base Case.xls Chart 2_DEM-WP(C) Production O&amp;M 2010GRC As-Filed 3 2" xfId="25238"/>
    <cellStyle name="_Portfolio SPlan Base Case.xls Chart 2_DEM-WP(C) Production O&amp;M 2010GRC As-Filed 4" xfId="25239"/>
    <cellStyle name="_Portfolio SPlan Base Case.xls Chart 2_DEM-WP(C) Production O&amp;M 2010GRC As-Filed 4 2" xfId="25240"/>
    <cellStyle name="_Portfolio SPlan Base Case.xls Chart 2_DEM-WP(C) Production O&amp;M 2010GRC As-Filed 5" xfId="25241"/>
    <cellStyle name="_Portfolio SPlan Base Case.xls Chart 2_DEM-WP(C) Production O&amp;M 2010GRC As-Filed 5 2" xfId="25242"/>
    <cellStyle name="_Portfolio SPlan Base Case.xls Chart 2_DEM-WP(C) Production O&amp;M 2010GRC As-Filed 6" xfId="25243"/>
    <cellStyle name="_Portfolio SPlan Base Case.xls Chart 2_DEM-WP(C) Production O&amp;M 2010GRC As-Filed 6 2" xfId="25244"/>
    <cellStyle name="_Portfolio SPlan Base Case.xls Chart 2_Electric Rev Req Model (2009 GRC) " xfId="1707"/>
    <cellStyle name="_Portfolio SPlan Base Case.xls Chart 2_Electric Rev Req Model (2009 GRC)  2" xfId="1708"/>
    <cellStyle name="_Portfolio SPlan Base Case.xls Chart 2_Electric Rev Req Model (2009 GRC)  2 2" xfId="5077"/>
    <cellStyle name="_Portfolio SPlan Base Case.xls Chart 2_Electric Rev Req Model (2009 GRC)  2 2 2" xfId="21076"/>
    <cellStyle name="_Portfolio SPlan Base Case.xls Chart 2_Electric Rev Req Model (2009 GRC)  2 2 2 2" xfId="25245"/>
    <cellStyle name="_Portfolio SPlan Base Case.xls Chart 2_Electric Rev Req Model (2009 GRC)  2 2 3" xfId="25246"/>
    <cellStyle name="_Portfolio SPlan Base Case.xls Chart 2_Electric Rev Req Model (2009 GRC)  2 2 4" xfId="25247"/>
    <cellStyle name="_Portfolio SPlan Base Case.xls Chart 2_Electric Rev Req Model (2009 GRC)  2 3" xfId="16810"/>
    <cellStyle name="_Portfolio SPlan Base Case.xls Chart 2_Electric Rev Req Model (2009 GRC)  2 3 2" xfId="25248"/>
    <cellStyle name="_Portfolio SPlan Base Case.xls Chart 2_Electric Rev Req Model (2009 GRC)  2 4" xfId="25249"/>
    <cellStyle name="_Portfolio SPlan Base Case.xls Chart 2_Electric Rev Req Model (2009 GRC)  3" xfId="5076"/>
    <cellStyle name="_Portfolio SPlan Base Case.xls Chart 2_Electric Rev Req Model (2009 GRC)  3 2" xfId="21077"/>
    <cellStyle name="_Portfolio SPlan Base Case.xls Chart 2_Electric Rev Req Model (2009 GRC)  3 2 2" xfId="25250"/>
    <cellStyle name="_Portfolio SPlan Base Case.xls Chart 2_Electric Rev Req Model (2009 GRC)  3 3" xfId="25251"/>
    <cellStyle name="_Portfolio SPlan Base Case.xls Chart 2_Electric Rev Req Model (2009 GRC)  3 4" xfId="25252"/>
    <cellStyle name="_Portfolio SPlan Base Case.xls Chart 2_Electric Rev Req Model (2009 GRC)  4" xfId="16809"/>
    <cellStyle name="_Portfolio SPlan Base Case.xls Chart 2_Electric Rev Req Model (2009 GRC)  4 2" xfId="25253"/>
    <cellStyle name="_Portfolio SPlan Base Case.xls Chart 2_Electric Rev Req Model (2009 GRC)  5" xfId="25254"/>
    <cellStyle name="_Portfolio SPlan Base Case.xls Chart 2_Electric Rev Req Model (2009 GRC) _DEM-WP(C) ENERG10C--ctn Mid-C_042010 2010GRC" xfId="12829"/>
    <cellStyle name="_Portfolio SPlan Base Case.xls Chart 2_Electric Rev Req Model (2009 GRC) _DEM-WP(C) ENERG10C--ctn Mid-C_042010 2010GRC 2" xfId="41460"/>
    <cellStyle name="_Portfolio SPlan Base Case.xls Chart 2_Electric Rev Req Model (2009 GRC) Rebuttal" xfId="1709"/>
    <cellStyle name="_Portfolio SPlan Base Case.xls Chart 2_Electric Rev Req Model (2009 GRC) Rebuttal 2" xfId="5078"/>
    <cellStyle name="_Portfolio SPlan Base Case.xls Chart 2_Electric Rev Req Model (2009 GRC) Rebuttal 2 2" xfId="7440"/>
    <cellStyle name="_Portfolio SPlan Base Case.xls Chart 2_Electric Rev Req Model (2009 GRC) Rebuttal 2 2 2" xfId="21078"/>
    <cellStyle name="_Portfolio SPlan Base Case.xls Chart 2_Electric Rev Req Model (2009 GRC) Rebuttal 2 3" xfId="18555"/>
    <cellStyle name="_Portfolio SPlan Base Case.xls Chart 2_Electric Rev Req Model (2009 GRC) Rebuttal 3" xfId="7441"/>
    <cellStyle name="_Portfolio SPlan Base Case.xls Chart 2_Electric Rev Req Model (2009 GRC) Rebuttal 3 2" xfId="21079"/>
    <cellStyle name="_Portfolio SPlan Base Case.xls Chart 2_Electric Rev Req Model (2009 GRC) Rebuttal 4" xfId="16811"/>
    <cellStyle name="_Portfolio SPlan Base Case.xls Chart 2_Electric Rev Req Model (2009 GRC) Rebuttal REmoval of New  WH Solar AdjustMI" xfId="1710"/>
    <cellStyle name="_Portfolio SPlan Base Case.xls Chart 2_Electric Rev Req Model (2009 GRC) Rebuttal REmoval of New  WH Solar AdjustMI 2" xfId="1711"/>
    <cellStyle name="_Portfolio SPlan Base Case.xls Chart 2_Electric Rev Req Model (2009 GRC) Rebuttal REmoval of New  WH Solar AdjustMI 2 2" xfId="5080"/>
    <cellStyle name="_Portfolio SPlan Base Case.xls Chart 2_Electric Rev Req Model (2009 GRC) Rebuttal REmoval of New  WH Solar AdjustMI 2 2 2" xfId="21080"/>
    <cellStyle name="_Portfolio SPlan Base Case.xls Chart 2_Electric Rev Req Model (2009 GRC) Rebuttal REmoval of New  WH Solar AdjustMI 2 2 2 2" xfId="25255"/>
    <cellStyle name="_Portfolio SPlan Base Case.xls Chart 2_Electric Rev Req Model (2009 GRC) Rebuttal REmoval of New  WH Solar AdjustMI 2 2 3" xfId="25256"/>
    <cellStyle name="_Portfolio SPlan Base Case.xls Chart 2_Electric Rev Req Model (2009 GRC) Rebuttal REmoval of New  WH Solar AdjustMI 2 2 4" xfId="25257"/>
    <cellStyle name="_Portfolio SPlan Base Case.xls Chart 2_Electric Rev Req Model (2009 GRC) Rebuttal REmoval of New  WH Solar AdjustMI 2 3" xfId="16813"/>
    <cellStyle name="_Portfolio SPlan Base Case.xls Chart 2_Electric Rev Req Model (2009 GRC) Rebuttal REmoval of New  WH Solar AdjustMI 2 3 2" xfId="25258"/>
    <cellStyle name="_Portfolio SPlan Base Case.xls Chart 2_Electric Rev Req Model (2009 GRC) Rebuttal REmoval of New  WH Solar AdjustMI 2 4" xfId="25259"/>
    <cellStyle name="_Portfolio SPlan Base Case.xls Chart 2_Electric Rev Req Model (2009 GRC) Rebuttal REmoval of New  WH Solar AdjustMI 3" xfId="5079"/>
    <cellStyle name="_Portfolio SPlan Base Case.xls Chart 2_Electric Rev Req Model (2009 GRC) Rebuttal REmoval of New  WH Solar AdjustMI 3 2" xfId="21081"/>
    <cellStyle name="_Portfolio SPlan Base Case.xls Chart 2_Electric Rev Req Model (2009 GRC) Rebuttal REmoval of New  WH Solar AdjustMI 3 2 2" xfId="25260"/>
    <cellStyle name="_Portfolio SPlan Base Case.xls Chart 2_Electric Rev Req Model (2009 GRC) Rebuttal REmoval of New  WH Solar AdjustMI 3 3" xfId="25261"/>
    <cellStyle name="_Portfolio SPlan Base Case.xls Chart 2_Electric Rev Req Model (2009 GRC) Rebuttal REmoval of New  WH Solar AdjustMI 3 4" xfId="25262"/>
    <cellStyle name="_Portfolio SPlan Base Case.xls Chart 2_Electric Rev Req Model (2009 GRC) Rebuttal REmoval of New  WH Solar AdjustMI 4" xfId="16812"/>
    <cellStyle name="_Portfolio SPlan Base Case.xls Chart 2_Electric Rev Req Model (2009 GRC) Rebuttal REmoval of New  WH Solar AdjustMI 4 2" xfId="25263"/>
    <cellStyle name="_Portfolio SPlan Base Case.xls Chart 2_Electric Rev Req Model (2009 GRC) Rebuttal REmoval of New  WH Solar AdjustMI 5" xfId="25264"/>
    <cellStyle name="_Portfolio SPlan Base Case.xls Chart 2_Electric Rev Req Model (2009 GRC) Rebuttal REmoval of New  WH Solar AdjustMI_DEM-WP(C) ENERG10C--ctn Mid-C_042010 2010GRC" xfId="12830"/>
    <cellStyle name="_Portfolio SPlan Base Case.xls Chart 2_Electric Rev Req Model (2009 GRC) Rebuttal REmoval of New  WH Solar AdjustMI_DEM-WP(C) ENERG10C--ctn Mid-C_042010 2010GRC 2" xfId="41461"/>
    <cellStyle name="_Portfolio SPlan Base Case.xls Chart 2_Electric Rev Req Model (2009 GRC) Revised 01-18-2010" xfId="1712"/>
    <cellStyle name="_Portfolio SPlan Base Case.xls Chart 2_Electric Rev Req Model (2009 GRC) Revised 01-18-2010 2" xfId="1713"/>
    <cellStyle name="_Portfolio SPlan Base Case.xls Chart 2_Electric Rev Req Model (2009 GRC) Revised 01-18-2010 2 2" xfId="5082"/>
    <cellStyle name="_Portfolio SPlan Base Case.xls Chart 2_Electric Rev Req Model (2009 GRC) Revised 01-18-2010 2 2 2" xfId="21082"/>
    <cellStyle name="_Portfolio SPlan Base Case.xls Chart 2_Electric Rev Req Model (2009 GRC) Revised 01-18-2010 2 2 2 2" xfId="25265"/>
    <cellStyle name="_Portfolio SPlan Base Case.xls Chart 2_Electric Rev Req Model (2009 GRC) Revised 01-18-2010 2 2 3" xfId="25266"/>
    <cellStyle name="_Portfolio SPlan Base Case.xls Chart 2_Electric Rev Req Model (2009 GRC) Revised 01-18-2010 2 2 4" xfId="25267"/>
    <cellStyle name="_Portfolio SPlan Base Case.xls Chart 2_Electric Rev Req Model (2009 GRC) Revised 01-18-2010 2 3" xfId="16815"/>
    <cellStyle name="_Portfolio SPlan Base Case.xls Chart 2_Electric Rev Req Model (2009 GRC) Revised 01-18-2010 2 3 2" xfId="25268"/>
    <cellStyle name="_Portfolio SPlan Base Case.xls Chart 2_Electric Rev Req Model (2009 GRC) Revised 01-18-2010 2 4" xfId="25269"/>
    <cellStyle name="_Portfolio SPlan Base Case.xls Chart 2_Electric Rev Req Model (2009 GRC) Revised 01-18-2010 3" xfId="5081"/>
    <cellStyle name="_Portfolio SPlan Base Case.xls Chart 2_Electric Rev Req Model (2009 GRC) Revised 01-18-2010 3 2" xfId="21083"/>
    <cellStyle name="_Portfolio SPlan Base Case.xls Chart 2_Electric Rev Req Model (2009 GRC) Revised 01-18-2010 3 2 2" xfId="25270"/>
    <cellStyle name="_Portfolio SPlan Base Case.xls Chart 2_Electric Rev Req Model (2009 GRC) Revised 01-18-2010 3 3" xfId="25271"/>
    <cellStyle name="_Portfolio SPlan Base Case.xls Chart 2_Electric Rev Req Model (2009 GRC) Revised 01-18-2010 3 4" xfId="25272"/>
    <cellStyle name="_Portfolio SPlan Base Case.xls Chart 2_Electric Rev Req Model (2009 GRC) Revised 01-18-2010 4" xfId="16814"/>
    <cellStyle name="_Portfolio SPlan Base Case.xls Chart 2_Electric Rev Req Model (2009 GRC) Revised 01-18-2010 4 2" xfId="25273"/>
    <cellStyle name="_Portfolio SPlan Base Case.xls Chart 2_Electric Rev Req Model (2009 GRC) Revised 01-18-2010 5" xfId="25274"/>
    <cellStyle name="_Portfolio SPlan Base Case.xls Chart 2_Electric Rev Req Model (2009 GRC) Revised 01-18-2010_DEM-WP(C) ENERG10C--ctn Mid-C_042010 2010GRC" xfId="12831"/>
    <cellStyle name="_Portfolio SPlan Base Case.xls Chart 2_Electric Rev Req Model (2009 GRC) Revised 01-18-2010_DEM-WP(C) ENERG10C--ctn Mid-C_042010 2010GRC 2" xfId="41462"/>
    <cellStyle name="_Portfolio SPlan Base Case.xls Chart 2_Electric Rev Req Model (2010 GRC)" xfId="14279"/>
    <cellStyle name="_Portfolio SPlan Base Case.xls Chart 2_Electric Rev Req Model (2010 GRC) 2" xfId="41463"/>
    <cellStyle name="_Portfolio SPlan Base Case.xls Chart 2_Electric Rev Req Model (2010 GRC) SF" xfId="14280"/>
    <cellStyle name="_Portfolio SPlan Base Case.xls Chart 2_Electric Rev Req Model (2010 GRC) SF 2" xfId="41464"/>
    <cellStyle name="_Portfolio SPlan Base Case.xls Chart 2_Final Order Electric EXHIBIT A-1" xfId="1714"/>
    <cellStyle name="_Portfolio SPlan Base Case.xls Chart 2_Final Order Electric EXHIBIT A-1 2" xfId="5083"/>
    <cellStyle name="_Portfolio SPlan Base Case.xls Chart 2_Final Order Electric EXHIBIT A-1 2 2" xfId="7442"/>
    <cellStyle name="_Portfolio SPlan Base Case.xls Chart 2_Final Order Electric EXHIBIT A-1 2 2 2" xfId="21084"/>
    <cellStyle name="_Portfolio SPlan Base Case.xls Chart 2_Final Order Electric EXHIBIT A-1 2 3" xfId="18556"/>
    <cellStyle name="_Portfolio SPlan Base Case.xls Chart 2_Final Order Electric EXHIBIT A-1 2 4" xfId="25275"/>
    <cellStyle name="_Portfolio SPlan Base Case.xls Chart 2_Final Order Electric EXHIBIT A-1 3" xfId="7443"/>
    <cellStyle name="_Portfolio SPlan Base Case.xls Chart 2_Final Order Electric EXHIBIT A-1 3 2" xfId="21085"/>
    <cellStyle name="_Portfolio SPlan Base Case.xls Chart 2_Final Order Electric EXHIBIT A-1 4" xfId="16816"/>
    <cellStyle name="_Portfolio SPlan Base Case.xls Chart 2_Final Order Electric EXHIBIT A-1 5" xfId="25276"/>
    <cellStyle name="_Portfolio SPlan Base Case.xls Chart 2_Final Order Electric EXHIBIT A-1 6" xfId="25277"/>
    <cellStyle name="_Portfolio SPlan Base Case.xls Chart 2_NIM Summary" xfId="1715"/>
    <cellStyle name="_Portfolio SPlan Base Case.xls Chart 2_NIM Summary 2" xfId="1716"/>
    <cellStyle name="_Portfolio SPlan Base Case.xls Chart 2_NIM Summary 2 2" xfId="5085"/>
    <cellStyle name="_Portfolio SPlan Base Case.xls Chart 2_NIM Summary 2 2 2" xfId="25278"/>
    <cellStyle name="_Portfolio SPlan Base Case.xls Chart 2_NIM Summary 2 2 2 2" xfId="25279"/>
    <cellStyle name="_Portfolio SPlan Base Case.xls Chart 2_NIM Summary 2 2 3" xfId="25280"/>
    <cellStyle name="_Portfolio SPlan Base Case.xls Chart 2_NIM Summary 2 2 4" xfId="25281"/>
    <cellStyle name="_Portfolio SPlan Base Case.xls Chart 2_NIM Summary 2 3" xfId="25282"/>
    <cellStyle name="_Portfolio SPlan Base Case.xls Chart 2_NIM Summary 2 3 2" xfId="25283"/>
    <cellStyle name="_Portfolio SPlan Base Case.xls Chart 2_NIM Summary 2 4" xfId="25284"/>
    <cellStyle name="_Portfolio SPlan Base Case.xls Chart 2_NIM Summary 3" xfId="5084"/>
    <cellStyle name="_Portfolio SPlan Base Case.xls Chart 2_NIM Summary 3 2" xfId="25285"/>
    <cellStyle name="_Portfolio SPlan Base Case.xls Chart 2_NIM Summary 3 2 2" xfId="25286"/>
    <cellStyle name="_Portfolio SPlan Base Case.xls Chart 2_NIM Summary 3 3" xfId="25287"/>
    <cellStyle name="_Portfolio SPlan Base Case.xls Chart 2_NIM Summary 3 4" xfId="25288"/>
    <cellStyle name="_Portfolio SPlan Base Case.xls Chart 2_NIM Summary 4" xfId="25289"/>
    <cellStyle name="_Portfolio SPlan Base Case.xls Chart 2_NIM Summary 4 2" xfId="25290"/>
    <cellStyle name="_Portfolio SPlan Base Case.xls Chart 2_NIM Summary 5" xfId="25291"/>
    <cellStyle name="_Portfolio SPlan Base Case.xls Chart 2_NIM Summary_DEM-WP(C) ENERG10C--ctn Mid-C_042010 2010GRC" xfId="12832"/>
    <cellStyle name="_Portfolio SPlan Base Case.xls Chart 2_NIM Summary_DEM-WP(C) ENERG10C--ctn Mid-C_042010 2010GRC 2" xfId="41465"/>
    <cellStyle name="_Portfolio SPlan Base Case.xls Chart 2_Rebuttal Power Costs" xfId="1717"/>
    <cellStyle name="_Portfolio SPlan Base Case.xls Chart 2_Rebuttal Power Costs 2" xfId="1718"/>
    <cellStyle name="_Portfolio SPlan Base Case.xls Chart 2_Rebuttal Power Costs 2 2" xfId="5087"/>
    <cellStyle name="_Portfolio SPlan Base Case.xls Chart 2_Rebuttal Power Costs 2 2 2" xfId="21086"/>
    <cellStyle name="_Portfolio SPlan Base Case.xls Chart 2_Rebuttal Power Costs 2 2 2 2" xfId="25292"/>
    <cellStyle name="_Portfolio SPlan Base Case.xls Chart 2_Rebuttal Power Costs 2 2 3" xfId="25293"/>
    <cellStyle name="_Portfolio SPlan Base Case.xls Chart 2_Rebuttal Power Costs 2 2 4" xfId="25294"/>
    <cellStyle name="_Portfolio SPlan Base Case.xls Chart 2_Rebuttal Power Costs 2 3" xfId="16818"/>
    <cellStyle name="_Portfolio SPlan Base Case.xls Chart 2_Rebuttal Power Costs 2 3 2" xfId="25295"/>
    <cellStyle name="_Portfolio SPlan Base Case.xls Chart 2_Rebuttal Power Costs 2 4" xfId="25296"/>
    <cellStyle name="_Portfolio SPlan Base Case.xls Chart 2_Rebuttal Power Costs 3" xfId="5086"/>
    <cellStyle name="_Portfolio SPlan Base Case.xls Chart 2_Rebuttal Power Costs 3 2" xfId="21087"/>
    <cellStyle name="_Portfolio SPlan Base Case.xls Chart 2_Rebuttal Power Costs 3 2 2" xfId="25297"/>
    <cellStyle name="_Portfolio SPlan Base Case.xls Chart 2_Rebuttal Power Costs 3 3" xfId="25298"/>
    <cellStyle name="_Portfolio SPlan Base Case.xls Chart 2_Rebuttal Power Costs 3 4" xfId="25299"/>
    <cellStyle name="_Portfolio SPlan Base Case.xls Chart 2_Rebuttal Power Costs 4" xfId="16817"/>
    <cellStyle name="_Portfolio SPlan Base Case.xls Chart 2_Rebuttal Power Costs 4 2" xfId="25300"/>
    <cellStyle name="_Portfolio SPlan Base Case.xls Chart 2_Rebuttal Power Costs 5" xfId="25301"/>
    <cellStyle name="_Portfolio SPlan Base Case.xls Chart 2_Rebuttal Power Costs_Adj Bench DR 3 for Initial Briefs (Electric)" xfId="1719"/>
    <cellStyle name="_Portfolio SPlan Base Case.xls Chart 2_Rebuttal Power Costs_Adj Bench DR 3 for Initial Briefs (Electric) 2" xfId="1720"/>
    <cellStyle name="_Portfolio SPlan Base Case.xls Chart 2_Rebuttal Power Costs_Adj Bench DR 3 for Initial Briefs (Electric) 2 2" xfId="5089"/>
    <cellStyle name="_Portfolio SPlan Base Case.xls Chart 2_Rebuttal Power Costs_Adj Bench DR 3 for Initial Briefs (Electric) 2 2 2" xfId="21088"/>
    <cellStyle name="_Portfolio SPlan Base Case.xls Chart 2_Rebuttal Power Costs_Adj Bench DR 3 for Initial Briefs (Electric) 2 2 2 2" xfId="25302"/>
    <cellStyle name="_Portfolio SPlan Base Case.xls Chart 2_Rebuttal Power Costs_Adj Bench DR 3 for Initial Briefs (Electric) 2 2 3" xfId="25303"/>
    <cellStyle name="_Portfolio SPlan Base Case.xls Chart 2_Rebuttal Power Costs_Adj Bench DR 3 for Initial Briefs (Electric) 2 2 4" xfId="25304"/>
    <cellStyle name="_Portfolio SPlan Base Case.xls Chart 2_Rebuttal Power Costs_Adj Bench DR 3 for Initial Briefs (Electric) 2 3" xfId="16820"/>
    <cellStyle name="_Portfolio SPlan Base Case.xls Chart 2_Rebuttal Power Costs_Adj Bench DR 3 for Initial Briefs (Electric) 2 3 2" xfId="25305"/>
    <cellStyle name="_Portfolio SPlan Base Case.xls Chart 2_Rebuttal Power Costs_Adj Bench DR 3 for Initial Briefs (Electric) 2 4" xfId="25306"/>
    <cellStyle name="_Portfolio SPlan Base Case.xls Chart 2_Rebuttal Power Costs_Adj Bench DR 3 for Initial Briefs (Electric) 3" xfId="5088"/>
    <cellStyle name="_Portfolio SPlan Base Case.xls Chart 2_Rebuttal Power Costs_Adj Bench DR 3 for Initial Briefs (Electric) 3 2" xfId="21089"/>
    <cellStyle name="_Portfolio SPlan Base Case.xls Chart 2_Rebuttal Power Costs_Adj Bench DR 3 for Initial Briefs (Electric) 3 2 2" xfId="25307"/>
    <cellStyle name="_Portfolio SPlan Base Case.xls Chart 2_Rebuttal Power Costs_Adj Bench DR 3 for Initial Briefs (Electric) 3 3" xfId="25308"/>
    <cellStyle name="_Portfolio SPlan Base Case.xls Chart 2_Rebuttal Power Costs_Adj Bench DR 3 for Initial Briefs (Electric) 3 4" xfId="25309"/>
    <cellStyle name="_Portfolio SPlan Base Case.xls Chart 2_Rebuttal Power Costs_Adj Bench DR 3 for Initial Briefs (Electric) 4" xfId="16819"/>
    <cellStyle name="_Portfolio SPlan Base Case.xls Chart 2_Rebuttal Power Costs_Adj Bench DR 3 for Initial Briefs (Electric) 4 2" xfId="25310"/>
    <cellStyle name="_Portfolio SPlan Base Case.xls Chart 2_Rebuttal Power Costs_Adj Bench DR 3 for Initial Briefs (Electric) 5" xfId="25311"/>
    <cellStyle name="_Portfolio SPlan Base Case.xls Chart 2_Rebuttal Power Costs_Adj Bench DR 3 for Initial Briefs (Electric)_DEM-WP(C) ENERG10C--ctn Mid-C_042010 2010GRC" xfId="12833"/>
    <cellStyle name="_Portfolio SPlan Base Case.xls Chart 2_Rebuttal Power Costs_Adj Bench DR 3 for Initial Briefs (Electric)_DEM-WP(C) ENERG10C--ctn Mid-C_042010 2010GRC 2" xfId="41466"/>
    <cellStyle name="_Portfolio SPlan Base Case.xls Chart 2_Rebuttal Power Costs_DEM-WP(C) ENERG10C--ctn Mid-C_042010 2010GRC" xfId="12834"/>
    <cellStyle name="_Portfolio SPlan Base Case.xls Chart 2_Rebuttal Power Costs_DEM-WP(C) ENERG10C--ctn Mid-C_042010 2010GRC 2" xfId="41467"/>
    <cellStyle name="_Portfolio SPlan Base Case.xls Chart 2_Rebuttal Power Costs_Electric Rev Req Model (2009 GRC) Rebuttal" xfId="1721"/>
    <cellStyle name="_Portfolio SPlan Base Case.xls Chart 2_Rebuttal Power Costs_Electric Rev Req Model (2009 GRC) Rebuttal 2" xfId="5090"/>
    <cellStyle name="_Portfolio SPlan Base Case.xls Chart 2_Rebuttal Power Costs_Electric Rev Req Model (2009 GRC) Rebuttal 2 2" xfId="7444"/>
    <cellStyle name="_Portfolio SPlan Base Case.xls Chart 2_Rebuttal Power Costs_Electric Rev Req Model (2009 GRC) Rebuttal 2 2 2" xfId="21090"/>
    <cellStyle name="_Portfolio SPlan Base Case.xls Chart 2_Rebuttal Power Costs_Electric Rev Req Model (2009 GRC) Rebuttal 2 3" xfId="18557"/>
    <cellStyle name="_Portfolio SPlan Base Case.xls Chart 2_Rebuttal Power Costs_Electric Rev Req Model (2009 GRC) Rebuttal 3" xfId="7445"/>
    <cellStyle name="_Portfolio SPlan Base Case.xls Chart 2_Rebuttal Power Costs_Electric Rev Req Model (2009 GRC) Rebuttal 3 2" xfId="21091"/>
    <cellStyle name="_Portfolio SPlan Base Case.xls Chart 2_Rebuttal Power Costs_Electric Rev Req Model (2009 GRC) Rebuttal 4" xfId="16821"/>
    <cellStyle name="_Portfolio SPlan Base Case.xls Chart 2_Rebuttal Power Costs_Electric Rev Req Model (2009 GRC) Rebuttal REmoval of New  WH Solar AdjustMI" xfId="1722"/>
    <cellStyle name="_Portfolio SPlan Base Case.xls Chart 2_Rebuttal Power Costs_Electric Rev Req Model (2009 GRC) Rebuttal REmoval of New  WH Solar AdjustMI 2" xfId="1723"/>
    <cellStyle name="_Portfolio SPlan Base Case.xls Chart 2_Rebuttal Power Costs_Electric Rev Req Model (2009 GRC) Rebuttal REmoval of New  WH Solar AdjustMI 2 2" xfId="5092"/>
    <cellStyle name="_Portfolio SPlan Base Case.xls Chart 2_Rebuttal Power Costs_Electric Rev Req Model (2009 GRC) Rebuttal REmoval of New  WH Solar AdjustMI 2 2 2" xfId="21092"/>
    <cellStyle name="_Portfolio SPlan Base Case.xls Chart 2_Rebuttal Power Costs_Electric Rev Req Model (2009 GRC) Rebuttal REmoval of New  WH Solar AdjustMI 2 2 2 2" xfId="25312"/>
    <cellStyle name="_Portfolio SPlan Base Case.xls Chart 2_Rebuttal Power Costs_Electric Rev Req Model (2009 GRC) Rebuttal REmoval of New  WH Solar AdjustMI 2 2 3" xfId="25313"/>
    <cellStyle name="_Portfolio SPlan Base Case.xls Chart 2_Rebuttal Power Costs_Electric Rev Req Model (2009 GRC) Rebuttal REmoval of New  WH Solar AdjustMI 2 2 4" xfId="25314"/>
    <cellStyle name="_Portfolio SPlan Base Case.xls Chart 2_Rebuttal Power Costs_Electric Rev Req Model (2009 GRC) Rebuttal REmoval of New  WH Solar AdjustMI 2 3" xfId="16823"/>
    <cellStyle name="_Portfolio SPlan Base Case.xls Chart 2_Rebuttal Power Costs_Electric Rev Req Model (2009 GRC) Rebuttal REmoval of New  WH Solar AdjustMI 2 3 2" xfId="25315"/>
    <cellStyle name="_Portfolio SPlan Base Case.xls Chart 2_Rebuttal Power Costs_Electric Rev Req Model (2009 GRC) Rebuttal REmoval of New  WH Solar AdjustMI 2 4" xfId="25316"/>
    <cellStyle name="_Portfolio SPlan Base Case.xls Chart 2_Rebuttal Power Costs_Electric Rev Req Model (2009 GRC) Rebuttal REmoval of New  WH Solar AdjustMI 3" xfId="5091"/>
    <cellStyle name="_Portfolio SPlan Base Case.xls Chart 2_Rebuttal Power Costs_Electric Rev Req Model (2009 GRC) Rebuttal REmoval of New  WH Solar AdjustMI 3 2" xfId="21093"/>
    <cellStyle name="_Portfolio SPlan Base Case.xls Chart 2_Rebuttal Power Costs_Electric Rev Req Model (2009 GRC) Rebuttal REmoval of New  WH Solar AdjustMI 3 2 2" xfId="25317"/>
    <cellStyle name="_Portfolio SPlan Base Case.xls Chart 2_Rebuttal Power Costs_Electric Rev Req Model (2009 GRC) Rebuttal REmoval of New  WH Solar AdjustMI 3 3" xfId="25318"/>
    <cellStyle name="_Portfolio SPlan Base Case.xls Chart 2_Rebuttal Power Costs_Electric Rev Req Model (2009 GRC) Rebuttal REmoval of New  WH Solar AdjustMI 3 4" xfId="25319"/>
    <cellStyle name="_Portfolio SPlan Base Case.xls Chart 2_Rebuttal Power Costs_Electric Rev Req Model (2009 GRC) Rebuttal REmoval of New  WH Solar AdjustMI 4" xfId="16822"/>
    <cellStyle name="_Portfolio SPlan Base Case.xls Chart 2_Rebuttal Power Costs_Electric Rev Req Model (2009 GRC) Rebuttal REmoval of New  WH Solar AdjustMI 4 2" xfId="25320"/>
    <cellStyle name="_Portfolio SPlan Base Case.xls Chart 2_Rebuttal Power Costs_Electric Rev Req Model (2009 GRC) Rebuttal REmoval of New  WH Solar AdjustMI 5" xfId="25321"/>
    <cellStyle name="_Portfolio SPlan Base Case.xls Chart 2_Rebuttal Power Costs_Electric Rev Req Model (2009 GRC) Rebuttal REmoval of New  WH Solar AdjustMI_DEM-WP(C) ENERG10C--ctn Mid-C_042010 2010GRC" xfId="12835"/>
    <cellStyle name="_Portfolio SPlan Base Case.xls Chart 2_Rebuttal Power Costs_Electric Rev Req Model (2009 GRC) Rebuttal REmoval of New  WH Solar AdjustMI_DEM-WP(C) ENERG10C--ctn Mid-C_042010 2010GRC 2" xfId="41468"/>
    <cellStyle name="_Portfolio SPlan Base Case.xls Chart 2_Rebuttal Power Costs_Electric Rev Req Model (2009 GRC) Revised 01-18-2010" xfId="1724"/>
    <cellStyle name="_Portfolio SPlan Base Case.xls Chart 2_Rebuttal Power Costs_Electric Rev Req Model (2009 GRC) Revised 01-18-2010 2" xfId="1725"/>
    <cellStyle name="_Portfolio SPlan Base Case.xls Chart 2_Rebuttal Power Costs_Electric Rev Req Model (2009 GRC) Revised 01-18-2010 2 2" xfId="5094"/>
    <cellStyle name="_Portfolio SPlan Base Case.xls Chart 2_Rebuttal Power Costs_Electric Rev Req Model (2009 GRC) Revised 01-18-2010 2 2 2" xfId="21094"/>
    <cellStyle name="_Portfolio SPlan Base Case.xls Chart 2_Rebuttal Power Costs_Electric Rev Req Model (2009 GRC) Revised 01-18-2010 2 2 2 2" xfId="25322"/>
    <cellStyle name="_Portfolio SPlan Base Case.xls Chart 2_Rebuttal Power Costs_Electric Rev Req Model (2009 GRC) Revised 01-18-2010 2 2 3" xfId="25323"/>
    <cellStyle name="_Portfolio SPlan Base Case.xls Chart 2_Rebuttal Power Costs_Electric Rev Req Model (2009 GRC) Revised 01-18-2010 2 2 4" xfId="25324"/>
    <cellStyle name="_Portfolio SPlan Base Case.xls Chart 2_Rebuttal Power Costs_Electric Rev Req Model (2009 GRC) Revised 01-18-2010 2 3" xfId="16825"/>
    <cellStyle name="_Portfolio SPlan Base Case.xls Chart 2_Rebuttal Power Costs_Electric Rev Req Model (2009 GRC) Revised 01-18-2010 2 3 2" xfId="25325"/>
    <cellStyle name="_Portfolio SPlan Base Case.xls Chart 2_Rebuttal Power Costs_Electric Rev Req Model (2009 GRC) Revised 01-18-2010 2 4" xfId="25326"/>
    <cellStyle name="_Portfolio SPlan Base Case.xls Chart 2_Rebuttal Power Costs_Electric Rev Req Model (2009 GRC) Revised 01-18-2010 3" xfId="5093"/>
    <cellStyle name="_Portfolio SPlan Base Case.xls Chart 2_Rebuttal Power Costs_Electric Rev Req Model (2009 GRC) Revised 01-18-2010 3 2" xfId="21095"/>
    <cellStyle name="_Portfolio SPlan Base Case.xls Chart 2_Rebuttal Power Costs_Electric Rev Req Model (2009 GRC) Revised 01-18-2010 3 2 2" xfId="25327"/>
    <cellStyle name="_Portfolio SPlan Base Case.xls Chart 2_Rebuttal Power Costs_Electric Rev Req Model (2009 GRC) Revised 01-18-2010 3 3" xfId="25328"/>
    <cellStyle name="_Portfolio SPlan Base Case.xls Chart 2_Rebuttal Power Costs_Electric Rev Req Model (2009 GRC) Revised 01-18-2010 3 4" xfId="25329"/>
    <cellStyle name="_Portfolio SPlan Base Case.xls Chart 2_Rebuttal Power Costs_Electric Rev Req Model (2009 GRC) Revised 01-18-2010 4" xfId="16824"/>
    <cellStyle name="_Portfolio SPlan Base Case.xls Chart 2_Rebuttal Power Costs_Electric Rev Req Model (2009 GRC) Revised 01-18-2010 4 2" xfId="25330"/>
    <cellStyle name="_Portfolio SPlan Base Case.xls Chart 2_Rebuttal Power Costs_Electric Rev Req Model (2009 GRC) Revised 01-18-2010 5" xfId="25331"/>
    <cellStyle name="_Portfolio SPlan Base Case.xls Chart 2_Rebuttal Power Costs_Electric Rev Req Model (2009 GRC) Revised 01-18-2010_DEM-WP(C) ENERG10C--ctn Mid-C_042010 2010GRC" xfId="12836"/>
    <cellStyle name="_Portfolio SPlan Base Case.xls Chart 2_Rebuttal Power Costs_Electric Rev Req Model (2009 GRC) Revised 01-18-2010_DEM-WP(C) ENERG10C--ctn Mid-C_042010 2010GRC 2" xfId="41469"/>
    <cellStyle name="_Portfolio SPlan Base Case.xls Chart 2_Rebuttal Power Costs_Final Order Electric EXHIBIT A-1" xfId="1726"/>
    <cellStyle name="_Portfolio SPlan Base Case.xls Chart 2_Rebuttal Power Costs_Final Order Electric EXHIBIT A-1 2" xfId="5095"/>
    <cellStyle name="_Portfolio SPlan Base Case.xls Chart 2_Rebuttal Power Costs_Final Order Electric EXHIBIT A-1 2 2" xfId="7446"/>
    <cellStyle name="_Portfolio SPlan Base Case.xls Chart 2_Rebuttal Power Costs_Final Order Electric EXHIBIT A-1 2 2 2" xfId="21096"/>
    <cellStyle name="_Portfolio SPlan Base Case.xls Chart 2_Rebuttal Power Costs_Final Order Electric EXHIBIT A-1 2 3" xfId="18558"/>
    <cellStyle name="_Portfolio SPlan Base Case.xls Chart 2_Rebuttal Power Costs_Final Order Electric EXHIBIT A-1 2 4" xfId="25332"/>
    <cellStyle name="_Portfolio SPlan Base Case.xls Chart 2_Rebuttal Power Costs_Final Order Electric EXHIBIT A-1 3" xfId="7447"/>
    <cellStyle name="_Portfolio SPlan Base Case.xls Chart 2_Rebuttal Power Costs_Final Order Electric EXHIBIT A-1 3 2" xfId="21097"/>
    <cellStyle name="_Portfolio SPlan Base Case.xls Chart 2_Rebuttal Power Costs_Final Order Electric EXHIBIT A-1 4" xfId="16826"/>
    <cellStyle name="_Portfolio SPlan Base Case.xls Chart 2_Rebuttal Power Costs_Final Order Electric EXHIBIT A-1 5" xfId="25333"/>
    <cellStyle name="_Portfolio SPlan Base Case.xls Chart 2_Rebuttal Power Costs_Final Order Electric EXHIBIT A-1 6" xfId="25334"/>
    <cellStyle name="_Portfolio SPlan Base Case.xls Chart 2_TENASKA REGULATORY ASSET" xfId="1727"/>
    <cellStyle name="_Portfolio SPlan Base Case.xls Chart 2_TENASKA REGULATORY ASSET 2" xfId="5096"/>
    <cellStyle name="_Portfolio SPlan Base Case.xls Chart 2_TENASKA REGULATORY ASSET 2 2" xfId="7448"/>
    <cellStyle name="_Portfolio SPlan Base Case.xls Chart 2_TENASKA REGULATORY ASSET 2 2 2" xfId="21098"/>
    <cellStyle name="_Portfolio SPlan Base Case.xls Chart 2_TENASKA REGULATORY ASSET 2 3" xfId="18559"/>
    <cellStyle name="_Portfolio SPlan Base Case.xls Chart 2_TENASKA REGULATORY ASSET 2 4" xfId="25335"/>
    <cellStyle name="_Portfolio SPlan Base Case.xls Chart 2_TENASKA REGULATORY ASSET 3" xfId="7449"/>
    <cellStyle name="_Portfolio SPlan Base Case.xls Chart 2_TENASKA REGULATORY ASSET 3 2" xfId="21099"/>
    <cellStyle name="_Portfolio SPlan Base Case.xls Chart 2_TENASKA REGULATORY ASSET 4" xfId="16827"/>
    <cellStyle name="_Portfolio SPlan Base Case.xls Chart 2_TENASKA REGULATORY ASSET 5" xfId="25336"/>
    <cellStyle name="_Portfolio SPlan Base Case.xls Chart 2_TENASKA REGULATORY ASSET 6" xfId="25337"/>
    <cellStyle name="_Portfolio SPlan Base Case.xls Chart 3" xfId="1728"/>
    <cellStyle name="_Portfolio SPlan Base Case.xls Chart 3 2" xfId="1729"/>
    <cellStyle name="_Portfolio SPlan Base Case.xls Chart 3 2 2" xfId="5098"/>
    <cellStyle name="_Portfolio SPlan Base Case.xls Chart 3 2 2 2" xfId="21100"/>
    <cellStyle name="_Portfolio SPlan Base Case.xls Chart 3 2 2 2 2" xfId="25338"/>
    <cellStyle name="_Portfolio SPlan Base Case.xls Chart 3 2 2 2 2 2" xfId="25339"/>
    <cellStyle name="_Portfolio SPlan Base Case.xls Chart 3 2 2 2 3" xfId="25340"/>
    <cellStyle name="_Portfolio SPlan Base Case.xls Chart 3 2 2 3" xfId="25341"/>
    <cellStyle name="_Portfolio SPlan Base Case.xls Chart 3 2 2 3 2" xfId="25342"/>
    <cellStyle name="_Portfolio SPlan Base Case.xls Chart 3 2 2 4" xfId="25343"/>
    <cellStyle name="_Portfolio SPlan Base Case.xls Chart 3 2 3" xfId="16829"/>
    <cellStyle name="_Portfolio SPlan Base Case.xls Chart 3 2 3 2" xfId="25344"/>
    <cellStyle name="_Portfolio SPlan Base Case.xls Chart 3 2 3 2 2" xfId="25345"/>
    <cellStyle name="_Portfolio SPlan Base Case.xls Chart 3 2 3 3" xfId="25346"/>
    <cellStyle name="_Portfolio SPlan Base Case.xls Chart 3 2 4" xfId="25347"/>
    <cellStyle name="_Portfolio SPlan Base Case.xls Chart 3 2 4 2" xfId="25348"/>
    <cellStyle name="_Portfolio SPlan Base Case.xls Chart 3 2 5" xfId="25349"/>
    <cellStyle name="_Portfolio SPlan Base Case.xls Chart 3 3" xfId="5097"/>
    <cellStyle name="_Portfolio SPlan Base Case.xls Chart 3 3 2" xfId="21101"/>
    <cellStyle name="_Portfolio SPlan Base Case.xls Chart 3 3 2 2" xfId="25350"/>
    <cellStyle name="_Portfolio SPlan Base Case.xls Chart 3 3 2 3" xfId="25351"/>
    <cellStyle name="_Portfolio SPlan Base Case.xls Chart 3 3 3" xfId="25352"/>
    <cellStyle name="_Portfolio SPlan Base Case.xls Chart 3 3 4" xfId="25353"/>
    <cellStyle name="_Portfolio SPlan Base Case.xls Chart 3 4" xfId="16828"/>
    <cellStyle name="_Portfolio SPlan Base Case.xls Chart 3 4 2" xfId="25354"/>
    <cellStyle name="_Portfolio SPlan Base Case.xls Chart 3 4 2 2" xfId="25355"/>
    <cellStyle name="_Portfolio SPlan Base Case.xls Chart 3 4 3" xfId="25356"/>
    <cellStyle name="_Portfolio SPlan Base Case.xls Chart 3 5" xfId="25357"/>
    <cellStyle name="_Portfolio SPlan Base Case.xls Chart 3 5 2" xfId="25358"/>
    <cellStyle name="_Portfolio SPlan Base Case.xls Chart 3 5 3" xfId="25359"/>
    <cellStyle name="_Portfolio SPlan Base Case.xls Chart 3 6" xfId="25360"/>
    <cellStyle name="_Portfolio SPlan Base Case.xls Chart 3 6 2" xfId="25361"/>
    <cellStyle name="_Portfolio SPlan Base Case.xls Chart 3_Adj Bench DR 3 for Initial Briefs (Electric)" xfId="1730"/>
    <cellStyle name="_Portfolio SPlan Base Case.xls Chart 3_Adj Bench DR 3 for Initial Briefs (Electric) 2" xfId="1731"/>
    <cellStyle name="_Portfolio SPlan Base Case.xls Chart 3_Adj Bench DR 3 for Initial Briefs (Electric) 2 2" xfId="5100"/>
    <cellStyle name="_Portfolio SPlan Base Case.xls Chart 3_Adj Bench DR 3 for Initial Briefs (Electric) 2 2 2" xfId="21102"/>
    <cellStyle name="_Portfolio SPlan Base Case.xls Chart 3_Adj Bench DR 3 for Initial Briefs (Electric) 2 2 2 2" xfId="25362"/>
    <cellStyle name="_Portfolio SPlan Base Case.xls Chart 3_Adj Bench DR 3 for Initial Briefs (Electric) 2 2 3" xfId="25363"/>
    <cellStyle name="_Portfolio SPlan Base Case.xls Chart 3_Adj Bench DR 3 for Initial Briefs (Electric) 2 2 4" xfId="25364"/>
    <cellStyle name="_Portfolio SPlan Base Case.xls Chart 3_Adj Bench DR 3 for Initial Briefs (Electric) 2 3" xfId="16831"/>
    <cellStyle name="_Portfolio SPlan Base Case.xls Chart 3_Adj Bench DR 3 for Initial Briefs (Electric) 2 3 2" xfId="25365"/>
    <cellStyle name="_Portfolio SPlan Base Case.xls Chart 3_Adj Bench DR 3 for Initial Briefs (Electric) 2 4" xfId="25366"/>
    <cellStyle name="_Portfolio SPlan Base Case.xls Chart 3_Adj Bench DR 3 for Initial Briefs (Electric) 3" xfId="5099"/>
    <cellStyle name="_Portfolio SPlan Base Case.xls Chart 3_Adj Bench DR 3 for Initial Briefs (Electric) 3 2" xfId="21103"/>
    <cellStyle name="_Portfolio SPlan Base Case.xls Chart 3_Adj Bench DR 3 for Initial Briefs (Electric) 3 2 2" xfId="25367"/>
    <cellStyle name="_Portfolio SPlan Base Case.xls Chart 3_Adj Bench DR 3 for Initial Briefs (Electric) 3 3" xfId="25368"/>
    <cellStyle name="_Portfolio SPlan Base Case.xls Chart 3_Adj Bench DR 3 for Initial Briefs (Electric) 3 4" xfId="25369"/>
    <cellStyle name="_Portfolio SPlan Base Case.xls Chart 3_Adj Bench DR 3 for Initial Briefs (Electric) 4" xfId="16830"/>
    <cellStyle name="_Portfolio SPlan Base Case.xls Chart 3_Adj Bench DR 3 for Initial Briefs (Electric) 4 2" xfId="25370"/>
    <cellStyle name="_Portfolio SPlan Base Case.xls Chart 3_Adj Bench DR 3 for Initial Briefs (Electric) 5" xfId="25371"/>
    <cellStyle name="_Portfolio SPlan Base Case.xls Chart 3_Adj Bench DR 3 for Initial Briefs (Electric)_DEM-WP(C) ENERG10C--ctn Mid-C_042010 2010GRC" xfId="12837"/>
    <cellStyle name="_Portfolio SPlan Base Case.xls Chart 3_Adj Bench DR 3 for Initial Briefs (Electric)_DEM-WP(C) ENERG10C--ctn Mid-C_042010 2010GRC 2" xfId="41470"/>
    <cellStyle name="_Portfolio SPlan Base Case.xls Chart 3_Book1" xfId="14281"/>
    <cellStyle name="_Portfolio SPlan Base Case.xls Chart 3_Book1 2" xfId="41471"/>
    <cellStyle name="_Portfolio SPlan Base Case.xls Chart 3_Book2" xfId="1732"/>
    <cellStyle name="_Portfolio SPlan Base Case.xls Chart 3_Book2 2" xfId="1733"/>
    <cellStyle name="_Portfolio SPlan Base Case.xls Chart 3_Book2 2 2" xfId="5102"/>
    <cellStyle name="_Portfolio SPlan Base Case.xls Chart 3_Book2 2 2 2" xfId="21104"/>
    <cellStyle name="_Portfolio SPlan Base Case.xls Chart 3_Book2 2 2 2 2" xfId="25372"/>
    <cellStyle name="_Portfolio SPlan Base Case.xls Chart 3_Book2 2 2 3" xfId="25373"/>
    <cellStyle name="_Portfolio SPlan Base Case.xls Chart 3_Book2 2 2 4" xfId="25374"/>
    <cellStyle name="_Portfolio SPlan Base Case.xls Chart 3_Book2 2 3" xfId="16833"/>
    <cellStyle name="_Portfolio SPlan Base Case.xls Chart 3_Book2 2 3 2" xfId="25375"/>
    <cellStyle name="_Portfolio SPlan Base Case.xls Chart 3_Book2 2 4" xfId="25376"/>
    <cellStyle name="_Portfolio SPlan Base Case.xls Chart 3_Book2 3" xfId="5101"/>
    <cellStyle name="_Portfolio SPlan Base Case.xls Chart 3_Book2 3 2" xfId="21105"/>
    <cellStyle name="_Portfolio SPlan Base Case.xls Chart 3_Book2 3 2 2" xfId="25377"/>
    <cellStyle name="_Portfolio SPlan Base Case.xls Chart 3_Book2 3 3" xfId="25378"/>
    <cellStyle name="_Portfolio SPlan Base Case.xls Chart 3_Book2 3 4" xfId="25379"/>
    <cellStyle name="_Portfolio SPlan Base Case.xls Chart 3_Book2 4" xfId="16832"/>
    <cellStyle name="_Portfolio SPlan Base Case.xls Chart 3_Book2 4 2" xfId="25380"/>
    <cellStyle name="_Portfolio SPlan Base Case.xls Chart 3_Book2 5" xfId="25381"/>
    <cellStyle name="_Portfolio SPlan Base Case.xls Chart 3_Book2_Adj Bench DR 3 for Initial Briefs (Electric)" xfId="1734"/>
    <cellStyle name="_Portfolio SPlan Base Case.xls Chart 3_Book2_Adj Bench DR 3 for Initial Briefs (Electric) 2" xfId="1735"/>
    <cellStyle name="_Portfolio SPlan Base Case.xls Chart 3_Book2_Adj Bench DR 3 for Initial Briefs (Electric) 2 2" xfId="5104"/>
    <cellStyle name="_Portfolio SPlan Base Case.xls Chart 3_Book2_Adj Bench DR 3 for Initial Briefs (Electric) 2 2 2" xfId="21106"/>
    <cellStyle name="_Portfolio SPlan Base Case.xls Chart 3_Book2_Adj Bench DR 3 for Initial Briefs (Electric) 2 2 2 2" xfId="25382"/>
    <cellStyle name="_Portfolio SPlan Base Case.xls Chart 3_Book2_Adj Bench DR 3 for Initial Briefs (Electric) 2 2 3" xfId="25383"/>
    <cellStyle name="_Portfolio SPlan Base Case.xls Chart 3_Book2_Adj Bench DR 3 for Initial Briefs (Electric) 2 2 4" xfId="25384"/>
    <cellStyle name="_Portfolio SPlan Base Case.xls Chart 3_Book2_Adj Bench DR 3 for Initial Briefs (Electric) 2 3" xfId="16835"/>
    <cellStyle name="_Portfolio SPlan Base Case.xls Chart 3_Book2_Adj Bench DR 3 for Initial Briefs (Electric) 2 3 2" xfId="25385"/>
    <cellStyle name="_Portfolio SPlan Base Case.xls Chart 3_Book2_Adj Bench DR 3 for Initial Briefs (Electric) 2 4" xfId="25386"/>
    <cellStyle name="_Portfolio SPlan Base Case.xls Chart 3_Book2_Adj Bench DR 3 for Initial Briefs (Electric) 3" xfId="5103"/>
    <cellStyle name="_Portfolio SPlan Base Case.xls Chart 3_Book2_Adj Bench DR 3 for Initial Briefs (Electric) 3 2" xfId="21107"/>
    <cellStyle name="_Portfolio SPlan Base Case.xls Chart 3_Book2_Adj Bench DR 3 for Initial Briefs (Electric) 3 2 2" xfId="25387"/>
    <cellStyle name="_Portfolio SPlan Base Case.xls Chart 3_Book2_Adj Bench DR 3 for Initial Briefs (Electric) 3 3" xfId="25388"/>
    <cellStyle name="_Portfolio SPlan Base Case.xls Chart 3_Book2_Adj Bench DR 3 for Initial Briefs (Electric) 3 4" xfId="25389"/>
    <cellStyle name="_Portfolio SPlan Base Case.xls Chart 3_Book2_Adj Bench DR 3 for Initial Briefs (Electric) 4" xfId="16834"/>
    <cellStyle name="_Portfolio SPlan Base Case.xls Chart 3_Book2_Adj Bench DR 3 for Initial Briefs (Electric) 4 2" xfId="25390"/>
    <cellStyle name="_Portfolio SPlan Base Case.xls Chart 3_Book2_Adj Bench DR 3 for Initial Briefs (Electric) 5" xfId="25391"/>
    <cellStyle name="_Portfolio SPlan Base Case.xls Chart 3_Book2_Adj Bench DR 3 for Initial Briefs (Electric)_DEM-WP(C) ENERG10C--ctn Mid-C_042010 2010GRC" xfId="12838"/>
    <cellStyle name="_Portfolio SPlan Base Case.xls Chart 3_Book2_Adj Bench DR 3 for Initial Briefs (Electric)_DEM-WP(C) ENERG10C--ctn Mid-C_042010 2010GRC 2" xfId="41472"/>
    <cellStyle name="_Portfolio SPlan Base Case.xls Chart 3_Book2_DEM-WP(C) ENERG10C--ctn Mid-C_042010 2010GRC" xfId="12839"/>
    <cellStyle name="_Portfolio SPlan Base Case.xls Chart 3_Book2_DEM-WP(C) ENERG10C--ctn Mid-C_042010 2010GRC 2" xfId="41473"/>
    <cellStyle name="_Portfolio SPlan Base Case.xls Chart 3_Book2_Electric Rev Req Model (2009 GRC) Rebuttal" xfId="1736"/>
    <cellStyle name="_Portfolio SPlan Base Case.xls Chart 3_Book2_Electric Rev Req Model (2009 GRC) Rebuttal 2" xfId="5105"/>
    <cellStyle name="_Portfolio SPlan Base Case.xls Chart 3_Book2_Electric Rev Req Model (2009 GRC) Rebuttal 2 2" xfId="7450"/>
    <cellStyle name="_Portfolio SPlan Base Case.xls Chart 3_Book2_Electric Rev Req Model (2009 GRC) Rebuttal 2 2 2" xfId="21108"/>
    <cellStyle name="_Portfolio SPlan Base Case.xls Chart 3_Book2_Electric Rev Req Model (2009 GRC) Rebuttal 2 3" xfId="18560"/>
    <cellStyle name="_Portfolio SPlan Base Case.xls Chart 3_Book2_Electric Rev Req Model (2009 GRC) Rebuttal 3" xfId="7451"/>
    <cellStyle name="_Portfolio SPlan Base Case.xls Chart 3_Book2_Electric Rev Req Model (2009 GRC) Rebuttal 3 2" xfId="21109"/>
    <cellStyle name="_Portfolio SPlan Base Case.xls Chart 3_Book2_Electric Rev Req Model (2009 GRC) Rebuttal 4" xfId="16836"/>
    <cellStyle name="_Portfolio SPlan Base Case.xls Chart 3_Book2_Electric Rev Req Model (2009 GRC) Rebuttal REmoval of New  WH Solar AdjustMI" xfId="1737"/>
    <cellStyle name="_Portfolio SPlan Base Case.xls Chart 3_Book2_Electric Rev Req Model (2009 GRC) Rebuttal REmoval of New  WH Solar AdjustMI 2" xfId="1738"/>
    <cellStyle name="_Portfolio SPlan Base Case.xls Chart 3_Book2_Electric Rev Req Model (2009 GRC) Rebuttal REmoval of New  WH Solar AdjustMI 2 2" xfId="5107"/>
    <cellStyle name="_Portfolio SPlan Base Case.xls Chart 3_Book2_Electric Rev Req Model (2009 GRC) Rebuttal REmoval of New  WH Solar AdjustMI 2 2 2" xfId="21110"/>
    <cellStyle name="_Portfolio SPlan Base Case.xls Chart 3_Book2_Electric Rev Req Model (2009 GRC) Rebuttal REmoval of New  WH Solar AdjustMI 2 2 2 2" xfId="25392"/>
    <cellStyle name="_Portfolio SPlan Base Case.xls Chart 3_Book2_Electric Rev Req Model (2009 GRC) Rebuttal REmoval of New  WH Solar AdjustMI 2 2 3" xfId="25393"/>
    <cellStyle name="_Portfolio SPlan Base Case.xls Chart 3_Book2_Electric Rev Req Model (2009 GRC) Rebuttal REmoval of New  WH Solar AdjustMI 2 2 4" xfId="25394"/>
    <cellStyle name="_Portfolio SPlan Base Case.xls Chart 3_Book2_Electric Rev Req Model (2009 GRC) Rebuttal REmoval of New  WH Solar AdjustMI 2 3" xfId="16838"/>
    <cellStyle name="_Portfolio SPlan Base Case.xls Chart 3_Book2_Electric Rev Req Model (2009 GRC) Rebuttal REmoval of New  WH Solar AdjustMI 2 3 2" xfId="25395"/>
    <cellStyle name="_Portfolio SPlan Base Case.xls Chart 3_Book2_Electric Rev Req Model (2009 GRC) Rebuttal REmoval of New  WH Solar AdjustMI 2 4" xfId="25396"/>
    <cellStyle name="_Portfolio SPlan Base Case.xls Chart 3_Book2_Electric Rev Req Model (2009 GRC) Rebuttal REmoval of New  WH Solar AdjustMI 3" xfId="5106"/>
    <cellStyle name="_Portfolio SPlan Base Case.xls Chart 3_Book2_Electric Rev Req Model (2009 GRC) Rebuttal REmoval of New  WH Solar AdjustMI 3 2" xfId="21111"/>
    <cellStyle name="_Portfolio SPlan Base Case.xls Chart 3_Book2_Electric Rev Req Model (2009 GRC) Rebuttal REmoval of New  WH Solar AdjustMI 3 2 2" xfId="25397"/>
    <cellStyle name="_Portfolio SPlan Base Case.xls Chart 3_Book2_Electric Rev Req Model (2009 GRC) Rebuttal REmoval of New  WH Solar AdjustMI 3 3" xfId="25398"/>
    <cellStyle name="_Portfolio SPlan Base Case.xls Chart 3_Book2_Electric Rev Req Model (2009 GRC) Rebuttal REmoval of New  WH Solar AdjustMI 3 4" xfId="25399"/>
    <cellStyle name="_Portfolio SPlan Base Case.xls Chart 3_Book2_Electric Rev Req Model (2009 GRC) Rebuttal REmoval of New  WH Solar AdjustMI 4" xfId="16837"/>
    <cellStyle name="_Portfolio SPlan Base Case.xls Chart 3_Book2_Electric Rev Req Model (2009 GRC) Rebuttal REmoval of New  WH Solar AdjustMI 4 2" xfId="25400"/>
    <cellStyle name="_Portfolio SPlan Base Case.xls Chart 3_Book2_Electric Rev Req Model (2009 GRC) Rebuttal REmoval of New  WH Solar AdjustMI 5" xfId="25401"/>
    <cellStyle name="_Portfolio SPlan Base Case.xls Chart 3_Book2_Electric Rev Req Model (2009 GRC) Rebuttal REmoval of New  WH Solar AdjustMI_DEM-WP(C) ENERG10C--ctn Mid-C_042010 2010GRC" xfId="12840"/>
    <cellStyle name="_Portfolio SPlan Base Case.xls Chart 3_Book2_Electric Rev Req Model (2009 GRC) Rebuttal REmoval of New  WH Solar AdjustMI_DEM-WP(C) ENERG10C--ctn Mid-C_042010 2010GRC 2" xfId="41474"/>
    <cellStyle name="_Portfolio SPlan Base Case.xls Chart 3_Book2_Electric Rev Req Model (2009 GRC) Revised 01-18-2010" xfId="1739"/>
    <cellStyle name="_Portfolio SPlan Base Case.xls Chart 3_Book2_Electric Rev Req Model (2009 GRC) Revised 01-18-2010 2" xfId="1740"/>
    <cellStyle name="_Portfolio SPlan Base Case.xls Chart 3_Book2_Electric Rev Req Model (2009 GRC) Revised 01-18-2010 2 2" xfId="5109"/>
    <cellStyle name="_Portfolio SPlan Base Case.xls Chart 3_Book2_Electric Rev Req Model (2009 GRC) Revised 01-18-2010 2 2 2" xfId="21112"/>
    <cellStyle name="_Portfolio SPlan Base Case.xls Chart 3_Book2_Electric Rev Req Model (2009 GRC) Revised 01-18-2010 2 2 2 2" xfId="25402"/>
    <cellStyle name="_Portfolio SPlan Base Case.xls Chart 3_Book2_Electric Rev Req Model (2009 GRC) Revised 01-18-2010 2 2 3" xfId="25403"/>
    <cellStyle name="_Portfolio SPlan Base Case.xls Chart 3_Book2_Electric Rev Req Model (2009 GRC) Revised 01-18-2010 2 2 4" xfId="25404"/>
    <cellStyle name="_Portfolio SPlan Base Case.xls Chart 3_Book2_Electric Rev Req Model (2009 GRC) Revised 01-18-2010 2 3" xfId="16840"/>
    <cellStyle name="_Portfolio SPlan Base Case.xls Chart 3_Book2_Electric Rev Req Model (2009 GRC) Revised 01-18-2010 2 3 2" xfId="25405"/>
    <cellStyle name="_Portfolio SPlan Base Case.xls Chart 3_Book2_Electric Rev Req Model (2009 GRC) Revised 01-18-2010 2 4" xfId="25406"/>
    <cellStyle name="_Portfolio SPlan Base Case.xls Chart 3_Book2_Electric Rev Req Model (2009 GRC) Revised 01-18-2010 3" xfId="5108"/>
    <cellStyle name="_Portfolio SPlan Base Case.xls Chart 3_Book2_Electric Rev Req Model (2009 GRC) Revised 01-18-2010 3 2" xfId="21113"/>
    <cellStyle name="_Portfolio SPlan Base Case.xls Chart 3_Book2_Electric Rev Req Model (2009 GRC) Revised 01-18-2010 3 2 2" xfId="25407"/>
    <cellStyle name="_Portfolio SPlan Base Case.xls Chart 3_Book2_Electric Rev Req Model (2009 GRC) Revised 01-18-2010 3 3" xfId="25408"/>
    <cellStyle name="_Portfolio SPlan Base Case.xls Chart 3_Book2_Electric Rev Req Model (2009 GRC) Revised 01-18-2010 3 4" xfId="25409"/>
    <cellStyle name="_Portfolio SPlan Base Case.xls Chart 3_Book2_Electric Rev Req Model (2009 GRC) Revised 01-18-2010 4" xfId="16839"/>
    <cellStyle name="_Portfolio SPlan Base Case.xls Chart 3_Book2_Electric Rev Req Model (2009 GRC) Revised 01-18-2010 4 2" xfId="25410"/>
    <cellStyle name="_Portfolio SPlan Base Case.xls Chart 3_Book2_Electric Rev Req Model (2009 GRC) Revised 01-18-2010 5" xfId="25411"/>
    <cellStyle name="_Portfolio SPlan Base Case.xls Chart 3_Book2_Electric Rev Req Model (2009 GRC) Revised 01-18-2010_DEM-WP(C) ENERG10C--ctn Mid-C_042010 2010GRC" xfId="12841"/>
    <cellStyle name="_Portfolio SPlan Base Case.xls Chart 3_Book2_Electric Rev Req Model (2009 GRC) Revised 01-18-2010_DEM-WP(C) ENERG10C--ctn Mid-C_042010 2010GRC 2" xfId="41475"/>
    <cellStyle name="_Portfolio SPlan Base Case.xls Chart 3_Book2_Final Order Electric EXHIBIT A-1" xfId="1741"/>
    <cellStyle name="_Portfolio SPlan Base Case.xls Chart 3_Book2_Final Order Electric EXHIBIT A-1 2" xfId="5110"/>
    <cellStyle name="_Portfolio SPlan Base Case.xls Chart 3_Book2_Final Order Electric EXHIBIT A-1 2 2" xfId="7452"/>
    <cellStyle name="_Portfolio SPlan Base Case.xls Chart 3_Book2_Final Order Electric EXHIBIT A-1 2 2 2" xfId="21114"/>
    <cellStyle name="_Portfolio SPlan Base Case.xls Chart 3_Book2_Final Order Electric EXHIBIT A-1 2 3" xfId="18561"/>
    <cellStyle name="_Portfolio SPlan Base Case.xls Chart 3_Book2_Final Order Electric EXHIBIT A-1 2 4" xfId="25412"/>
    <cellStyle name="_Portfolio SPlan Base Case.xls Chart 3_Book2_Final Order Electric EXHIBIT A-1 3" xfId="7453"/>
    <cellStyle name="_Portfolio SPlan Base Case.xls Chart 3_Book2_Final Order Electric EXHIBIT A-1 3 2" xfId="21115"/>
    <cellStyle name="_Portfolio SPlan Base Case.xls Chart 3_Book2_Final Order Electric EXHIBIT A-1 4" xfId="16841"/>
    <cellStyle name="_Portfolio SPlan Base Case.xls Chart 3_Book2_Final Order Electric EXHIBIT A-1 5" xfId="25413"/>
    <cellStyle name="_Portfolio SPlan Base Case.xls Chart 3_Book2_Final Order Electric EXHIBIT A-1 6" xfId="25414"/>
    <cellStyle name="_Portfolio SPlan Base Case.xls Chart 3_Chelan PUD Power Costs (8-10)" xfId="12842"/>
    <cellStyle name="_Portfolio SPlan Base Case.xls Chart 3_Chelan PUD Power Costs (8-10) 2" xfId="25415"/>
    <cellStyle name="_Portfolio SPlan Base Case.xls Chart 3_Colstrip 1&amp;2 Annual O&amp;M Budgets" xfId="25416"/>
    <cellStyle name="_Portfolio SPlan Base Case.xls Chart 3_Confidential Material" xfId="12843"/>
    <cellStyle name="_Portfolio SPlan Base Case.xls Chart 3_Confidential Material 2" xfId="25417"/>
    <cellStyle name="_Portfolio SPlan Base Case.xls Chart 3_DEM-WP(C) Colstrip 12 Coal Cost Forecast 2010GRC" xfId="12844"/>
    <cellStyle name="_Portfolio SPlan Base Case.xls Chart 3_DEM-WP(C) Colstrip 12 Coal Cost Forecast 2010GRC 2" xfId="25418"/>
    <cellStyle name="_Portfolio SPlan Base Case.xls Chart 3_DEM-WP(C) ENERG10C--ctn Mid-C_042010 2010GRC" xfId="12845"/>
    <cellStyle name="_Portfolio SPlan Base Case.xls Chart 3_DEM-WP(C) ENERG10C--ctn Mid-C_042010 2010GRC 2" xfId="41476"/>
    <cellStyle name="_Portfolio SPlan Base Case.xls Chart 3_DEM-WP(C) Production O&amp;M 2010GRC As-Filed" xfId="12846"/>
    <cellStyle name="_Portfolio SPlan Base Case.xls Chart 3_DEM-WP(C) Production O&amp;M 2010GRC As-Filed 2" xfId="12847"/>
    <cellStyle name="_Portfolio SPlan Base Case.xls Chart 3_DEM-WP(C) Production O&amp;M 2010GRC As-Filed 2 2" xfId="25419"/>
    <cellStyle name="_Portfolio SPlan Base Case.xls Chart 3_DEM-WP(C) Production O&amp;M 2010GRC As-Filed 3" xfId="12848"/>
    <cellStyle name="_Portfolio SPlan Base Case.xls Chart 3_DEM-WP(C) Production O&amp;M 2010GRC As-Filed 3 2" xfId="25420"/>
    <cellStyle name="_Portfolio SPlan Base Case.xls Chart 3_DEM-WP(C) Production O&amp;M 2010GRC As-Filed 4" xfId="25421"/>
    <cellStyle name="_Portfolio SPlan Base Case.xls Chart 3_DEM-WP(C) Production O&amp;M 2010GRC As-Filed 4 2" xfId="25422"/>
    <cellStyle name="_Portfolio SPlan Base Case.xls Chart 3_DEM-WP(C) Production O&amp;M 2010GRC As-Filed 5" xfId="25423"/>
    <cellStyle name="_Portfolio SPlan Base Case.xls Chart 3_DEM-WP(C) Production O&amp;M 2010GRC As-Filed 5 2" xfId="25424"/>
    <cellStyle name="_Portfolio SPlan Base Case.xls Chart 3_DEM-WP(C) Production O&amp;M 2010GRC As-Filed 6" xfId="25425"/>
    <cellStyle name="_Portfolio SPlan Base Case.xls Chart 3_DEM-WP(C) Production O&amp;M 2010GRC As-Filed 6 2" xfId="25426"/>
    <cellStyle name="_Portfolio SPlan Base Case.xls Chart 3_Electric Rev Req Model (2009 GRC) " xfId="1742"/>
    <cellStyle name="_Portfolio SPlan Base Case.xls Chart 3_Electric Rev Req Model (2009 GRC)  2" xfId="1743"/>
    <cellStyle name="_Portfolio SPlan Base Case.xls Chart 3_Electric Rev Req Model (2009 GRC)  2 2" xfId="5112"/>
    <cellStyle name="_Portfolio SPlan Base Case.xls Chart 3_Electric Rev Req Model (2009 GRC)  2 2 2" xfId="21116"/>
    <cellStyle name="_Portfolio SPlan Base Case.xls Chart 3_Electric Rev Req Model (2009 GRC)  2 2 2 2" xfId="25427"/>
    <cellStyle name="_Portfolio SPlan Base Case.xls Chart 3_Electric Rev Req Model (2009 GRC)  2 2 3" xfId="25428"/>
    <cellStyle name="_Portfolio SPlan Base Case.xls Chart 3_Electric Rev Req Model (2009 GRC)  2 2 4" xfId="25429"/>
    <cellStyle name="_Portfolio SPlan Base Case.xls Chart 3_Electric Rev Req Model (2009 GRC)  2 3" xfId="16843"/>
    <cellStyle name="_Portfolio SPlan Base Case.xls Chart 3_Electric Rev Req Model (2009 GRC)  2 3 2" xfId="25430"/>
    <cellStyle name="_Portfolio SPlan Base Case.xls Chart 3_Electric Rev Req Model (2009 GRC)  2 4" xfId="25431"/>
    <cellStyle name="_Portfolio SPlan Base Case.xls Chart 3_Electric Rev Req Model (2009 GRC)  3" xfId="5111"/>
    <cellStyle name="_Portfolio SPlan Base Case.xls Chart 3_Electric Rev Req Model (2009 GRC)  3 2" xfId="21117"/>
    <cellStyle name="_Portfolio SPlan Base Case.xls Chart 3_Electric Rev Req Model (2009 GRC)  3 2 2" xfId="25432"/>
    <cellStyle name="_Portfolio SPlan Base Case.xls Chart 3_Electric Rev Req Model (2009 GRC)  3 3" xfId="25433"/>
    <cellStyle name="_Portfolio SPlan Base Case.xls Chart 3_Electric Rev Req Model (2009 GRC)  3 4" xfId="25434"/>
    <cellStyle name="_Portfolio SPlan Base Case.xls Chart 3_Electric Rev Req Model (2009 GRC)  4" xfId="16842"/>
    <cellStyle name="_Portfolio SPlan Base Case.xls Chart 3_Electric Rev Req Model (2009 GRC)  4 2" xfId="25435"/>
    <cellStyle name="_Portfolio SPlan Base Case.xls Chart 3_Electric Rev Req Model (2009 GRC)  5" xfId="25436"/>
    <cellStyle name="_Portfolio SPlan Base Case.xls Chart 3_Electric Rev Req Model (2009 GRC) _DEM-WP(C) ENERG10C--ctn Mid-C_042010 2010GRC" xfId="12849"/>
    <cellStyle name="_Portfolio SPlan Base Case.xls Chart 3_Electric Rev Req Model (2009 GRC) _DEM-WP(C) ENERG10C--ctn Mid-C_042010 2010GRC 2" xfId="41477"/>
    <cellStyle name="_Portfolio SPlan Base Case.xls Chart 3_Electric Rev Req Model (2009 GRC) Rebuttal" xfId="1744"/>
    <cellStyle name="_Portfolio SPlan Base Case.xls Chart 3_Electric Rev Req Model (2009 GRC) Rebuttal 2" xfId="5113"/>
    <cellStyle name="_Portfolio SPlan Base Case.xls Chart 3_Electric Rev Req Model (2009 GRC) Rebuttal 2 2" xfId="7454"/>
    <cellStyle name="_Portfolio SPlan Base Case.xls Chart 3_Electric Rev Req Model (2009 GRC) Rebuttal 2 2 2" xfId="21118"/>
    <cellStyle name="_Portfolio SPlan Base Case.xls Chart 3_Electric Rev Req Model (2009 GRC) Rebuttal 2 3" xfId="18562"/>
    <cellStyle name="_Portfolio SPlan Base Case.xls Chart 3_Electric Rev Req Model (2009 GRC) Rebuttal 3" xfId="7455"/>
    <cellStyle name="_Portfolio SPlan Base Case.xls Chart 3_Electric Rev Req Model (2009 GRC) Rebuttal 3 2" xfId="21119"/>
    <cellStyle name="_Portfolio SPlan Base Case.xls Chart 3_Electric Rev Req Model (2009 GRC) Rebuttal 4" xfId="16844"/>
    <cellStyle name="_Portfolio SPlan Base Case.xls Chart 3_Electric Rev Req Model (2009 GRC) Rebuttal REmoval of New  WH Solar AdjustMI" xfId="1745"/>
    <cellStyle name="_Portfolio SPlan Base Case.xls Chart 3_Electric Rev Req Model (2009 GRC) Rebuttal REmoval of New  WH Solar AdjustMI 2" xfId="1746"/>
    <cellStyle name="_Portfolio SPlan Base Case.xls Chart 3_Electric Rev Req Model (2009 GRC) Rebuttal REmoval of New  WH Solar AdjustMI 2 2" xfId="5115"/>
    <cellStyle name="_Portfolio SPlan Base Case.xls Chart 3_Electric Rev Req Model (2009 GRC) Rebuttal REmoval of New  WH Solar AdjustMI 2 2 2" xfId="21120"/>
    <cellStyle name="_Portfolio SPlan Base Case.xls Chart 3_Electric Rev Req Model (2009 GRC) Rebuttal REmoval of New  WH Solar AdjustMI 2 2 2 2" xfId="25437"/>
    <cellStyle name="_Portfolio SPlan Base Case.xls Chart 3_Electric Rev Req Model (2009 GRC) Rebuttal REmoval of New  WH Solar AdjustMI 2 2 3" xfId="25438"/>
    <cellStyle name="_Portfolio SPlan Base Case.xls Chart 3_Electric Rev Req Model (2009 GRC) Rebuttal REmoval of New  WH Solar AdjustMI 2 2 4" xfId="25439"/>
    <cellStyle name="_Portfolio SPlan Base Case.xls Chart 3_Electric Rev Req Model (2009 GRC) Rebuttal REmoval of New  WH Solar AdjustMI 2 3" xfId="16846"/>
    <cellStyle name="_Portfolio SPlan Base Case.xls Chart 3_Electric Rev Req Model (2009 GRC) Rebuttal REmoval of New  WH Solar AdjustMI 2 3 2" xfId="25440"/>
    <cellStyle name="_Portfolio SPlan Base Case.xls Chart 3_Electric Rev Req Model (2009 GRC) Rebuttal REmoval of New  WH Solar AdjustMI 2 4" xfId="25441"/>
    <cellStyle name="_Portfolio SPlan Base Case.xls Chart 3_Electric Rev Req Model (2009 GRC) Rebuttal REmoval of New  WH Solar AdjustMI 3" xfId="5114"/>
    <cellStyle name="_Portfolio SPlan Base Case.xls Chart 3_Electric Rev Req Model (2009 GRC) Rebuttal REmoval of New  WH Solar AdjustMI 3 2" xfId="21121"/>
    <cellStyle name="_Portfolio SPlan Base Case.xls Chart 3_Electric Rev Req Model (2009 GRC) Rebuttal REmoval of New  WH Solar AdjustMI 3 2 2" xfId="25442"/>
    <cellStyle name="_Portfolio SPlan Base Case.xls Chart 3_Electric Rev Req Model (2009 GRC) Rebuttal REmoval of New  WH Solar AdjustMI 3 3" xfId="25443"/>
    <cellStyle name="_Portfolio SPlan Base Case.xls Chart 3_Electric Rev Req Model (2009 GRC) Rebuttal REmoval of New  WH Solar AdjustMI 3 4" xfId="25444"/>
    <cellStyle name="_Portfolio SPlan Base Case.xls Chart 3_Electric Rev Req Model (2009 GRC) Rebuttal REmoval of New  WH Solar AdjustMI 4" xfId="16845"/>
    <cellStyle name="_Portfolio SPlan Base Case.xls Chart 3_Electric Rev Req Model (2009 GRC) Rebuttal REmoval of New  WH Solar AdjustMI 4 2" xfId="25445"/>
    <cellStyle name="_Portfolio SPlan Base Case.xls Chart 3_Electric Rev Req Model (2009 GRC) Rebuttal REmoval of New  WH Solar AdjustMI 5" xfId="25446"/>
    <cellStyle name="_Portfolio SPlan Base Case.xls Chart 3_Electric Rev Req Model (2009 GRC) Rebuttal REmoval of New  WH Solar AdjustMI_DEM-WP(C) ENERG10C--ctn Mid-C_042010 2010GRC" xfId="12850"/>
    <cellStyle name="_Portfolio SPlan Base Case.xls Chart 3_Electric Rev Req Model (2009 GRC) Rebuttal REmoval of New  WH Solar AdjustMI_DEM-WP(C) ENERG10C--ctn Mid-C_042010 2010GRC 2" xfId="41478"/>
    <cellStyle name="_Portfolio SPlan Base Case.xls Chart 3_Electric Rev Req Model (2009 GRC) Revised 01-18-2010" xfId="1747"/>
    <cellStyle name="_Portfolio SPlan Base Case.xls Chart 3_Electric Rev Req Model (2009 GRC) Revised 01-18-2010 2" xfId="1748"/>
    <cellStyle name="_Portfolio SPlan Base Case.xls Chart 3_Electric Rev Req Model (2009 GRC) Revised 01-18-2010 2 2" xfId="5117"/>
    <cellStyle name="_Portfolio SPlan Base Case.xls Chart 3_Electric Rev Req Model (2009 GRC) Revised 01-18-2010 2 2 2" xfId="21122"/>
    <cellStyle name="_Portfolio SPlan Base Case.xls Chart 3_Electric Rev Req Model (2009 GRC) Revised 01-18-2010 2 2 2 2" xfId="25447"/>
    <cellStyle name="_Portfolio SPlan Base Case.xls Chart 3_Electric Rev Req Model (2009 GRC) Revised 01-18-2010 2 2 3" xfId="25448"/>
    <cellStyle name="_Portfolio SPlan Base Case.xls Chart 3_Electric Rev Req Model (2009 GRC) Revised 01-18-2010 2 2 4" xfId="25449"/>
    <cellStyle name="_Portfolio SPlan Base Case.xls Chart 3_Electric Rev Req Model (2009 GRC) Revised 01-18-2010 2 3" xfId="16848"/>
    <cellStyle name="_Portfolio SPlan Base Case.xls Chart 3_Electric Rev Req Model (2009 GRC) Revised 01-18-2010 2 3 2" xfId="25450"/>
    <cellStyle name="_Portfolio SPlan Base Case.xls Chart 3_Electric Rev Req Model (2009 GRC) Revised 01-18-2010 2 4" xfId="25451"/>
    <cellStyle name="_Portfolio SPlan Base Case.xls Chart 3_Electric Rev Req Model (2009 GRC) Revised 01-18-2010 3" xfId="5116"/>
    <cellStyle name="_Portfolio SPlan Base Case.xls Chart 3_Electric Rev Req Model (2009 GRC) Revised 01-18-2010 3 2" xfId="21123"/>
    <cellStyle name="_Portfolio SPlan Base Case.xls Chart 3_Electric Rev Req Model (2009 GRC) Revised 01-18-2010 3 2 2" xfId="25452"/>
    <cellStyle name="_Portfolio SPlan Base Case.xls Chart 3_Electric Rev Req Model (2009 GRC) Revised 01-18-2010 3 3" xfId="25453"/>
    <cellStyle name="_Portfolio SPlan Base Case.xls Chart 3_Electric Rev Req Model (2009 GRC) Revised 01-18-2010 3 4" xfId="25454"/>
    <cellStyle name="_Portfolio SPlan Base Case.xls Chart 3_Electric Rev Req Model (2009 GRC) Revised 01-18-2010 4" xfId="16847"/>
    <cellStyle name="_Portfolio SPlan Base Case.xls Chart 3_Electric Rev Req Model (2009 GRC) Revised 01-18-2010 4 2" xfId="25455"/>
    <cellStyle name="_Portfolio SPlan Base Case.xls Chart 3_Electric Rev Req Model (2009 GRC) Revised 01-18-2010 5" xfId="25456"/>
    <cellStyle name="_Portfolio SPlan Base Case.xls Chart 3_Electric Rev Req Model (2009 GRC) Revised 01-18-2010_DEM-WP(C) ENERG10C--ctn Mid-C_042010 2010GRC" xfId="12851"/>
    <cellStyle name="_Portfolio SPlan Base Case.xls Chart 3_Electric Rev Req Model (2009 GRC) Revised 01-18-2010_DEM-WP(C) ENERG10C--ctn Mid-C_042010 2010GRC 2" xfId="41479"/>
    <cellStyle name="_Portfolio SPlan Base Case.xls Chart 3_Electric Rev Req Model (2010 GRC)" xfId="14282"/>
    <cellStyle name="_Portfolio SPlan Base Case.xls Chart 3_Electric Rev Req Model (2010 GRC) 2" xfId="41480"/>
    <cellStyle name="_Portfolio SPlan Base Case.xls Chart 3_Electric Rev Req Model (2010 GRC) SF" xfId="14283"/>
    <cellStyle name="_Portfolio SPlan Base Case.xls Chart 3_Electric Rev Req Model (2010 GRC) SF 2" xfId="41481"/>
    <cellStyle name="_Portfolio SPlan Base Case.xls Chart 3_Final Order Electric EXHIBIT A-1" xfId="1749"/>
    <cellStyle name="_Portfolio SPlan Base Case.xls Chart 3_Final Order Electric EXHIBIT A-1 2" xfId="5118"/>
    <cellStyle name="_Portfolio SPlan Base Case.xls Chart 3_Final Order Electric EXHIBIT A-1 2 2" xfId="7456"/>
    <cellStyle name="_Portfolio SPlan Base Case.xls Chart 3_Final Order Electric EXHIBIT A-1 2 2 2" xfId="21124"/>
    <cellStyle name="_Portfolio SPlan Base Case.xls Chart 3_Final Order Electric EXHIBIT A-1 2 3" xfId="18563"/>
    <cellStyle name="_Portfolio SPlan Base Case.xls Chart 3_Final Order Electric EXHIBIT A-1 2 4" xfId="25457"/>
    <cellStyle name="_Portfolio SPlan Base Case.xls Chart 3_Final Order Electric EXHIBIT A-1 3" xfId="7457"/>
    <cellStyle name="_Portfolio SPlan Base Case.xls Chart 3_Final Order Electric EXHIBIT A-1 3 2" xfId="21125"/>
    <cellStyle name="_Portfolio SPlan Base Case.xls Chart 3_Final Order Electric EXHIBIT A-1 4" xfId="16849"/>
    <cellStyle name="_Portfolio SPlan Base Case.xls Chart 3_Final Order Electric EXHIBIT A-1 5" xfId="25458"/>
    <cellStyle name="_Portfolio SPlan Base Case.xls Chart 3_Final Order Electric EXHIBIT A-1 6" xfId="25459"/>
    <cellStyle name="_Portfolio SPlan Base Case.xls Chart 3_NIM Summary" xfId="1750"/>
    <cellStyle name="_Portfolio SPlan Base Case.xls Chart 3_NIM Summary 2" xfId="1751"/>
    <cellStyle name="_Portfolio SPlan Base Case.xls Chart 3_NIM Summary 2 2" xfId="5120"/>
    <cellStyle name="_Portfolio SPlan Base Case.xls Chart 3_NIM Summary 2 2 2" xfId="25460"/>
    <cellStyle name="_Portfolio SPlan Base Case.xls Chart 3_NIM Summary 2 2 2 2" xfId="25461"/>
    <cellStyle name="_Portfolio SPlan Base Case.xls Chart 3_NIM Summary 2 2 3" xfId="25462"/>
    <cellStyle name="_Portfolio SPlan Base Case.xls Chart 3_NIM Summary 2 2 4" xfId="25463"/>
    <cellStyle name="_Portfolio SPlan Base Case.xls Chart 3_NIM Summary 2 3" xfId="25464"/>
    <cellStyle name="_Portfolio SPlan Base Case.xls Chart 3_NIM Summary 2 3 2" xfId="25465"/>
    <cellStyle name="_Portfolio SPlan Base Case.xls Chart 3_NIM Summary 2 4" xfId="25466"/>
    <cellStyle name="_Portfolio SPlan Base Case.xls Chart 3_NIM Summary 3" xfId="5119"/>
    <cellStyle name="_Portfolio SPlan Base Case.xls Chart 3_NIM Summary 3 2" xfId="25467"/>
    <cellStyle name="_Portfolio SPlan Base Case.xls Chart 3_NIM Summary 3 2 2" xfId="25468"/>
    <cellStyle name="_Portfolio SPlan Base Case.xls Chart 3_NIM Summary 3 3" xfId="25469"/>
    <cellStyle name="_Portfolio SPlan Base Case.xls Chart 3_NIM Summary 3 4" xfId="25470"/>
    <cellStyle name="_Portfolio SPlan Base Case.xls Chart 3_NIM Summary 4" xfId="25471"/>
    <cellStyle name="_Portfolio SPlan Base Case.xls Chart 3_NIM Summary 4 2" xfId="25472"/>
    <cellStyle name="_Portfolio SPlan Base Case.xls Chart 3_NIM Summary 5" xfId="25473"/>
    <cellStyle name="_Portfolio SPlan Base Case.xls Chart 3_NIM Summary_DEM-WP(C) ENERG10C--ctn Mid-C_042010 2010GRC" xfId="12852"/>
    <cellStyle name="_Portfolio SPlan Base Case.xls Chart 3_NIM Summary_DEM-WP(C) ENERG10C--ctn Mid-C_042010 2010GRC 2" xfId="41482"/>
    <cellStyle name="_Portfolio SPlan Base Case.xls Chart 3_Rebuttal Power Costs" xfId="1752"/>
    <cellStyle name="_Portfolio SPlan Base Case.xls Chart 3_Rebuttal Power Costs 2" xfId="1753"/>
    <cellStyle name="_Portfolio SPlan Base Case.xls Chart 3_Rebuttal Power Costs 2 2" xfId="5122"/>
    <cellStyle name="_Portfolio SPlan Base Case.xls Chart 3_Rebuttal Power Costs 2 2 2" xfId="21126"/>
    <cellStyle name="_Portfolio SPlan Base Case.xls Chart 3_Rebuttal Power Costs 2 2 2 2" xfId="25474"/>
    <cellStyle name="_Portfolio SPlan Base Case.xls Chart 3_Rebuttal Power Costs 2 2 3" xfId="25475"/>
    <cellStyle name="_Portfolio SPlan Base Case.xls Chart 3_Rebuttal Power Costs 2 2 4" xfId="25476"/>
    <cellStyle name="_Portfolio SPlan Base Case.xls Chart 3_Rebuttal Power Costs 2 3" xfId="16851"/>
    <cellStyle name="_Portfolio SPlan Base Case.xls Chart 3_Rebuttal Power Costs 2 3 2" xfId="25477"/>
    <cellStyle name="_Portfolio SPlan Base Case.xls Chart 3_Rebuttal Power Costs 2 4" xfId="25478"/>
    <cellStyle name="_Portfolio SPlan Base Case.xls Chart 3_Rebuttal Power Costs 3" xfId="5121"/>
    <cellStyle name="_Portfolio SPlan Base Case.xls Chart 3_Rebuttal Power Costs 3 2" xfId="21127"/>
    <cellStyle name="_Portfolio SPlan Base Case.xls Chart 3_Rebuttal Power Costs 3 2 2" xfId="25479"/>
    <cellStyle name="_Portfolio SPlan Base Case.xls Chart 3_Rebuttal Power Costs 3 3" xfId="25480"/>
    <cellStyle name="_Portfolio SPlan Base Case.xls Chart 3_Rebuttal Power Costs 3 4" xfId="25481"/>
    <cellStyle name="_Portfolio SPlan Base Case.xls Chart 3_Rebuttal Power Costs 4" xfId="16850"/>
    <cellStyle name="_Portfolio SPlan Base Case.xls Chart 3_Rebuttal Power Costs 4 2" xfId="25482"/>
    <cellStyle name="_Portfolio SPlan Base Case.xls Chart 3_Rebuttal Power Costs 5" xfId="25483"/>
    <cellStyle name="_Portfolio SPlan Base Case.xls Chart 3_Rebuttal Power Costs_Adj Bench DR 3 for Initial Briefs (Electric)" xfId="1754"/>
    <cellStyle name="_Portfolio SPlan Base Case.xls Chart 3_Rebuttal Power Costs_Adj Bench DR 3 for Initial Briefs (Electric) 2" xfId="1755"/>
    <cellStyle name="_Portfolio SPlan Base Case.xls Chart 3_Rebuttal Power Costs_Adj Bench DR 3 for Initial Briefs (Electric) 2 2" xfId="5124"/>
    <cellStyle name="_Portfolio SPlan Base Case.xls Chart 3_Rebuttal Power Costs_Adj Bench DR 3 for Initial Briefs (Electric) 2 2 2" xfId="21128"/>
    <cellStyle name="_Portfolio SPlan Base Case.xls Chart 3_Rebuttal Power Costs_Adj Bench DR 3 for Initial Briefs (Electric) 2 2 2 2" xfId="25484"/>
    <cellStyle name="_Portfolio SPlan Base Case.xls Chart 3_Rebuttal Power Costs_Adj Bench DR 3 for Initial Briefs (Electric) 2 2 3" xfId="25485"/>
    <cellStyle name="_Portfolio SPlan Base Case.xls Chart 3_Rebuttal Power Costs_Adj Bench DR 3 for Initial Briefs (Electric) 2 2 4" xfId="25486"/>
    <cellStyle name="_Portfolio SPlan Base Case.xls Chart 3_Rebuttal Power Costs_Adj Bench DR 3 for Initial Briefs (Electric) 2 3" xfId="16853"/>
    <cellStyle name="_Portfolio SPlan Base Case.xls Chart 3_Rebuttal Power Costs_Adj Bench DR 3 for Initial Briefs (Electric) 2 3 2" xfId="25487"/>
    <cellStyle name="_Portfolio SPlan Base Case.xls Chart 3_Rebuttal Power Costs_Adj Bench DR 3 for Initial Briefs (Electric) 2 4" xfId="25488"/>
    <cellStyle name="_Portfolio SPlan Base Case.xls Chart 3_Rebuttal Power Costs_Adj Bench DR 3 for Initial Briefs (Electric) 3" xfId="5123"/>
    <cellStyle name="_Portfolio SPlan Base Case.xls Chart 3_Rebuttal Power Costs_Adj Bench DR 3 for Initial Briefs (Electric) 3 2" xfId="21129"/>
    <cellStyle name="_Portfolio SPlan Base Case.xls Chart 3_Rebuttal Power Costs_Adj Bench DR 3 for Initial Briefs (Electric) 3 2 2" xfId="25489"/>
    <cellStyle name="_Portfolio SPlan Base Case.xls Chart 3_Rebuttal Power Costs_Adj Bench DR 3 for Initial Briefs (Electric) 3 3" xfId="25490"/>
    <cellStyle name="_Portfolio SPlan Base Case.xls Chart 3_Rebuttal Power Costs_Adj Bench DR 3 for Initial Briefs (Electric) 3 4" xfId="25491"/>
    <cellStyle name="_Portfolio SPlan Base Case.xls Chart 3_Rebuttal Power Costs_Adj Bench DR 3 for Initial Briefs (Electric) 4" xfId="16852"/>
    <cellStyle name="_Portfolio SPlan Base Case.xls Chart 3_Rebuttal Power Costs_Adj Bench DR 3 for Initial Briefs (Electric) 4 2" xfId="25492"/>
    <cellStyle name="_Portfolio SPlan Base Case.xls Chart 3_Rebuttal Power Costs_Adj Bench DR 3 for Initial Briefs (Electric) 5" xfId="25493"/>
    <cellStyle name="_Portfolio SPlan Base Case.xls Chart 3_Rebuttal Power Costs_Adj Bench DR 3 for Initial Briefs (Electric)_DEM-WP(C) ENERG10C--ctn Mid-C_042010 2010GRC" xfId="12853"/>
    <cellStyle name="_Portfolio SPlan Base Case.xls Chart 3_Rebuttal Power Costs_Adj Bench DR 3 for Initial Briefs (Electric)_DEM-WP(C) ENERG10C--ctn Mid-C_042010 2010GRC 2" xfId="41483"/>
    <cellStyle name="_Portfolio SPlan Base Case.xls Chart 3_Rebuttal Power Costs_DEM-WP(C) ENERG10C--ctn Mid-C_042010 2010GRC" xfId="12854"/>
    <cellStyle name="_Portfolio SPlan Base Case.xls Chart 3_Rebuttal Power Costs_DEM-WP(C) ENERG10C--ctn Mid-C_042010 2010GRC 2" xfId="41484"/>
    <cellStyle name="_Portfolio SPlan Base Case.xls Chart 3_Rebuttal Power Costs_Electric Rev Req Model (2009 GRC) Rebuttal" xfId="1756"/>
    <cellStyle name="_Portfolio SPlan Base Case.xls Chart 3_Rebuttal Power Costs_Electric Rev Req Model (2009 GRC) Rebuttal 2" xfId="5125"/>
    <cellStyle name="_Portfolio SPlan Base Case.xls Chart 3_Rebuttal Power Costs_Electric Rev Req Model (2009 GRC) Rebuttal 2 2" xfId="7458"/>
    <cellStyle name="_Portfolio SPlan Base Case.xls Chart 3_Rebuttal Power Costs_Electric Rev Req Model (2009 GRC) Rebuttal 2 2 2" xfId="21130"/>
    <cellStyle name="_Portfolio SPlan Base Case.xls Chart 3_Rebuttal Power Costs_Electric Rev Req Model (2009 GRC) Rebuttal 2 3" xfId="18564"/>
    <cellStyle name="_Portfolio SPlan Base Case.xls Chart 3_Rebuttal Power Costs_Electric Rev Req Model (2009 GRC) Rebuttal 3" xfId="7459"/>
    <cellStyle name="_Portfolio SPlan Base Case.xls Chart 3_Rebuttal Power Costs_Electric Rev Req Model (2009 GRC) Rebuttal 3 2" xfId="21131"/>
    <cellStyle name="_Portfolio SPlan Base Case.xls Chart 3_Rebuttal Power Costs_Electric Rev Req Model (2009 GRC) Rebuttal 4" xfId="16854"/>
    <cellStyle name="_Portfolio SPlan Base Case.xls Chart 3_Rebuttal Power Costs_Electric Rev Req Model (2009 GRC) Rebuttal REmoval of New  WH Solar AdjustMI" xfId="1757"/>
    <cellStyle name="_Portfolio SPlan Base Case.xls Chart 3_Rebuttal Power Costs_Electric Rev Req Model (2009 GRC) Rebuttal REmoval of New  WH Solar AdjustMI 2" xfId="1758"/>
    <cellStyle name="_Portfolio SPlan Base Case.xls Chart 3_Rebuttal Power Costs_Electric Rev Req Model (2009 GRC) Rebuttal REmoval of New  WH Solar AdjustMI 2 2" xfId="5127"/>
    <cellStyle name="_Portfolio SPlan Base Case.xls Chart 3_Rebuttal Power Costs_Electric Rev Req Model (2009 GRC) Rebuttal REmoval of New  WH Solar AdjustMI 2 2 2" xfId="21132"/>
    <cellStyle name="_Portfolio SPlan Base Case.xls Chart 3_Rebuttal Power Costs_Electric Rev Req Model (2009 GRC) Rebuttal REmoval of New  WH Solar AdjustMI 2 2 2 2" xfId="25494"/>
    <cellStyle name="_Portfolio SPlan Base Case.xls Chart 3_Rebuttal Power Costs_Electric Rev Req Model (2009 GRC) Rebuttal REmoval of New  WH Solar AdjustMI 2 2 3" xfId="25495"/>
    <cellStyle name="_Portfolio SPlan Base Case.xls Chart 3_Rebuttal Power Costs_Electric Rev Req Model (2009 GRC) Rebuttal REmoval of New  WH Solar AdjustMI 2 2 4" xfId="25496"/>
    <cellStyle name="_Portfolio SPlan Base Case.xls Chart 3_Rebuttal Power Costs_Electric Rev Req Model (2009 GRC) Rebuttal REmoval of New  WH Solar AdjustMI 2 3" xfId="16856"/>
    <cellStyle name="_Portfolio SPlan Base Case.xls Chart 3_Rebuttal Power Costs_Electric Rev Req Model (2009 GRC) Rebuttal REmoval of New  WH Solar AdjustMI 2 3 2" xfId="25497"/>
    <cellStyle name="_Portfolio SPlan Base Case.xls Chart 3_Rebuttal Power Costs_Electric Rev Req Model (2009 GRC) Rebuttal REmoval of New  WH Solar AdjustMI 2 4" xfId="25498"/>
    <cellStyle name="_Portfolio SPlan Base Case.xls Chart 3_Rebuttal Power Costs_Electric Rev Req Model (2009 GRC) Rebuttal REmoval of New  WH Solar AdjustMI 3" xfId="5126"/>
    <cellStyle name="_Portfolio SPlan Base Case.xls Chart 3_Rebuttal Power Costs_Electric Rev Req Model (2009 GRC) Rebuttal REmoval of New  WH Solar AdjustMI 3 2" xfId="21133"/>
    <cellStyle name="_Portfolio SPlan Base Case.xls Chart 3_Rebuttal Power Costs_Electric Rev Req Model (2009 GRC) Rebuttal REmoval of New  WH Solar AdjustMI 3 2 2" xfId="25499"/>
    <cellStyle name="_Portfolio SPlan Base Case.xls Chart 3_Rebuttal Power Costs_Electric Rev Req Model (2009 GRC) Rebuttal REmoval of New  WH Solar AdjustMI 3 3" xfId="25500"/>
    <cellStyle name="_Portfolio SPlan Base Case.xls Chart 3_Rebuttal Power Costs_Electric Rev Req Model (2009 GRC) Rebuttal REmoval of New  WH Solar AdjustMI 3 4" xfId="25501"/>
    <cellStyle name="_Portfolio SPlan Base Case.xls Chart 3_Rebuttal Power Costs_Electric Rev Req Model (2009 GRC) Rebuttal REmoval of New  WH Solar AdjustMI 4" xfId="16855"/>
    <cellStyle name="_Portfolio SPlan Base Case.xls Chart 3_Rebuttal Power Costs_Electric Rev Req Model (2009 GRC) Rebuttal REmoval of New  WH Solar AdjustMI 4 2" xfId="25502"/>
    <cellStyle name="_Portfolio SPlan Base Case.xls Chart 3_Rebuttal Power Costs_Electric Rev Req Model (2009 GRC) Rebuttal REmoval of New  WH Solar AdjustMI 5" xfId="25503"/>
    <cellStyle name="_Portfolio SPlan Base Case.xls Chart 3_Rebuttal Power Costs_Electric Rev Req Model (2009 GRC) Rebuttal REmoval of New  WH Solar AdjustMI_DEM-WP(C) ENERG10C--ctn Mid-C_042010 2010GRC" xfId="12855"/>
    <cellStyle name="_Portfolio SPlan Base Case.xls Chart 3_Rebuttal Power Costs_Electric Rev Req Model (2009 GRC) Rebuttal REmoval of New  WH Solar AdjustMI_DEM-WP(C) ENERG10C--ctn Mid-C_042010 2010GRC 2" xfId="41485"/>
    <cellStyle name="_Portfolio SPlan Base Case.xls Chart 3_Rebuttal Power Costs_Electric Rev Req Model (2009 GRC) Revised 01-18-2010" xfId="1759"/>
    <cellStyle name="_Portfolio SPlan Base Case.xls Chart 3_Rebuttal Power Costs_Electric Rev Req Model (2009 GRC) Revised 01-18-2010 2" xfId="1760"/>
    <cellStyle name="_Portfolio SPlan Base Case.xls Chart 3_Rebuttal Power Costs_Electric Rev Req Model (2009 GRC) Revised 01-18-2010 2 2" xfId="5129"/>
    <cellStyle name="_Portfolio SPlan Base Case.xls Chart 3_Rebuttal Power Costs_Electric Rev Req Model (2009 GRC) Revised 01-18-2010 2 2 2" xfId="21134"/>
    <cellStyle name="_Portfolio SPlan Base Case.xls Chart 3_Rebuttal Power Costs_Electric Rev Req Model (2009 GRC) Revised 01-18-2010 2 2 2 2" xfId="25504"/>
    <cellStyle name="_Portfolio SPlan Base Case.xls Chart 3_Rebuttal Power Costs_Electric Rev Req Model (2009 GRC) Revised 01-18-2010 2 2 3" xfId="25505"/>
    <cellStyle name="_Portfolio SPlan Base Case.xls Chart 3_Rebuttal Power Costs_Electric Rev Req Model (2009 GRC) Revised 01-18-2010 2 2 4" xfId="25506"/>
    <cellStyle name="_Portfolio SPlan Base Case.xls Chart 3_Rebuttal Power Costs_Electric Rev Req Model (2009 GRC) Revised 01-18-2010 2 3" xfId="16858"/>
    <cellStyle name="_Portfolio SPlan Base Case.xls Chart 3_Rebuttal Power Costs_Electric Rev Req Model (2009 GRC) Revised 01-18-2010 2 3 2" xfId="25507"/>
    <cellStyle name="_Portfolio SPlan Base Case.xls Chart 3_Rebuttal Power Costs_Electric Rev Req Model (2009 GRC) Revised 01-18-2010 2 4" xfId="25508"/>
    <cellStyle name="_Portfolio SPlan Base Case.xls Chart 3_Rebuttal Power Costs_Electric Rev Req Model (2009 GRC) Revised 01-18-2010 3" xfId="5128"/>
    <cellStyle name="_Portfolio SPlan Base Case.xls Chart 3_Rebuttal Power Costs_Electric Rev Req Model (2009 GRC) Revised 01-18-2010 3 2" xfId="21135"/>
    <cellStyle name="_Portfolio SPlan Base Case.xls Chart 3_Rebuttal Power Costs_Electric Rev Req Model (2009 GRC) Revised 01-18-2010 3 2 2" xfId="25509"/>
    <cellStyle name="_Portfolio SPlan Base Case.xls Chart 3_Rebuttal Power Costs_Electric Rev Req Model (2009 GRC) Revised 01-18-2010 3 3" xfId="25510"/>
    <cellStyle name="_Portfolio SPlan Base Case.xls Chart 3_Rebuttal Power Costs_Electric Rev Req Model (2009 GRC) Revised 01-18-2010 3 4" xfId="25511"/>
    <cellStyle name="_Portfolio SPlan Base Case.xls Chart 3_Rebuttal Power Costs_Electric Rev Req Model (2009 GRC) Revised 01-18-2010 4" xfId="16857"/>
    <cellStyle name="_Portfolio SPlan Base Case.xls Chart 3_Rebuttal Power Costs_Electric Rev Req Model (2009 GRC) Revised 01-18-2010 4 2" xfId="25512"/>
    <cellStyle name="_Portfolio SPlan Base Case.xls Chart 3_Rebuttal Power Costs_Electric Rev Req Model (2009 GRC) Revised 01-18-2010 5" xfId="25513"/>
    <cellStyle name="_Portfolio SPlan Base Case.xls Chart 3_Rebuttal Power Costs_Electric Rev Req Model (2009 GRC) Revised 01-18-2010_DEM-WP(C) ENERG10C--ctn Mid-C_042010 2010GRC" xfId="12856"/>
    <cellStyle name="_Portfolio SPlan Base Case.xls Chart 3_Rebuttal Power Costs_Electric Rev Req Model (2009 GRC) Revised 01-18-2010_DEM-WP(C) ENERG10C--ctn Mid-C_042010 2010GRC 2" xfId="41486"/>
    <cellStyle name="_Portfolio SPlan Base Case.xls Chart 3_Rebuttal Power Costs_Final Order Electric EXHIBIT A-1" xfId="1761"/>
    <cellStyle name="_Portfolio SPlan Base Case.xls Chart 3_Rebuttal Power Costs_Final Order Electric EXHIBIT A-1 2" xfId="5130"/>
    <cellStyle name="_Portfolio SPlan Base Case.xls Chart 3_Rebuttal Power Costs_Final Order Electric EXHIBIT A-1 2 2" xfId="7460"/>
    <cellStyle name="_Portfolio SPlan Base Case.xls Chart 3_Rebuttal Power Costs_Final Order Electric EXHIBIT A-1 2 2 2" xfId="21136"/>
    <cellStyle name="_Portfolio SPlan Base Case.xls Chart 3_Rebuttal Power Costs_Final Order Electric EXHIBIT A-1 2 3" xfId="18565"/>
    <cellStyle name="_Portfolio SPlan Base Case.xls Chart 3_Rebuttal Power Costs_Final Order Electric EXHIBIT A-1 2 4" xfId="25514"/>
    <cellStyle name="_Portfolio SPlan Base Case.xls Chart 3_Rebuttal Power Costs_Final Order Electric EXHIBIT A-1 3" xfId="7461"/>
    <cellStyle name="_Portfolio SPlan Base Case.xls Chart 3_Rebuttal Power Costs_Final Order Electric EXHIBIT A-1 3 2" xfId="21137"/>
    <cellStyle name="_Portfolio SPlan Base Case.xls Chart 3_Rebuttal Power Costs_Final Order Electric EXHIBIT A-1 4" xfId="16859"/>
    <cellStyle name="_Portfolio SPlan Base Case.xls Chart 3_Rebuttal Power Costs_Final Order Electric EXHIBIT A-1 5" xfId="25515"/>
    <cellStyle name="_Portfolio SPlan Base Case.xls Chart 3_Rebuttal Power Costs_Final Order Electric EXHIBIT A-1 6" xfId="25516"/>
    <cellStyle name="_Portfolio SPlan Base Case.xls Chart 3_TENASKA REGULATORY ASSET" xfId="1762"/>
    <cellStyle name="_Portfolio SPlan Base Case.xls Chart 3_TENASKA REGULATORY ASSET 2" xfId="5131"/>
    <cellStyle name="_Portfolio SPlan Base Case.xls Chart 3_TENASKA REGULATORY ASSET 2 2" xfId="7462"/>
    <cellStyle name="_Portfolio SPlan Base Case.xls Chart 3_TENASKA REGULATORY ASSET 2 2 2" xfId="21138"/>
    <cellStyle name="_Portfolio SPlan Base Case.xls Chart 3_TENASKA REGULATORY ASSET 2 3" xfId="18566"/>
    <cellStyle name="_Portfolio SPlan Base Case.xls Chart 3_TENASKA REGULATORY ASSET 2 4" xfId="25517"/>
    <cellStyle name="_Portfolio SPlan Base Case.xls Chart 3_TENASKA REGULATORY ASSET 3" xfId="7463"/>
    <cellStyle name="_Portfolio SPlan Base Case.xls Chart 3_TENASKA REGULATORY ASSET 3 2" xfId="21139"/>
    <cellStyle name="_Portfolio SPlan Base Case.xls Chart 3_TENASKA REGULATORY ASSET 4" xfId="16860"/>
    <cellStyle name="_Portfolio SPlan Base Case.xls Chart 3_TENASKA REGULATORY ASSET 5" xfId="25518"/>
    <cellStyle name="_Portfolio SPlan Base Case.xls Chart 3_TENASKA REGULATORY ASSET 6" xfId="25519"/>
    <cellStyle name="_Power Cost Value Copy 11.30.05 gas 1.09.06 AURORA at 1.10.06" xfId="1763"/>
    <cellStyle name="_Power Cost Value Copy 11.30.05 gas 1.09.06 AURORA at 1.10.06 10" xfId="25520"/>
    <cellStyle name="_Power Cost Value Copy 11.30.05 gas 1.09.06 AURORA at 1.10.06 2" xfId="1764"/>
    <cellStyle name="_Power Cost Value Copy 11.30.05 gas 1.09.06 AURORA at 1.10.06 2 2" xfId="1765"/>
    <cellStyle name="_Power Cost Value Copy 11.30.05 gas 1.09.06 AURORA at 1.10.06 2 2 2" xfId="5134"/>
    <cellStyle name="_Power Cost Value Copy 11.30.05 gas 1.09.06 AURORA at 1.10.06 2 2 2 2" xfId="21140"/>
    <cellStyle name="_Power Cost Value Copy 11.30.05 gas 1.09.06 AURORA at 1.10.06 2 2 2 2 2" xfId="25521"/>
    <cellStyle name="_Power Cost Value Copy 11.30.05 gas 1.09.06 AURORA at 1.10.06 2 2 2 3" xfId="25522"/>
    <cellStyle name="_Power Cost Value Copy 11.30.05 gas 1.09.06 AURORA at 1.10.06 2 2 2 4" xfId="25523"/>
    <cellStyle name="_Power Cost Value Copy 11.30.05 gas 1.09.06 AURORA at 1.10.06 2 2 3" xfId="16862"/>
    <cellStyle name="_Power Cost Value Copy 11.30.05 gas 1.09.06 AURORA at 1.10.06 2 2 3 2" xfId="25524"/>
    <cellStyle name="_Power Cost Value Copy 11.30.05 gas 1.09.06 AURORA at 1.10.06 2 2 4" xfId="25525"/>
    <cellStyle name="_Power Cost Value Copy 11.30.05 gas 1.09.06 AURORA at 1.10.06 2 3" xfId="5133"/>
    <cellStyle name="_Power Cost Value Copy 11.30.05 gas 1.09.06 AURORA at 1.10.06 2 3 2" xfId="21141"/>
    <cellStyle name="_Power Cost Value Copy 11.30.05 gas 1.09.06 AURORA at 1.10.06 2 3 2 2" xfId="25526"/>
    <cellStyle name="_Power Cost Value Copy 11.30.05 gas 1.09.06 AURORA at 1.10.06 2 3 3" xfId="25527"/>
    <cellStyle name="_Power Cost Value Copy 11.30.05 gas 1.09.06 AURORA at 1.10.06 2 3 4" xfId="25528"/>
    <cellStyle name="_Power Cost Value Copy 11.30.05 gas 1.09.06 AURORA at 1.10.06 2 4" xfId="16861"/>
    <cellStyle name="_Power Cost Value Copy 11.30.05 gas 1.09.06 AURORA at 1.10.06 2 4 2" xfId="25529"/>
    <cellStyle name="_Power Cost Value Copy 11.30.05 gas 1.09.06 AURORA at 1.10.06 2 5" xfId="25530"/>
    <cellStyle name="_Power Cost Value Copy 11.30.05 gas 1.09.06 AURORA at 1.10.06 3" xfId="1766"/>
    <cellStyle name="_Power Cost Value Copy 11.30.05 gas 1.09.06 AURORA at 1.10.06 3 2" xfId="5135"/>
    <cellStyle name="_Power Cost Value Copy 11.30.05 gas 1.09.06 AURORA at 1.10.06 3 2 2" xfId="21142"/>
    <cellStyle name="_Power Cost Value Copy 11.30.05 gas 1.09.06 AURORA at 1.10.06 3 2 2 2" xfId="25531"/>
    <cellStyle name="_Power Cost Value Copy 11.30.05 gas 1.09.06 AURORA at 1.10.06 3 2 3" xfId="25532"/>
    <cellStyle name="_Power Cost Value Copy 11.30.05 gas 1.09.06 AURORA at 1.10.06 3 2 4" xfId="25533"/>
    <cellStyle name="_Power Cost Value Copy 11.30.05 gas 1.09.06 AURORA at 1.10.06 3 3" xfId="16863"/>
    <cellStyle name="_Power Cost Value Copy 11.30.05 gas 1.09.06 AURORA at 1.10.06 3 3 2" xfId="25534"/>
    <cellStyle name="_Power Cost Value Copy 11.30.05 gas 1.09.06 AURORA at 1.10.06 3 4" xfId="25535"/>
    <cellStyle name="_Power Cost Value Copy 11.30.05 gas 1.09.06 AURORA at 1.10.06 4" xfId="1767"/>
    <cellStyle name="_Power Cost Value Copy 11.30.05 gas 1.09.06 AURORA at 1.10.06 4 2" xfId="1768"/>
    <cellStyle name="_Power Cost Value Copy 11.30.05 gas 1.09.06 AURORA at 1.10.06 4 2 2" xfId="5137"/>
    <cellStyle name="_Power Cost Value Copy 11.30.05 gas 1.09.06 AURORA at 1.10.06 4 2 2 2" xfId="25536"/>
    <cellStyle name="_Power Cost Value Copy 11.30.05 gas 1.09.06 AURORA at 1.10.06 4 2 2 2 2" xfId="25537"/>
    <cellStyle name="_Power Cost Value Copy 11.30.05 gas 1.09.06 AURORA at 1.10.06 4 2 2 3" xfId="25538"/>
    <cellStyle name="_Power Cost Value Copy 11.30.05 gas 1.09.06 AURORA at 1.10.06 4 2 3" xfId="25539"/>
    <cellStyle name="_Power Cost Value Copy 11.30.05 gas 1.09.06 AURORA at 1.10.06 4 2 3 2" xfId="25540"/>
    <cellStyle name="_Power Cost Value Copy 11.30.05 gas 1.09.06 AURORA at 1.10.06 4 2 4" xfId="25541"/>
    <cellStyle name="_Power Cost Value Copy 11.30.05 gas 1.09.06 AURORA at 1.10.06 4 3" xfId="5136"/>
    <cellStyle name="_Power Cost Value Copy 11.30.05 gas 1.09.06 AURORA at 1.10.06 4 3 2" xfId="25542"/>
    <cellStyle name="_Power Cost Value Copy 11.30.05 gas 1.09.06 AURORA at 1.10.06 4 3 2 2" xfId="25543"/>
    <cellStyle name="_Power Cost Value Copy 11.30.05 gas 1.09.06 AURORA at 1.10.06 4 3 3" xfId="25544"/>
    <cellStyle name="_Power Cost Value Copy 11.30.05 gas 1.09.06 AURORA at 1.10.06 4 3 4" xfId="25545"/>
    <cellStyle name="_Power Cost Value Copy 11.30.05 gas 1.09.06 AURORA at 1.10.06 4 4" xfId="25546"/>
    <cellStyle name="_Power Cost Value Copy 11.30.05 gas 1.09.06 AURORA at 1.10.06 4 4 2" xfId="25547"/>
    <cellStyle name="_Power Cost Value Copy 11.30.05 gas 1.09.06 AURORA at 1.10.06 4 5" xfId="25548"/>
    <cellStyle name="_Power Cost Value Copy 11.30.05 gas 1.09.06 AURORA at 1.10.06 5" xfId="5132"/>
    <cellStyle name="_Power Cost Value Copy 11.30.05 gas 1.09.06 AURORA at 1.10.06 5 2" xfId="25549"/>
    <cellStyle name="_Power Cost Value Copy 11.30.05 gas 1.09.06 AURORA at 1.10.06 5 2 2" xfId="25550"/>
    <cellStyle name="_Power Cost Value Copy 11.30.05 gas 1.09.06 AURORA at 1.10.06 5 2 2 2" xfId="25551"/>
    <cellStyle name="_Power Cost Value Copy 11.30.05 gas 1.09.06 AURORA at 1.10.06 5 2 2 2 2" xfId="25552"/>
    <cellStyle name="_Power Cost Value Copy 11.30.05 gas 1.09.06 AURORA at 1.10.06 5 2 2 3" xfId="25553"/>
    <cellStyle name="_Power Cost Value Copy 11.30.05 gas 1.09.06 AURORA at 1.10.06 5 2 3" xfId="25554"/>
    <cellStyle name="_Power Cost Value Copy 11.30.05 gas 1.09.06 AURORA at 1.10.06 5 2 3 2" xfId="25555"/>
    <cellStyle name="_Power Cost Value Copy 11.30.05 gas 1.09.06 AURORA at 1.10.06 5 2 4" xfId="25556"/>
    <cellStyle name="_Power Cost Value Copy 11.30.05 gas 1.09.06 AURORA at 1.10.06 5 2 5" xfId="25557"/>
    <cellStyle name="_Power Cost Value Copy 11.30.05 gas 1.09.06 AURORA at 1.10.06 5 3" xfId="25558"/>
    <cellStyle name="_Power Cost Value Copy 11.30.05 gas 1.09.06 AURORA at 1.10.06 5 3 2" xfId="25559"/>
    <cellStyle name="_Power Cost Value Copy 11.30.05 gas 1.09.06 AURORA at 1.10.06 5 3 2 2" xfId="25560"/>
    <cellStyle name="_Power Cost Value Copy 11.30.05 gas 1.09.06 AURORA at 1.10.06 5 3 3" xfId="25561"/>
    <cellStyle name="_Power Cost Value Copy 11.30.05 gas 1.09.06 AURORA at 1.10.06 5 4" xfId="25562"/>
    <cellStyle name="_Power Cost Value Copy 11.30.05 gas 1.09.06 AURORA at 1.10.06 5 4 2" xfId="25563"/>
    <cellStyle name="_Power Cost Value Copy 11.30.05 gas 1.09.06 AURORA at 1.10.06 5 5" xfId="25564"/>
    <cellStyle name="_Power Cost Value Copy 11.30.05 gas 1.09.06 AURORA at 1.10.06 6" xfId="12857"/>
    <cellStyle name="_Power Cost Value Copy 11.30.05 gas 1.09.06 AURORA at 1.10.06 6 2" xfId="12858"/>
    <cellStyle name="_Power Cost Value Copy 11.30.05 gas 1.09.06 AURORA at 1.10.06 6 2 2" xfId="25565"/>
    <cellStyle name="_Power Cost Value Copy 11.30.05 gas 1.09.06 AURORA at 1.10.06 6 2 2 2" xfId="25566"/>
    <cellStyle name="_Power Cost Value Copy 11.30.05 gas 1.09.06 AURORA at 1.10.06 6 2 3" xfId="25567"/>
    <cellStyle name="_Power Cost Value Copy 11.30.05 gas 1.09.06 AURORA at 1.10.06 6 3" xfId="25568"/>
    <cellStyle name="_Power Cost Value Copy 11.30.05 gas 1.09.06 AURORA at 1.10.06 6 3 2" xfId="25569"/>
    <cellStyle name="_Power Cost Value Copy 11.30.05 gas 1.09.06 AURORA at 1.10.06 6 4" xfId="25570"/>
    <cellStyle name="_Power Cost Value Copy 11.30.05 gas 1.09.06 AURORA at 1.10.06 7" xfId="12859"/>
    <cellStyle name="_Power Cost Value Copy 11.30.05 gas 1.09.06 AURORA at 1.10.06 7 2" xfId="12860"/>
    <cellStyle name="_Power Cost Value Copy 11.30.05 gas 1.09.06 AURORA at 1.10.06 7 2 2" xfId="25571"/>
    <cellStyle name="_Power Cost Value Copy 11.30.05 gas 1.09.06 AURORA at 1.10.06 7 2 2 2" xfId="25572"/>
    <cellStyle name="_Power Cost Value Copy 11.30.05 gas 1.09.06 AURORA at 1.10.06 7 2 3" xfId="25573"/>
    <cellStyle name="_Power Cost Value Copy 11.30.05 gas 1.09.06 AURORA at 1.10.06 7 3" xfId="25574"/>
    <cellStyle name="_Power Cost Value Copy 11.30.05 gas 1.09.06 AURORA at 1.10.06 7 3 2" xfId="25575"/>
    <cellStyle name="_Power Cost Value Copy 11.30.05 gas 1.09.06 AURORA at 1.10.06 7 4" xfId="25576"/>
    <cellStyle name="_Power Cost Value Copy 11.30.05 gas 1.09.06 AURORA at 1.10.06 8" xfId="25577"/>
    <cellStyle name="_Power Cost Value Copy 11.30.05 gas 1.09.06 AURORA at 1.10.06 8 2" xfId="25578"/>
    <cellStyle name="_Power Cost Value Copy 11.30.05 gas 1.09.06 AURORA at 1.10.06 8 2 2" xfId="25579"/>
    <cellStyle name="_Power Cost Value Copy 11.30.05 gas 1.09.06 AURORA at 1.10.06 8 2 2 2" xfId="25580"/>
    <cellStyle name="_Power Cost Value Copy 11.30.05 gas 1.09.06 AURORA at 1.10.06 8 2 3" xfId="25581"/>
    <cellStyle name="_Power Cost Value Copy 11.30.05 gas 1.09.06 AURORA at 1.10.06 8 3" xfId="25582"/>
    <cellStyle name="_Power Cost Value Copy 11.30.05 gas 1.09.06 AURORA at 1.10.06 8 3 2" xfId="25583"/>
    <cellStyle name="_Power Cost Value Copy 11.30.05 gas 1.09.06 AURORA at 1.10.06 8 4" xfId="25584"/>
    <cellStyle name="_Power Cost Value Copy 11.30.05 gas 1.09.06 AURORA at 1.10.06 9" xfId="25585"/>
    <cellStyle name="_Power Cost Value Copy 11.30.05 gas 1.09.06 AURORA at 1.10.06 9 2" xfId="25586"/>
    <cellStyle name="_Power Cost Value Copy 11.30.05 gas 1.09.06 AURORA at 1.10.06 9 3" xfId="25587"/>
    <cellStyle name="_Power Cost Value Copy 11.30.05 gas 1.09.06 AURORA at 1.10.06_04 07E Wild Horse Wind Expansion (C) (2)" xfId="1769"/>
    <cellStyle name="_Power Cost Value Copy 11.30.05 gas 1.09.06 AURORA at 1.10.06_04 07E Wild Horse Wind Expansion (C) (2) 2" xfId="1770"/>
    <cellStyle name="_Power Cost Value Copy 11.30.05 gas 1.09.06 AURORA at 1.10.06_04 07E Wild Horse Wind Expansion (C) (2) 2 2" xfId="5139"/>
    <cellStyle name="_Power Cost Value Copy 11.30.05 gas 1.09.06 AURORA at 1.10.06_04 07E Wild Horse Wind Expansion (C) (2) 2 2 2" xfId="21143"/>
    <cellStyle name="_Power Cost Value Copy 11.30.05 gas 1.09.06 AURORA at 1.10.06_04 07E Wild Horse Wind Expansion (C) (2) 2 2 2 2" xfId="25588"/>
    <cellStyle name="_Power Cost Value Copy 11.30.05 gas 1.09.06 AURORA at 1.10.06_04 07E Wild Horse Wind Expansion (C) (2) 2 2 3" xfId="25589"/>
    <cellStyle name="_Power Cost Value Copy 11.30.05 gas 1.09.06 AURORA at 1.10.06_04 07E Wild Horse Wind Expansion (C) (2) 2 2 4" xfId="25590"/>
    <cellStyle name="_Power Cost Value Copy 11.30.05 gas 1.09.06 AURORA at 1.10.06_04 07E Wild Horse Wind Expansion (C) (2) 2 3" xfId="16865"/>
    <cellStyle name="_Power Cost Value Copy 11.30.05 gas 1.09.06 AURORA at 1.10.06_04 07E Wild Horse Wind Expansion (C) (2) 2 3 2" xfId="25591"/>
    <cellStyle name="_Power Cost Value Copy 11.30.05 gas 1.09.06 AURORA at 1.10.06_04 07E Wild Horse Wind Expansion (C) (2) 2 4" xfId="25592"/>
    <cellStyle name="_Power Cost Value Copy 11.30.05 gas 1.09.06 AURORA at 1.10.06_04 07E Wild Horse Wind Expansion (C) (2) 3" xfId="5138"/>
    <cellStyle name="_Power Cost Value Copy 11.30.05 gas 1.09.06 AURORA at 1.10.06_04 07E Wild Horse Wind Expansion (C) (2) 3 2" xfId="21144"/>
    <cellStyle name="_Power Cost Value Copy 11.30.05 gas 1.09.06 AURORA at 1.10.06_04 07E Wild Horse Wind Expansion (C) (2) 3 2 2" xfId="25593"/>
    <cellStyle name="_Power Cost Value Copy 11.30.05 gas 1.09.06 AURORA at 1.10.06_04 07E Wild Horse Wind Expansion (C) (2) 3 3" xfId="25594"/>
    <cellStyle name="_Power Cost Value Copy 11.30.05 gas 1.09.06 AURORA at 1.10.06_04 07E Wild Horse Wind Expansion (C) (2) 3 4" xfId="25595"/>
    <cellStyle name="_Power Cost Value Copy 11.30.05 gas 1.09.06 AURORA at 1.10.06_04 07E Wild Horse Wind Expansion (C) (2) 4" xfId="16864"/>
    <cellStyle name="_Power Cost Value Copy 11.30.05 gas 1.09.06 AURORA at 1.10.06_04 07E Wild Horse Wind Expansion (C) (2) 4 2" xfId="25596"/>
    <cellStyle name="_Power Cost Value Copy 11.30.05 gas 1.09.06 AURORA at 1.10.06_04 07E Wild Horse Wind Expansion (C) (2) 5" xfId="25597"/>
    <cellStyle name="_Power Cost Value Copy 11.30.05 gas 1.09.06 AURORA at 1.10.06_04 07E Wild Horse Wind Expansion (C) (2)_Adj Bench DR 3 for Initial Briefs (Electric)" xfId="1771"/>
    <cellStyle name="_Power Cost Value Copy 11.30.05 gas 1.09.06 AURORA at 1.10.06_04 07E Wild Horse Wind Expansion (C) (2)_Adj Bench DR 3 for Initial Briefs (Electric) 2" xfId="1772"/>
    <cellStyle name="_Power Cost Value Copy 11.30.05 gas 1.09.06 AURORA at 1.10.06_04 07E Wild Horse Wind Expansion (C) (2)_Adj Bench DR 3 for Initial Briefs (Electric) 2 2" xfId="5141"/>
    <cellStyle name="_Power Cost Value Copy 11.30.05 gas 1.09.06 AURORA at 1.10.06_04 07E Wild Horse Wind Expansion (C) (2)_Adj Bench DR 3 for Initial Briefs (Electric) 2 2 2" xfId="21145"/>
    <cellStyle name="_Power Cost Value Copy 11.30.05 gas 1.09.06 AURORA at 1.10.06_04 07E Wild Horse Wind Expansion (C) (2)_Adj Bench DR 3 for Initial Briefs (Electric) 2 2 2 2" xfId="25598"/>
    <cellStyle name="_Power Cost Value Copy 11.30.05 gas 1.09.06 AURORA at 1.10.06_04 07E Wild Horse Wind Expansion (C) (2)_Adj Bench DR 3 for Initial Briefs (Electric) 2 2 3" xfId="25599"/>
    <cellStyle name="_Power Cost Value Copy 11.30.05 gas 1.09.06 AURORA at 1.10.06_04 07E Wild Horse Wind Expansion (C) (2)_Adj Bench DR 3 for Initial Briefs (Electric) 2 2 4" xfId="25600"/>
    <cellStyle name="_Power Cost Value Copy 11.30.05 gas 1.09.06 AURORA at 1.10.06_04 07E Wild Horse Wind Expansion (C) (2)_Adj Bench DR 3 for Initial Briefs (Electric) 2 3" xfId="16867"/>
    <cellStyle name="_Power Cost Value Copy 11.30.05 gas 1.09.06 AURORA at 1.10.06_04 07E Wild Horse Wind Expansion (C) (2)_Adj Bench DR 3 for Initial Briefs (Electric) 2 3 2" xfId="25601"/>
    <cellStyle name="_Power Cost Value Copy 11.30.05 gas 1.09.06 AURORA at 1.10.06_04 07E Wild Horse Wind Expansion (C) (2)_Adj Bench DR 3 for Initial Briefs (Electric) 2 4" xfId="25602"/>
    <cellStyle name="_Power Cost Value Copy 11.30.05 gas 1.09.06 AURORA at 1.10.06_04 07E Wild Horse Wind Expansion (C) (2)_Adj Bench DR 3 for Initial Briefs (Electric) 3" xfId="5140"/>
    <cellStyle name="_Power Cost Value Copy 11.30.05 gas 1.09.06 AURORA at 1.10.06_04 07E Wild Horse Wind Expansion (C) (2)_Adj Bench DR 3 for Initial Briefs (Electric) 3 2" xfId="21146"/>
    <cellStyle name="_Power Cost Value Copy 11.30.05 gas 1.09.06 AURORA at 1.10.06_04 07E Wild Horse Wind Expansion (C) (2)_Adj Bench DR 3 for Initial Briefs (Electric) 3 2 2" xfId="25603"/>
    <cellStyle name="_Power Cost Value Copy 11.30.05 gas 1.09.06 AURORA at 1.10.06_04 07E Wild Horse Wind Expansion (C) (2)_Adj Bench DR 3 for Initial Briefs (Electric) 3 3" xfId="25604"/>
    <cellStyle name="_Power Cost Value Copy 11.30.05 gas 1.09.06 AURORA at 1.10.06_04 07E Wild Horse Wind Expansion (C) (2)_Adj Bench DR 3 for Initial Briefs (Electric) 3 4" xfId="25605"/>
    <cellStyle name="_Power Cost Value Copy 11.30.05 gas 1.09.06 AURORA at 1.10.06_04 07E Wild Horse Wind Expansion (C) (2)_Adj Bench DR 3 for Initial Briefs (Electric) 4" xfId="16866"/>
    <cellStyle name="_Power Cost Value Copy 11.30.05 gas 1.09.06 AURORA at 1.10.06_04 07E Wild Horse Wind Expansion (C) (2)_Adj Bench DR 3 for Initial Briefs (Electric) 4 2" xfId="25606"/>
    <cellStyle name="_Power Cost Value Copy 11.30.05 gas 1.09.06 AURORA at 1.10.06_04 07E Wild Horse Wind Expansion (C) (2)_Adj Bench DR 3 for Initial Briefs (Electric) 5" xfId="25607"/>
    <cellStyle name="_Power Cost Value Copy 11.30.05 gas 1.09.06 AURORA at 1.10.06_04 07E Wild Horse Wind Expansion (C) (2)_Adj Bench DR 3 for Initial Briefs (Electric)_DEM-WP(C) ENERG10C--ctn Mid-C_042010 2010GRC" xfId="12861"/>
    <cellStyle name="_Power Cost Value Copy 11.30.05 gas 1.09.06 AURORA at 1.10.06_04 07E Wild Horse Wind Expansion (C) (2)_Adj Bench DR 3 for Initial Briefs (Electric)_DEM-WP(C) ENERG10C--ctn Mid-C_042010 2010GRC 2" xfId="41487"/>
    <cellStyle name="_Power Cost Value Copy 11.30.05 gas 1.09.06 AURORA at 1.10.06_04 07E Wild Horse Wind Expansion (C) (2)_Book1" xfId="14284"/>
    <cellStyle name="_Power Cost Value Copy 11.30.05 gas 1.09.06 AURORA at 1.10.06_04 07E Wild Horse Wind Expansion (C) (2)_Book1 2" xfId="41488"/>
    <cellStyle name="_Power Cost Value Copy 11.30.05 gas 1.09.06 AURORA at 1.10.06_04 07E Wild Horse Wind Expansion (C) (2)_DEM-WP(C) ENERG10C--ctn Mid-C_042010 2010GRC" xfId="12862"/>
    <cellStyle name="_Power Cost Value Copy 11.30.05 gas 1.09.06 AURORA at 1.10.06_04 07E Wild Horse Wind Expansion (C) (2)_DEM-WP(C) ENERG10C--ctn Mid-C_042010 2010GRC 2" xfId="41489"/>
    <cellStyle name="_Power Cost Value Copy 11.30.05 gas 1.09.06 AURORA at 1.10.06_04 07E Wild Horse Wind Expansion (C) (2)_Electric Rev Req Model (2009 GRC) " xfId="1773"/>
    <cellStyle name="_Power Cost Value Copy 11.30.05 gas 1.09.06 AURORA at 1.10.06_04 07E Wild Horse Wind Expansion (C) (2)_Electric Rev Req Model (2009 GRC)  2" xfId="1774"/>
    <cellStyle name="_Power Cost Value Copy 11.30.05 gas 1.09.06 AURORA at 1.10.06_04 07E Wild Horse Wind Expansion (C) (2)_Electric Rev Req Model (2009 GRC)  2 2" xfId="5143"/>
    <cellStyle name="_Power Cost Value Copy 11.30.05 gas 1.09.06 AURORA at 1.10.06_04 07E Wild Horse Wind Expansion (C) (2)_Electric Rev Req Model (2009 GRC)  2 2 2" xfId="21147"/>
    <cellStyle name="_Power Cost Value Copy 11.30.05 gas 1.09.06 AURORA at 1.10.06_04 07E Wild Horse Wind Expansion (C) (2)_Electric Rev Req Model (2009 GRC)  2 2 2 2" xfId="25608"/>
    <cellStyle name="_Power Cost Value Copy 11.30.05 gas 1.09.06 AURORA at 1.10.06_04 07E Wild Horse Wind Expansion (C) (2)_Electric Rev Req Model (2009 GRC)  2 2 3" xfId="25609"/>
    <cellStyle name="_Power Cost Value Copy 11.30.05 gas 1.09.06 AURORA at 1.10.06_04 07E Wild Horse Wind Expansion (C) (2)_Electric Rev Req Model (2009 GRC)  2 2 4" xfId="25610"/>
    <cellStyle name="_Power Cost Value Copy 11.30.05 gas 1.09.06 AURORA at 1.10.06_04 07E Wild Horse Wind Expansion (C) (2)_Electric Rev Req Model (2009 GRC)  2 3" xfId="16869"/>
    <cellStyle name="_Power Cost Value Copy 11.30.05 gas 1.09.06 AURORA at 1.10.06_04 07E Wild Horse Wind Expansion (C) (2)_Electric Rev Req Model (2009 GRC)  2 3 2" xfId="25611"/>
    <cellStyle name="_Power Cost Value Copy 11.30.05 gas 1.09.06 AURORA at 1.10.06_04 07E Wild Horse Wind Expansion (C) (2)_Electric Rev Req Model (2009 GRC)  2 4" xfId="25612"/>
    <cellStyle name="_Power Cost Value Copy 11.30.05 gas 1.09.06 AURORA at 1.10.06_04 07E Wild Horse Wind Expansion (C) (2)_Electric Rev Req Model (2009 GRC)  3" xfId="5142"/>
    <cellStyle name="_Power Cost Value Copy 11.30.05 gas 1.09.06 AURORA at 1.10.06_04 07E Wild Horse Wind Expansion (C) (2)_Electric Rev Req Model (2009 GRC)  3 2" xfId="21148"/>
    <cellStyle name="_Power Cost Value Copy 11.30.05 gas 1.09.06 AURORA at 1.10.06_04 07E Wild Horse Wind Expansion (C) (2)_Electric Rev Req Model (2009 GRC)  3 2 2" xfId="25613"/>
    <cellStyle name="_Power Cost Value Copy 11.30.05 gas 1.09.06 AURORA at 1.10.06_04 07E Wild Horse Wind Expansion (C) (2)_Electric Rev Req Model (2009 GRC)  3 3" xfId="25614"/>
    <cellStyle name="_Power Cost Value Copy 11.30.05 gas 1.09.06 AURORA at 1.10.06_04 07E Wild Horse Wind Expansion (C) (2)_Electric Rev Req Model (2009 GRC)  3 4" xfId="25615"/>
    <cellStyle name="_Power Cost Value Copy 11.30.05 gas 1.09.06 AURORA at 1.10.06_04 07E Wild Horse Wind Expansion (C) (2)_Electric Rev Req Model (2009 GRC)  4" xfId="16868"/>
    <cellStyle name="_Power Cost Value Copy 11.30.05 gas 1.09.06 AURORA at 1.10.06_04 07E Wild Horse Wind Expansion (C) (2)_Electric Rev Req Model (2009 GRC)  4 2" xfId="25616"/>
    <cellStyle name="_Power Cost Value Copy 11.30.05 gas 1.09.06 AURORA at 1.10.06_04 07E Wild Horse Wind Expansion (C) (2)_Electric Rev Req Model (2009 GRC)  5" xfId="25617"/>
    <cellStyle name="_Power Cost Value Copy 11.30.05 gas 1.09.06 AURORA at 1.10.06_04 07E Wild Horse Wind Expansion (C) (2)_Electric Rev Req Model (2009 GRC) _DEM-WP(C) ENERG10C--ctn Mid-C_042010 2010GRC" xfId="12863"/>
    <cellStyle name="_Power Cost Value Copy 11.30.05 gas 1.09.06 AURORA at 1.10.06_04 07E Wild Horse Wind Expansion (C) (2)_Electric Rev Req Model (2009 GRC) _DEM-WP(C) ENERG10C--ctn Mid-C_042010 2010GRC 2" xfId="41490"/>
    <cellStyle name="_Power Cost Value Copy 11.30.05 gas 1.09.06 AURORA at 1.10.06_04 07E Wild Horse Wind Expansion (C) (2)_Electric Rev Req Model (2009 GRC) Rebuttal" xfId="1775"/>
    <cellStyle name="_Power Cost Value Copy 11.30.05 gas 1.09.06 AURORA at 1.10.06_04 07E Wild Horse Wind Expansion (C) (2)_Electric Rev Req Model (2009 GRC) Rebuttal 2" xfId="5144"/>
    <cellStyle name="_Power Cost Value Copy 11.30.05 gas 1.09.06 AURORA at 1.10.06_04 07E Wild Horse Wind Expansion (C) (2)_Electric Rev Req Model (2009 GRC) Rebuttal 2 2" xfId="7464"/>
    <cellStyle name="_Power Cost Value Copy 11.30.05 gas 1.09.06 AURORA at 1.10.06_04 07E Wild Horse Wind Expansion (C) (2)_Electric Rev Req Model (2009 GRC) Rebuttal 2 2 2" xfId="21149"/>
    <cellStyle name="_Power Cost Value Copy 11.30.05 gas 1.09.06 AURORA at 1.10.06_04 07E Wild Horse Wind Expansion (C) (2)_Electric Rev Req Model (2009 GRC) Rebuttal 2 3" xfId="18567"/>
    <cellStyle name="_Power Cost Value Copy 11.30.05 gas 1.09.06 AURORA at 1.10.06_04 07E Wild Horse Wind Expansion (C) (2)_Electric Rev Req Model (2009 GRC) Rebuttal 3" xfId="7465"/>
    <cellStyle name="_Power Cost Value Copy 11.30.05 gas 1.09.06 AURORA at 1.10.06_04 07E Wild Horse Wind Expansion (C) (2)_Electric Rev Req Model (2009 GRC) Rebuttal 3 2" xfId="21150"/>
    <cellStyle name="_Power Cost Value Copy 11.30.05 gas 1.09.06 AURORA at 1.10.06_04 07E Wild Horse Wind Expansion (C) (2)_Electric Rev Req Model (2009 GRC) Rebuttal 4" xfId="16870"/>
    <cellStyle name="_Power Cost Value Copy 11.30.05 gas 1.09.06 AURORA at 1.10.06_04 07E Wild Horse Wind Expansion (C) (2)_Electric Rev Req Model (2009 GRC) Rebuttal REmoval of New  WH Solar AdjustMI" xfId="1776"/>
    <cellStyle name="_Power Cost Value Copy 11.30.05 gas 1.09.06 AURORA at 1.10.06_04 07E Wild Horse Wind Expansion (C) (2)_Electric Rev Req Model (2009 GRC) Rebuttal REmoval of New  WH Solar AdjustMI 2" xfId="1777"/>
    <cellStyle name="_Power Cost Value Copy 11.30.05 gas 1.09.06 AURORA at 1.10.06_04 07E Wild Horse Wind Expansion (C) (2)_Electric Rev Req Model (2009 GRC) Rebuttal REmoval of New  WH Solar AdjustMI 2 2" xfId="5146"/>
    <cellStyle name="_Power Cost Value Copy 11.30.05 gas 1.09.06 AURORA at 1.10.06_04 07E Wild Horse Wind Expansion (C) (2)_Electric Rev Req Model (2009 GRC) Rebuttal REmoval of New  WH Solar AdjustMI 2 2 2" xfId="21151"/>
    <cellStyle name="_Power Cost Value Copy 11.30.05 gas 1.09.06 AURORA at 1.10.06_04 07E Wild Horse Wind Expansion (C) (2)_Electric Rev Req Model (2009 GRC) Rebuttal REmoval of New  WH Solar AdjustMI 2 2 2 2" xfId="25618"/>
    <cellStyle name="_Power Cost Value Copy 11.30.05 gas 1.09.06 AURORA at 1.10.06_04 07E Wild Horse Wind Expansion (C) (2)_Electric Rev Req Model (2009 GRC) Rebuttal REmoval of New  WH Solar AdjustMI 2 2 3" xfId="25619"/>
    <cellStyle name="_Power Cost Value Copy 11.30.05 gas 1.09.06 AURORA at 1.10.06_04 07E Wild Horse Wind Expansion (C) (2)_Electric Rev Req Model (2009 GRC) Rebuttal REmoval of New  WH Solar AdjustMI 2 3" xfId="16872"/>
    <cellStyle name="_Power Cost Value Copy 11.30.05 gas 1.09.06 AURORA at 1.10.06_04 07E Wild Horse Wind Expansion (C) (2)_Electric Rev Req Model (2009 GRC) Rebuttal REmoval of New  WH Solar AdjustMI 2 3 2" xfId="25620"/>
    <cellStyle name="_Power Cost Value Copy 11.30.05 gas 1.09.06 AURORA at 1.10.06_04 07E Wild Horse Wind Expansion (C) (2)_Electric Rev Req Model (2009 GRC) Rebuttal REmoval of New  WH Solar AdjustMI 2 4" xfId="25621"/>
    <cellStyle name="_Power Cost Value Copy 11.30.05 gas 1.09.06 AURORA at 1.10.06_04 07E Wild Horse Wind Expansion (C) (2)_Electric Rev Req Model (2009 GRC) Rebuttal REmoval of New  WH Solar AdjustMI 3" xfId="5145"/>
    <cellStyle name="_Power Cost Value Copy 11.30.05 gas 1.09.06 AURORA at 1.10.06_04 07E Wild Horse Wind Expansion (C) (2)_Electric Rev Req Model (2009 GRC) Rebuttal REmoval of New  WH Solar AdjustMI 3 2" xfId="21152"/>
    <cellStyle name="_Power Cost Value Copy 11.30.05 gas 1.09.06 AURORA at 1.10.06_04 07E Wild Horse Wind Expansion (C) (2)_Electric Rev Req Model (2009 GRC) Rebuttal REmoval of New  WH Solar AdjustMI 3 2 2" xfId="25622"/>
    <cellStyle name="_Power Cost Value Copy 11.30.05 gas 1.09.06 AURORA at 1.10.06_04 07E Wild Horse Wind Expansion (C) (2)_Electric Rev Req Model (2009 GRC) Rebuttal REmoval of New  WH Solar AdjustMI 3 3" xfId="25623"/>
    <cellStyle name="_Power Cost Value Copy 11.30.05 gas 1.09.06 AURORA at 1.10.06_04 07E Wild Horse Wind Expansion (C) (2)_Electric Rev Req Model (2009 GRC) Rebuttal REmoval of New  WH Solar AdjustMI 3 4" xfId="25624"/>
    <cellStyle name="_Power Cost Value Copy 11.30.05 gas 1.09.06 AURORA at 1.10.06_04 07E Wild Horse Wind Expansion (C) (2)_Electric Rev Req Model (2009 GRC) Rebuttal REmoval of New  WH Solar AdjustMI 4" xfId="16871"/>
    <cellStyle name="_Power Cost Value Copy 11.30.05 gas 1.09.06 AURORA at 1.10.06_04 07E Wild Horse Wind Expansion (C) (2)_Electric Rev Req Model (2009 GRC) Rebuttal REmoval of New  WH Solar AdjustMI 4 2" xfId="25625"/>
    <cellStyle name="_Power Cost Value Copy 11.30.05 gas 1.09.06 AURORA at 1.10.06_04 07E Wild Horse Wind Expansion (C) (2)_Electric Rev Req Model (2009 GRC) Rebuttal REmoval of New  WH Solar AdjustMI 5" xfId="25626"/>
    <cellStyle name="_Power Cost Value Copy 11.30.05 gas 1.09.06 AURORA at 1.10.06_04 07E Wild Horse Wind Expansion (C) (2)_Electric Rev Req Model (2009 GRC) Rebuttal REmoval of New  WH Solar AdjustMI_DEM-WP(C) ENERG10C--ctn Mid-C_042010 2010GRC" xfId="12864"/>
    <cellStyle name="_Power Cost Value Copy 11.30.05 gas 1.09.06 AURORA at 1.10.06_04 07E Wild Horse Wind Expansion (C) (2)_Electric Rev Req Model (2009 GRC) Rebuttal REmoval of New  WH Solar AdjustMI_DEM-WP(C) ENERG10C--ctn Mid-C_042010 2010GRC 2" xfId="41491"/>
    <cellStyle name="_Power Cost Value Copy 11.30.05 gas 1.09.06 AURORA at 1.10.06_04 07E Wild Horse Wind Expansion (C) (2)_Electric Rev Req Model (2009 GRC) Revised 01-18-2010" xfId="1778"/>
    <cellStyle name="_Power Cost Value Copy 11.30.05 gas 1.09.06 AURORA at 1.10.06_04 07E Wild Horse Wind Expansion (C) (2)_Electric Rev Req Model (2009 GRC) Revised 01-18-2010 2" xfId="1779"/>
    <cellStyle name="_Power Cost Value Copy 11.30.05 gas 1.09.06 AURORA at 1.10.06_04 07E Wild Horse Wind Expansion (C) (2)_Electric Rev Req Model (2009 GRC) Revised 01-18-2010 2 2" xfId="5148"/>
    <cellStyle name="_Power Cost Value Copy 11.30.05 gas 1.09.06 AURORA at 1.10.06_04 07E Wild Horse Wind Expansion (C) (2)_Electric Rev Req Model (2009 GRC) Revised 01-18-2010 2 2 2" xfId="21153"/>
    <cellStyle name="_Power Cost Value Copy 11.30.05 gas 1.09.06 AURORA at 1.10.06_04 07E Wild Horse Wind Expansion (C) (2)_Electric Rev Req Model (2009 GRC) Revised 01-18-2010 2 2 2 2" xfId="25627"/>
    <cellStyle name="_Power Cost Value Copy 11.30.05 gas 1.09.06 AURORA at 1.10.06_04 07E Wild Horse Wind Expansion (C) (2)_Electric Rev Req Model (2009 GRC) Revised 01-18-2010 2 2 3" xfId="25628"/>
    <cellStyle name="_Power Cost Value Copy 11.30.05 gas 1.09.06 AURORA at 1.10.06_04 07E Wild Horse Wind Expansion (C) (2)_Electric Rev Req Model (2009 GRC) Revised 01-18-2010 2 3" xfId="16874"/>
    <cellStyle name="_Power Cost Value Copy 11.30.05 gas 1.09.06 AURORA at 1.10.06_04 07E Wild Horse Wind Expansion (C) (2)_Electric Rev Req Model (2009 GRC) Revised 01-18-2010 2 3 2" xfId="25629"/>
    <cellStyle name="_Power Cost Value Copy 11.30.05 gas 1.09.06 AURORA at 1.10.06_04 07E Wild Horse Wind Expansion (C) (2)_Electric Rev Req Model (2009 GRC) Revised 01-18-2010 2 4" xfId="25630"/>
    <cellStyle name="_Power Cost Value Copy 11.30.05 gas 1.09.06 AURORA at 1.10.06_04 07E Wild Horse Wind Expansion (C) (2)_Electric Rev Req Model (2009 GRC) Revised 01-18-2010 3" xfId="5147"/>
    <cellStyle name="_Power Cost Value Copy 11.30.05 gas 1.09.06 AURORA at 1.10.06_04 07E Wild Horse Wind Expansion (C) (2)_Electric Rev Req Model (2009 GRC) Revised 01-18-2010 3 2" xfId="21154"/>
    <cellStyle name="_Power Cost Value Copy 11.30.05 gas 1.09.06 AURORA at 1.10.06_04 07E Wild Horse Wind Expansion (C) (2)_Electric Rev Req Model (2009 GRC) Revised 01-18-2010 3 2 2" xfId="25631"/>
    <cellStyle name="_Power Cost Value Copy 11.30.05 gas 1.09.06 AURORA at 1.10.06_04 07E Wild Horse Wind Expansion (C) (2)_Electric Rev Req Model (2009 GRC) Revised 01-18-2010 3 3" xfId="25632"/>
    <cellStyle name="_Power Cost Value Copy 11.30.05 gas 1.09.06 AURORA at 1.10.06_04 07E Wild Horse Wind Expansion (C) (2)_Electric Rev Req Model (2009 GRC) Revised 01-18-2010 3 4" xfId="25633"/>
    <cellStyle name="_Power Cost Value Copy 11.30.05 gas 1.09.06 AURORA at 1.10.06_04 07E Wild Horse Wind Expansion (C) (2)_Electric Rev Req Model (2009 GRC) Revised 01-18-2010 4" xfId="16873"/>
    <cellStyle name="_Power Cost Value Copy 11.30.05 gas 1.09.06 AURORA at 1.10.06_04 07E Wild Horse Wind Expansion (C) (2)_Electric Rev Req Model (2009 GRC) Revised 01-18-2010 4 2" xfId="25634"/>
    <cellStyle name="_Power Cost Value Copy 11.30.05 gas 1.09.06 AURORA at 1.10.06_04 07E Wild Horse Wind Expansion (C) (2)_Electric Rev Req Model (2009 GRC) Revised 01-18-2010 5" xfId="25635"/>
    <cellStyle name="_Power Cost Value Copy 11.30.05 gas 1.09.06 AURORA at 1.10.06_04 07E Wild Horse Wind Expansion (C) (2)_Electric Rev Req Model (2009 GRC) Revised 01-18-2010_DEM-WP(C) ENERG10C--ctn Mid-C_042010 2010GRC" xfId="12865"/>
    <cellStyle name="_Power Cost Value Copy 11.30.05 gas 1.09.06 AURORA at 1.10.06_04 07E Wild Horse Wind Expansion (C) (2)_Electric Rev Req Model (2009 GRC) Revised 01-18-2010_DEM-WP(C) ENERG10C--ctn Mid-C_042010 2010GRC 2" xfId="41492"/>
    <cellStyle name="_Power Cost Value Copy 11.30.05 gas 1.09.06 AURORA at 1.10.06_04 07E Wild Horse Wind Expansion (C) (2)_Electric Rev Req Model (2010 GRC)" xfId="14285"/>
    <cellStyle name="_Power Cost Value Copy 11.30.05 gas 1.09.06 AURORA at 1.10.06_04 07E Wild Horse Wind Expansion (C) (2)_Electric Rev Req Model (2010 GRC) 2" xfId="41493"/>
    <cellStyle name="_Power Cost Value Copy 11.30.05 gas 1.09.06 AURORA at 1.10.06_04 07E Wild Horse Wind Expansion (C) (2)_Electric Rev Req Model (2010 GRC) SF" xfId="14286"/>
    <cellStyle name="_Power Cost Value Copy 11.30.05 gas 1.09.06 AURORA at 1.10.06_04 07E Wild Horse Wind Expansion (C) (2)_Electric Rev Req Model (2010 GRC) SF 2" xfId="41494"/>
    <cellStyle name="_Power Cost Value Copy 11.30.05 gas 1.09.06 AURORA at 1.10.06_04 07E Wild Horse Wind Expansion (C) (2)_Final Order Electric EXHIBIT A-1" xfId="1780"/>
    <cellStyle name="_Power Cost Value Copy 11.30.05 gas 1.09.06 AURORA at 1.10.06_04 07E Wild Horse Wind Expansion (C) (2)_Final Order Electric EXHIBIT A-1 2" xfId="5149"/>
    <cellStyle name="_Power Cost Value Copy 11.30.05 gas 1.09.06 AURORA at 1.10.06_04 07E Wild Horse Wind Expansion (C) (2)_Final Order Electric EXHIBIT A-1 2 2" xfId="7466"/>
    <cellStyle name="_Power Cost Value Copy 11.30.05 gas 1.09.06 AURORA at 1.10.06_04 07E Wild Horse Wind Expansion (C) (2)_Final Order Electric EXHIBIT A-1 2 2 2" xfId="21155"/>
    <cellStyle name="_Power Cost Value Copy 11.30.05 gas 1.09.06 AURORA at 1.10.06_04 07E Wild Horse Wind Expansion (C) (2)_Final Order Electric EXHIBIT A-1 2 3" xfId="18568"/>
    <cellStyle name="_Power Cost Value Copy 11.30.05 gas 1.09.06 AURORA at 1.10.06_04 07E Wild Horse Wind Expansion (C) (2)_Final Order Electric EXHIBIT A-1 2 4" xfId="25636"/>
    <cellStyle name="_Power Cost Value Copy 11.30.05 gas 1.09.06 AURORA at 1.10.06_04 07E Wild Horse Wind Expansion (C) (2)_Final Order Electric EXHIBIT A-1 3" xfId="7467"/>
    <cellStyle name="_Power Cost Value Copy 11.30.05 gas 1.09.06 AURORA at 1.10.06_04 07E Wild Horse Wind Expansion (C) (2)_Final Order Electric EXHIBIT A-1 3 2" xfId="21156"/>
    <cellStyle name="_Power Cost Value Copy 11.30.05 gas 1.09.06 AURORA at 1.10.06_04 07E Wild Horse Wind Expansion (C) (2)_Final Order Electric EXHIBIT A-1 4" xfId="16875"/>
    <cellStyle name="_Power Cost Value Copy 11.30.05 gas 1.09.06 AURORA at 1.10.06_04 07E Wild Horse Wind Expansion (C) (2)_Final Order Electric EXHIBIT A-1 5" xfId="25637"/>
    <cellStyle name="_Power Cost Value Copy 11.30.05 gas 1.09.06 AURORA at 1.10.06_04 07E Wild Horse Wind Expansion (C) (2)_Final Order Electric EXHIBIT A-1 6" xfId="25638"/>
    <cellStyle name="_Power Cost Value Copy 11.30.05 gas 1.09.06 AURORA at 1.10.06_04 07E Wild Horse Wind Expansion (C) (2)_TENASKA REGULATORY ASSET" xfId="1781"/>
    <cellStyle name="_Power Cost Value Copy 11.30.05 gas 1.09.06 AURORA at 1.10.06_04 07E Wild Horse Wind Expansion (C) (2)_TENASKA REGULATORY ASSET 2" xfId="5150"/>
    <cellStyle name="_Power Cost Value Copy 11.30.05 gas 1.09.06 AURORA at 1.10.06_04 07E Wild Horse Wind Expansion (C) (2)_TENASKA REGULATORY ASSET 2 2" xfId="7468"/>
    <cellStyle name="_Power Cost Value Copy 11.30.05 gas 1.09.06 AURORA at 1.10.06_04 07E Wild Horse Wind Expansion (C) (2)_TENASKA REGULATORY ASSET 2 2 2" xfId="21157"/>
    <cellStyle name="_Power Cost Value Copy 11.30.05 gas 1.09.06 AURORA at 1.10.06_04 07E Wild Horse Wind Expansion (C) (2)_TENASKA REGULATORY ASSET 2 3" xfId="18569"/>
    <cellStyle name="_Power Cost Value Copy 11.30.05 gas 1.09.06 AURORA at 1.10.06_04 07E Wild Horse Wind Expansion (C) (2)_TENASKA REGULATORY ASSET 2 4" xfId="25639"/>
    <cellStyle name="_Power Cost Value Copy 11.30.05 gas 1.09.06 AURORA at 1.10.06_04 07E Wild Horse Wind Expansion (C) (2)_TENASKA REGULATORY ASSET 3" xfId="7469"/>
    <cellStyle name="_Power Cost Value Copy 11.30.05 gas 1.09.06 AURORA at 1.10.06_04 07E Wild Horse Wind Expansion (C) (2)_TENASKA REGULATORY ASSET 3 2" xfId="21158"/>
    <cellStyle name="_Power Cost Value Copy 11.30.05 gas 1.09.06 AURORA at 1.10.06_04 07E Wild Horse Wind Expansion (C) (2)_TENASKA REGULATORY ASSET 4" xfId="16876"/>
    <cellStyle name="_Power Cost Value Copy 11.30.05 gas 1.09.06 AURORA at 1.10.06_04 07E Wild Horse Wind Expansion (C) (2)_TENASKA REGULATORY ASSET 5" xfId="25640"/>
    <cellStyle name="_Power Cost Value Copy 11.30.05 gas 1.09.06 AURORA at 1.10.06_04 07E Wild Horse Wind Expansion (C) (2)_TENASKA REGULATORY ASSET 6" xfId="25641"/>
    <cellStyle name="_Power Cost Value Copy 11.30.05 gas 1.09.06 AURORA at 1.10.06_16.37E Wild Horse Expansion DeferralRevwrkingfile SF" xfId="1782"/>
    <cellStyle name="_Power Cost Value Copy 11.30.05 gas 1.09.06 AURORA at 1.10.06_16.37E Wild Horse Expansion DeferralRevwrkingfile SF 2" xfId="1783"/>
    <cellStyle name="_Power Cost Value Copy 11.30.05 gas 1.09.06 AURORA at 1.10.06_16.37E Wild Horse Expansion DeferralRevwrkingfile SF 2 2" xfId="5152"/>
    <cellStyle name="_Power Cost Value Copy 11.30.05 gas 1.09.06 AURORA at 1.10.06_16.37E Wild Horse Expansion DeferralRevwrkingfile SF 2 2 2" xfId="21159"/>
    <cellStyle name="_Power Cost Value Copy 11.30.05 gas 1.09.06 AURORA at 1.10.06_16.37E Wild Horse Expansion DeferralRevwrkingfile SF 2 2 2 2" xfId="25642"/>
    <cellStyle name="_Power Cost Value Copy 11.30.05 gas 1.09.06 AURORA at 1.10.06_16.37E Wild Horse Expansion DeferralRevwrkingfile SF 2 2 3" xfId="25643"/>
    <cellStyle name="_Power Cost Value Copy 11.30.05 gas 1.09.06 AURORA at 1.10.06_16.37E Wild Horse Expansion DeferralRevwrkingfile SF 2 3" xfId="16878"/>
    <cellStyle name="_Power Cost Value Copy 11.30.05 gas 1.09.06 AURORA at 1.10.06_16.37E Wild Horse Expansion DeferralRevwrkingfile SF 2 3 2" xfId="25644"/>
    <cellStyle name="_Power Cost Value Copy 11.30.05 gas 1.09.06 AURORA at 1.10.06_16.37E Wild Horse Expansion DeferralRevwrkingfile SF 2 4" xfId="25645"/>
    <cellStyle name="_Power Cost Value Copy 11.30.05 gas 1.09.06 AURORA at 1.10.06_16.37E Wild Horse Expansion DeferralRevwrkingfile SF 3" xfId="5151"/>
    <cellStyle name="_Power Cost Value Copy 11.30.05 gas 1.09.06 AURORA at 1.10.06_16.37E Wild Horse Expansion DeferralRevwrkingfile SF 3 2" xfId="21160"/>
    <cellStyle name="_Power Cost Value Copy 11.30.05 gas 1.09.06 AURORA at 1.10.06_16.37E Wild Horse Expansion DeferralRevwrkingfile SF 3 2 2" xfId="25646"/>
    <cellStyle name="_Power Cost Value Copy 11.30.05 gas 1.09.06 AURORA at 1.10.06_16.37E Wild Horse Expansion DeferralRevwrkingfile SF 3 3" xfId="25647"/>
    <cellStyle name="_Power Cost Value Copy 11.30.05 gas 1.09.06 AURORA at 1.10.06_16.37E Wild Horse Expansion DeferralRevwrkingfile SF 3 4" xfId="25648"/>
    <cellStyle name="_Power Cost Value Copy 11.30.05 gas 1.09.06 AURORA at 1.10.06_16.37E Wild Horse Expansion DeferralRevwrkingfile SF 4" xfId="16877"/>
    <cellStyle name="_Power Cost Value Copy 11.30.05 gas 1.09.06 AURORA at 1.10.06_16.37E Wild Horse Expansion DeferralRevwrkingfile SF 4 2" xfId="25649"/>
    <cellStyle name="_Power Cost Value Copy 11.30.05 gas 1.09.06 AURORA at 1.10.06_16.37E Wild Horse Expansion DeferralRevwrkingfile SF 5" xfId="25650"/>
    <cellStyle name="_Power Cost Value Copy 11.30.05 gas 1.09.06 AURORA at 1.10.06_16.37E Wild Horse Expansion DeferralRevwrkingfile SF_DEM-WP(C) ENERG10C--ctn Mid-C_042010 2010GRC" xfId="12866"/>
    <cellStyle name="_Power Cost Value Copy 11.30.05 gas 1.09.06 AURORA at 1.10.06_16.37E Wild Horse Expansion DeferralRevwrkingfile SF_DEM-WP(C) ENERG10C--ctn Mid-C_042010 2010GRC 2" xfId="41495"/>
    <cellStyle name="_Power Cost Value Copy 11.30.05 gas 1.09.06 AURORA at 1.10.06_2009 Compliance Filing PCA Exhibits for GRC" xfId="14138"/>
    <cellStyle name="_Power Cost Value Copy 11.30.05 gas 1.09.06 AURORA at 1.10.06_2009 Compliance Filing PCA Exhibits for GRC 2" xfId="15126"/>
    <cellStyle name="_Power Cost Value Copy 11.30.05 gas 1.09.06 AURORA at 1.10.06_2009 Compliance Filing PCA Exhibits for GRC 2 2" xfId="41496"/>
    <cellStyle name="_Power Cost Value Copy 11.30.05 gas 1.09.06 AURORA at 1.10.06_2009 Compliance Filing PCA Exhibits for GRC 3" xfId="41497"/>
    <cellStyle name="_Power Cost Value Copy 11.30.05 gas 1.09.06 AURORA at 1.10.06_2009 GRC Compl Filing - Exhibit D" xfId="1784"/>
    <cellStyle name="_Power Cost Value Copy 11.30.05 gas 1.09.06 AURORA at 1.10.06_2009 GRC Compl Filing - Exhibit D 2" xfId="1785"/>
    <cellStyle name="_Power Cost Value Copy 11.30.05 gas 1.09.06 AURORA at 1.10.06_2009 GRC Compl Filing - Exhibit D 2 2" xfId="5154"/>
    <cellStyle name="_Power Cost Value Copy 11.30.05 gas 1.09.06 AURORA at 1.10.06_2009 GRC Compl Filing - Exhibit D 2 2 2" xfId="25651"/>
    <cellStyle name="_Power Cost Value Copy 11.30.05 gas 1.09.06 AURORA at 1.10.06_2009 GRC Compl Filing - Exhibit D 2 2 2 2" xfId="25652"/>
    <cellStyle name="_Power Cost Value Copy 11.30.05 gas 1.09.06 AURORA at 1.10.06_2009 GRC Compl Filing - Exhibit D 2 2 3" xfId="25653"/>
    <cellStyle name="_Power Cost Value Copy 11.30.05 gas 1.09.06 AURORA at 1.10.06_2009 GRC Compl Filing - Exhibit D 2 3" xfId="25654"/>
    <cellStyle name="_Power Cost Value Copy 11.30.05 gas 1.09.06 AURORA at 1.10.06_2009 GRC Compl Filing - Exhibit D 2 3 2" xfId="25655"/>
    <cellStyle name="_Power Cost Value Copy 11.30.05 gas 1.09.06 AURORA at 1.10.06_2009 GRC Compl Filing - Exhibit D 2 4" xfId="25656"/>
    <cellStyle name="_Power Cost Value Copy 11.30.05 gas 1.09.06 AURORA at 1.10.06_2009 GRC Compl Filing - Exhibit D 3" xfId="5153"/>
    <cellStyle name="_Power Cost Value Copy 11.30.05 gas 1.09.06 AURORA at 1.10.06_2009 GRC Compl Filing - Exhibit D 3 2" xfId="25657"/>
    <cellStyle name="_Power Cost Value Copy 11.30.05 gas 1.09.06 AURORA at 1.10.06_2009 GRC Compl Filing - Exhibit D 3 2 2" xfId="25658"/>
    <cellStyle name="_Power Cost Value Copy 11.30.05 gas 1.09.06 AURORA at 1.10.06_2009 GRC Compl Filing - Exhibit D 3 3" xfId="25659"/>
    <cellStyle name="_Power Cost Value Copy 11.30.05 gas 1.09.06 AURORA at 1.10.06_2009 GRC Compl Filing - Exhibit D 3 4" xfId="25660"/>
    <cellStyle name="_Power Cost Value Copy 11.30.05 gas 1.09.06 AURORA at 1.10.06_2009 GRC Compl Filing - Exhibit D 4" xfId="25661"/>
    <cellStyle name="_Power Cost Value Copy 11.30.05 gas 1.09.06 AURORA at 1.10.06_2009 GRC Compl Filing - Exhibit D 4 2" xfId="25662"/>
    <cellStyle name="_Power Cost Value Copy 11.30.05 gas 1.09.06 AURORA at 1.10.06_2009 GRC Compl Filing - Exhibit D 5" xfId="25663"/>
    <cellStyle name="_Power Cost Value Copy 11.30.05 gas 1.09.06 AURORA at 1.10.06_2009 GRC Compl Filing - Exhibit D_DEM-WP(C) ENERG10C--ctn Mid-C_042010 2010GRC" xfId="12867"/>
    <cellStyle name="_Power Cost Value Copy 11.30.05 gas 1.09.06 AURORA at 1.10.06_2009 GRC Compl Filing - Exhibit D_DEM-WP(C) ENERG10C--ctn Mid-C_042010 2010GRC 2" xfId="41498"/>
    <cellStyle name="_Power Cost Value Copy 11.30.05 gas 1.09.06 AURORA at 1.10.06_3.01 Income Statement" xfId="14139"/>
    <cellStyle name="_Power Cost Value Copy 11.30.05 gas 1.09.06 AURORA at 1.10.06_4 31 Regulatory Assets and Liabilities  7 06- Exhibit D" xfId="1786"/>
    <cellStyle name="_Power Cost Value Copy 11.30.05 gas 1.09.06 AURORA at 1.10.06_4 31 Regulatory Assets and Liabilities  7 06- Exhibit D 2" xfId="1787"/>
    <cellStyle name="_Power Cost Value Copy 11.30.05 gas 1.09.06 AURORA at 1.10.06_4 31 Regulatory Assets and Liabilities  7 06- Exhibit D 2 2" xfId="5156"/>
    <cellStyle name="_Power Cost Value Copy 11.30.05 gas 1.09.06 AURORA at 1.10.06_4 31 Regulatory Assets and Liabilities  7 06- Exhibit D 2 2 2" xfId="21161"/>
    <cellStyle name="_Power Cost Value Copy 11.30.05 gas 1.09.06 AURORA at 1.10.06_4 31 Regulatory Assets and Liabilities  7 06- Exhibit D 2 2 2 2" xfId="25664"/>
    <cellStyle name="_Power Cost Value Copy 11.30.05 gas 1.09.06 AURORA at 1.10.06_4 31 Regulatory Assets and Liabilities  7 06- Exhibit D 2 2 3" xfId="25665"/>
    <cellStyle name="_Power Cost Value Copy 11.30.05 gas 1.09.06 AURORA at 1.10.06_4 31 Regulatory Assets and Liabilities  7 06- Exhibit D 2 3" xfId="16880"/>
    <cellStyle name="_Power Cost Value Copy 11.30.05 gas 1.09.06 AURORA at 1.10.06_4 31 Regulatory Assets and Liabilities  7 06- Exhibit D 2 3 2" xfId="25666"/>
    <cellStyle name="_Power Cost Value Copy 11.30.05 gas 1.09.06 AURORA at 1.10.06_4 31 Regulatory Assets and Liabilities  7 06- Exhibit D 2 4" xfId="25667"/>
    <cellStyle name="_Power Cost Value Copy 11.30.05 gas 1.09.06 AURORA at 1.10.06_4 31 Regulatory Assets and Liabilities  7 06- Exhibit D 3" xfId="5155"/>
    <cellStyle name="_Power Cost Value Copy 11.30.05 gas 1.09.06 AURORA at 1.10.06_4 31 Regulatory Assets and Liabilities  7 06- Exhibit D 3 2" xfId="21162"/>
    <cellStyle name="_Power Cost Value Copy 11.30.05 gas 1.09.06 AURORA at 1.10.06_4 31 Regulatory Assets and Liabilities  7 06- Exhibit D 3 2 2" xfId="25668"/>
    <cellStyle name="_Power Cost Value Copy 11.30.05 gas 1.09.06 AURORA at 1.10.06_4 31 Regulatory Assets and Liabilities  7 06- Exhibit D 3 3" xfId="25669"/>
    <cellStyle name="_Power Cost Value Copy 11.30.05 gas 1.09.06 AURORA at 1.10.06_4 31 Regulatory Assets and Liabilities  7 06- Exhibit D 3 4" xfId="25670"/>
    <cellStyle name="_Power Cost Value Copy 11.30.05 gas 1.09.06 AURORA at 1.10.06_4 31 Regulatory Assets and Liabilities  7 06- Exhibit D 4" xfId="16879"/>
    <cellStyle name="_Power Cost Value Copy 11.30.05 gas 1.09.06 AURORA at 1.10.06_4 31 Regulatory Assets and Liabilities  7 06- Exhibit D 4 2" xfId="25671"/>
    <cellStyle name="_Power Cost Value Copy 11.30.05 gas 1.09.06 AURORA at 1.10.06_4 31 Regulatory Assets and Liabilities  7 06- Exhibit D 5" xfId="25672"/>
    <cellStyle name="_Power Cost Value Copy 11.30.05 gas 1.09.06 AURORA at 1.10.06_4 31 Regulatory Assets and Liabilities  7 06- Exhibit D_DEM-WP(C) ENERG10C--ctn Mid-C_042010 2010GRC" xfId="12868"/>
    <cellStyle name="_Power Cost Value Copy 11.30.05 gas 1.09.06 AURORA at 1.10.06_4 31 Regulatory Assets and Liabilities  7 06- Exhibit D_DEM-WP(C) ENERG10C--ctn Mid-C_042010 2010GRC 2" xfId="41499"/>
    <cellStyle name="_Power Cost Value Copy 11.30.05 gas 1.09.06 AURORA at 1.10.06_4 31 Regulatory Assets and Liabilities  7 06- Exhibit D_NIM Summary" xfId="1788"/>
    <cellStyle name="_Power Cost Value Copy 11.30.05 gas 1.09.06 AURORA at 1.10.06_4 31 Regulatory Assets and Liabilities  7 06- Exhibit D_NIM Summary 2" xfId="1789"/>
    <cellStyle name="_Power Cost Value Copy 11.30.05 gas 1.09.06 AURORA at 1.10.06_4 31 Regulatory Assets and Liabilities  7 06- Exhibit D_NIM Summary 2 2" xfId="5158"/>
    <cellStyle name="_Power Cost Value Copy 11.30.05 gas 1.09.06 AURORA at 1.10.06_4 31 Regulatory Assets and Liabilities  7 06- Exhibit D_NIM Summary 2 2 2" xfId="25673"/>
    <cellStyle name="_Power Cost Value Copy 11.30.05 gas 1.09.06 AURORA at 1.10.06_4 31 Regulatory Assets and Liabilities  7 06- Exhibit D_NIM Summary 2 2 2 2" xfId="25674"/>
    <cellStyle name="_Power Cost Value Copy 11.30.05 gas 1.09.06 AURORA at 1.10.06_4 31 Regulatory Assets and Liabilities  7 06- Exhibit D_NIM Summary 2 2 3" xfId="25675"/>
    <cellStyle name="_Power Cost Value Copy 11.30.05 gas 1.09.06 AURORA at 1.10.06_4 31 Regulatory Assets and Liabilities  7 06- Exhibit D_NIM Summary 2 3" xfId="25676"/>
    <cellStyle name="_Power Cost Value Copy 11.30.05 gas 1.09.06 AURORA at 1.10.06_4 31 Regulatory Assets and Liabilities  7 06- Exhibit D_NIM Summary 2 3 2" xfId="25677"/>
    <cellStyle name="_Power Cost Value Copy 11.30.05 gas 1.09.06 AURORA at 1.10.06_4 31 Regulatory Assets and Liabilities  7 06- Exhibit D_NIM Summary 2 4" xfId="25678"/>
    <cellStyle name="_Power Cost Value Copy 11.30.05 gas 1.09.06 AURORA at 1.10.06_4 31 Regulatory Assets and Liabilities  7 06- Exhibit D_NIM Summary 3" xfId="5157"/>
    <cellStyle name="_Power Cost Value Copy 11.30.05 gas 1.09.06 AURORA at 1.10.06_4 31 Regulatory Assets and Liabilities  7 06- Exhibit D_NIM Summary 3 2" xfId="25679"/>
    <cellStyle name="_Power Cost Value Copy 11.30.05 gas 1.09.06 AURORA at 1.10.06_4 31 Regulatory Assets and Liabilities  7 06- Exhibit D_NIM Summary 3 2 2" xfId="25680"/>
    <cellStyle name="_Power Cost Value Copy 11.30.05 gas 1.09.06 AURORA at 1.10.06_4 31 Regulatory Assets and Liabilities  7 06- Exhibit D_NIM Summary 3 3" xfId="25681"/>
    <cellStyle name="_Power Cost Value Copy 11.30.05 gas 1.09.06 AURORA at 1.10.06_4 31 Regulatory Assets and Liabilities  7 06- Exhibit D_NIM Summary 3 4" xfId="25682"/>
    <cellStyle name="_Power Cost Value Copy 11.30.05 gas 1.09.06 AURORA at 1.10.06_4 31 Regulatory Assets and Liabilities  7 06- Exhibit D_NIM Summary 4" xfId="25683"/>
    <cellStyle name="_Power Cost Value Copy 11.30.05 gas 1.09.06 AURORA at 1.10.06_4 31 Regulatory Assets and Liabilities  7 06- Exhibit D_NIM Summary 4 2" xfId="25684"/>
    <cellStyle name="_Power Cost Value Copy 11.30.05 gas 1.09.06 AURORA at 1.10.06_4 31 Regulatory Assets and Liabilities  7 06- Exhibit D_NIM Summary 5" xfId="25685"/>
    <cellStyle name="_Power Cost Value Copy 11.30.05 gas 1.09.06 AURORA at 1.10.06_4 31 Regulatory Assets and Liabilities  7 06- Exhibit D_NIM Summary_DEM-WP(C) ENERG10C--ctn Mid-C_042010 2010GRC" xfId="12869"/>
    <cellStyle name="_Power Cost Value Copy 11.30.05 gas 1.09.06 AURORA at 1.10.06_4 31 Regulatory Assets and Liabilities  7 06- Exhibit D_NIM Summary_DEM-WP(C) ENERG10C--ctn Mid-C_042010 2010GRC 2" xfId="41500"/>
    <cellStyle name="_Power Cost Value Copy 11.30.05 gas 1.09.06 AURORA at 1.10.06_4 31E Reg Asset  Liab and EXH D" xfId="12870"/>
    <cellStyle name="_Power Cost Value Copy 11.30.05 gas 1.09.06 AURORA at 1.10.06_4 31E Reg Asset  Liab and EXH D _ Aug 10 Filing (2)" xfId="12871"/>
    <cellStyle name="_Power Cost Value Copy 11.30.05 gas 1.09.06 AURORA at 1.10.06_4 31E Reg Asset  Liab and EXH D _ Aug 10 Filing (2) 2" xfId="25686"/>
    <cellStyle name="_Power Cost Value Copy 11.30.05 gas 1.09.06 AURORA at 1.10.06_4 31E Reg Asset  Liab and EXH D _ Aug 10 Filing (2) 2 2" xfId="25687"/>
    <cellStyle name="_Power Cost Value Copy 11.30.05 gas 1.09.06 AURORA at 1.10.06_4 31E Reg Asset  Liab and EXH D _ Aug 10 Filing (2) 2 2 2" xfId="25688"/>
    <cellStyle name="_Power Cost Value Copy 11.30.05 gas 1.09.06 AURORA at 1.10.06_4 31E Reg Asset  Liab and EXH D _ Aug 10 Filing (2) 2 3" xfId="25689"/>
    <cellStyle name="_Power Cost Value Copy 11.30.05 gas 1.09.06 AURORA at 1.10.06_4 31E Reg Asset  Liab and EXH D _ Aug 10 Filing (2) 2 4" xfId="25690"/>
    <cellStyle name="_Power Cost Value Copy 11.30.05 gas 1.09.06 AURORA at 1.10.06_4 31E Reg Asset  Liab and EXH D _ Aug 10 Filing (2) 3" xfId="25691"/>
    <cellStyle name="_Power Cost Value Copy 11.30.05 gas 1.09.06 AURORA at 1.10.06_4 31E Reg Asset  Liab and EXH D _ Aug 10 Filing (2) 3 2" xfId="25692"/>
    <cellStyle name="_Power Cost Value Copy 11.30.05 gas 1.09.06 AURORA at 1.10.06_4 31E Reg Asset  Liab and EXH D _ Aug 10 Filing (2) 4" xfId="25693"/>
    <cellStyle name="_Power Cost Value Copy 11.30.05 gas 1.09.06 AURORA at 1.10.06_4 31E Reg Asset  Liab and EXH D 10" xfId="25694"/>
    <cellStyle name="_Power Cost Value Copy 11.30.05 gas 1.09.06 AURORA at 1.10.06_4 31E Reg Asset  Liab and EXH D 10 2" xfId="25695"/>
    <cellStyle name="_Power Cost Value Copy 11.30.05 gas 1.09.06 AURORA at 1.10.06_4 31E Reg Asset  Liab and EXH D 10 2 2" xfId="25696"/>
    <cellStyle name="_Power Cost Value Copy 11.30.05 gas 1.09.06 AURORA at 1.10.06_4 31E Reg Asset  Liab and EXH D 10 3" xfId="25697"/>
    <cellStyle name="_Power Cost Value Copy 11.30.05 gas 1.09.06 AURORA at 1.10.06_4 31E Reg Asset  Liab and EXH D 11" xfId="25698"/>
    <cellStyle name="_Power Cost Value Copy 11.30.05 gas 1.09.06 AURORA at 1.10.06_4 31E Reg Asset  Liab and EXH D 11 2" xfId="25699"/>
    <cellStyle name="_Power Cost Value Copy 11.30.05 gas 1.09.06 AURORA at 1.10.06_4 31E Reg Asset  Liab and EXH D 11 2 2" xfId="25700"/>
    <cellStyle name="_Power Cost Value Copy 11.30.05 gas 1.09.06 AURORA at 1.10.06_4 31E Reg Asset  Liab and EXH D 11 3" xfId="25701"/>
    <cellStyle name="_Power Cost Value Copy 11.30.05 gas 1.09.06 AURORA at 1.10.06_4 31E Reg Asset  Liab and EXH D 12" xfId="25702"/>
    <cellStyle name="_Power Cost Value Copy 11.30.05 gas 1.09.06 AURORA at 1.10.06_4 31E Reg Asset  Liab and EXH D 12 2" xfId="25703"/>
    <cellStyle name="_Power Cost Value Copy 11.30.05 gas 1.09.06 AURORA at 1.10.06_4 31E Reg Asset  Liab and EXH D 12 2 2" xfId="25704"/>
    <cellStyle name="_Power Cost Value Copy 11.30.05 gas 1.09.06 AURORA at 1.10.06_4 31E Reg Asset  Liab and EXH D 12 3" xfId="25705"/>
    <cellStyle name="_Power Cost Value Copy 11.30.05 gas 1.09.06 AURORA at 1.10.06_4 31E Reg Asset  Liab and EXH D 13" xfId="25706"/>
    <cellStyle name="_Power Cost Value Copy 11.30.05 gas 1.09.06 AURORA at 1.10.06_4 31E Reg Asset  Liab and EXH D 13 2" xfId="25707"/>
    <cellStyle name="_Power Cost Value Copy 11.30.05 gas 1.09.06 AURORA at 1.10.06_4 31E Reg Asset  Liab and EXH D 13 2 2" xfId="25708"/>
    <cellStyle name="_Power Cost Value Copy 11.30.05 gas 1.09.06 AURORA at 1.10.06_4 31E Reg Asset  Liab and EXH D 13 3" xfId="25709"/>
    <cellStyle name="_Power Cost Value Copy 11.30.05 gas 1.09.06 AURORA at 1.10.06_4 31E Reg Asset  Liab and EXH D 14" xfId="25710"/>
    <cellStyle name="_Power Cost Value Copy 11.30.05 gas 1.09.06 AURORA at 1.10.06_4 31E Reg Asset  Liab and EXH D 14 2" xfId="25711"/>
    <cellStyle name="_Power Cost Value Copy 11.30.05 gas 1.09.06 AURORA at 1.10.06_4 31E Reg Asset  Liab and EXH D 14 2 2" xfId="25712"/>
    <cellStyle name="_Power Cost Value Copy 11.30.05 gas 1.09.06 AURORA at 1.10.06_4 31E Reg Asset  Liab and EXH D 14 3" xfId="25713"/>
    <cellStyle name="_Power Cost Value Copy 11.30.05 gas 1.09.06 AURORA at 1.10.06_4 31E Reg Asset  Liab and EXH D 15" xfId="25714"/>
    <cellStyle name="_Power Cost Value Copy 11.30.05 gas 1.09.06 AURORA at 1.10.06_4 31E Reg Asset  Liab and EXH D 15 2" xfId="25715"/>
    <cellStyle name="_Power Cost Value Copy 11.30.05 gas 1.09.06 AURORA at 1.10.06_4 31E Reg Asset  Liab and EXH D 15 2 2" xfId="25716"/>
    <cellStyle name="_Power Cost Value Copy 11.30.05 gas 1.09.06 AURORA at 1.10.06_4 31E Reg Asset  Liab and EXH D 15 3" xfId="25717"/>
    <cellStyle name="_Power Cost Value Copy 11.30.05 gas 1.09.06 AURORA at 1.10.06_4 31E Reg Asset  Liab and EXH D 16" xfId="25718"/>
    <cellStyle name="_Power Cost Value Copy 11.30.05 gas 1.09.06 AURORA at 1.10.06_4 31E Reg Asset  Liab and EXH D 16 2" xfId="25719"/>
    <cellStyle name="_Power Cost Value Copy 11.30.05 gas 1.09.06 AURORA at 1.10.06_4 31E Reg Asset  Liab and EXH D 16 2 2" xfId="25720"/>
    <cellStyle name="_Power Cost Value Copy 11.30.05 gas 1.09.06 AURORA at 1.10.06_4 31E Reg Asset  Liab and EXH D 16 3" xfId="25721"/>
    <cellStyle name="_Power Cost Value Copy 11.30.05 gas 1.09.06 AURORA at 1.10.06_4 31E Reg Asset  Liab and EXH D 17" xfId="25722"/>
    <cellStyle name="_Power Cost Value Copy 11.30.05 gas 1.09.06 AURORA at 1.10.06_4 31E Reg Asset  Liab and EXH D 17 2" xfId="25723"/>
    <cellStyle name="_Power Cost Value Copy 11.30.05 gas 1.09.06 AURORA at 1.10.06_4 31E Reg Asset  Liab and EXH D 17 2 2" xfId="25724"/>
    <cellStyle name="_Power Cost Value Copy 11.30.05 gas 1.09.06 AURORA at 1.10.06_4 31E Reg Asset  Liab and EXH D 17 3" xfId="25725"/>
    <cellStyle name="_Power Cost Value Copy 11.30.05 gas 1.09.06 AURORA at 1.10.06_4 31E Reg Asset  Liab and EXH D 18" xfId="25726"/>
    <cellStyle name="_Power Cost Value Copy 11.30.05 gas 1.09.06 AURORA at 1.10.06_4 31E Reg Asset  Liab and EXH D 18 2" xfId="25727"/>
    <cellStyle name="_Power Cost Value Copy 11.30.05 gas 1.09.06 AURORA at 1.10.06_4 31E Reg Asset  Liab and EXH D 18 2 2" xfId="25728"/>
    <cellStyle name="_Power Cost Value Copy 11.30.05 gas 1.09.06 AURORA at 1.10.06_4 31E Reg Asset  Liab and EXH D 18 3" xfId="25729"/>
    <cellStyle name="_Power Cost Value Copy 11.30.05 gas 1.09.06 AURORA at 1.10.06_4 31E Reg Asset  Liab and EXH D 19" xfId="25730"/>
    <cellStyle name="_Power Cost Value Copy 11.30.05 gas 1.09.06 AURORA at 1.10.06_4 31E Reg Asset  Liab and EXH D 19 2" xfId="25731"/>
    <cellStyle name="_Power Cost Value Copy 11.30.05 gas 1.09.06 AURORA at 1.10.06_4 31E Reg Asset  Liab and EXH D 2" xfId="25732"/>
    <cellStyle name="_Power Cost Value Copy 11.30.05 gas 1.09.06 AURORA at 1.10.06_4 31E Reg Asset  Liab and EXH D 2 2" xfId="25733"/>
    <cellStyle name="_Power Cost Value Copy 11.30.05 gas 1.09.06 AURORA at 1.10.06_4 31E Reg Asset  Liab and EXH D 2 2 2" xfId="25734"/>
    <cellStyle name="_Power Cost Value Copy 11.30.05 gas 1.09.06 AURORA at 1.10.06_4 31E Reg Asset  Liab and EXH D 2 3" xfId="25735"/>
    <cellStyle name="_Power Cost Value Copy 11.30.05 gas 1.09.06 AURORA at 1.10.06_4 31E Reg Asset  Liab and EXH D 2 4" xfId="25736"/>
    <cellStyle name="_Power Cost Value Copy 11.30.05 gas 1.09.06 AURORA at 1.10.06_4 31E Reg Asset  Liab and EXH D 20" xfId="25737"/>
    <cellStyle name="_Power Cost Value Copy 11.30.05 gas 1.09.06 AURORA at 1.10.06_4 31E Reg Asset  Liab and EXH D 20 2" xfId="25738"/>
    <cellStyle name="_Power Cost Value Copy 11.30.05 gas 1.09.06 AURORA at 1.10.06_4 31E Reg Asset  Liab and EXH D 21" xfId="25739"/>
    <cellStyle name="_Power Cost Value Copy 11.30.05 gas 1.09.06 AURORA at 1.10.06_4 31E Reg Asset  Liab and EXH D 21 2" xfId="25740"/>
    <cellStyle name="_Power Cost Value Copy 11.30.05 gas 1.09.06 AURORA at 1.10.06_4 31E Reg Asset  Liab and EXH D 22" xfId="25741"/>
    <cellStyle name="_Power Cost Value Copy 11.30.05 gas 1.09.06 AURORA at 1.10.06_4 31E Reg Asset  Liab and EXH D 22 2" xfId="25742"/>
    <cellStyle name="_Power Cost Value Copy 11.30.05 gas 1.09.06 AURORA at 1.10.06_4 31E Reg Asset  Liab and EXH D 23" xfId="25743"/>
    <cellStyle name="_Power Cost Value Copy 11.30.05 gas 1.09.06 AURORA at 1.10.06_4 31E Reg Asset  Liab and EXH D 23 2" xfId="25744"/>
    <cellStyle name="_Power Cost Value Copy 11.30.05 gas 1.09.06 AURORA at 1.10.06_4 31E Reg Asset  Liab and EXH D 24" xfId="25745"/>
    <cellStyle name="_Power Cost Value Copy 11.30.05 gas 1.09.06 AURORA at 1.10.06_4 31E Reg Asset  Liab and EXH D 24 2" xfId="25746"/>
    <cellStyle name="_Power Cost Value Copy 11.30.05 gas 1.09.06 AURORA at 1.10.06_4 31E Reg Asset  Liab and EXH D 25" xfId="25747"/>
    <cellStyle name="_Power Cost Value Copy 11.30.05 gas 1.09.06 AURORA at 1.10.06_4 31E Reg Asset  Liab and EXH D 25 2" xfId="25748"/>
    <cellStyle name="_Power Cost Value Copy 11.30.05 gas 1.09.06 AURORA at 1.10.06_4 31E Reg Asset  Liab and EXH D 26" xfId="25749"/>
    <cellStyle name="_Power Cost Value Copy 11.30.05 gas 1.09.06 AURORA at 1.10.06_4 31E Reg Asset  Liab and EXH D 26 2" xfId="25750"/>
    <cellStyle name="_Power Cost Value Copy 11.30.05 gas 1.09.06 AURORA at 1.10.06_4 31E Reg Asset  Liab and EXH D 27" xfId="25751"/>
    <cellStyle name="_Power Cost Value Copy 11.30.05 gas 1.09.06 AURORA at 1.10.06_4 31E Reg Asset  Liab and EXH D 27 2" xfId="25752"/>
    <cellStyle name="_Power Cost Value Copy 11.30.05 gas 1.09.06 AURORA at 1.10.06_4 31E Reg Asset  Liab and EXH D 28" xfId="25753"/>
    <cellStyle name="_Power Cost Value Copy 11.30.05 gas 1.09.06 AURORA at 1.10.06_4 31E Reg Asset  Liab and EXH D 28 2" xfId="25754"/>
    <cellStyle name="_Power Cost Value Copy 11.30.05 gas 1.09.06 AURORA at 1.10.06_4 31E Reg Asset  Liab and EXH D 29" xfId="25755"/>
    <cellStyle name="_Power Cost Value Copy 11.30.05 gas 1.09.06 AURORA at 1.10.06_4 31E Reg Asset  Liab and EXH D 29 2" xfId="25756"/>
    <cellStyle name="_Power Cost Value Copy 11.30.05 gas 1.09.06 AURORA at 1.10.06_4 31E Reg Asset  Liab and EXH D 3" xfId="25757"/>
    <cellStyle name="_Power Cost Value Copy 11.30.05 gas 1.09.06 AURORA at 1.10.06_4 31E Reg Asset  Liab and EXH D 3 2" xfId="25758"/>
    <cellStyle name="_Power Cost Value Copy 11.30.05 gas 1.09.06 AURORA at 1.10.06_4 31E Reg Asset  Liab and EXH D 3 2 2" xfId="25759"/>
    <cellStyle name="_Power Cost Value Copy 11.30.05 gas 1.09.06 AURORA at 1.10.06_4 31E Reg Asset  Liab and EXH D 3 3" xfId="25760"/>
    <cellStyle name="_Power Cost Value Copy 11.30.05 gas 1.09.06 AURORA at 1.10.06_4 31E Reg Asset  Liab and EXH D 3 4" xfId="25761"/>
    <cellStyle name="_Power Cost Value Copy 11.30.05 gas 1.09.06 AURORA at 1.10.06_4 31E Reg Asset  Liab and EXH D 30" xfId="25762"/>
    <cellStyle name="_Power Cost Value Copy 11.30.05 gas 1.09.06 AURORA at 1.10.06_4 31E Reg Asset  Liab and EXH D 30 2" xfId="25763"/>
    <cellStyle name="_Power Cost Value Copy 11.30.05 gas 1.09.06 AURORA at 1.10.06_4 31E Reg Asset  Liab and EXH D 31" xfId="25764"/>
    <cellStyle name="_Power Cost Value Copy 11.30.05 gas 1.09.06 AURORA at 1.10.06_4 31E Reg Asset  Liab and EXH D 32" xfId="25765"/>
    <cellStyle name="_Power Cost Value Copy 11.30.05 gas 1.09.06 AURORA at 1.10.06_4 31E Reg Asset  Liab and EXH D 33" xfId="25766"/>
    <cellStyle name="_Power Cost Value Copy 11.30.05 gas 1.09.06 AURORA at 1.10.06_4 31E Reg Asset  Liab and EXH D 34" xfId="25767"/>
    <cellStyle name="_Power Cost Value Copy 11.30.05 gas 1.09.06 AURORA at 1.10.06_4 31E Reg Asset  Liab and EXH D 35" xfId="25768"/>
    <cellStyle name="_Power Cost Value Copy 11.30.05 gas 1.09.06 AURORA at 1.10.06_4 31E Reg Asset  Liab and EXH D 36" xfId="25769"/>
    <cellStyle name="_Power Cost Value Copy 11.30.05 gas 1.09.06 AURORA at 1.10.06_4 31E Reg Asset  Liab and EXH D 4" xfId="25770"/>
    <cellStyle name="_Power Cost Value Copy 11.30.05 gas 1.09.06 AURORA at 1.10.06_4 31E Reg Asset  Liab and EXH D 4 2" xfId="25771"/>
    <cellStyle name="_Power Cost Value Copy 11.30.05 gas 1.09.06 AURORA at 1.10.06_4 31E Reg Asset  Liab and EXH D 4 2 2" xfId="25772"/>
    <cellStyle name="_Power Cost Value Copy 11.30.05 gas 1.09.06 AURORA at 1.10.06_4 31E Reg Asset  Liab and EXH D 4 3" xfId="25773"/>
    <cellStyle name="_Power Cost Value Copy 11.30.05 gas 1.09.06 AURORA at 1.10.06_4 31E Reg Asset  Liab and EXH D 5" xfId="25774"/>
    <cellStyle name="_Power Cost Value Copy 11.30.05 gas 1.09.06 AURORA at 1.10.06_4 31E Reg Asset  Liab and EXH D 5 2" xfId="25775"/>
    <cellStyle name="_Power Cost Value Copy 11.30.05 gas 1.09.06 AURORA at 1.10.06_4 31E Reg Asset  Liab and EXH D 5 2 2" xfId="25776"/>
    <cellStyle name="_Power Cost Value Copy 11.30.05 gas 1.09.06 AURORA at 1.10.06_4 31E Reg Asset  Liab and EXH D 5 3" xfId="25777"/>
    <cellStyle name="_Power Cost Value Copy 11.30.05 gas 1.09.06 AURORA at 1.10.06_4 31E Reg Asset  Liab and EXH D 6" xfId="25778"/>
    <cellStyle name="_Power Cost Value Copy 11.30.05 gas 1.09.06 AURORA at 1.10.06_4 31E Reg Asset  Liab and EXH D 6 2" xfId="25779"/>
    <cellStyle name="_Power Cost Value Copy 11.30.05 gas 1.09.06 AURORA at 1.10.06_4 31E Reg Asset  Liab and EXH D 6 2 2" xfId="25780"/>
    <cellStyle name="_Power Cost Value Copy 11.30.05 gas 1.09.06 AURORA at 1.10.06_4 31E Reg Asset  Liab and EXH D 6 3" xfId="25781"/>
    <cellStyle name="_Power Cost Value Copy 11.30.05 gas 1.09.06 AURORA at 1.10.06_4 31E Reg Asset  Liab and EXH D 7" xfId="25782"/>
    <cellStyle name="_Power Cost Value Copy 11.30.05 gas 1.09.06 AURORA at 1.10.06_4 31E Reg Asset  Liab and EXH D 7 2" xfId="25783"/>
    <cellStyle name="_Power Cost Value Copy 11.30.05 gas 1.09.06 AURORA at 1.10.06_4 31E Reg Asset  Liab and EXH D 7 2 2" xfId="25784"/>
    <cellStyle name="_Power Cost Value Copy 11.30.05 gas 1.09.06 AURORA at 1.10.06_4 31E Reg Asset  Liab and EXH D 7 3" xfId="25785"/>
    <cellStyle name="_Power Cost Value Copy 11.30.05 gas 1.09.06 AURORA at 1.10.06_4 31E Reg Asset  Liab and EXH D 8" xfId="25786"/>
    <cellStyle name="_Power Cost Value Copy 11.30.05 gas 1.09.06 AURORA at 1.10.06_4 31E Reg Asset  Liab and EXH D 8 2" xfId="25787"/>
    <cellStyle name="_Power Cost Value Copy 11.30.05 gas 1.09.06 AURORA at 1.10.06_4 31E Reg Asset  Liab and EXH D 8 2 2" xfId="25788"/>
    <cellStyle name="_Power Cost Value Copy 11.30.05 gas 1.09.06 AURORA at 1.10.06_4 31E Reg Asset  Liab and EXH D 8 3" xfId="25789"/>
    <cellStyle name="_Power Cost Value Copy 11.30.05 gas 1.09.06 AURORA at 1.10.06_4 31E Reg Asset  Liab and EXH D 9" xfId="25790"/>
    <cellStyle name="_Power Cost Value Copy 11.30.05 gas 1.09.06 AURORA at 1.10.06_4 31E Reg Asset  Liab and EXH D 9 2" xfId="25791"/>
    <cellStyle name="_Power Cost Value Copy 11.30.05 gas 1.09.06 AURORA at 1.10.06_4 31E Reg Asset  Liab and EXH D 9 2 2" xfId="25792"/>
    <cellStyle name="_Power Cost Value Copy 11.30.05 gas 1.09.06 AURORA at 1.10.06_4 31E Reg Asset  Liab and EXH D 9 3" xfId="25793"/>
    <cellStyle name="_Power Cost Value Copy 11.30.05 gas 1.09.06 AURORA at 1.10.06_4 32 Regulatory Assets and Liabilities  7 06- Exhibit D" xfId="1790"/>
    <cellStyle name="_Power Cost Value Copy 11.30.05 gas 1.09.06 AURORA at 1.10.06_4 32 Regulatory Assets and Liabilities  7 06- Exhibit D 2" xfId="1791"/>
    <cellStyle name="_Power Cost Value Copy 11.30.05 gas 1.09.06 AURORA at 1.10.06_4 32 Regulatory Assets and Liabilities  7 06- Exhibit D 2 2" xfId="5160"/>
    <cellStyle name="_Power Cost Value Copy 11.30.05 gas 1.09.06 AURORA at 1.10.06_4 32 Regulatory Assets and Liabilities  7 06- Exhibit D 2 2 2" xfId="21163"/>
    <cellStyle name="_Power Cost Value Copy 11.30.05 gas 1.09.06 AURORA at 1.10.06_4 32 Regulatory Assets and Liabilities  7 06- Exhibit D 2 2 2 2" xfId="25794"/>
    <cellStyle name="_Power Cost Value Copy 11.30.05 gas 1.09.06 AURORA at 1.10.06_4 32 Regulatory Assets and Liabilities  7 06- Exhibit D 2 2 3" xfId="25795"/>
    <cellStyle name="_Power Cost Value Copy 11.30.05 gas 1.09.06 AURORA at 1.10.06_4 32 Regulatory Assets and Liabilities  7 06- Exhibit D 2 3" xfId="16882"/>
    <cellStyle name="_Power Cost Value Copy 11.30.05 gas 1.09.06 AURORA at 1.10.06_4 32 Regulatory Assets and Liabilities  7 06- Exhibit D 2 3 2" xfId="25796"/>
    <cellStyle name="_Power Cost Value Copy 11.30.05 gas 1.09.06 AURORA at 1.10.06_4 32 Regulatory Assets and Liabilities  7 06- Exhibit D 2 4" xfId="25797"/>
    <cellStyle name="_Power Cost Value Copy 11.30.05 gas 1.09.06 AURORA at 1.10.06_4 32 Regulatory Assets and Liabilities  7 06- Exhibit D 3" xfId="5159"/>
    <cellStyle name="_Power Cost Value Copy 11.30.05 gas 1.09.06 AURORA at 1.10.06_4 32 Regulatory Assets and Liabilities  7 06- Exhibit D 3 2" xfId="21164"/>
    <cellStyle name="_Power Cost Value Copy 11.30.05 gas 1.09.06 AURORA at 1.10.06_4 32 Regulatory Assets and Liabilities  7 06- Exhibit D 3 2 2" xfId="25798"/>
    <cellStyle name="_Power Cost Value Copy 11.30.05 gas 1.09.06 AURORA at 1.10.06_4 32 Regulatory Assets and Liabilities  7 06- Exhibit D 3 3" xfId="25799"/>
    <cellStyle name="_Power Cost Value Copy 11.30.05 gas 1.09.06 AURORA at 1.10.06_4 32 Regulatory Assets and Liabilities  7 06- Exhibit D 3 4" xfId="25800"/>
    <cellStyle name="_Power Cost Value Copy 11.30.05 gas 1.09.06 AURORA at 1.10.06_4 32 Regulatory Assets and Liabilities  7 06- Exhibit D 4" xfId="16881"/>
    <cellStyle name="_Power Cost Value Copy 11.30.05 gas 1.09.06 AURORA at 1.10.06_4 32 Regulatory Assets and Liabilities  7 06- Exhibit D 4 2" xfId="25801"/>
    <cellStyle name="_Power Cost Value Copy 11.30.05 gas 1.09.06 AURORA at 1.10.06_4 32 Regulatory Assets and Liabilities  7 06- Exhibit D 5" xfId="25802"/>
    <cellStyle name="_Power Cost Value Copy 11.30.05 gas 1.09.06 AURORA at 1.10.06_4 32 Regulatory Assets and Liabilities  7 06- Exhibit D_DEM-WP(C) ENERG10C--ctn Mid-C_042010 2010GRC" xfId="12872"/>
    <cellStyle name="_Power Cost Value Copy 11.30.05 gas 1.09.06 AURORA at 1.10.06_4 32 Regulatory Assets and Liabilities  7 06- Exhibit D_DEM-WP(C) ENERG10C--ctn Mid-C_042010 2010GRC 2" xfId="41501"/>
    <cellStyle name="_Power Cost Value Copy 11.30.05 gas 1.09.06 AURORA at 1.10.06_4 32 Regulatory Assets and Liabilities  7 06- Exhibit D_NIM Summary" xfId="1792"/>
    <cellStyle name="_Power Cost Value Copy 11.30.05 gas 1.09.06 AURORA at 1.10.06_4 32 Regulatory Assets and Liabilities  7 06- Exhibit D_NIM Summary 2" xfId="1793"/>
    <cellStyle name="_Power Cost Value Copy 11.30.05 gas 1.09.06 AURORA at 1.10.06_4 32 Regulatory Assets and Liabilities  7 06- Exhibit D_NIM Summary 2 2" xfId="5162"/>
    <cellStyle name="_Power Cost Value Copy 11.30.05 gas 1.09.06 AURORA at 1.10.06_4 32 Regulatory Assets and Liabilities  7 06- Exhibit D_NIM Summary 2 2 2" xfId="25803"/>
    <cellStyle name="_Power Cost Value Copy 11.30.05 gas 1.09.06 AURORA at 1.10.06_4 32 Regulatory Assets and Liabilities  7 06- Exhibit D_NIM Summary 2 2 2 2" xfId="25804"/>
    <cellStyle name="_Power Cost Value Copy 11.30.05 gas 1.09.06 AURORA at 1.10.06_4 32 Regulatory Assets and Liabilities  7 06- Exhibit D_NIM Summary 2 2 3" xfId="25805"/>
    <cellStyle name="_Power Cost Value Copy 11.30.05 gas 1.09.06 AURORA at 1.10.06_4 32 Regulatory Assets and Liabilities  7 06- Exhibit D_NIM Summary 2 3" xfId="25806"/>
    <cellStyle name="_Power Cost Value Copy 11.30.05 gas 1.09.06 AURORA at 1.10.06_4 32 Regulatory Assets and Liabilities  7 06- Exhibit D_NIM Summary 2 3 2" xfId="25807"/>
    <cellStyle name="_Power Cost Value Copy 11.30.05 gas 1.09.06 AURORA at 1.10.06_4 32 Regulatory Assets and Liabilities  7 06- Exhibit D_NIM Summary 2 4" xfId="25808"/>
    <cellStyle name="_Power Cost Value Copy 11.30.05 gas 1.09.06 AURORA at 1.10.06_4 32 Regulatory Assets and Liabilities  7 06- Exhibit D_NIM Summary 3" xfId="5161"/>
    <cellStyle name="_Power Cost Value Copy 11.30.05 gas 1.09.06 AURORA at 1.10.06_4 32 Regulatory Assets and Liabilities  7 06- Exhibit D_NIM Summary 3 2" xfId="25809"/>
    <cellStyle name="_Power Cost Value Copy 11.30.05 gas 1.09.06 AURORA at 1.10.06_4 32 Regulatory Assets and Liabilities  7 06- Exhibit D_NIM Summary 3 2 2" xfId="25810"/>
    <cellStyle name="_Power Cost Value Copy 11.30.05 gas 1.09.06 AURORA at 1.10.06_4 32 Regulatory Assets and Liabilities  7 06- Exhibit D_NIM Summary 3 3" xfId="25811"/>
    <cellStyle name="_Power Cost Value Copy 11.30.05 gas 1.09.06 AURORA at 1.10.06_4 32 Regulatory Assets and Liabilities  7 06- Exhibit D_NIM Summary 3 4" xfId="25812"/>
    <cellStyle name="_Power Cost Value Copy 11.30.05 gas 1.09.06 AURORA at 1.10.06_4 32 Regulatory Assets and Liabilities  7 06- Exhibit D_NIM Summary 4" xfId="25813"/>
    <cellStyle name="_Power Cost Value Copy 11.30.05 gas 1.09.06 AURORA at 1.10.06_4 32 Regulatory Assets and Liabilities  7 06- Exhibit D_NIM Summary 4 2" xfId="25814"/>
    <cellStyle name="_Power Cost Value Copy 11.30.05 gas 1.09.06 AURORA at 1.10.06_4 32 Regulatory Assets and Liabilities  7 06- Exhibit D_NIM Summary 5" xfId="25815"/>
    <cellStyle name="_Power Cost Value Copy 11.30.05 gas 1.09.06 AURORA at 1.10.06_4 32 Regulatory Assets and Liabilities  7 06- Exhibit D_NIM Summary_DEM-WP(C) ENERG10C--ctn Mid-C_042010 2010GRC" xfId="12873"/>
    <cellStyle name="_Power Cost Value Copy 11.30.05 gas 1.09.06 AURORA at 1.10.06_4 32 Regulatory Assets and Liabilities  7 06- Exhibit D_NIM Summary_DEM-WP(C) ENERG10C--ctn Mid-C_042010 2010GRC 2" xfId="41502"/>
    <cellStyle name="_Power Cost Value Copy 11.30.05 gas 1.09.06 AURORA at 1.10.06_AURORA Total New" xfId="1794"/>
    <cellStyle name="_Power Cost Value Copy 11.30.05 gas 1.09.06 AURORA at 1.10.06_AURORA Total New 2" xfId="1795"/>
    <cellStyle name="_Power Cost Value Copy 11.30.05 gas 1.09.06 AURORA at 1.10.06_AURORA Total New 2 2" xfId="5164"/>
    <cellStyle name="_Power Cost Value Copy 11.30.05 gas 1.09.06 AURORA at 1.10.06_AURORA Total New 2 2 2" xfId="25816"/>
    <cellStyle name="_Power Cost Value Copy 11.30.05 gas 1.09.06 AURORA at 1.10.06_AURORA Total New 2 2 2 2" xfId="25817"/>
    <cellStyle name="_Power Cost Value Copy 11.30.05 gas 1.09.06 AURORA at 1.10.06_AURORA Total New 2 2 3" xfId="25818"/>
    <cellStyle name="_Power Cost Value Copy 11.30.05 gas 1.09.06 AURORA at 1.10.06_AURORA Total New 2 3" xfId="25819"/>
    <cellStyle name="_Power Cost Value Copy 11.30.05 gas 1.09.06 AURORA at 1.10.06_AURORA Total New 2 3 2" xfId="25820"/>
    <cellStyle name="_Power Cost Value Copy 11.30.05 gas 1.09.06 AURORA at 1.10.06_AURORA Total New 2 4" xfId="25821"/>
    <cellStyle name="_Power Cost Value Copy 11.30.05 gas 1.09.06 AURORA at 1.10.06_AURORA Total New 3" xfId="5163"/>
    <cellStyle name="_Power Cost Value Copy 11.30.05 gas 1.09.06 AURORA at 1.10.06_AURORA Total New 3 2" xfId="25822"/>
    <cellStyle name="_Power Cost Value Copy 11.30.05 gas 1.09.06 AURORA at 1.10.06_AURORA Total New 3 2 2" xfId="25823"/>
    <cellStyle name="_Power Cost Value Copy 11.30.05 gas 1.09.06 AURORA at 1.10.06_AURORA Total New 3 3" xfId="25824"/>
    <cellStyle name="_Power Cost Value Copy 11.30.05 gas 1.09.06 AURORA at 1.10.06_AURORA Total New 4" xfId="25825"/>
    <cellStyle name="_Power Cost Value Copy 11.30.05 gas 1.09.06 AURORA at 1.10.06_AURORA Total New 4 2" xfId="25826"/>
    <cellStyle name="_Power Cost Value Copy 11.30.05 gas 1.09.06 AURORA at 1.10.06_AURORA Total New 5" xfId="25827"/>
    <cellStyle name="_Power Cost Value Copy 11.30.05 gas 1.09.06 AURORA at 1.10.06_Book2" xfId="1796"/>
    <cellStyle name="_Power Cost Value Copy 11.30.05 gas 1.09.06 AURORA at 1.10.06_Book2 2" xfId="1797"/>
    <cellStyle name="_Power Cost Value Copy 11.30.05 gas 1.09.06 AURORA at 1.10.06_Book2 2 2" xfId="5166"/>
    <cellStyle name="_Power Cost Value Copy 11.30.05 gas 1.09.06 AURORA at 1.10.06_Book2 2 2 2" xfId="21165"/>
    <cellStyle name="_Power Cost Value Copy 11.30.05 gas 1.09.06 AURORA at 1.10.06_Book2 2 2 2 2" xfId="25828"/>
    <cellStyle name="_Power Cost Value Copy 11.30.05 gas 1.09.06 AURORA at 1.10.06_Book2 2 2 3" xfId="25829"/>
    <cellStyle name="_Power Cost Value Copy 11.30.05 gas 1.09.06 AURORA at 1.10.06_Book2 2 3" xfId="16884"/>
    <cellStyle name="_Power Cost Value Copy 11.30.05 gas 1.09.06 AURORA at 1.10.06_Book2 2 3 2" xfId="25830"/>
    <cellStyle name="_Power Cost Value Copy 11.30.05 gas 1.09.06 AURORA at 1.10.06_Book2 2 4" xfId="25831"/>
    <cellStyle name="_Power Cost Value Copy 11.30.05 gas 1.09.06 AURORA at 1.10.06_Book2 3" xfId="5165"/>
    <cellStyle name="_Power Cost Value Copy 11.30.05 gas 1.09.06 AURORA at 1.10.06_Book2 3 2" xfId="21166"/>
    <cellStyle name="_Power Cost Value Copy 11.30.05 gas 1.09.06 AURORA at 1.10.06_Book2 3 2 2" xfId="25832"/>
    <cellStyle name="_Power Cost Value Copy 11.30.05 gas 1.09.06 AURORA at 1.10.06_Book2 3 3" xfId="25833"/>
    <cellStyle name="_Power Cost Value Copy 11.30.05 gas 1.09.06 AURORA at 1.10.06_Book2 3 4" xfId="25834"/>
    <cellStyle name="_Power Cost Value Copy 11.30.05 gas 1.09.06 AURORA at 1.10.06_Book2 4" xfId="16883"/>
    <cellStyle name="_Power Cost Value Copy 11.30.05 gas 1.09.06 AURORA at 1.10.06_Book2 4 2" xfId="25835"/>
    <cellStyle name="_Power Cost Value Copy 11.30.05 gas 1.09.06 AURORA at 1.10.06_Book2 5" xfId="25836"/>
    <cellStyle name="_Power Cost Value Copy 11.30.05 gas 1.09.06 AURORA at 1.10.06_Book2_Adj Bench DR 3 for Initial Briefs (Electric)" xfId="1798"/>
    <cellStyle name="_Power Cost Value Copy 11.30.05 gas 1.09.06 AURORA at 1.10.06_Book2_Adj Bench DR 3 for Initial Briefs (Electric) 2" xfId="1799"/>
    <cellStyle name="_Power Cost Value Copy 11.30.05 gas 1.09.06 AURORA at 1.10.06_Book2_Adj Bench DR 3 for Initial Briefs (Electric) 2 2" xfId="5168"/>
    <cellStyle name="_Power Cost Value Copy 11.30.05 gas 1.09.06 AURORA at 1.10.06_Book2_Adj Bench DR 3 for Initial Briefs (Electric) 2 2 2" xfId="21167"/>
    <cellStyle name="_Power Cost Value Copy 11.30.05 gas 1.09.06 AURORA at 1.10.06_Book2_Adj Bench DR 3 for Initial Briefs (Electric) 2 2 2 2" xfId="25837"/>
    <cellStyle name="_Power Cost Value Copy 11.30.05 gas 1.09.06 AURORA at 1.10.06_Book2_Adj Bench DR 3 for Initial Briefs (Electric) 2 2 3" xfId="25838"/>
    <cellStyle name="_Power Cost Value Copy 11.30.05 gas 1.09.06 AURORA at 1.10.06_Book2_Adj Bench DR 3 for Initial Briefs (Electric) 2 3" xfId="16886"/>
    <cellStyle name="_Power Cost Value Copy 11.30.05 gas 1.09.06 AURORA at 1.10.06_Book2_Adj Bench DR 3 for Initial Briefs (Electric) 2 3 2" xfId="25839"/>
    <cellStyle name="_Power Cost Value Copy 11.30.05 gas 1.09.06 AURORA at 1.10.06_Book2_Adj Bench DR 3 for Initial Briefs (Electric) 2 4" xfId="25840"/>
    <cellStyle name="_Power Cost Value Copy 11.30.05 gas 1.09.06 AURORA at 1.10.06_Book2_Adj Bench DR 3 for Initial Briefs (Electric) 3" xfId="5167"/>
    <cellStyle name="_Power Cost Value Copy 11.30.05 gas 1.09.06 AURORA at 1.10.06_Book2_Adj Bench DR 3 for Initial Briefs (Electric) 3 2" xfId="21168"/>
    <cellStyle name="_Power Cost Value Copy 11.30.05 gas 1.09.06 AURORA at 1.10.06_Book2_Adj Bench DR 3 for Initial Briefs (Electric) 3 2 2" xfId="25841"/>
    <cellStyle name="_Power Cost Value Copy 11.30.05 gas 1.09.06 AURORA at 1.10.06_Book2_Adj Bench DR 3 for Initial Briefs (Electric) 3 3" xfId="25842"/>
    <cellStyle name="_Power Cost Value Copy 11.30.05 gas 1.09.06 AURORA at 1.10.06_Book2_Adj Bench DR 3 for Initial Briefs (Electric) 3 4" xfId="25843"/>
    <cellStyle name="_Power Cost Value Copy 11.30.05 gas 1.09.06 AURORA at 1.10.06_Book2_Adj Bench DR 3 for Initial Briefs (Electric) 4" xfId="16885"/>
    <cellStyle name="_Power Cost Value Copy 11.30.05 gas 1.09.06 AURORA at 1.10.06_Book2_Adj Bench DR 3 for Initial Briefs (Electric) 4 2" xfId="25844"/>
    <cellStyle name="_Power Cost Value Copy 11.30.05 gas 1.09.06 AURORA at 1.10.06_Book2_Adj Bench DR 3 for Initial Briefs (Electric) 5" xfId="25845"/>
    <cellStyle name="_Power Cost Value Copy 11.30.05 gas 1.09.06 AURORA at 1.10.06_Book2_Adj Bench DR 3 for Initial Briefs (Electric)_DEM-WP(C) ENERG10C--ctn Mid-C_042010 2010GRC" xfId="12874"/>
    <cellStyle name="_Power Cost Value Copy 11.30.05 gas 1.09.06 AURORA at 1.10.06_Book2_Adj Bench DR 3 for Initial Briefs (Electric)_DEM-WP(C) ENERG10C--ctn Mid-C_042010 2010GRC 2" xfId="41503"/>
    <cellStyle name="_Power Cost Value Copy 11.30.05 gas 1.09.06 AURORA at 1.10.06_Book2_DEM-WP(C) ENERG10C--ctn Mid-C_042010 2010GRC" xfId="12875"/>
    <cellStyle name="_Power Cost Value Copy 11.30.05 gas 1.09.06 AURORA at 1.10.06_Book2_DEM-WP(C) ENERG10C--ctn Mid-C_042010 2010GRC 2" xfId="41504"/>
    <cellStyle name="_Power Cost Value Copy 11.30.05 gas 1.09.06 AURORA at 1.10.06_Book2_Electric Rev Req Model (2009 GRC) Rebuttal" xfId="1800"/>
    <cellStyle name="_Power Cost Value Copy 11.30.05 gas 1.09.06 AURORA at 1.10.06_Book2_Electric Rev Req Model (2009 GRC) Rebuttal 2" xfId="5169"/>
    <cellStyle name="_Power Cost Value Copy 11.30.05 gas 1.09.06 AURORA at 1.10.06_Book2_Electric Rev Req Model (2009 GRC) Rebuttal 2 2" xfId="7470"/>
    <cellStyle name="_Power Cost Value Copy 11.30.05 gas 1.09.06 AURORA at 1.10.06_Book2_Electric Rev Req Model (2009 GRC) Rebuttal 2 2 2" xfId="21169"/>
    <cellStyle name="_Power Cost Value Copy 11.30.05 gas 1.09.06 AURORA at 1.10.06_Book2_Electric Rev Req Model (2009 GRC) Rebuttal 2 3" xfId="18570"/>
    <cellStyle name="_Power Cost Value Copy 11.30.05 gas 1.09.06 AURORA at 1.10.06_Book2_Electric Rev Req Model (2009 GRC) Rebuttal 3" xfId="7471"/>
    <cellStyle name="_Power Cost Value Copy 11.30.05 gas 1.09.06 AURORA at 1.10.06_Book2_Electric Rev Req Model (2009 GRC) Rebuttal 3 2" xfId="21170"/>
    <cellStyle name="_Power Cost Value Copy 11.30.05 gas 1.09.06 AURORA at 1.10.06_Book2_Electric Rev Req Model (2009 GRC) Rebuttal 4" xfId="16887"/>
    <cellStyle name="_Power Cost Value Copy 11.30.05 gas 1.09.06 AURORA at 1.10.06_Book2_Electric Rev Req Model (2009 GRC) Rebuttal REmoval of New  WH Solar AdjustMI" xfId="1801"/>
    <cellStyle name="_Power Cost Value Copy 11.30.05 gas 1.09.06 AURORA at 1.10.06_Book2_Electric Rev Req Model (2009 GRC) Rebuttal REmoval of New  WH Solar AdjustMI 2" xfId="1802"/>
    <cellStyle name="_Power Cost Value Copy 11.30.05 gas 1.09.06 AURORA at 1.10.06_Book2_Electric Rev Req Model (2009 GRC) Rebuttal REmoval of New  WH Solar AdjustMI 2 2" xfId="5171"/>
    <cellStyle name="_Power Cost Value Copy 11.30.05 gas 1.09.06 AURORA at 1.10.06_Book2_Electric Rev Req Model (2009 GRC) Rebuttal REmoval of New  WH Solar AdjustMI 2 2 2" xfId="21171"/>
    <cellStyle name="_Power Cost Value Copy 11.30.05 gas 1.09.06 AURORA at 1.10.06_Book2_Electric Rev Req Model (2009 GRC) Rebuttal REmoval of New  WH Solar AdjustMI 2 2 2 2" xfId="25846"/>
    <cellStyle name="_Power Cost Value Copy 11.30.05 gas 1.09.06 AURORA at 1.10.06_Book2_Electric Rev Req Model (2009 GRC) Rebuttal REmoval of New  WH Solar AdjustMI 2 2 3" xfId="25847"/>
    <cellStyle name="_Power Cost Value Copy 11.30.05 gas 1.09.06 AURORA at 1.10.06_Book2_Electric Rev Req Model (2009 GRC) Rebuttal REmoval of New  WH Solar AdjustMI 2 3" xfId="16889"/>
    <cellStyle name="_Power Cost Value Copy 11.30.05 gas 1.09.06 AURORA at 1.10.06_Book2_Electric Rev Req Model (2009 GRC) Rebuttal REmoval of New  WH Solar AdjustMI 2 3 2" xfId="25848"/>
    <cellStyle name="_Power Cost Value Copy 11.30.05 gas 1.09.06 AURORA at 1.10.06_Book2_Electric Rev Req Model (2009 GRC) Rebuttal REmoval of New  WH Solar AdjustMI 2 4" xfId="25849"/>
    <cellStyle name="_Power Cost Value Copy 11.30.05 gas 1.09.06 AURORA at 1.10.06_Book2_Electric Rev Req Model (2009 GRC) Rebuttal REmoval of New  WH Solar AdjustMI 3" xfId="5170"/>
    <cellStyle name="_Power Cost Value Copy 11.30.05 gas 1.09.06 AURORA at 1.10.06_Book2_Electric Rev Req Model (2009 GRC) Rebuttal REmoval of New  WH Solar AdjustMI 3 2" xfId="21172"/>
    <cellStyle name="_Power Cost Value Copy 11.30.05 gas 1.09.06 AURORA at 1.10.06_Book2_Electric Rev Req Model (2009 GRC) Rebuttal REmoval of New  WH Solar AdjustMI 3 2 2" xfId="25850"/>
    <cellStyle name="_Power Cost Value Copy 11.30.05 gas 1.09.06 AURORA at 1.10.06_Book2_Electric Rev Req Model (2009 GRC) Rebuttal REmoval of New  WH Solar AdjustMI 3 3" xfId="25851"/>
    <cellStyle name="_Power Cost Value Copy 11.30.05 gas 1.09.06 AURORA at 1.10.06_Book2_Electric Rev Req Model (2009 GRC) Rebuttal REmoval of New  WH Solar AdjustMI 3 4" xfId="25852"/>
    <cellStyle name="_Power Cost Value Copy 11.30.05 gas 1.09.06 AURORA at 1.10.06_Book2_Electric Rev Req Model (2009 GRC) Rebuttal REmoval of New  WH Solar AdjustMI 4" xfId="16888"/>
    <cellStyle name="_Power Cost Value Copy 11.30.05 gas 1.09.06 AURORA at 1.10.06_Book2_Electric Rev Req Model (2009 GRC) Rebuttal REmoval of New  WH Solar AdjustMI 4 2" xfId="25853"/>
    <cellStyle name="_Power Cost Value Copy 11.30.05 gas 1.09.06 AURORA at 1.10.06_Book2_Electric Rev Req Model (2009 GRC) Rebuttal REmoval of New  WH Solar AdjustMI 5" xfId="25854"/>
    <cellStyle name="_Power Cost Value Copy 11.30.05 gas 1.09.06 AURORA at 1.10.06_Book2_Electric Rev Req Model (2009 GRC) Rebuttal REmoval of New  WH Solar AdjustMI_DEM-WP(C) ENERG10C--ctn Mid-C_042010 2010GRC" xfId="12876"/>
    <cellStyle name="_Power Cost Value Copy 11.30.05 gas 1.09.06 AURORA at 1.10.06_Book2_Electric Rev Req Model (2009 GRC) Rebuttal REmoval of New  WH Solar AdjustMI_DEM-WP(C) ENERG10C--ctn Mid-C_042010 2010GRC 2" xfId="41505"/>
    <cellStyle name="_Power Cost Value Copy 11.30.05 gas 1.09.06 AURORA at 1.10.06_Book2_Electric Rev Req Model (2009 GRC) Revised 01-18-2010" xfId="1803"/>
    <cellStyle name="_Power Cost Value Copy 11.30.05 gas 1.09.06 AURORA at 1.10.06_Book2_Electric Rev Req Model (2009 GRC) Revised 01-18-2010 2" xfId="1804"/>
    <cellStyle name="_Power Cost Value Copy 11.30.05 gas 1.09.06 AURORA at 1.10.06_Book2_Electric Rev Req Model (2009 GRC) Revised 01-18-2010 2 2" xfId="5173"/>
    <cellStyle name="_Power Cost Value Copy 11.30.05 gas 1.09.06 AURORA at 1.10.06_Book2_Electric Rev Req Model (2009 GRC) Revised 01-18-2010 2 2 2" xfId="21173"/>
    <cellStyle name="_Power Cost Value Copy 11.30.05 gas 1.09.06 AURORA at 1.10.06_Book2_Electric Rev Req Model (2009 GRC) Revised 01-18-2010 2 2 2 2" xfId="25855"/>
    <cellStyle name="_Power Cost Value Copy 11.30.05 gas 1.09.06 AURORA at 1.10.06_Book2_Electric Rev Req Model (2009 GRC) Revised 01-18-2010 2 2 3" xfId="25856"/>
    <cellStyle name="_Power Cost Value Copy 11.30.05 gas 1.09.06 AURORA at 1.10.06_Book2_Electric Rev Req Model (2009 GRC) Revised 01-18-2010 2 3" xfId="16891"/>
    <cellStyle name="_Power Cost Value Copy 11.30.05 gas 1.09.06 AURORA at 1.10.06_Book2_Electric Rev Req Model (2009 GRC) Revised 01-18-2010 2 3 2" xfId="25857"/>
    <cellStyle name="_Power Cost Value Copy 11.30.05 gas 1.09.06 AURORA at 1.10.06_Book2_Electric Rev Req Model (2009 GRC) Revised 01-18-2010 2 4" xfId="25858"/>
    <cellStyle name="_Power Cost Value Copy 11.30.05 gas 1.09.06 AURORA at 1.10.06_Book2_Electric Rev Req Model (2009 GRC) Revised 01-18-2010 3" xfId="5172"/>
    <cellStyle name="_Power Cost Value Copy 11.30.05 gas 1.09.06 AURORA at 1.10.06_Book2_Electric Rev Req Model (2009 GRC) Revised 01-18-2010 3 2" xfId="21174"/>
    <cellStyle name="_Power Cost Value Copy 11.30.05 gas 1.09.06 AURORA at 1.10.06_Book2_Electric Rev Req Model (2009 GRC) Revised 01-18-2010 3 2 2" xfId="25859"/>
    <cellStyle name="_Power Cost Value Copy 11.30.05 gas 1.09.06 AURORA at 1.10.06_Book2_Electric Rev Req Model (2009 GRC) Revised 01-18-2010 3 3" xfId="25860"/>
    <cellStyle name="_Power Cost Value Copy 11.30.05 gas 1.09.06 AURORA at 1.10.06_Book2_Electric Rev Req Model (2009 GRC) Revised 01-18-2010 3 4" xfId="25861"/>
    <cellStyle name="_Power Cost Value Copy 11.30.05 gas 1.09.06 AURORA at 1.10.06_Book2_Electric Rev Req Model (2009 GRC) Revised 01-18-2010 4" xfId="16890"/>
    <cellStyle name="_Power Cost Value Copy 11.30.05 gas 1.09.06 AURORA at 1.10.06_Book2_Electric Rev Req Model (2009 GRC) Revised 01-18-2010 4 2" xfId="25862"/>
    <cellStyle name="_Power Cost Value Copy 11.30.05 gas 1.09.06 AURORA at 1.10.06_Book2_Electric Rev Req Model (2009 GRC) Revised 01-18-2010 5" xfId="25863"/>
    <cellStyle name="_Power Cost Value Copy 11.30.05 gas 1.09.06 AURORA at 1.10.06_Book2_Electric Rev Req Model (2009 GRC) Revised 01-18-2010_DEM-WP(C) ENERG10C--ctn Mid-C_042010 2010GRC" xfId="12877"/>
    <cellStyle name="_Power Cost Value Copy 11.30.05 gas 1.09.06 AURORA at 1.10.06_Book2_Electric Rev Req Model (2009 GRC) Revised 01-18-2010_DEM-WP(C) ENERG10C--ctn Mid-C_042010 2010GRC 2" xfId="41506"/>
    <cellStyle name="_Power Cost Value Copy 11.30.05 gas 1.09.06 AURORA at 1.10.06_Book2_Final Order Electric EXHIBIT A-1" xfId="1805"/>
    <cellStyle name="_Power Cost Value Copy 11.30.05 gas 1.09.06 AURORA at 1.10.06_Book2_Final Order Electric EXHIBIT A-1 2" xfId="5174"/>
    <cellStyle name="_Power Cost Value Copy 11.30.05 gas 1.09.06 AURORA at 1.10.06_Book2_Final Order Electric EXHIBIT A-1 2 2" xfId="7472"/>
    <cellStyle name="_Power Cost Value Copy 11.30.05 gas 1.09.06 AURORA at 1.10.06_Book2_Final Order Electric EXHIBIT A-1 2 2 2" xfId="21175"/>
    <cellStyle name="_Power Cost Value Copy 11.30.05 gas 1.09.06 AURORA at 1.10.06_Book2_Final Order Electric EXHIBIT A-1 2 3" xfId="18571"/>
    <cellStyle name="_Power Cost Value Copy 11.30.05 gas 1.09.06 AURORA at 1.10.06_Book2_Final Order Electric EXHIBIT A-1 2 4" xfId="25864"/>
    <cellStyle name="_Power Cost Value Copy 11.30.05 gas 1.09.06 AURORA at 1.10.06_Book2_Final Order Electric EXHIBIT A-1 3" xfId="7473"/>
    <cellStyle name="_Power Cost Value Copy 11.30.05 gas 1.09.06 AURORA at 1.10.06_Book2_Final Order Electric EXHIBIT A-1 3 2" xfId="21176"/>
    <cellStyle name="_Power Cost Value Copy 11.30.05 gas 1.09.06 AURORA at 1.10.06_Book2_Final Order Electric EXHIBIT A-1 4" xfId="16892"/>
    <cellStyle name="_Power Cost Value Copy 11.30.05 gas 1.09.06 AURORA at 1.10.06_Book2_Final Order Electric EXHIBIT A-1 5" xfId="25865"/>
    <cellStyle name="_Power Cost Value Copy 11.30.05 gas 1.09.06 AURORA at 1.10.06_Book2_Final Order Electric EXHIBIT A-1 6" xfId="25866"/>
    <cellStyle name="_Power Cost Value Copy 11.30.05 gas 1.09.06 AURORA at 1.10.06_Book4" xfId="1806"/>
    <cellStyle name="_Power Cost Value Copy 11.30.05 gas 1.09.06 AURORA at 1.10.06_Book4 2" xfId="1807"/>
    <cellStyle name="_Power Cost Value Copy 11.30.05 gas 1.09.06 AURORA at 1.10.06_Book4 2 2" xfId="5176"/>
    <cellStyle name="_Power Cost Value Copy 11.30.05 gas 1.09.06 AURORA at 1.10.06_Book4 2 2 2" xfId="21177"/>
    <cellStyle name="_Power Cost Value Copy 11.30.05 gas 1.09.06 AURORA at 1.10.06_Book4 2 2 2 2" xfId="25867"/>
    <cellStyle name="_Power Cost Value Copy 11.30.05 gas 1.09.06 AURORA at 1.10.06_Book4 2 2 3" xfId="25868"/>
    <cellStyle name="_Power Cost Value Copy 11.30.05 gas 1.09.06 AURORA at 1.10.06_Book4 2 3" xfId="16894"/>
    <cellStyle name="_Power Cost Value Copy 11.30.05 gas 1.09.06 AURORA at 1.10.06_Book4 2 3 2" xfId="25869"/>
    <cellStyle name="_Power Cost Value Copy 11.30.05 gas 1.09.06 AURORA at 1.10.06_Book4 2 4" xfId="25870"/>
    <cellStyle name="_Power Cost Value Copy 11.30.05 gas 1.09.06 AURORA at 1.10.06_Book4 3" xfId="5175"/>
    <cellStyle name="_Power Cost Value Copy 11.30.05 gas 1.09.06 AURORA at 1.10.06_Book4 3 2" xfId="21178"/>
    <cellStyle name="_Power Cost Value Copy 11.30.05 gas 1.09.06 AURORA at 1.10.06_Book4 3 2 2" xfId="25871"/>
    <cellStyle name="_Power Cost Value Copy 11.30.05 gas 1.09.06 AURORA at 1.10.06_Book4 3 3" xfId="25872"/>
    <cellStyle name="_Power Cost Value Copy 11.30.05 gas 1.09.06 AURORA at 1.10.06_Book4 3 4" xfId="25873"/>
    <cellStyle name="_Power Cost Value Copy 11.30.05 gas 1.09.06 AURORA at 1.10.06_Book4 4" xfId="16893"/>
    <cellStyle name="_Power Cost Value Copy 11.30.05 gas 1.09.06 AURORA at 1.10.06_Book4 4 2" xfId="25874"/>
    <cellStyle name="_Power Cost Value Copy 11.30.05 gas 1.09.06 AURORA at 1.10.06_Book4 5" xfId="25875"/>
    <cellStyle name="_Power Cost Value Copy 11.30.05 gas 1.09.06 AURORA at 1.10.06_Book4_DEM-WP(C) ENERG10C--ctn Mid-C_042010 2010GRC" xfId="12878"/>
    <cellStyle name="_Power Cost Value Copy 11.30.05 gas 1.09.06 AURORA at 1.10.06_Book4_DEM-WP(C) ENERG10C--ctn Mid-C_042010 2010GRC 2" xfId="41507"/>
    <cellStyle name="_Power Cost Value Copy 11.30.05 gas 1.09.06 AURORA at 1.10.06_Book9" xfId="1808"/>
    <cellStyle name="_Power Cost Value Copy 11.30.05 gas 1.09.06 AURORA at 1.10.06_Book9 2" xfId="1809"/>
    <cellStyle name="_Power Cost Value Copy 11.30.05 gas 1.09.06 AURORA at 1.10.06_Book9 2 2" xfId="5178"/>
    <cellStyle name="_Power Cost Value Copy 11.30.05 gas 1.09.06 AURORA at 1.10.06_Book9 2 2 2" xfId="21179"/>
    <cellStyle name="_Power Cost Value Copy 11.30.05 gas 1.09.06 AURORA at 1.10.06_Book9 2 2 2 2" xfId="25876"/>
    <cellStyle name="_Power Cost Value Copy 11.30.05 gas 1.09.06 AURORA at 1.10.06_Book9 2 2 3" xfId="25877"/>
    <cellStyle name="_Power Cost Value Copy 11.30.05 gas 1.09.06 AURORA at 1.10.06_Book9 2 3" xfId="16896"/>
    <cellStyle name="_Power Cost Value Copy 11.30.05 gas 1.09.06 AURORA at 1.10.06_Book9 2 3 2" xfId="25878"/>
    <cellStyle name="_Power Cost Value Copy 11.30.05 gas 1.09.06 AURORA at 1.10.06_Book9 2 4" xfId="25879"/>
    <cellStyle name="_Power Cost Value Copy 11.30.05 gas 1.09.06 AURORA at 1.10.06_Book9 3" xfId="5177"/>
    <cellStyle name="_Power Cost Value Copy 11.30.05 gas 1.09.06 AURORA at 1.10.06_Book9 3 2" xfId="21180"/>
    <cellStyle name="_Power Cost Value Copy 11.30.05 gas 1.09.06 AURORA at 1.10.06_Book9 3 2 2" xfId="25880"/>
    <cellStyle name="_Power Cost Value Copy 11.30.05 gas 1.09.06 AURORA at 1.10.06_Book9 3 3" xfId="25881"/>
    <cellStyle name="_Power Cost Value Copy 11.30.05 gas 1.09.06 AURORA at 1.10.06_Book9 3 4" xfId="25882"/>
    <cellStyle name="_Power Cost Value Copy 11.30.05 gas 1.09.06 AURORA at 1.10.06_Book9 4" xfId="16895"/>
    <cellStyle name="_Power Cost Value Copy 11.30.05 gas 1.09.06 AURORA at 1.10.06_Book9 4 2" xfId="25883"/>
    <cellStyle name="_Power Cost Value Copy 11.30.05 gas 1.09.06 AURORA at 1.10.06_Book9 5" xfId="25884"/>
    <cellStyle name="_Power Cost Value Copy 11.30.05 gas 1.09.06 AURORA at 1.10.06_Book9_DEM-WP(C) ENERG10C--ctn Mid-C_042010 2010GRC" xfId="12879"/>
    <cellStyle name="_Power Cost Value Copy 11.30.05 gas 1.09.06 AURORA at 1.10.06_Book9_DEM-WP(C) ENERG10C--ctn Mid-C_042010 2010GRC 2" xfId="41508"/>
    <cellStyle name="_Power Cost Value Copy 11.30.05 gas 1.09.06 AURORA at 1.10.06_Check the Interest Calculation" xfId="15127"/>
    <cellStyle name="_Power Cost Value Copy 11.30.05 gas 1.09.06 AURORA at 1.10.06_Check the Interest Calculation 2" xfId="25885"/>
    <cellStyle name="_Power Cost Value Copy 11.30.05 gas 1.09.06 AURORA at 1.10.06_Check the Interest Calculation_Scenario 1 REC vs PTC Offset" xfId="15128"/>
    <cellStyle name="_Power Cost Value Copy 11.30.05 gas 1.09.06 AURORA at 1.10.06_Check the Interest Calculation_Scenario 1 REC vs PTC Offset 2" xfId="25886"/>
    <cellStyle name="_Power Cost Value Copy 11.30.05 gas 1.09.06 AURORA at 1.10.06_Check the Interest Calculation_Scenario 3" xfId="15129"/>
    <cellStyle name="_Power Cost Value Copy 11.30.05 gas 1.09.06 AURORA at 1.10.06_Check the Interest Calculation_Scenario 3 2" xfId="25887"/>
    <cellStyle name="_Power Cost Value Copy 11.30.05 gas 1.09.06 AURORA at 1.10.06_Chelan PUD Power Costs (8-10)" xfId="12880"/>
    <cellStyle name="_Power Cost Value Copy 11.30.05 gas 1.09.06 AURORA at 1.10.06_Chelan PUD Power Costs (8-10) 2" xfId="25888"/>
    <cellStyle name="_Power Cost Value Copy 11.30.05 gas 1.09.06 AURORA at 1.10.06_DEM-WP(C) Chelan Power Costs" xfId="12881"/>
    <cellStyle name="_Power Cost Value Copy 11.30.05 gas 1.09.06 AURORA at 1.10.06_DEM-WP(C) Chelan Power Costs 2" xfId="25889"/>
    <cellStyle name="_Power Cost Value Copy 11.30.05 gas 1.09.06 AURORA at 1.10.06_DEM-WP(C) Chelan Power Costs 2 2" xfId="25890"/>
    <cellStyle name="_Power Cost Value Copy 11.30.05 gas 1.09.06 AURORA at 1.10.06_DEM-WP(C) Chelan Power Costs 2 2 2" xfId="25891"/>
    <cellStyle name="_Power Cost Value Copy 11.30.05 gas 1.09.06 AURORA at 1.10.06_DEM-WP(C) Chelan Power Costs 2 3" xfId="25892"/>
    <cellStyle name="_Power Cost Value Copy 11.30.05 gas 1.09.06 AURORA at 1.10.06_DEM-WP(C) Chelan Power Costs 2 4" xfId="25893"/>
    <cellStyle name="_Power Cost Value Copy 11.30.05 gas 1.09.06 AURORA at 1.10.06_DEM-WP(C) Chelan Power Costs 3" xfId="25894"/>
    <cellStyle name="_Power Cost Value Copy 11.30.05 gas 1.09.06 AURORA at 1.10.06_DEM-WP(C) Chelan Power Costs 3 2" xfId="25895"/>
    <cellStyle name="_Power Cost Value Copy 11.30.05 gas 1.09.06 AURORA at 1.10.06_DEM-WP(C) Chelan Power Costs 4" xfId="25896"/>
    <cellStyle name="_Power Cost Value Copy 11.30.05 gas 1.09.06 AURORA at 1.10.06_DEM-WP(C) ENERG10C--ctn Mid-C_042010 2010GRC" xfId="12882"/>
    <cellStyle name="_Power Cost Value Copy 11.30.05 gas 1.09.06 AURORA at 1.10.06_DEM-WP(C) ENERG10C--ctn Mid-C_042010 2010GRC 2" xfId="41509"/>
    <cellStyle name="_Power Cost Value Copy 11.30.05 gas 1.09.06 AURORA at 1.10.06_DEM-WP(C) Gas Transport 2010GRC" xfId="12883"/>
    <cellStyle name="_Power Cost Value Copy 11.30.05 gas 1.09.06 AURORA at 1.10.06_DEM-WP(C) Gas Transport 2010GRC 2" xfId="25897"/>
    <cellStyle name="_Power Cost Value Copy 11.30.05 gas 1.09.06 AURORA at 1.10.06_DEM-WP(C) Gas Transport 2010GRC 2 2" xfId="25898"/>
    <cellStyle name="_Power Cost Value Copy 11.30.05 gas 1.09.06 AURORA at 1.10.06_DEM-WP(C) Gas Transport 2010GRC 2 2 2" xfId="25899"/>
    <cellStyle name="_Power Cost Value Copy 11.30.05 gas 1.09.06 AURORA at 1.10.06_DEM-WP(C) Gas Transport 2010GRC 2 3" xfId="25900"/>
    <cellStyle name="_Power Cost Value Copy 11.30.05 gas 1.09.06 AURORA at 1.10.06_DEM-WP(C) Gas Transport 2010GRC 2 4" xfId="25901"/>
    <cellStyle name="_Power Cost Value Copy 11.30.05 gas 1.09.06 AURORA at 1.10.06_DEM-WP(C) Gas Transport 2010GRC 3" xfId="25902"/>
    <cellStyle name="_Power Cost Value Copy 11.30.05 gas 1.09.06 AURORA at 1.10.06_DEM-WP(C) Gas Transport 2010GRC 3 2" xfId="25903"/>
    <cellStyle name="_Power Cost Value Copy 11.30.05 gas 1.09.06 AURORA at 1.10.06_DEM-WP(C) Gas Transport 2010GRC 4" xfId="25904"/>
    <cellStyle name="_Power Cost Value Copy 11.30.05 gas 1.09.06 AURORA at 1.10.06_Direct Assignment Distribution Plant 2008" xfId="7474"/>
    <cellStyle name="_Power Cost Value Copy 11.30.05 gas 1.09.06 AURORA at 1.10.06_Direct Assignment Distribution Plant 2008 2" xfId="7475"/>
    <cellStyle name="_Power Cost Value Copy 11.30.05 gas 1.09.06 AURORA at 1.10.06_Direct Assignment Distribution Plant 2008 2 2" xfId="7476"/>
    <cellStyle name="_Power Cost Value Copy 11.30.05 gas 1.09.06 AURORA at 1.10.06_Direct Assignment Distribution Plant 2008 2 2 2" xfId="7477"/>
    <cellStyle name="_Power Cost Value Copy 11.30.05 gas 1.09.06 AURORA at 1.10.06_Direct Assignment Distribution Plant 2008 2 2 2 2" xfId="21181"/>
    <cellStyle name="_Power Cost Value Copy 11.30.05 gas 1.09.06 AURORA at 1.10.06_Direct Assignment Distribution Plant 2008 2 2 3" xfId="18574"/>
    <cellStyle name="_Power Cost Value Copy 11.30.05 gas 1.09.06 AURORA at 1.10.06_Direct Assignment Distribution Plant 2008 2 3" xfId="7478"/>
    <cellStyle name="_Power Cost Value Copy 11.30.05 gas 1.09.06 AURORA at 1.10.06_Direct Assignment Distribution Plant 2008 2 3 2" xfId="7479"/>
    <cellStyle name="_Power Cost Value Copy 11.30.05 gas 1.09.06 AURORA at 1.10.06_Direct Assignment Distribution Plant 2008 2 3 2 2" xfId="21182"/>
    <cellStyle name="_Power Cost Value Copy 11.30.05 gas 1.09.06 AURORA at 1.10.06_Direct Assignment Distribution Plant 2008 2 3 3" xfId="18575"/>
    <cellStyle name="_Power Cost Value Copy 11.30.05 gas 1.09.06 AURORA at 1.10.06_Direct Assignment Distribution Plant 2008 2 4" xfId="7480"/>
    <cellStyle name="_Power Cost Value Copy 11.30.05 gas 1.09.06 AURORA at 1.10.06_Direct Assignment Distribution Plant 2008 2 4 2" xfId="7481"/>
    <cellStyle name="_Power Cost Value Copy 11.30.05 gas 1.09.06 AURORA at 1.10.06_Direct Assignment Distribution Plant 2008 2 4 2 2" xfId="21183"/>
    <cellStyle name="_Power Cost Value Copy 11.30.05 gas 1.09.06 AURORA at 1.10.06_Direct Assignment Distribution Plant 2008 2 4 3" xfId="18576"/>
    <cellStyle name="_Power Cost Value Copy 11.30.05 gas 1.09.06 AURORA at 1.10.06_Direct Assignment Distribution Plant 2008 2 5" xfId="18573"/>
    <cellStyle name="_Power Cost Value Copy 11.30.05 gas 1.09.06 AURORA at 1.10.06_Direct Assignment Distribution Plant 2008 3" xfId="7482"/>
    <cellStyle name="_Power Cost Value Copy 11.30.05 gas 1.09.06 AURORA at 1.10.06_Direct Assignment Distribution Plant 2008 3 2" xfId="7483"/>
    <cellStyle name="_Power Cost Value Copy 11.30.05 gas 1.09.06 AURORA at 1.10.06_Direct Assignment Distribution Plant 2008 3 2 2" xfId="21184"/>
    <cellStyle name="_Power Cost Value Copy 11.30.05 gas 1.09.06 AURORA at 1.10.06_Direct Assignment Distribution Plant 2008 3 3" xfId="18577"/>
    <cellStyle name="_Power Cost Value Copy 11.30.05 gas 1.09.06 AURORA at 1.10.06_Direct Assignment Distribution Plant 2008 4" xfId="7484"/>
    <cellStyle name="_Power Cost Value Copy 11.30.05 gas 1.09.06 AURORA at 1.10.06_Direct Assignment Distribution Plant 2008 4 2" xfId="7485"/>
    <cellStyle name="_Power Cost Value Copy 11.30.05 gas 1.09.06 AURORA at 1.10.06_Direct Assignment Distribution Plant 2008 4 2 2" xfId="21185"/>
    <cellStyle name="_Power Cost Value Copy 11.30.05 gas 1.09.06 AURORA at 1.10.06_Direct Assignment Distribution Plant 2008 4 3" xfId="18578"/>
    <cellStyle name="_Power Cost Value Copy 11.30.05 gas 1.09.06 AURORA at 1.10.06_Direct Assignment Distribution Plant 2008 5" xfId="7486"/>
    <cellStyle name="_Power Cost Value Copy 11.30.05 gas 1.09.06 AURORA at 1.10.06_Direct Assignment Distribution Plant 2008 5 2" xfId="21186"/>
    <cellStyle name="_Power Cost Value Copy 11.30.05 gas 1.09.06 AURORA at 1.10.06_Direct Assignment Distribution Plant 2008 6" xfId="18572"/>
    <cellStyle name="_Power Cost Value Copy 11.30.05 gas 1.09.06 AURORA at 1.10.06_Electric COS Inputs" xfId="7487"/>
    <cellStyle name="_Power Cost Value Copy 11.30.05 gas 1.09.06 AURORA at 1.10.06_Electric COS Inputs 2" xfId="7488"/>
    <cellStyle name="_Power Cost Value Copy 11.30.05 gas 1.09.06 AURORA at 1.10.06_Electric COS Inputs 2 2" xfId="7489"/>
    <cellStyle name="_Power Cost Value Copy 11.30.05 gas 1.09.06 AURORA at 1.10.06_Electric COS Inputs 2 2 2" xfId="7490"/>
    <cellStyle name="_Power Cost Value Copy 11.30.05 gas 1.09.06 AURORA at 1.10.06_Electric COS Inputs 2 2 2 2" xfId="21187"/>
    <cellStyle name="_Power Cost Value Copy 11.30.05 gas 1.09.06 AURORA at 1.10.06_Electric COS Inputs 2 2 3" xfId="18581"/>
    <cellStyle name="_Power Cost Value Copy 11.30.05 gas 1.09.06 AURORA at 1.10.06_Electric COS Inputs 2 3" xfId="7491"/>
    <cellStyle name="_Power Cost Value Copy 11.30.05 gas 1.09.06 AURORA at 1.10.06_Electric COS Inputs 2 3 2" xfId="7492"/>
    <cellStyle name="_Power Cost Value Copy 11.30.05 gas 1.09.06 AURORA at 1.10.06_Electric COS Inputs 2 3 2 2" xfId="21188"/>
    <cellStyle name="_Power Cost Value Copy 11.30.05 gas 1.09.06 AURORA at 1.10.06_Electric COS Inputs 2 3 3" xfId="18582"/>
    <cellStyle name="_Power Cost Value Copy 11.30.05 gas 1.09.06 AURORA at 1.10.06_Electric COS Inputs 2 4" xfId="7493"/>
    <cellStyle name="_Power Cost Value Copy 11.30.05 gas 1.09.06 AURORA at 1.10.06_Electric COS Inputs 2 4 2" xfId="7494"/>
    <cellStyle name="_Power Cost Value Copy 11.30.05 gas 1.09.06 AURORA at 1.10.06_Electric COS Inputs 2 4 2 2" xfId="21189"/>
    <cellStyle name="_Power Cost Value Copy 11.30.05 gas 1.09.06 AURORA at 1.10.06_Electric COS Inputs 2 4 3" xfId="18583"/>
    <cellStyle name="_Power Cost Value Copy 11.30.05 gas 1.09.06 AURORA at 1.10.06_Electric COS Inputs 2 5" xfId="18580"/>
    <cellStyle name="_Power Cost Value Copy 11.30.05 gas 1.09.06 AURORA at 1.10.06_Electric COS Inputs 3" xfId="7495"/>
    <cellStyle name="_Power Cost Value Copy 11.30.05 gas 1.09.06 AURORA at 1.10.06_Electric COS Inputs 3 2" xfId="7496"/>
    <cellStyle name="_Power Cost Value Copy 11.30.05 gas 1.09.06 AURORA at 1.10.06_Electric COS Inputs 3 2 2" xfId="21190"/>
    <cellStyle name="_Power Cost Value Copy 11.30.05 gas 1.09.06 AURORA at 1.10.06_Electric COS Inputs 3 3" xfId="18584"/>
    <cellStyle name="_Power Cost Value Copy 11.30.05 gas 1.09.06 AURORA at 1.10.06_Electric COS Inputs 4" xfId="7497"/>
    <cellStyle name="_Power Cost Value Copy 11.30.05 gas 1.09.06 AURORA at 1.10.06_Electric COS Inputs 4 2" xfId="7498"/>
    <cellStyle name="_Power Cost Value Copy 11.30.05 gas 1.09.06 AURORA at 1.10.06_Electric COS Inputs 4 2 2" xfId="21191"/>
    <cellStyle name="_Power Cost Value Copy 11.30.05 gas 1.09.06 AURORA at 1.10.06_Electric COS Inputs 4 3" xfId="18585"/>
    <cellStyle name="_Power Cost Value Copy 11.30.05 gas 1.09.06 AURORA at 1.10.06_Electric COS Inputs 5" xfId="7499"/>
    <cellStyle name="_Power Cost Value Copy 11.30.05 gas 1.09.06 AURORA at 1.10.06_Electric COS Inputs 5 2" xfId="21192"/>
    <cellStyle name="_Power Cost Value Copy 11.30.05 gas 1.09.06 AURORA at 1.10.06_Electric COS Inputs 6" xfId="18579"/>
    <cellStyle name="_Power Cost Value Copy 11.30.05 gas 1.09.06 AURORA at 1.10.06_Electric Rate Spread and Rate Design 3.23.09" xfId="7500"/>
    <cellStyle name="_Power Cost Value Copy 11.30.05 gas 1.09.06 AURORA at 1.10.06_Electric Rate Spread and Rate Design 3.23.09 2" xfId="7501"/>
    <cellStyle name="_Power Cost Value Copy 11.30.05 gas 1.09.06 AURORA at 1.10.06_Electric Rate Spread and Rate Design 3.23.09 2 2" xfId="7502"/>
    <cellStyle name="_Power Cost Value Copy 11.30.05 gas 1.09.06 AURORA at 1.10.06_Electric Rate Spread and Rate Design 3.23.09 2 2 2" xfId="7503"/>
    <cellStyle name="_Power Cost Value Copy 11.30.05 gas 1.09.06 AURORA at 1.10.06_Electric Rate Spread and Rate Design 3.23.09 2 2 2 2" xfId="21193"/>
    <cellStyle name="_Power Cost Value Copy 11.30.05 gas 1.09.06 AURORA at 1.10.06_Electric Rate Spread and Rate Design 3.23.09 2 2 3" xfId="18588"/>
    <cellStyle name="_Power Cost Value Copy 11.30.05 gas 1.09.06 AURORA at 1.10.06_Electric Rate Spread and Rate Design 3.23.09 2 3" xfId="7504"/>
    <cellStyle name="_Power Cost Value Copy 11.30.05 gas 1.09.06 AURORA at 1.10.06_Electric Rate Spread and Rate Design 3.23.09 2 3 2" xfId="7505"/>
    <cellStyle name="_Power Cost Value Copy 11.30.05 gas 1.09.06 AURORA at 1.10.06_Electric Rate Spread and Rate Design 3.23.09 2 3 2 2" xfId="21194"/>
    <cellStyle name="_Power Cost Value Copy 11.30.05 gas 1.09.06 AURORA at 1.10.06_Electric Rate Spread and Rate Design 3.23.09 2 3 3" xfId="18589"/>
    <cellStyle name="_Power Cost Value Copy 11.30.05 gas 1.09.06 AURORA at 1.10.06_Electric Rate Spread and Rate Design 3.23.09 2 4" xfId="7506"/>
    <cellStyle name="_Power Cost Value Copy 11.30.05 gas 1.09.06 AURORA at 1.10.06_Electric Rate Spread and Rate Design 3.23.09 2 4 2" xfId="7507"/>
    <cellStyle name="_Power Cost Value Copy 11.30.05 gas 1.09.06 AURORA at 1.10.06_Electric Rate Spread and Rate Design 3.23.09 2 4 2 2" xfId="21195"/>
    <cellStyle name="_Power Cost Value Copy 11.30.05 gas 1.09.06 AURORA at 1.10.06_Electric Rate Spread and Rate Design 3.23.09 2 4 3" xfId="18590"/>
    <cellStyle name="_Power Cost Value Copy 11.30.05 gas 1.09.06 AURORA at 1.10.06_Electric Rate Spread and Rate Design 3.23.09 2 5" xfId="18587"/>
    <cellStyle name="_Power Cost Value Copy 11.30.05 gas 1.09.06 AURORA at 1.10.06_Electric Rate Spread and Rate Design 3.23.09 3" xfId="7508"/>
    <cellStyle name="_Power Cost Value Copy 11.30.05 gas 1.09.06 AURORA at 1.10.06_Electric Rate Spread and Rate Design 3.23.09 3 2" xfId="7509"/>
    <cellStyle name="_Power Cost Value Copy 11.30.05 gas 1.09.06 AURORA at 1.10.06_Electric Rate Spread and Rate Design 3.23.09 3 2 2" xfId="21196"/>
    <cellStyle name="_Power Cost Value Copy 11.30.05 gas 1.09.06 AURORA at 1.10.06_Electric Rate Spread and Rate Design 3.23.09 3 3" xfId="18591"/>
    <cellStyle name="_Power Cost Value Copy 11.30.05 gas 1.09.06 AURORA at 1.10.06_Electric Rate Spread and Rate Design 3.23.09 4" xfId="7510"/>
    <cellStyle name="_Power Cost Value Copy 11.30.05 gas 1.09.06 AURORA at 1.10.06_Electric Rate Spread and Rate Design 3.23.09 4 2" xfId="7511"/>
    <cellStyle name="_Power Cost Value Copy 11.30.05 gas 1.09.06 AURORA at 1.10.06_Electric Rate Spread and Rate Design 3.23.09 4 2 2" xfId="21197"/>
    <cellStyle name="_Power Cost Value Copy 11.30.05 gas 1.09.06 AURORA at 1.10.06_Electric Rate Spread and Rate Design 3.23.09 4 3" xfId="18592"/>
    <cellStyle name="_Power Cost Value Copy 11.30.05 gas 1.09.06 AURORA at 1.10.06_Electric Rate Spread and Rate Design 3.23.09 5" xfId="7512"/>
    <cellStyle name="_Power Cost Value Copy 11.30.05 gas 1.09.06 AURORA at 1.10.06_Electric Rate Spread and Rate Design 3.23.09 5 2" xfId="21198"/>
    <cellStyle name="_Power Cost Value Copy 11.30.05 gas 1.09.06 AURORA at 1.10.06_Electric Rate Spread and Rate Design 3.23.09 6" xfId="18586"/>
    <cellStyle name="_Power Cost Value Copy 11.30.05 gas 1.09.06 AURORA at 1.10.06_Exh A-1 resulting from UE-112050 effective Jan 1 2012" xfId="15130"/>
    <cellStyle name="_Power Cost Value Copy 11.30.05 gas 1.09.06 AURORA at 1.10.06_Exh A-1 resulting from UE-112050 effective Jan 1 2012 2" xfId="41510"/>
    <cellStyle name="_Power Cost Value Copy 11.30.05 gas 1.09.06 AURORA at 1.10.06_Exh G - Klamath Peaker PPA fr C Locke 2-12" xfId="15131"/>
    <cellStyle name="_Power Cost Value Copy 11.30.05 gas 1.09.06 AURORA at 1.10.06_Exh G - Klamath Peaker PPA fr C Locke 2-12 2" xfId="41511"/>
    <cellStyle name="_Power Cost Value Copy 11.30.05 gas 1.09.06 AURORA at 1.10.06_Exhibit A-1 effective 4-1-11 fr S Free 12-11" xfId="15132"/>
    <cellStyle name="_Power Cost Value Copy 11.30.05 gas 1.09.06 AURORA at 1.10.06_Exhibit A-1 effective 4-1-11 fr S Free 12-11 2" xfId="41512"/>
    <cellStyle name="_Power Cost Value Copy 11.30.05 gas 1.09.06 AURORA at 1.10.06_Exhibit D fr R Gho 12-31-08" xfId="1810"/>
    <cellStyle name="_Power Cost Value Copy 11.30.05 gas 1.09.06 AURORA at 1.10.06_Exhibit D fr R Gho 12-31-08 2" xfId="1811"/>
    <cellStyle name="_Power Cost Value Copy 11.30.05 gas 1.09.06 AURORA at 1.10.06_Exhibit D fr R Gho 12-31-08 2 2" xfId="5180"/>
    <cellStyle name="_Power Cost Value Copy 11.30.05 gas 1.09.06 AURORA at 1.10.06_Exhibit D fr R Gho 12-31-08 2 2 2" xfId="25905"/>
    <cellStyle name="_Power Cost Value Copy 11.30.05 gas 1.09.06 AURORA at 1.10.06_Exhibit D fr R Gho 12-31-08 2 2 2 2" xfId="25906"/>
    <cellStyle name="_Power Cost Value Copy 11.30.05 gas 1.09.06 AURORA at 1.10.06_Exhibit D fr R Gho 12-31-08 2 2 3" xfId="25907"/>
    <cellStyle name="_Power Cost Value Copy 11.30.05 gas 1.09.06 AURORA at 1.10.06_Exhibit D fr R Gho 12-31-08 2 3" xfId="25908"/>
    <cellStyle name="_Power Cost Value Copy 11.30.05 gas 1.09.06 AURORA at 1.10.06_Exhibit D fr R Gho 12-31-08 2 3 2" xfId="25909"/>
    <cellStyle name="_Power Cost Value Copy 11.30.05 gas 1.09.06 AURORA at 1.10.06_Exhibit D fr R Gho 12-31-08 2 4" xfId="25910"/>
    <cellStyle name="_Power Cost Value Copy 11.30.05 gas 1.09.06 AURORA at 1.10.06_Exhibit D fr R Gho 12-31-08 2 5" xfId="7514"/>
    <cellStyle name="_Power Cost Value Copy 11.30.05 gas 1.09.06 AURORA at 1.10.06_Exhibit D fr R Gho 12-31-08 3" xfId="5179"/>
    <cellStyle name="_Power Cost Value Copy 11.30.05 gas 1.09.06 AURORA at 1.10.06_Exhibit D fr R Gho 12-31-08 3 2" xfId="25911"/>
    <cellStyle name="_Power Cost Value Copy 11.30.05 gas 1.09.06 AURORA at 1.10.06_Exhibit D fr R Gho 12-31-08 3 2 2" xfId="25912"/>
    <cellStyle name="_Power Cost Value Copy 11.30.05 gas 1.09.06 AURORA at 1.10.06_Exhibit D fr R Gho 12-31-08 3 3" xfId="25913"/>
    <cellStyle name="_Power Cost Value Copy 11.30.05 gas 1.09.06 AURORA at 1.10.06_Exhibit D fr R Gho 12-31-08 3 4" xfId="25914"/>
    <cellStyle name="_Power Cost Value Copy 11.30.05 gas 1.09.06 AURORA at 1.10.06_Exhibit D fr R Gho 12-31-08 4" xfId="25915"/>
    <cellStyle name="_Power Cost Value Copy 11.30.05 gas 1.09.06 AURORA at 1.10.06_Exhibit D fr R Gho 12-31-08 4 2" xfId="25916"/>
    <cellStyle name="_Power Cost Value Copy 11.30.05 gas 1.09.06 AURORA at 1.10.06_Exhibit D fr R Gho 12-31-08 5" xfId="25917"/>
    <cellStyle name="_Power Cost Value Copy 11.30.05 gas 1.09.06 AURORA at 1.10.06_Exhibit D fr R Gho 12-31-08 6" xfId="7513"/>
    <cellStyle name="_Power Cost Value Copy 11.30.05 gas 1.09.06 AURORA at 1.10.06_Exhibit D fr R Gho 12-31-08 v2" xfId="1812"/>
    <cellStyle name="_Power Cost Value Copy 11.30.05 gas 1.09.06 AURORA at 1.10.06_Exhibit D fr R Gho 12-31-08 v2 2" xfId="1813"/>
    <cellStyle name="_Power Cost Value Copy 11.30.05 gas 1.09.06 AURORA at 1.10.06_Exhibit D fr R Gho 12-31-08 v2 2 2" xfId="5182"/>
    <cellStyle name="_Power Cost Value Copy 11.30.05 gas 1.09.06 AURORA at 1.10.06_Exhibit D fr R Gho 12-31-08 v2 2 2 2" xfId="25918"/>
    <cellStyle name="_Power Cost Value Copy 11.30.05 gas 1.09.06 AURORA at 1.10.06_Exhibit D fr R Gho 12-31-08 v2 2 2 2 2" xfId="25919"/>
    <cellStyle name="_Power Cost Value Copy 11.30.05 gas 1.09.06 AURORA at 1.10.06_Exhibit D fr R Gho 12-31-08 v2 2 2 3" xfId="25920"/>
    <cellStyle name="_Power Cost Value Copy 11.30.05 gas 1.09.06 AURORA at 1.10.06_Exhibit D fr R Gho 12-31-08 v2 2 3" xfId="25921"/>
    <cellStyle name="_Power Cost Value Copy 11.30.05 gas 1.09.06 AURORA at 1.10.06_Exhibit D fr R Gho 12-31-08 v2 2 3 2" xfId="25922"/>
    <cellStyle name="_Power Cost Value Copy 11.30.05 gas 1.09.06 AURORA at 1.10.06_Exhibit D fr R Gho 12-31-08 v2 2 4" xfId="25923"/>
    <cellStyle name="_Power Cost Value Copy 11.30.05 gas 1.09.06 AURORA at 1.10.06_Exhibit D fr R Gho 12-31-08 v2 2 5" xfId="7516"/>
    <cellStyle name="_Power Cost Value Copy 11.30.05 gas 1.09.06 AURORA at 1.10.06_Exhibit D fr R Gho 12-31-08 v2 3" xfId="5181"/>
    <cellStyle name="_Power Cost Value Copy 11.30.05 gas 1.09.06 AURORA at 1.10.06_Exhibit D fr R Gho 12-31-08 v2 3 2" xfId="25924"/>
    <cellStyle name="_Power Cost Value Copy 11.30.05 gas 1.09.06 AURORA at 1.10.06_Exhibit D fr R Gho 12-31-08 v2 3 2 2" xfId="25925"/>
    <cellStyle name="_Power Cost Value Copy 11.30.05 gas 1.09.06 AURORA at 1.10.06_Exhibit D fr R Gho 12-31-08 v2 3 3" xfId="25926"/>
    <cellStyle name="_Power Cost Value Copy 11.30.05 gas 1.09.06 AURORA at 1.10.06_Exhibit D fr R Gho 12-31-08 v2 3 4" xfId="25927"/>
    <cellStyle name="_Power Cost Value Copy 11.30.05 gas 1.09.06 AURORA at 1.10.06_Exhibit D fr R Gho 12-31-08 v2 4" xfId="25928"/>
    <cellStyle name="_Power Cost Value Copy 11.30.05 gas 1.09.06 AURORA at 1.10.06_Exhibit D fr R Gho 12-31-08 v2 4 2" xfId="25929"/>
    <cellStyle name="_Power Cost Value Copy 11.30.05 gas 1.09.06 AURORA at 1.10.06_Exhibit D fr R Gho 12-31-08 v2 5" xfId="25930"/>
    <cellStyle name="_Power Cost Value Copy 11.30.05 gas 1.09.06 AURORA at 1.10.06_Exhibit D fr R Gho 12-31-08 v2 6" xfId="7515"/>
    <cellStyle name="_Power Cost Value Copy 11.30.05 gas 1.09.06 AURORA at 1.10.06_Exhibit D fr R Gho 12-31-08 v2_DEM-WP(C) ENERG10C--ctn Mid-C_042010 2010GRC" xfId="12884"/>
    <cellStyle name="_Power Cost Value Copy 11.30.05 gas 1.09.06 AURORA at 1.10.06_Exhibit D fr R Gho 12-31-08 v2_DEM-WP(C) ENERG10C--ctn Mid-C_042010 2010GRC 2" xfId="41513"/>
    <cellStyle name="_Power Cost Value Copy 11.30.05 gas 1.09.06 AURORA at 1.10.06_Exhibit D fr R Gho 12-31-08 v2_NIM Summary" xfId="1814"/>
    <cellStyle name="_Power Cost Value Copy 11.30.05 gas 1.09.06 AURORA at 1.10.06_Exhibit D fr R Gho 12-31-08 v2_NIM Summary 2" xfId="1815"/>
    <cellStyle name="_Power Cost Value Copy 11.30.05 gas 1.09.06 AURORA at 1.10.06_Exhibit D fr R Gho 12-31-08 v2_NIM Summary 2 2" xfId="5184"/>
    <cellStyle name="_Power Cost Value Copy 11.30.05 gas 1.09.06 AURORA at 1.10.06_Exhibit D fr R Gho 12-31-08 v2_NIM Summary 2 2 2" xfId="25931"/>
    <cellStyle name="_Power Cost Value Copy 11.30.05 gas 1.09.06 AURORA at 1.10.06_Exhibit D fr R Gho 12-31-08 v2_NIM Summary 2 2 2 2" xfId="25932"/>
    <cellStyle name="_Power Cost Value Copy 11.30.05 gas 1.09.06 AURORA at 1.10.06_Exhibit D fr R Gho 12-31-08 v2_NIM Summary 2 2 3" xfId="25933"/>
    <cellStyle name="_Power Cost Value Copy 11.30.05 gas 1.09.06 AURORA at 1.10.06_Exhibit D fr R Gho 12-31-08 v2_NIM Summary 2 3" xfId="25934"/>
    <cellStyle name="_Power Cost Value Copy 11.30.05 gas 1.09.06 AURORA at 1.10.06_Exhibit D fr R Gho 12-31-08 v2_NIM Summary 2 3 2" xfId="25935"/>
    <cellStyle name="_Power Cost Value Copy 11.30.05 gas 1.09.06 AURORA at 1.10.06_Exhibit D fr R Gho 12-31-08 v2_NIM Summary 2 4" xfId="25936"/>
    <cellStyle name="_Power Cost Value Copy 11.30.05 gas 1.09.06 AURORA at 1.10.06_Exhibit D fr R Gho 12-31-08 v2_NIM Summary 2 5" xfId="7518"/>
    <cellStyle name="_Power Cost Value Copy 11.30.05 gas 1.09.06 AURORA at 1.10.06_Exhibit D fr R Gho 12-31-08 v2_NIM Summary 3" xfId="5183"/>
    <cellStyle name="_Power Cost Value Copy 11.30.05 gas 1.09.06 AURORA at 1.10.06_Exhibit D fr R Gho 12-31-08 v2_NIM Summary 3 2" xfId="25937"/>
    <cellStyle name="_Power Cost Value Copy 11.30.05 gas 1.09.06 AURORA at 1.10.06_Exhibit D fr R Gho 12-31-08 v2_NIM Summary 3 2 2" xfId="25938"/>
    <cellStyle name="_Power Cost Value Copy 11.30.05 gas 1.09.06 AURORA at 1.10.06_Exhibit D fr R Gho 12-31-08 v2_NIM Summary 3 3" xfId="25939"/>
    <cellStyle name="_Power Cost Value Copy 11.30.05 gas 1.09.06 AURORA at 1.10.06_Exhibit D fr R Gho 12-31-08 v2_NIM Summary 3 4" xfId="25940"/>
    <cellStyle name="_Power Cost Value Copy 11.30.05 gas 1.09.06 AURORA at 1.10.06_Exhibit D fr R Gho 12-31-08 v2_NIM Summary 4" xfId="25941"/>
    <cellStyle name="_Power Cost Value Copy 11.30.05 gas 1.09.06 AURORA at 1.10.06_Exhibit D fr R Gho 12-31-08 v2_NIM Summary 4 2" xfId="25942"/>
    <cellStyle name="_Power Cost Value Copy 11.30.05 gas 1.09.06 AURORA at 1.10.06_Exhibit D fr R Gho 12-31-08 v2_NIM Summary 5" xfId="25943"/>
    <cellStyle name="_Power Cost Value Copy 11.30.05 gas 1.09.06 AURORA at 1.10.06_Exhibit D fr R Gho 12-31-08 v2_NIM Summary 6" xfId="7517"/>
    <cellStyle name="_Power Cost Value Copy 11.30.05 gas 1.09.06 AURORA at 1.10.06_Exhibit D fr R Gho 12-31-08 v2_NIM Summary_DEM-WP(C) ENERG10C--ctn Mid-C_042010 2010GRC" xfId="12885"/>
    <cellStyle name="_Power Cost Value Copy 11.30.05 gas 1.09.06 AURORA at 1.10.06_Exhibit D fr R Gho 12-31-08 v2_NIM Summary_DEM-WP(C) ENERG10C--ctn Mid-C_042010 2010GRC 2" xfId="41514"/>
    <cellStyle name="_Power Cost Value Copy 11.30.05 gas 1.09.06 AURORA at 1.10.06_Exhibit D fr R Gho 12-31-08_DEM-WP(C) ENERG10C--ctn Mid-C_042010 2010GRC" xfId="12886"/>
    <cellStyle name="_Power Cost Value Copy 11.30.05 gas 1.09.06 AURORA at 1.10.06_Exhibit D fr R Gho 12-31-08_DEM-WP(C) ENERG10C--ctn Mid-C_042010 2010GRC 2" xfId="41515"/>
    <cellStyle name="_Power Cost Value Copy 11.30.05 gas 1.09.06 AURORA at 1.10.06_Exhibit D fr R Gho 12-31-08_NIM Summary" xfId="1816"/>
    <cellStyle name="_Power Cost Value Copy 11.30.05 gas 1.09.06 AURORA at 1.10.06_Exhibit D fr R Gho 12-31-08_NIM Summary 2" xfId="1817"/>
    <cellStyle name="_Power Cost Value Copy 11.30.05 gas 1.09.06 AURORA at 1.10.06_Exhibit D fr R Gho 12-31-08_NIM Summary 2 2" xfId="5186"/>
    <cellStyle name="_Power Cost Value Copy 11.30.05 gas 1.09.06 AURORA at 1.10.06_Exhibit D fr R Gho 12-31-08_NIM Summary 2 2 2" xfId="25944"/>
    <cellStyle name="_Power Cost Value Copy 11.30.05 gas 1.09.06 AURORA at 1.10.06_Exhibit D fr R Gho 12-31-08_NIM Summary 2 2 2 2" xfId="25945"/>
    <cellStyle name="_Power Cost Value Copy 11.30.05 gas 1.09.06 AURORA at 1.10.06_Exhibit D fr R Gho 12-31-08_NIM Summary 2 2 3" xfId="25946"/>
    <cellStyle name="_Power Cost Value Copy 11.30.05 gas 1.09.06 AURORA at 1.10.06_Exhibit D fr R Gho 12-31-08_NIM Summary 2 3" xfId="25947"/>
    <cellStyle name="_Power Cost Value Copy 11.30.05 gas 1.09.06 AURORA at 1.10.06_Exhibit D fr R Gho 12-31-08_NIM Summary 2 3 2" xfId="25948"/>
    <cellStyle name="_Power Cost Value Copy 11.30.05 gas 1.09.06 AURORA at 1.10.06_Exhibit D fr R Gho 12-31-08_NIM Summary 2 4" xfId="25949"/>
    <cellStyle name="_Power Cost Value Copy 11.30.05 gas 1.09.06 AURORA at 1.10.06_Exhibit D fr R Gho 12-31-08_NIM Summary 2 5" xfId="7520"/>
    <cellStyle name="_Power Cost Value Copy 11.30.05 gas 1.09.06 AURORA at 1.10.06_Exhibit D fr R Gho 12-31-08_NIM Summary 3" xfId="5185"/>
    <cellStyle name="_Power Cost Value Copy 11.30.05 gas 1.09.06 AURORA at 1.10.06_Exhibit D fr R Gho 12-31-08_NIM Summary 3 2" xfId="25950"/>
    <cellStyle name="_Power Cost Value Copy 11.30.05 gas 1.09.06 AURORA at 1.10.06_Exhibit D fr R Gho 12-31-08_NIM Summary 3 2 2" xfId="25951"/>
    <cellStyle name="_Power Cost Value Copy 11.30.05 gas 1.09.06 AURORA at 1.10.06_Exhibit D fr R Gho 12-31-08_NIM Summary 3 3" xfId="25952"/>
    <cellStyle name="_Power Cost Value Copy 11.30.05 gas 1.09.06 AURORA at 1.10.06_Exhibit D fr R Gho 12-31-08_NIM Summary 3 4" xfId="25953"/>
    <cellStyle name="_Power Cost Value Copy 11.30.05 gas 1.09.06 AURORA at 1.10.06_Exhibit D fr R Gho 12-31-08_NIM Summary 4" xfId="25954"/>
    <cellStyle name="_Power Cost Value Copy 11.30.05 gas 1.09.06 AURORA at 1.10.06_Exhibit D fr R Gho 12-31-08_NIM Summary 4 2" xfId="25955"/>
    <cellStyle name="_Power Cost Value Copy 11.30.05 gas 1.09.06 AURORA at 1.10.06_Exhibit D fr R Gho 12-31-08_NIM Summary 5" xfId="25956"/>
    <cellStyle name="_Power Cost Value Copy 11.30.05 gas 1.09.06 AURORA at 1.10.06_Exhibit D fr R Gho 12-31-08_NIM Summary 6" xfId="7519"/>
    <cellStyle name="_Power Cost Value Copy 11.30.05 gas 1.09.06 AURORA at 1.10.06_Exhibit D fr R Gho 12-31-08_NIM Summary_DEM-WP(C) ENERG10C--ctn Mid-C_042010 2010GRC" xfId="12887"/>
    <cellStyle name="_Power Cost Value Copy 11.30.05 gas 1.09.06 AURORA at 1.10.06_Exhibit D fr R Gho 12-31-08_NIM Summary_DEM-WP(C) ENERG10C--ctn Mid-C_042010 2010GRC 2" xfId="41516"/>
    <cellStyle name="_Power Cost Value Copy 11.30.05 gas 1.09.06 AURORA at 1.10.06_Hopkins Ridge Prepaid Tran - Interest Earned RY 12ME Feb  '11" xfId="1818"/>
    <cellStyle name="_Power Cost Value Copy 11.30.05 gas 1.09.06 AURORA at 1.10.06_Hopkins Ridge Prepaid Tran - Interest Earned RY 12ME Feb  '11 2" xfId="1819"/>
    <cellStyle name="_Power Cost Value Copy 11.30.05 gas 1.09.06 AURORA at 1.10.06_Hopkins Ridge Prepaid Tran - Interest Earned RY 12ME Feb  '11 2 2" xfId="5188"/>
    <cellStyle name="_Power Cost Value Copy 11.30.05 gas 1.09.06 AURORA at 1.10.06_Hopkins Ridge Prepaid Tran - Interest Earned RY 12ME Feb  '11 2 2 2" xfId="25957"/>
    <cellStyle name="_Power Cost Value Copy 11.30.05 gas 1.09.06 AURORA at 1.10.06_Hopkins Ridge Prepaid Tran - Interest Earned RY 12ME Feb  '11 2 2 2 2" xfId="25958"/>
    <cellStyle name="_Power Cost Value Copy 11.30.05 gas 1.09.06 AURORA at 1.10.06_Hopkins Ridge Prepaid Tran - Interest Earned RY 12ME Feb  '11 2 2 3" xfId="25959"/>
    <cellStyle name="_Power Cost Value Copy 11.30.05 gas 1.09.06 AURORA at 1.10.06_Hopkins Ridge Prepaid Tran - Interest Earned RY 12ME Feb  '11 2 3" xfId="25960"/>
    <cellStyle name="_Power Cost Value Copy 11.30.05 gas 1.09.06 AURORA at 1.10.06_Hopkins Ridge Prepaid Tran - Interest Earned RY 12ME Feb  '11 2 3 2" xfId="25961"/>
    <cellStyle name="_Power Cost Value Copy 11.30.05 gas 1.09.06 AURORA at 1.10.06_Hopkins Ridge Prepaid Tran - Interest Earned RY 12ME Feb  '11 2 4" xfId="25962"/>
    <cellStyle name="_Power Cost Value Copy 11.30.05 gas 1.09.06 AURORA at 1.10.06_Hopkins Ridge Prepaid Tran - Interest Earned RY 12ME Feb  '11 2 5" xfId="7522"/>
    <cellStyle name="_Power Cost Value Copy 11.30.05 gas 1.09.06 AURORA at 1.10.06_Hopkins Ridge Prepaid Tran - Interest Earned RY 12ME Feb  '11 3" xfId="5187"/>
    <cellStyle name="_Power Cost Value Copy 11.30.05 gas 1.09.06 AURORA at 1.10.06_Hopkins Ridge Prepaid Tran - Interest Earned RY 12ME Feb  '11 3 2" xfId="25963"/>
    <cellStyle name="_Power Cost Value Copy 11.30.05 gas 1.09.06 AURORA at 1.10.06_Hopkins Ridge Prepaid Tran - Interest Earned RY 12ME Feb  '11 3 2 2" xfId="25964"/>
    <cellStyle name="_Power Cost Value Copy 11.30.05 gas 1.09.06 AURORA at 1.10.06_Hopkins Ridge Prepaid Tran - Interest Earned RY 12ME Feb  '11 3 3" xfId="25965"/>
    <cellStyle name="_Power Cost Value Copy 11.30.05 gas 1.09.06 AURORA at 1.10.06_Hopkins Ridge Prepaid Tran - Interest Earned RY 12ME Feb  '11 3 4" xfId="25966"/>
    <cellStyle name="_Power Cost Value Copy 11.30.05 gas 1.09.06 AURORA at 1.10.06_Hopkins Ridge Prepaid Tran - Interest Earned RY 12ME Feb  '11 4" xfId="25967"/>
    <cellStyle name="_Power Cost Value Copy 11.30.05 gas 1.09.06 AURORA at 1.10.06_Hopkins Ridge Prepaid Tran - Interest Earned RY 12ME Feb  '11 4 2" xfId="25968"/>
    <cellStyle name="_Power Cost Value Copy 11.30.05 gas 1.09.06 AURORA at 1.10.06_Hopkins Ridge Prepaid Tran - Interest Earned RY 12ME Feb  '11 5" xfId="25969"/>
    <cellStyle name="_Power Cost Value Copy 11.30.05 gas 1.09.06 AURORA at 1.10.06_Hopkins Ridge Prepaid Tran - Interest Earned RY 12ME Feb  '11 6" xfId="7521"/>
    <cellStyle name="_Power Cost Value Copy 11.30.05 gas 1.09.06 AURORA at 1.10.06_Hopkins Ridge Prepaid Tran - Interest Earned RY 12ME Feb  '11_DEM-WP(C) ENERG10C--ctn Mid-C_042010 2010GRC" xfId="12888"/>
    <cellStyle name="_Power Cost Value Copy 11.30.05 gas 1.09.06 AURORA at 1.10.06_Hopkins Ridge Prepaid Tran - Interest Earned RY 12ME Feb  '11_DEM-WP(C) ENERG10C--ctn Mid-C_042010 2010GRC 2" xfId="41517"/>
    <cellStyle name="_Power Cost Value Copy 11.30.05 gas 1.09.06 AURORA at 1.10.06_Hopkins Ridge Prepaid Tran - Interest Earned RY 12ME Feb  '11_NIM Summary" xfId="1820"/>
    <cellStyle name="_Power Cost Value Copy 11.30.05 gas 1.09.06 AURORA at 1.10.06_Hopkins Ridge Prepaid Tran - Interest Earned RY 12ME Feb  '11_NIM Summary 2" xfId="1821"/>
    <cellStyle name="_Power Cost Value Copy 11.30.05 gas 1.09.06 AURORA at 1.10.06_Hopkins Ridge Prepaid Tran - Interest Earned RY 12ME Feb  '11_NIM Summary 2 2" xfId="5190"/>
    <cellStyle name="_Power Cost Value Copy 11.30.05 gas 1.09.06 AURORA at 1.10.06_Hopkins Ridge Prepaid Tran - Interest Earned RY 12ME Feb  '11_NIM Summary 2 2 2" xfId="25970"/>
    <cellStyle name="_Power Cost Value Copy 11.30.05 gas 1.09.06 AURORA at 1.10.06_Hopkins Ridge Prepaid Tran - Interest Earned RY 12ME Feb  '11_NIM Summary 2 2 2 2" xfId="25971"/>
    <cellStyle name="_Power Cost Value Copy 11.30.05 gas 1.09.06 AURORA at 1.10.06_Hopkins Ridge Prepaid Tran - Interest Earned RY 12ME Feb  '11_NIM Summary 2 2 3" xfId="25972"/>
    <cellStyle name="_Power Cost Value Copy 11.30.05 gas 1.09.06 AURORA at 1.10.06_Hopkins Ridge Prepaid Tran - Interest Earned RY 12ME Feb  '11_NIM Summary 2 3" xfId="25973"/>
    <cellStyle name="_Power Cost Value Copy 11.30.05 gas 1.09.06 AURORA at 1.10.06_Hopkins Ridge Prepaid Tran - Interest Earned RY 12ME Feb  '11_NIM Summary 2 3 2" xfId="25974"/>
    <cellStyle name="_Power Cost Value Copy 11.30.05 gas 1.09.06 AURORA at 1.10.06_Hopkins Ridge Prepaid Tran - Interest Earned RY 12ME Feb  '11_NIM Summary 2 4" xfId="25975"/>
    <cellStyle name="_Power Cost Value Copy 11.30.05 gas 1.09.06 AURORA at 1.10.06_Hopkins Ridge Prepaid Tran - Interest Earned RY 12ME Feb  '11_NIM Summary 2 5" xfId="7524"/>
    <cellStyle name="_Power Cost Value Copy 11.30.05 gas 1.09.06 AURORA at 1.10.06_Hopkins Ridge Prepaid Tran - Interest Earned RY 12ME Feb  '11_NIM Summary 3" xfId="5189"/>
    <cellStyle name="_Power Cost Value Copy 11.30.05 gas 1.09.06 AURORA at 1.10.06_Hopkins Ridge Prepaid Tran - Interest Earned RY 12ME Feb  '11_NIM Summary 3 2" xfId="25976"/>
    <cellStyle name="_Power Cost Value Copy 11.30.05 gas 1.09.06 AURORA at 1.10.06_Hopkins Ridge Prepaid Tran - Interest Earned RY 12ME Feb  '11_NIM Summary 3 2 2" xfId="25977"/>
    <cellStyle name="_Power Cost Value Copy 11.30.05 gas 1.09.06 AURORA at 1.10.06_Hopkins Ridge Prepaid Tran - Interest Earned RY 12ME Feb  '11_NIM Summary 3 3" xfId="25978"/>
    <cellStyle name="_Power Cost Value Copy 11.30.05 gas 1.09.06 AURORA at 1.10.06_Hopkins Ridge Prepaid Tran - Interest Earned RY 12ME Feb  '11_NIM Summary 3 4" xfId="25979"/>
    <cellStyle name="_Power Cost Value Copy 11.30.05 gas 1.09.06 AURORA at 1.10.06_Hopkins Ridge Prepaid Tran - Interest Earned RY 12ME Feb  '11_NIM Summary 4" xfId="25980"/>
    <cellStyle name="_Power Cost Value Copy 11.30.05 gas 1.09.06 AURORA at 1.10.06_Hopkins Ridge Prepaid Tran - Interest Earned RY 12ME Feb  '11_NIM Summary 4 2" xfId="25981"/>
    <cellStyle name="_Power Cost Value Copy 11.30.05 gas 1.09.06 AURORA at 1.10.06_Hopkins Ridge Prepaid Tran - Interest Earned RY 12ME Feb  '11_NIM Summary 5" xfId="25982"/>
    <cellStyle name="_Power Cost Value Copy 11.30.05 gas 1.09.06 AURORA at 1.10.06_Hopkins Ridge Prepaid Tran - Interest Earned RY 12ME Feb  '11_NIM Summary 6" xfId="7523"/>
    <cellStyle name="_Power Cost Value Copy 11.30.05 gas 1.09.06 AURORA at 1.10.06_Hopkins Ridge Prepaid Tran - Interest Earned RY 12ME Feb  '11_NIM Summary_DEM-WP(C) ENERG10C--ctn Mid-C_042010 2010GRC" xfId="12889"/>
    <cellStyle name="_Power Cost Value Copy 11.30.05 gas 1.09.06 AURORA at 1.10.06_Hopkins Ridge Prepaid Tran - Interest Earned RY 12ME Feb  '11_NIM Summary_DEM-WP(C) ENERG10C--ctn Mid-C_042010 2010GRC 2" xfId="41518"/>
    <cellStyle name="_Power Cost Value Copy 11.30.05 gas 1.09.06 AURORA at 1.10.06_Hopkins Ridge Prepaid Tran - Interest Earned RY 12ME Feb  '11_Transmission Workbook for May BOD" xfId="1822"/>
    <cellStyle name="_Power Cost Value Copy 11.30.05 gas 1.09.06 AURORA at 1.10.06_Hopkins Ridge Prepaid Tran - Interest Earned RY 12ME Feb  '11_Transmission Workbook for May BOD 2" xfId="1823"/>
    <cellStyle name="_Power Cost Value Copy 11.30.05 gas 1.09.06 AURORA at 1.10.06_Hopkins Ridge Prepaid Tran - Interest Earned RY 12ME Feb  '11_Transmission Workbook for May BOD 2 2" xfId="5192"/>
    <cellStyle name="_Power Cost Value Copy 11.30.05 gas 1.09.06 AURORA at 1.10.06_Hopkins Ridge Prepaid Tran - Interest Earned RY 12ME Feb  '11_Transmission Workbook for May BOD 2 2 2" xfId="25983"/>
    <cellStyle name="_Power Cost Value Copy 11.30.05 gas 1.09.06 AURORA at 1.10.06_Hopkins Ridge Prepaid Tran - Interest Earned RY 12ME Feb  '11_Transmission Workbook for May BOD 2 2 2 2" xfId="25984"/>
    <cellStyle name="_Power Cost Value Copy 11.30.05 gas 1.09.06 AURORA at 1.10.06_Hopkins Ridge Prepaid Tran - Interest Earned RY 12ME Feb  '11_Transmission Workbook for May BOD 2 2 3" xfId="25985"/>
    <cellStyle name="_Power Cost Value Copy 11.30.05 gas 1.09.06 AURORA at 1.10.06_Hopkins Ridge Prepaid Tran - Interest Earned RY 12ME Feb  '11_Transmission Workbook for May BOD 2 3" xfId="25986"/>
    <cellStyle name="_Power Cost Value Copy 11.30.05 gas 1.09.06 AURORA at 1.10.06_Hopkins Ridge Prepaid Tran - Interest Earned RY 12ME Feb  '11_Transmission Workbook for May BOD 2 3 2" xfId="25987"/>
    <cellStyle name="_Power Cost Value Copy 11.30.05 gas 1.09.06 AURORA at 1.10.06_Hopkins Ridge Prepaid Tran - Interest Earned RY 12ME Feb  '11_Transmission Workbook for May BOD 2 4" xfId="25988"/>
    <cellStyle name="_Power Cost Value Copy 11.30.05 gas 1.09.06 AURORA at 1.10.06_Hopkins Ridge Prepaid Tran - Interest Earned RY 12ME Feb  '11_Transmission Workbook for May BOD 2 5" xfId="7526"/>
    <cellStyle name="_Power Cost Value Copy 11.30.05 gas 1.09.06 AURORA at 1.10.06_Hopkins Ridge Prepaid Tran - Interest Earned RY 12ME Feb  '11_Transmission Workbook for May BOD 3" xfId="5191"/>
    <cellStyle name="_Power Cost Value Copy 11.30.05 gas 1.09.06 AURORA at 1.10.06_Hopkins Ridge Prepaid Tran - Interest Earned RY 12ME Feb  '11_Transmission Workbook for May BOD 3 2" xfId="25989"/>
    <cellStyle name="_Power Cost Value Copy 11.30.05 gas 1.09.06 AURORA at 1.10.06_Hopkins Ridge Prepaid Tran - Interest Earned RY 12ME Feb  '11_Transmission Workbook for May BOD 3 2 2" xfId="25990"/>
    <cellStyle name="_Power Cost Value Copy 11.30.05 gas 1.09.06 AURORA at 1.10.06_Hopkins Ridge Prepaid Tran - Interest Earned RY 12ME Feb  '11_Transmission Workbook for May BOD 3 3" xfId="25991"/>
    <cellStyle name="_Power Cost Value Copy 11.30.05 gas 1.09.06 AURORA at 1.10.06_Hopkins Ridge Prepaid Tran - Interest Earned RY 12ME Feb  '11_Transmission Workbook for May BOD 3 4" xfId="25992"/>
    <cellStyle name="_Power Cost Value Copy 11.30.05 gas 1.09.06 AURORA at 1.10.06_Hopkins Ridge Prepaid Tran - Interest Earned RY 12ME Feb  '11_Transmission Workbook for May BOD 4" xfId="25993"/>
    <cellStyle name="_Power Cost Value Copy 11.30.05 gas 1.09.06 AURORA at 1.10.06_Hopkins Ridge Prepaid Tran - Interest Earned RY 12ME Feb  '11_Transmission Workbook for May BOD 4 2" xfId="25994"/>
    <cellStyle name="_Power Cost Value Copy 11.30.05 gas 1.09.06 AURORA at 1.10.06_Hopkins Ridge Prepaid Tran - Interest Earned RY 12ME Feb  '11_Transmission Workbook for May BOD 5" xfId="25995"/>
    <cellStyle name="_Power Cost Value Copy 11.30.05 gas 1.09.06 AURORA at 1.10.06_Hopkins Ridge Prepaid Tran - Interest Earned RY 12ME Feb  '11_Transmission Workbook for May BOD 6" xfId="7525"/>
    <cellStyle name="_Power Cost Value Copy 11.30.05 gas 1.09.06 AURORA at 1.10.06_Hopkins Ridge Prepaid Tran - Interest Earned RY 12ME Feb  '11_Transmission Workbook for May BOD_DEM-WP(C) ENERG10C--ctn Mid-C_042010 2010GRC" xfId="12890"/>
    <cellStyle name="_Power Cost Value Copy 11.30.05 gas 1.09.06 AURORA at 1.10.06_Hopkins Ridge Prepaid Tran - Interest Earned RY 12ME Feb  '11_Transmission Workbook for May BOD_DEM-WP(C) ENERG10C--ctn Mid-C_042010 2010GRC 2" xfId="41519"/>
    <cellStyle name="_Power Cost Value Copy 11.30.05 gas 1.09.06 AURORA at 1.10.06_INPUTS" xfId="7527"/>
    <cellStyle name="_Power Cost Value Copy 11.30.05 gas 1.09.06 AURORA at 1.10.06_INPUTS 2" xfId="7528"/>
    <cellStyle name="_Power Cost Value Copy 11.30.05 gas 1.09.06 AURORA at 1.10.06_INPUTS 2 2" xfId="7529"/>
    <cellStyle name="_Power Cost Value Copy 11.30.05 gas 1.09.06 AURORA at 1.10.06_INPUTS 2 2 2" xfId="7530"/>
    <cellStyle name="_Power Cost Value Copy 11.30.05 gas 1.09.06 AURORA at 1.10.06_INPUTS 2 2 2 2" xfId="21199"/>
    <cellStyle name="_Power Cost Value Copy 11.30.05 gas 1.09.06 AURORA at 1.10.06_INPUTS 2 2 3" xfId="18595"/>
    <cellStyle name="_Power Cost Value Copy 11.30.05 gas 1.09.06 AURORA at 1.10.06_INPUTS 2 3" xfId="7531"/>
    <cellStyle name="_Power Cost Value Copy 11.30.05 gas 1.09.06 AURORA at 1.10.06_INPUTS 2 3 2" xfId="7532"/>
    <cellStyle name="_Power Cost Value Copy 11.30.05 gas 1.09.06 AURORA at 1.10.06_INPUTS 2 3 2 2" xfId="21200"/>
    <cellStyle name="_Power Cost Value Copy 11.30.05 gas 1.09.06 AURORA at 1.10.06_INPUTS 2 3 3" xfId="18596"/>
    <cellStyle name="_Power Cost Value Copy 11.30.05 gas 1.09.06 AURORA at 1.10.06_INPUTS 2 4" xfId="7533"/>
    <cellStyle name="_Power Cost Value Copy 11.30.05 gas 1.09.06 AURORA at 1.10.06_INPUTS 2 4 2" xfId="7534"/>
    <cellStyle name="_Power Cost Value Copy 11.30.05 gas 1.09.06 AURORA at 1.10.06_INPUTS 2 4 2 2" xfId="21201"/>
    <cellStyle name="_Power Cost Value Copy 11.30.05 gas 1.09.06 AURORA at 1.10.06_INPUTS 2 4 3" xfId="18597"/>
    <cellStyle name="_Power Cost Value Copy 11.30.05 gas 1.09.06 AURORA at 1.10.06_INPUTS 2 5" xfId="18594"/>
    <cellStyle name="_Power Cost Value Copy 11.30.05 gas 1.09.06 AURORA at 1.10.06_INPUTS 3" xfId="7535"/>
    <cellStyle name="_Power Cost Value Copy 11.30.05 gas 1.09.06 AURORA at 1.10.06_INPUTS 3 2" xfId="7536"/>
    <cellStyle name="_Power Cost Value Copy 11.30.05 gas 1.09.06 AURORA at 1.10.06_INPUTS 3 2 2" xfId="21202"/>
    <cellStyle name="_Power Cost Value Copy 11.30.05 gas 1.09.06 AURORA at 1.10.06_INPUTS 3 3" xfId="18598"/>
    <cellStyle name="_Power Cost Value Copy 11.30.05 gas 1.09.06 AURORA at 1.10.06_INPUTS 4" xfId="7537"/>
    <cellStyle name="_Power Cost Value Copy 11.30.05 gas 1.09.06 AURORA at 1.10.06_INPUTS 4 2" xfId="7538"/>
    <cellStyle name="_Power Cost Value Copy 11.30.05 gas 1.09.06 AURORA at 1.10.06_INPUTS 4 2 2" xfId="21203"/>
    <cellStyle name="_Power Cost Value Copy 11.30.05 gas 1.09.06 AURORA at 1.10.06_INPUTS 4 3" xfId="18599"/>
    <cellStyle name="_Power Cost Value Copy 11.30.05 gas 1.09.06 AURORA at 1.10.06_INPUTS 5" xfId="7539"/>
    <cellStyle name="_Power Cost Value Copy 11.30.05 gas 1.09.06 AURORA at 1.10.06_INPUTS 5 2" xfId="21204"/>
    <cellStyle name="_Power Cost Value Copy 11.30.05 gas 1.09.06 AURORA at 1.10.06_INPUTS 6" xfId="18593"/>
    <cellStyle name="_Power Cost Value Copy 11.30.05 gas 1.09.06 AURORA at 1.10.06_Leased Transformer &amp; Substation Plant &amp; Rev 12-2009" xfId="7540"/>
    <cellStyle name="_Power Cost Value Copy 11.30.05 gas 1.09.06 AURORA at 1.10.06_Leased Transformer &amp; Substation Plant &amp; Rev 12-2009 2" xfId="7541"/>
    <cellStyle name="_Power Cost Value Copy 11.30.05 gas 1.09.06 AURORA at 1.10.06_Leased Transformer &amp; Substation Plant &amp; Rev 12-2009 2 2" xfId="7542"/>
    <cellStyle name="_Power Cost Value Copy 11.30.05 gas 1.09.06 AURORA at 1.10.06_Leased Transformer &amp; Substation Plant &amp; Rev 12-2009 2 2 2" xfId="7543"/>
    <cellStyle name="_Power Cost Value Copy 11.30.05 gas 1.09.06 AURORA at 1.10.06_Leased Transformer &amp; Substation Plant &amp; Rev 12-2009 2 2 2 2" xfId="21205"/>
    <cellStyle name="_Power Cost Value Copy 11.30.05 gas 1.09.06 AURORA at 1.10.06_Leased Transformer &amp; Substation Plant &amp; Rev 12-2009 2 2 3" xfId="18602"/>
    <cellStyle name="_Power Cost Value Copy 11.30.05 gas 1.09.06 AURORA at 1.10.06_Leased Transformer &amp; Substation Plant &amp; Rev 12-2009 2 3" xfId="7544"/>
    <cellStyle name="_Power Cost Value Copy 11.30.05 gas 1.09.06 AURORA at 1.10.06_Leased Transformer &amp; Substation Plant &amp; Rev 12-2009 2 3 2" xfId="7545"/>
    <cellStyle name="_Power Cost Value Copy 11.30.05 gas 1.09.06 AURORA at 1.10.06_Leased Transformer &amp; Substation Plant &amp; Rev 12-2009 2 3 2 2" xfId="21206"/>
    <cellStyle name="_Power Cost Value Copy 11.30.05 gas 1.09.06 AURORA at 1.10.06_Leased Transformer &amp; Substation Plant &amp; Rev 12-2009 2 3 3" xfId="18603"/>
    <cellStyle name="_Power Cost Value Copy 11.30.05 gas 1.09.06 AURORA at 1.10.06_Leased Transformer &amp; Substation Plant &amp; Rev 12-2009 2 4" xfId="7546"/>
    <cellStyle name="_Power Cost Value Copy 11.30.05 gas 1.09.06 AURORA at 1.10.06_Leased Transformer &amp; Substation Plant &amp; Rev 12-2009 2 4 2" xfId="7547"/>
    <cellStyle name="_Power Cost Value Copy 11.30.05 gas 1.09.06 AURORA at 1.10.06_Leased Transformer &amp; Substation Plant &amp; Rev 12-2009 2 4 2 2" xfId="21207"/>
    <cellStyle name="_Power Cost Value Copy 11.30.05 gas 1.09.06 AURORA at 1.10.06_Leased Transformer &amp; Substation Plant &amp; Rev 12-2009 2 4 3" xfId="18604"/>
    <cellStyle name="_Power Cost Value Copy 11.30.05 gas 1.09.06 AURORA at 1.10.06_Leased Transformer &amp; Substation Plant &amp; Rev 12-2009 2 5" xfId="18601"/>
    <cellStyle name="_Power Cost Value Copy 11.30.05 gas 1.09.06 AURORA at 1.10.06_Leased Transformer &amp; Substation Plant &amp; Rev 12-2009 3" xfId="7548"/>
    <cellStyle name="_Power Cost Value Copy 11.30.05 gas 1.09.06 AURORA at 1.10.06_Leased Transformer &amp; Substation Plant &amp; Rev 12-2009 3 2" xfId="7549"/>
    <cellStyle name="_Power Cost Value Copy 11.30.05 gas 1.09.06 AURORA at 1.10.06_Leased Transformer &amp; Substation Plant &amp; Rev 12-2009 3 2 2" xfId="21208"/>
    <cellStyle name="_Power Cost Value Copy 11.30.05 gas 1.09.06 AURORA at 1.10.06_Leased Transformer &amp; Substation Plant &amp; Rev 12-2009 3 3" xfId="18605"/>
    <cellStyle name="_Power Cost Value Copy 11.30.05 gas 1.09.06 AURORA at 1.10.06_Leased Transformer &amp; Substation Plant &amp; Rev 12-2009 4" xfId="7550"/>
    <cellStyle name="_Power Cost Value Copy 11.30.05 gas 1.09.06 AURORA at 1.10.06_Leased Transformer &amp; Substation Plant &amp; Rev 12-2009 4 2" xfId="7551"/>
    <cellStyle name="_Power Cost Value Copy 11.30.05 gas 1.09.06 AURORA at 1.10.06_Leased Transformer &amp; Substation Plant &amp; Rev 12-2009 4 2 2" xfId="21209"/>
    <cellStyle name="_Power Cost Value Copy 11.30.05 gas 1.09.06 AURORA at 1.10.06_Leased Transformer &amp; Substation Plant &amp; Rev 12-2009 4 3" xfId="18606"/>
    <cellStyle name="_Power Cost Value Copy 11.30.05 gas 1.09.06 AURORA at 1.10.06_Leased Transformer &amp; Substation Plant &amp; Rev 12-2009 5" xfId="7552"/>
    <cellStyle name="_Power Cost Value Copy 11.30.05 gas 1.09.06 AURORA at 1.10.06_Leased Transformer &amp; Substation Plant &amp; Rev 12-2009 5 2" xfId="21210"/>
    <cellStyle name="_Power Cost Value Copy 11.30.05 gas 1.09.06 AURORA at 1.10.06_Leased Transformer &amp; Substation Plant &amp; Rev 12-2009 6" xfId="18600"/>
    <cellStyle name="_Power Cost Value Copy 11.30.05 gas 1.09.06 AURORA at 1.10.06_Mint Farm Generation BPA" xfId="25996"/>
    <cellStyle name="_Power Cost Value Copy 11.30.05 gas 1.09.06 AURORA at 1.10.06_NIM Summary" xfId="1824"/>
    <cellStyle name="_Power Cost Value Copy 11.30.05 gas 1.09.06 AURORA at 1.10.06_NIM Summary 09GRC" xfId="1825"/>
    <cellStyle name="_Power Cost Value Copy 11.30.05 gas 1.09.06 AURORA at 1.10.06_NIM Summary 09GRC 2" xfId="1826"/>
    <cellStyle name="_Power Cost Value Copy 11.30.05 gas 1.09.06 AURORA at 1.10.06_NIM Summary 09GRC 2 2" xfId="5195"/>
    <cellStyle name="_Power Cost Value Copy 11.30.05 gas 1.09.06 AURORA at 1.10.06_NIM Summary 09GRC 2 2 2" xfId="25997"/>
    <cellStyle name="_Power Cost Value Copy 11.30.05 gas 1.09.06 AURORA at 1.10.06_NIM Summary 09GRC 2 2 2 2" xfId="25998"/>
    <cellStyle name="_Power Cost Value Copy 11.30.05 gas 1.09.06 AURORA at 1.10.06_NIM Summary 09GRC 2 2 3" xfId="25999"/>
    <cellStyle name="_Power Cost Value Copy 11.30.05 gas 1.09.06 AURORA at 1.10.06_NIM Summary 09GRC 2 3" xfId="26000"/>
    <cellStyle name="_Power Cost Value Copy 11.30.05 gas 1.09.06 AURORA at 1.10.06_NIM Summary 09GRC 2 3 2" xfId="26001"/>
    <cellStyle name="_Power Cost Value Copy 11.30.05 gas 1.09.06 AURORA at 1.10.06_NIM Summary 09GRC 2 4" xfId="26002"/>
    <cellStyle name="_Power Cost Value Copy 11.30.05 gas 1.09.06 AURORA at 1.10.06_NIM Summary 09GRC 2 5" xfId="7555"/>
    <cellStyle name="_Power Cost Value Copy 11.30.05 gas 1.09.06 AURORA at 1.10.06_NIM Summary 09GRC 3" xfId="5194"/>
    <cellStyle name="_Power Cost Value Copy 11.30.05 gas 1.09.06 AURORA at 1.10.06_NIM Summary 09GRC 3 2" xfId="26003"/>
    <cellStyle name="_Power Cost Value Copy 11.30.05 gas 1.09.06 AURORA at 1.10.06_NIM Summary 09GRC 3 2 2" xfId="26004"/>
    <cellStyle name="_Power Cost Value Copy 11.30.05 gas 1.09.06 AURORA at 1.10.06_NIM Summary 09GRC 3 3" xfId="26005"/>
    <cellStyle name="_Power Cost Value Copy 11.30.05 gas 1.09.06 AURORA at 1.10.06_NIM Summary 09GRC 3 4" xfId="26006"/>
    <cellStyle name="_Power Cost Value Copy 11.30.05 gas 1.09.06 AURORA at 1.10.06_NIM Summary 09GRC 4" xfId="26007"/>
    <cellStyle name="_Power Cost Value Copy 11.30.05 gas 1.09.06 AURORA at 1.10.06_NIM Summary 09GRC 4 2" xfId="26008"/>
    <cellStyle name="_Power Cost Value Copy 11.30.05 gas 1.09.06 AURORA at 1.10.06_NIM Summary 09GRC 5" xfId="26009"/>
    <cellStyle name="_Power Cost Value Copy 11.30.05 gas 1.09.06 AURORA at 1.10.06_NIM Summary 09GRC 6" xfId="7554"/>
    <cellStyle name="_Power Cost Value Copy 11.30.05 gas 1.09.06 AURORA at 1.10.06_NIM Summary 09GRC_DEM-WP(C) ENERG10C--ctn Mid-C_042010 2010GRC" xfId="12891"/>
    <cellStyle name="_Power Cost Value Copy 11.30.05 gas 1.09.06 AURORA at 1.10.06_NIM Summary 09GRC_DEM-WP(C) ENERG10C--ctn Mid-C_042010 2010GRC 2" xfId="41520"/>
    <cellStyle name="_Power Cost Value Copy 11.30.05 gas 1.09.06 AURORA at 1.10.06_NIM Summary 10" xfId="5193"/>
    <cellStyle name="_Power Cost Value Copy 11.30.05 gas 1.09.06 AURORA at 1.10.06_NIM Summary 10 2" xfId="26010"/>
    <cellStyle name="_Power Cost Value Copy 11.30.05 gas 1.09.06 AURORA at 1.10.06_NIM Summary 10 2 2" xfId="26011"/>
    <cellStyle name="_Power Cost Value Copy 11.30.05 gas 1.09.06 AURORA at 1.10.06_NIM Summary 10 3" xfId="26012"/>
    <cellStyle name="_Power Cost Value Copy 11.30.05 gas 1.09.06 AURORA at 1.10.06_NIM Summary 10 4" xfId="26013"/>
    <cellStyle name="_Power Cost Value Copy 11.30.05 gas 1.09.06 AURORA at 1.10.06_NIM Summary 11" xfId="6246"/>
    <cellStyle name="_Power Cost Value Copy 11.30.05 gas 1.09.06 AURORA at 1.10.06_NIM Summary 11 2" xfId="26014"/>
    <cellStyle name="_Power Cost Value Copy 11.30.05 gas 1.09.06 AURORA at 1.10.06_NIM Summary 11 2 2" xfId="26015"/>
    <cellStyle name="_Power Cost Value Copy 11.30.05 gas 1.09.06 AURORA at 1.10.06_NIM Summary 11 3" xfId="26016"/>
    <cellStyle name="_Power Cost Value Copy 11.30.05 gas 1.09.06 AURORA at 1.10.06_NIM Summary 11 4" xfId="26017"/>
    <cellStyle name="_Power Cost Value Copy 11.30.05 gas 1.09.06 AURORA at 1.10.06_NIM Summary 12" xfId="6241"/>
    <cellStyle name="_Power Cost Value Copy 11.30.05 gas 1.09.06 AURORA at 1.10.06_NIM Summary 12 2" xfId="26018"/>
    <cellStyle name="_Power Cost Value Copy 11.30.05 gas 1.09.06 AURORA at 1.10.06_NIM Summary 12 2 2" xfId="26019"/>
    <cellStyle name="_Power Cost Value Copy 11.30.05 gas 1.09.06 AURORA at 1.10.06_NIM Summary 12 3" xfId="26020"/>
    <cellStyle name="_Power Cost Value Copy 11.30.05 gas 1.09.06 AURORA at 1.10.06_NIM Summary 12 4" xfId="26021"/>
    <cellStyle name="_Power Cost Value Copy 11.30.05 gas 1.09.06 AURORA at 1.10.06_NIM Summary 13" xfId="6245"/>
    <cellStyle name="_Power Cost Value Copy 11.30.05 gas 1.09.06 AURORA at 1.10.06_NIM Summary 13 2" xfId="26022"/>
    <cellStyle name="_Power Cost Value Copy 11.30.05 gas 1.09.06 AURORA at 1.10.06_NIM Summary 13 2 2" xfId="26023"/>
    <cellStyle name="_Power Cost Value Copy 11.30.05 gas 1.09.06 AURORA at 1.10.06_NIM Summary 13 3" xfId="26024"/>
    <cellStyle name="_Power Cost Value Copy 11.30.05 gas 1.09.06 AURORA at 1.10.06_NIM Summary 13 4" xfId="26025"/>
    <cellStyle name="_Power Cost Value Copy 11.30.05 gas 1.09.06 AURORA at 1.10.06_NIM Summary 14" xfId="6322"/>
    <cellStyle name="_Power Cost Value Copy 11.30.05 gas 1.09.06 AURORA at 1.10.06_NIM Summary 14 2" xfId="26026"/>
    <cellStyle name="_Power Cost Value Copy 11.30.05 gas 1.09.06 AURORA at 1.10.06_NIM Summary 14 2 2" xfId="26027"/>
    <cellStyle name="_Power Cost Value Copy 11.30.05 gas 1.09.06 AURORA at 1.10.06_NIM Summary 14 3" xfId="26028"/>
    <cellStyle name="_Power Cost Value Copy 11.30.05 gas 1.09.06 AURORA at 1.10.06_NIM Summary 14 4" xfId="26029"/>
    <cellStyle name="_Power Cost Value Copy 11.30.05 gas 1.09.06 AURORA at 1.10.06_NIM Summary 15" xfId="15133"/>
    <cellStyle name="_Power Cost Value Copy 11.30.05 gas 1.09.06 AURORA at 1.10.06_NIM Summary 15 2" xfId="26030"/>
    <cellStyle name="_Power Cost Value Copy 11.30.05 gas 1.09.06 AURORA at 1.10.06_NIM Summary 15 2 2" xfId="26031"/>
    <cellStyle name="_Power Cost Value Copy 11.30.05 gas 1.09.06 AURORA at 1.10.06_NIM Summary 15 3" xfId="26032"/>
    <cellStyle name="_Power Cost Value Copy 11.30.05 gas 1.09.06 AURORA at 1.10.06_NIM Summary 15 4" xfId="26033"/>
    <cellStyle name="_Power Cost Value Copy 11.30.05 gas 1.09.06 AURORA at 1.10.06_NIM Summary 16" xfId="15134"/>
    <cellStyle name="_Power Cost Value Copy 11.30.05 gas 1.09.06 AURORA at 1.10.06_NIM Summary 16 2" xfId="26034"/>
    <cellStyle name="_Power Cost Value Copy 11.30.05 gas 1.09.06 AURORA at 1.10.06_NIM Summary 16 2 2" xfId="26035"/>
    <cellStyle name="_Power Cost Value Copy 11.30.05 gas 1.09.06 AURORA at 1.10.06_NIM Summary 16 3" xfId="26036"/>
    <cellStyle name="_Power Cost Value Copy 11.30.05 gas 1.09.06 AURORA at 1.10.06_NIM Summary 16 4" xfId="26037"/>
    <cellStyle name="_Power Cost Value Copy 11.30.05 gas 1.09.06 AURORA at 1.10.06_NIM Summary 17" xfId="15135"/>
    <cellStyle name="_Power Cost Value Copy 11.30.05 gas 1.09.06 AURORA at 1.10.06_NIM Summary 17 2" xfId="26038"/>
    <cellStyle name="_Power Cost Value Copy 11.30.05 gas 1.09.06 AURORA at 1.10.06_NIM Summary 17 2 2" xfId="26039"/>
    <cellStyle name="_Power Cost Value Copy 11.30.05 gas 1.09.06 AURORA at 1.10.06_NIM Summary 17 3" xfId="26040"/>
    <cellStyle name="_Power Cost Value Copy 11.30.05 gas 1.09.06 AURORA at 1.10.06_NIM Summary 17 4" xfId="26041"/>
    <cellStyle name="_Power Cost Value Copy 11.30.05 gas 1.09.06 AURORA at 1.10.06_NIM Summary 18" xfId="15136"/>
    <cellStyle name="_Power Cost Value Copy 11.30.05 gas 1.09.06 AURORA at 1.10.06_NIM Summary 18 2" xfId="26042"/>
    <cellStyle name="_Power Cost Value Copy 11.30.05 gas 1.09.06 AURORA at 1.10.06_NIM Summary 18 2 2" xfId="26043"/>
    <cellStyle name="_Power Cost Value Copy 11.30.05 gas 1.09.06 AURORA at 1.10.06_NIM Summary 18 3" xfId="26044"/>
    <cellStyle name="_Power Cost Value Copy 11.30.05 gas 1.09.06 AURORA at 1.10.06_NIM Summary 18 4" xfId="26045"/>
    <cellStyle name="_Power Cost Value Copy 11.30.05 gas 1.09.06 AURORA at 1.10.06_NIM Summary 19" xfId="15137"/>
    <cellStyle name="_Power Cost Value Copy 11.30.05 gas 1.09.06 AURORA at 1.10.06_NIM Summary 19 2" xfId="26046"/>
    <cellStyle name="_Power Cost Value Copy 11.30.05 gas 1.09.06 AURORA at 1.10.06_NIM Summary 19 2 2" xfId="26047"/>
    <cellStyle name="_Power Cost Value Copy 11.30.05 gas 1.09.06 AURORA at 1.10.06_NIM Summary 19 3" xfId="26048"/>
    <cellStyle name="_Power Cost Value Copy 11.30.05 gas 1.09.06 AURORA at 1.10.06_NIM Summary 19 4" xfId="26049"/>
    <cellStyle name="_Power Cost Value Copy 11.30.05 gas 1.09.06 AURORA at 1.10.06_NIM Summary 2" xfId="1827"/>
    <cellStyle name="_Power Cost Value Copy 11.30.05 gas 1.09.06 AURORA at 1.10.06_NIM Summary 2 2" xfId="5196"/>
    <cellStyle name="_Power Cost Value Copy 11.30.05 gas 1.09.06 AURORA at 1.10.06_NIM Summary 2 2 2" xfId="26050"/>
    <cellStyle name="_Power Cost Value Copy 11.30.05 gas 1.09.06 AURORA at 1.10.06_NIM Summary 2 2 2 2" xfId="26051"/>
    <cellStyle name="_Power Cost Value Copy 11.30.05 gas 1.09.06 AURORA at 1.10.06_NIM Summary 2 2 3" xfId="26052"/>
    <cellStyle name="_Power Cost Value Copy 11.30.05 gas 1.09.06 AURORA at 1.10.06_NIM Summary 2 3" xfId="26053"/>
    <cellStyle name="_Power Cost Value Copy 11.30.05 gas 1.09.06 AURORA at 1.10.06_NIM Summary 2 3 2" xfId="26054"/>
    <cellStyle name="_Power Cost Value Copy 11.30.05 gas 1.09.06 AURORA at 1.10.06_NIM Summary 2 4" xfId="26055"/>
    <cellStyle name="_Power Cost Value Copy 11.30.05 gas 1.09.06 AURORA at 1.10.06_NIM Summary 2 5" xfId="7556"/>
    <cellStyle name="_Power Cost Value Copy 11.30.05 gas 1.09.06 AURORA at 1.10.06_NIM Summary 20" xfId="15138"/>
    <cellStyle name="_Power Cost Value Copy 11.30.05 gas 1.09.06 AURORA at 1.10.06_NIM Summary 20 2" xfId="26056"/>
    <cellStyle name="_Power Cost Value Copy 11.30.05 gas 1.09.06 AURORA at 1.10.06_NIM Summary 20 3" xfId="26057"/>
    <cellStyle name="_Power Cost Value Copy 11.30.05 gas 1.09.06 AURORA at 1.10.06_NIM Summary 21" xfId="15139"/>
    <cellStyle name="_Power Cost Value Copy 11.30.05 gas 1.09.06 AURORA at 1.10.06_NIM Summary 21 2" xfId="26058"/>
    <cellStyle name="_Power Cost Value Copy 11.30.05 gas 1.09.06 AURORA at 1.10.06_NIM Summary 21 3" xfId="26059"/>
    <cellStyle name="_Power Cost Value Copy 11.30.05 gas 1.09.06 AURORA at 1.10.06_NIM Summary 22" xfId="15140"/>
    <cellStyle name="_Power Cost Value Copy 11.30.05 gas 1.09.06 AURORA at 1.10.06_NIM Summary 22 2" xfId="26060"/>
    <cellStyle name="_Power Cost Value Copy 11.30.05 gas 1.09.06 AURORA at 1.10.06_NIM Summary 22 3" xfId="26061"/>
    <cellStyle name="_Power Cost Value Copy 11.30.05 gas 1.09.06 AURORA at 1.10.06_NIM Summary 23" xfId="15141"/>
    <cellStyle name="_Power Cost Value Copy 11.30.05 gas 1.09.06 AURORA at 1.10.06_NIM Summary 23 2" xfId="26062"/>
    <cellStyle name="_Power Cost Value Copy 11.30.05 gas 1.09.06 AURORA at 1.10.06_NIM Summary 23 3" xfId="26063"/>
    <cellStyle name="_Power Cost Value Copy 11.30.05 gas 1.09.06 AURORA at 1.10.06_NIM Summary 24" xfId="15142"/>
    <cellStyle name="_Power Cost Value Copy 11.30.05 gas 1.09.06 AURORA at 1.10.06_NIM Summary 24 2" xfId="26064"/>
    <cellStyle name="_Power Cost Value Copy 11.30.05 gas 1.09.06 AURORA at 1.10.06_NIM Summary 24 3" xfId="26065"/>
    <cellStyle name="_Power Cost Value Copy 11.30.05 gas 1.09.06 AURORA at 1.10.06_NIM Summary 25" xfId="15143"/>
    <cellStyle name="_Power Cost Value Copy 11.30.05 gas 1.09.06 AURORA at 1.10.06_NIM Summary 25 2" xfId="26066"/>
    <cellStyle name="_Power Cost Value Copy 11.30.05 gas 1.09.06 AURORA at 1.10.06_NIM Summary 25 3" xfId="26067"/>
    <cellStyle name="_Power Cost Value Copy 11.30.05 gas 1.09.06 AURORA at 1.10.06_NIM Summary 26" xfId="15144"/>
    <cellStyle name="_Power Cost Value Copy 11.30.05 gas 1.09.06 AURORA at 1.10.06_NIM Summary 26 2" xfId="26068"/>
    <cellStyle name="_Power Cost Value Copy 11.30.05 gas 1.09.06 AURORA at 1.10.06_NIM Summary 26 3" xfId="26069"/>
    <cellStyle name="_Power Cost Value Copy 11.30.05 gas 1.09.06 AURORA at 1.10.06_NIM Summary 27" xfId="15145"/>
    <cellStyle name="_Power Cost Value Copy 11.30.05 gas 1.09.06 AURORA at 1.10.06_NIM Summary 27 2" xfId="26070"/>
    <cellStyle name="_Power Cost Value Copy 11.30.05 gas 1.09.06 AURORA at 1.10.06_NIM Summary 27 3" xfId="26071"/>
    <cellStyle name="_Power Cost Value Copy 11.30.05 gas 1.09.06 AURORA at 1.10.06_NIM Summary 28" xfId="15146"/>
    <cellStyle name="_Power Cost Value Copy 11.30.05 gas 1.09.06 AURORA at 1.10.06_NIM Summary 28 2" xfId="26072"/>
    <cellStyle name="_Power Cost Value Copy 11.30.05 gas 1.09.06 AURORA at 1.10.06_NIM Summary 28 3" xfId="26073"/>
    <cellStyle name="_Power Cost Value Copy 11.30.05 gas 1.09.06 AURORA at 1.10.06_NIM Summary 29" xfId="15147"/>
    <cellStyle name="_Power Cost Value Copy 11.30.05 gas 1.09.06 AURORA at 1.10.06_NIM Summary 29 2" xfId="26074"/>
    <cellStyle name="_Power Cost Value Copy 11.30.05 gas 1.09.06 AURORA at 1.10.06_NIM Summary 29 3" xfId="26075"/>
    <cellStyle name="_Power Cost Value Copy 11.30.05 gas 1.09.06 AURORA at 1.10.06_NIM Summary 3" xfId="1828"/>
    <cellStyle name="_Power Cost Value Copy 11.30.05 gas 1.09.06 AURORA at 1.10.06_NIM Summary 3 2" xfId="5197"/>
    <cellStyle name="_Power Cost Value Copy 11.30.05 gas 1.09.06 AURORA at 1.10.06_NIM Summary 3 2 2" xfId="26076"/>
    <cellStyle name="_Power Cost Value Copy 11.30.05 gas 1.09.06 AURORA at 1.10.06_NIM Summary 3 3" xfId="26077"/>
    <cellStyle name="_Power Cost Value Copy 11.30.05 gas 1.09.06 AURORA at 1.10.06_NIM Summary 3 4" xfId="26078"/>
    <cellStyle name="_Power Cost Value Copy 11.30.05 gas 1.09.06 AURORA at 1.10.06_NIM Summary 3 5" xfId="7557"/>
    <cellStyle name="_Power Cost Value Copy 11.30.05 gas 1.09.06 AURORA at 1.10.06_NIM Summary 30" xfId="15148"/>
    <cellStyle name="_Power Cost Value Copy 11.30.05 gas 1.09.06 AURORA at 1.10.06_NIM Summary 30 2" xfId="26079"/>
    <cellStyle name="_Power Cost Value Copy 11.30.05 gas 1.09.06 AURORA at 1.10.06_NIM Summary 30 3" xfId="26080"/>
    <cellStyle name="_Power Cost Value Copy 11.30.05 gas 1.09.06 AURORA at 1.10.06_NIM Summary 31" xfId="15149"/>
    <cellStyle name="_Power Cost Value Copy 11.30.05 gas 1.09.06 AURORA at 1.10.06_NIM Summary 31 2" xfId="26081"/>
    <cellStyle name="_Power Cost Value Copy 11.30.05 gas 1.09.06 AURORA at 1.10.06_NIM Summary 31 3" xfId="26082"/>
    <cellStyle name="_Power Cost Value Copy 11.30.05 gas 1.09.06 AURORA at 1.10.06_NIM Summary 32" xfId="15150"/>
    <cellStyle name="_Power Cost Value Copy 11.30.05 gas 1.09.06 AURORA at 1.10.06_NIM Summary 32 2" xfId="26083"/>
    <cellStyle name="_Power Cost Value Copy 11.30.05 gas 1.09.06 AURORA at 1.10.06_NIM Summary 33" xfId="15151"/>
    <cellStyle name="_Power Cost Value Copy 11.30.05 gas 1.09.06 AURORA at 1.10.06_NIM Summary 33 2" xfId="26084"/>
    <cellStyle name="_Power Cost Value Copy 11.30.05 gas 1.09.06 AURORA at 1.10.06_NIM Summary 34" xfId="15152"/>
    <cellStyle name="_Power Cost Value Copy 11.30.05 gas 1.09.06 AURORA at 1.10.06_NIM Summary 34 2" xfId="26085"/>
    <cellStyle name="_Power Cost Value Copy 11.30.05 gas 1.09.06 AURORA at 1.10.06_NIM Summary 35" xfId="15153"/>
    <cellStyle name="_Power Cost Value Copy 11.30.05 gas 1.09.06 AURORA at 1.10.06_NIM Summary 35 2" xfId="26086"/>
    <cellStyle name="_Power Cost Value Copy 11.30.05 gas 1.09.06 AURORA at 1.10.06_NIM Summary 36" xfId="15154"/>
    <cellStyle name="_Power Cost Value Copy 11.30.05 gas 1.09.06 AURORA at 1.10.06_NIM Summary 36 2" xfId="26087"/>
    <cellStyle name="_Power Cost Value Copy 11.30.05 gas 1.09.06 AURORA at 1.10.06_NIM Summary 37" xfId="15155"/>
    <cellStyle name="_Power Cost Value Copy 11.30.05 gas 1.09.06 AURORA at 1.10.06_NIM Summary 37 2" xfId="26088"/>
    <cellStyle name="_Power Cost Value Copy 11.30.05 gas 1.09.06 AURORA at 1.10.06_NIM Summary 38" xfId="15156"/>
    <cellStyle name="_Power Cost Value Copy 11.30.05 gas 1.09.06 AURORA at 1.10.06_NIM Summary 38 2" xfId="41521"/>
    <cellStyle name="_Power Cost Value Copy 11.30.05 gas 1.09.06 AURORA at 1.10.06_NIM Summary 39" xfId="15157"/>
    <cellStyle name="_Power Cost Value Copy 11.30.05 gas 1.09.06 AURORA at 1.10.06_NIM Summary 39 2" xfId="41522"/>
    <cellStyle name="_Power Cost Value Copy 11.30.05 gas 1.09.06 AURORA at 1.10.06_NIM Summary 4" xfId="1829"/>
    <cellStyle name="_Power Cost Value Copy 11.30.05 gas 1.09.06 AURORA at 1.10.06_NIM Summary 4 2" xfId="5198"/>
    <cellStyle name="_Power Cost Value Copy 11.30.05 gas 1.09.06 AURORA at 1.10.06_NIM Summary 4 2 2" xfId="26089"/>
    <cellStyle name="_Power Cost Value Copy 11.30.05 gas 1.09.06 AURORA at 1.10.06_NIM Summary 4 3" xfId="26090"/>
    <cellStyle name="_Power Cost Value Copy 11.30.05 gas 1.09.06 AURORA at 1.10.06_NIM Summary 4 4" xfId="26091"/>
    <cellStyle name="_Power Cost Value Copy 11.30.05 gas 1.09.06 AURORA at 1.10.06_NIM Summary 4 5" xfId="7558"/>
    <cellStyle name="_Power Cost Value Copy 11.30.05 gas 1.09.06 AURORA at 1.10.06_NIM Summary 40" xfId="15158"/>
    <cellStyle name="_Power Cost Value Copy 11.30.05 gas 1.09.06 AURORA at 1.10.06_NIM Summary 40 2" xfId="41523"/>
    <cellStyle name="_Power Cost Value Copy 11.30.05 gas 1.09.06 AURORA at 1.10.06_NIM Summary 41" xfId="15159"/>
    <cellStyle name="_Power Cost Value Copy 11.30.05 gas 1.09.06 AURORA at 1.10.06_NIM Summary 41 2" xfId="41524"/>
    <cellStyle name="_Power Cost Value Copy 11.30.05 gas 1.09.06 AURORA at 1.10.06_NIM Summary 42" xfId="16897"/>
    <cellStyle name="_Power Cost Value Copy 11.30.05 gas 1.09.06 AURORA at 1.10.06_NIM Summary 42 2" xfId="41525"/>
    <cellStyle name="_Power Cost Value Copy 11.30.05 gas 1.09.06 AURORA at 1.10.06_NIM Summary 43" xfId="22323"/>
    <cellStyle name="_Power Cost Value Copy 11.30.05 gas 1.09.06 AURORA at 1.10.06_NIM Summary 43 2" xfId="41526"/>
    <cellStyle name="_Power Cost Value Copy 11.30.05 gas 1.09.06 AURORA at 1.10.06_NIM Summary 44" xfId="26092"/>
    <cellStyle name="_Power Cost Value Copy 11.30.05 gas 1.09.06 AURORA at 1.10.06_NIM Summary 44 2" xfId="41527"/>
    <cellStyle name="_Power Cost Value Copy 11.30.05 gas 1.09.06 AURORA at 1.10.06_NIM Summary 45" xfId="26093"/>
    <cellStyle name="_Power Cost Value Copy 11.30.05 gas 1.09.06 AURORA at 1.10.06_NIM Summary 45 2" xfId="41528"/>
    <cellStyle name="_Power Cost Value Copy 11.30.05 gas 1.09.06 AURORA at 1.10.06_NIM Summary 46" xfId="26094"/>
    <cellStyle name="_Power Cost Value Copy 11.30.05 gas 1.09.06 AURORA at 1.10.06_NIM Summary 46 2" xfId="41529"/>
    <cellStyle name="_Power Cost Value Copy 11.30.05 gas 1.09.06 AURORA at 1.10.06_NIM Summary 47" xfId="26095"/>
    <cellStyle name="_Power Cost Value Copy 11.30.05 gas 1.09.06 AURORA at 1.10.06_NIM Summary 47 2" xfId="41530"/>
    <cellStyle name="_Power Cost Value Copy 11.30.05 gas 1.09.06 AURORA at 1.10.06_NIM Summary 48" xfId="26096"/>
    <cellStyle name="_Power Cost Value Copy 11.30.05 gas 1.09.06 AURORA at 1.10.06_NIM Summary 49" xfId="26097"/>
    <cellStyle name="_Power Cost Value Copy 11.30.05 gas 1.09.06 AURORA at 1.10.06_NIM Summary 5" xfId="1830"/>
    <cellStyle name="_Power Cost Value Copy 11.30.05 gas 1.09.06 AURORA at 1.10.06_NIM Summary 5 2" xfId="5199"/>
    <cellStyle name="_Power Cost Value Copy 11.30.05 gas 1.09.06 AURORA at 1.10.06_NIM Summary 5 2 2" xfId="26098"/>
    <cellStyle name="_Power Cost Value Copy 11.30.05 gas 1.09.06 AURORA at 1.10.06_NIM Summary 5 3" xfId="26099"/>
    <cellStyle name="_Power Cost Value Copy 11.30.05 gas 1.09.06 AURORA at 1.10.06_NIM Summary 5 4" xfId="26100"/>
    <cellStyle name="_Power Cost Value Copy 11.30.05 gas 1.09.06 AURORA at 1.10.06_NIM Summary 5 5" xfId="7559"/>
    <cellStyle name="_Power Cost Value Copy 11.30.05 gas 1.09.06 AURORA at 1.10.06_NIM Summary 50" xfId="26101"/>
    <cellStyle name="_Power Cost Value Copy 11.30.05 gas 1.09.06 AURORA at 1.10.06_NIM Summary 51" xfId="41531"/>
    <cellStyle name="_Power Cost Value Copy 11.30.05 gas 1.09.06 AURORA at 1.10.06_NIM Summary 52" xfId="7553"/>
    <cellStyle name="_Power Cost Value Copy 11.30.05 gas 1.09.06 AURORA at 1.10.06_NIM Summary 6" xfId="1831"/>
    <cellStyle name="_Power Cost Value Copy 11.30.05 gas 1.09.06 AURORA at 1.10.06_NIM Summary 6 2" xfId="5200"/>
    <cellStyle name="_Power Cost Value Copy 11.30.05 gas 1.09.06 AURORA at 1.10.06_NIM Summary 6 2 2" xfId="26102"/>
    <cellStyle name="_Power Cost Value Copy 11.30.05 gas 1.09.06 AURORA at 1.10.06_NIM Summary 6 3" xfId="26103"/>
    <cellStyle name="_Power Cost Value Copy 11.30.05 gas 1.09.06 AURORA at 1.10.06_NIM Summary 6 4" xfId="26104"/>
    <cellStyle name="_Power Cost Value Copy 11.30.05 gas 1.09.06 AURORA at 1.10.06_NIM Summary 6 5" xfId="7560"/>
    <cellStyle name="_Power Cost Value Copy 11.30.05 gas 1.09.06 AURORA at 1.10.06_NIM Summary 7" xfId="1832"/>
    <cellStyle name="_Power Cost Value Copy 11.30.05 gas 1.09.06 AURORA at 1.10.06_NIM Summary 7 2" xfId="5201"/>
    <cellStyle name="_Power Cost Value Copy 11.30.05 gas 1.09.06 AURORA at 1.10.06_NIM Summary 7 2 2" xfId="26105"/>
    <cellStyle name="_Power Cost Value Copy 11.30.05 gas 1.09.06 AURORA at 1.10.06_NIM Summary 7 3" xfId="26106"/>
    <cellStyle name="_Power Cost Value Copy 11.30.05 gas 1.09.06 AURORA at 1.10.06_NIM Summary 7 4" xfId="26107"/>
    <cellStyle name="_Power Cost Value Copy 11.30.05 gas 1.09.06 AURORA at 1.10.06_NIM Summary 7 5" xfId="7561"/>
    <cellStyle name="_Power Cost Value Copy 11.30.05 gas 1.09.06 AURORA at 1.10.06_NIM Summary 8" xfId="1833"/>
    <cellStyle name="_Power Cost Value Copy 11.30.05 gas 1.09.06 AURORA at 1.10.06_NIM Summary 8 2" xfId="5202"/>
    <cellStyle name="_Power Cost Value Copy 11.30.05 gas 1.09.06 AURORA at 1.10.06_NIM Summary 8 2 2" xfId="26108"/>
    <cellStyle name="_Power Cost Value Copy 11.30.05 gas 1.09.06 AURORA at 1.10.06_NIM Summary 8 3" xfId="26109"/>
    <cellStyle name="_Power Cost Value Copy 11.30.05 gas 1.09.06 AURORA at 1.10.06_NIM Summary 8 4" xfId="26110"/>
    <cellStyle name="_Power Cost Value Copy 11.30.05 gas 1.09.06 AURORA at 1.10.06_NIM Summary 8 5" xfId="7562"/>
    <cellStyle name="_Power Cost Value Copy 11.30.05 gas 1.09.06 AURORA at 1.10.06_NIM Summary 9" xfId="1834"/>
    <cellStyle name="_Power Cost Value Copy 11.30.05 gas 1.09.06 AURORA at 1.10.06_NIM Summary 9 2" xfId="5203"/>
    <cellStyle name="_Power Cost Value Copy 11.30.05 gas 1.09.06 AURORA at 1.10.06_NIM Summary 9 2 2" xfId="26111"/>
    <cellStyle name="_Power Cost Value Copy 11.30.05 gas 1.09.06 AURORA at 1.10.06_NIM Summary 9 3" xfId="26112"/>
    <cellStyle name="_Power Cost Value Copy 11.30.05 gas 1.09.06 AURORA at 1.10.06_NIM Summary 9 4" xfId="26113"/>
    <cellStyle name="_Power Cost Value Copy 11.30.05 gas 1.09.06 AURORA at 1.10.06_NIM Summary 9 5" xfId="7563"/>
    <cellStyle name="_Power Cost Value Copy 11.30.05 gas 1.09.06 AURORA at 1.10.06_NIM Summary_DEM-WP(C) ENERG10C--ctn Mid-C_042010 2010GRC" xfId="12892"/>
    <cellStyle name="_Power Cost Value Copy 11.30.05 gas 1.09.06 AURORA at 1.10.06_NIM Summary_DEM-WP(C) ENERG10C--ctn Mid-C_042010 2010GRC 2" xfId="41532"/>
    <cellStyle name="_Power Cost Value Copy 11.30.05 gas 1.09.06 AURORA at 1.10.06_PCA 10 -  Exhibit D Dec 2011" xfId="15160"/>
    <cellStyle name="_Power Cost Value Copy 11.30.05 gas 1.09.06 AURORA at 1.10.06_PCA 10 -  Exhibit D Dec 2011 2" xfId="41533"/>
    <cellStyle name="_Power Cost Value Copy 11.30.05 gas 1.09.06 AURORA at 1.10.06_PCA 10 -  Exhibit D from A Kellogg Jan 2011" xfId="14140"/>
    <cellStyle name="_Power Cost Value Copy 11.30.05 gas 1.09.06 AURORA at 1.10.06_PCA 10 -  Exhibit D from A Kellogg Jan 2011 2" xfId="41534"/>
    <cellStyle name="_Power Cost Value Copy 11.30.05 gas 1.09.06 AURORA at 1.10.06_PCA 10 -  Exhibit D from A Kellogg July 2011" xfId="14141"/>
    <cellStyle name="_Power Cost Value Copy 11.30.05 gas 1.09.06 AURORA at 1.10.06_PCA 10 -  Exhibit D from A Kellogg July 2011 2" xfId="41535"/>
    <cellStyle name="_Power Cost Value Copy 11.30.05 gas 1.09.06 AURORA at 1.10.06_PCA 10 -  Exhibit D from S Free Rcv'd 12-11" xfId="14142"/>
    <cellStyle name="_Power Cost Value Copy 11.30.05 gas 1.09.06 AURORA at 1.10.06_PCA 10 -  Exhibit D from S Free Rcv'd 12-11 2" xfId="41536"/>
    <cellStyle name="_Power Cost Value Copy 11.30.05 gas 1.09.06 AURORA at 1.10.06_PCA 11 -  Exhibit D Jan 2012 fr A Kellogg" xfId="15161"/>
    <cellStyle name="_Power Cost Value Copy 11.30.05 gas 1.09.06 AURORA at 1.10.06_PCA 11 -  Exhibit D Jan 2012 fr A Kellogg 2" xfId="41537"/>
    <cellStyle name="_Power Cost Value Copy 11.30.05 gas 1.09.06 AURORA at 1.10.06_PCA 11 -  Exhibit D Jan 2012 WF" xfId="15162"/>
    <cellStyle name="_Power Cost Value Copy 11.30.05 gas 1.09.06 AURORA at 1.10.06_PCA 11 -  Exhibit D Jan 2012 WF 2" xfId="41538"/>
    <cellStyle name="_Power Cost Value Copy 11.30.05 gas 1.09.06 AURORA at 1.10.06_PCA 7 - Exhibit D update 11_30_08 (2)" xfId="1835"/>
    <cellStyle name="_Power Cost Value Copy 11.30.05 gas 1.09.06 AURORA at 1.10.06_PCA 7 - Exhibit D update 11_30_08 (2) 2" xfId="1836"/>
    <cellStyle name="_Power Cost Value Copy 11.30.05 gas 1.09.06 AURORA at 1.10.06_PCA 7 - Exhibit D update 11_30_08 (2) 2 2" xfId="1837"/>
    <cellStyle name="_Power Cost Value Copy 11.30.05 gas 1.09.06 AURORA at 1.10.06_PCA 7 - Exhibit D update 11_30_08 (2) 2 2 2" xfId="5206"/>
    <cellStyle name="_Power Cost Value Copy 11.30.05 gas 1.09.06 AURORA at 1.10.06_PCA 7 - Exhibit D update 11_30_08 (2) 2 2 2 2" xfId="26114"/>
    <cellStyle name="_Power Cost Value Copy 11.30.05 gas 1.09.06 AURORA at 1.10.06_PCA 7 - Exhibit D update 11_30_08 (2) 2 2 2 2 2" xfId="26115"/>
    <cellStyle name="_Power Cost Value Copy 11.30.05 gas 1.09.06 AURORA at 1.10.06_PCA 7 - Exhibit D update 11_30_08 (2) 2 2 2 3" xfId="26116"/>
    <cellStyle name="_Power Cost Value Copy 11.30.05 gas 1.09.06 AURORA at 1.10.06_PCA 7 - Exhibit D update 11_30_08 (2) 2 2 3" xfId="26117"/>
    <cellStyle name="_Power Cost Value Copy 11.30.05 gas 1.09.06 AURORA at 1.10.06_PCA 7 - Exhibit D update 11_30_08 (2) 2 2 3 2" xfId="26118"/>
    <cellStyle name="_Power Cost Value Copy 11.30.05 gas 1.09.06 AURORA at 1.10.06_PCA 7 - Exhibit D update 11_30_08 (2) 2 2 4" xfId="26119"/>
    <cellStyle name="_Power Cost Value Copy 11.30.05 gas 1.09.06 AURORA at 1.10.06_PCA 7 - Exhibit D update 11_30_08 (2) 2 2 5" xfId="7566"/>
    <cellStyle name="_Power Cost Value Copy 11.30.05 gas 1.09.06 AURORA at 1.10.06_PCA 7 - Exhibit D update 11_30_08 (2) 2 3" xfId="5205"/>
    <cellStyle name="_Power Cost Value Copy 11.30.05 gas 1.09.06 AURORA at 1.10.06_PCA 7 - Exhibit D update 11_30_08 (2) 2 3 2" xfId="26120"/>
    <cellStyle name="_Power Cost Value Copy 11.30.05 gas 1.09.06 AURORA at 1.10.06_PCA 7 - Exhibit D update 11_30_08 (2) 2 3 2 2" xfId="26121"/>
    <cellStyle name="_Power Cost Value Copy 11.30.05 gas 1.09.06 AURORA at 1.10.06_PCA 7 - Exhibit D update 11_30_08 (2) 2 3 3" xfId="26122"/>
    <cellStyle name="_Power Cost Value Copy 11.30.05 gas 1.09.06 AURORA at 1.10.06_PCA 7 - Exhibit D update 11_30_08 (2) 2 4" xfId="26123"/>
    <cellStyle name="_Power Cost Value Copy 11.30.05 gas 1.09.06 AURORA at 1.10.06_PCA 7 - Exhibit D update 11_30_08 (2) 2 4 2" xfId="26124"/>
    <cellStyle name="_Power Cost Value Copy 11.30.05 gas 1.09.06 AURORA at 1.10.06_PCA 7 - Exhibit D update 11_30_08 (2) 2 5" xfId="26125"/>
    <cellStyle name="_Power Cost Value Copy 11.30.05 gas 1.09.06 AURORA at 1.10.06_PCA 7 - Exhibit D update 11_30_08 (2) 2 6" xfId="7565"/>
    <cellStyle name="_Power Cost Value Copy 11.30.05 gas 1.09.06 AURORA at 1.10.06_PCA 7 - Exhibit D update 11_30_08 (2) 3" xfId="1838"/>
    <cellStyle name="_Power Cost Value Copy 11.30.05 gas 1.09.06 AURORA at 1.10.06_PCA 7 - Exhibit D update 11_30_08 (2) 3 2" xfId="5207"/>
    <cellStyle name="_Power Cost Value Copy 11.30.05 gas 1.09.06 AURORA at 1.10.06_PCA 7 - Exhibit D update 11_30_08 (2) 3 2 2" xfId="26126"/>
    <cellStyle name="_Power Cost Value Copy 11.30.05 gas 1.09.06 AURORA at 1.10.06_PCA 7 - Exhibit D update 11_30_08 (2) 3 2 2 2" xfId="26127"/>
    <cellStyle name="_Power Cost Value Copy 11.30.05 gas 1.09.06 AURORA at 1.10.06_PCA 7 - Exhibit D update 11_30_08 (2) 3 2 3" xfId="26128"/>
    <cellStyle name="_Power Cost Value Copy 11.30.05 gas 1.09.06 AURORA at 1.10.06_PCA 7 - Exhibit D update 11_30_08 (2) 3 3" xfId="26129"/>
    <cellStyle name="_Power Cost Value Copy 11.30.05 gas 1.09.06 AURORA at 1.10.06_PCA 7 - Exhibit D update 11_30_08 (2) 3 3 2" xfId="26130"/>
    <cellStyle name="_Power Cost Value Copy 11.30.05 gas 1.09.06 AURORA at 1.10.06_PCA 7 - Exhibit D update 11_30_08 (2) 3 4" xfId="26131"/>
    <cellStyle name="_Power Cost Value Copy 11.30.05 gas 1.09.06 AURORA at 1.10.06_PCA 7 - Exhibit D update 11_30_08 (2) 3 5" xfId="7567"/>
    <cellStyle name="_Power Cost Value Copy 11.30.05 gas 1.09.06 AURORA at 1.10.06_PCA 7 - Exhibit D update 11_30_08 (2) 4" xfId="5204"/>
    <cellStyle name="_Power Cost Value Copy 11.30.05 gas 1.09.06 AURORA at 1.10.06_PCA 7 - Exhibit D update 11_30_08 (2) 4 2" xfId="26132"/>
    <cellStyle name="_Power Cost Value Copy 11.30.05 gas 1.09.06 AURORA at 1.10.06_PCA 7 - Exhibit D update 11_30_08 (2) 4 2 2" xfId="26133"/>
    <cellStyle name="_Power Cost Value Copy 11.30.05 gas 1.09.06 AURORA at 1.10.06_PCA 7 - Exhibit D update 11_30_08 (2) 4 3" xfId="26134"/>
    <cellStyle name="_Power Cost Value Copy 11.30.05 gas 1.09.06 AURORA at 1.10.06_PCA 7 - Exhibit D update 11_30_08 (2) 4 4" xfId="26135"/>
    <cellStyle name="_Power Cost Value Copy 11.30.05 gas 1.09.06 AURORA at 1.10.06_PCA 7 - Exhibit D update 11_30_08 (2) 5" xfId="26136"/>
    <cellStyle name="_Power Cost Value Copy 11.30.05 gas 1.09.06 AURORA at 1.10.06_PCA 7 - Exhibit D update 11_30_08 (2) 5 2" xfId="26137"/>
    <cellStyle name="_Power Cost Value Copy 11.30.05 gas 1.09.06 AURORA at 1.10.06_PCA 7 - Exhibit D update 11_30_08 (2) 6" xfId="26138"/>
    <cellStyle name="_Power Cost Value Copy 11.30.05 gas 1.09.06 AURORA at 1.10.06_PCA 7 - Exhibit D update 11_30_08 (2) 7" xfId="7564"/>
    <cellStyle name="_Power Cost Value Copy 11.30.05 gas 1.09.06 AURORA at 1.10.06_PCA 7 - Exhibit D update 11_30_08 (2)_DEM-WP(C) ENERG10C--ctn Mid-C_042010 2010GRC" xfId="12893"/>
    <cellStyle name="_Power Cost Value Copy 11.30.05 gas 1.09.06 AURORA at 1.10.06_PCA 7 - Exhibit D update 11_30_08 (2)_DEM-WP(C) ENERG10C--ctn Mid-C_042010 2010GRC 2" xfId="41539"/>
    <cellStyle name="_Power Cost Value Copy 11.30.05 gas 1.09.06 AURORA at 1.10.06_PCA 7 - Exhibit D update 11_30_08 (2)_NIM Summary" xfId="1839"/>
    <cellStyle name="_Power Cost Value Copy 11.30.05 gas 1.09.06 AURORA at 1.10.06_PCA 7 - Exhibit D update 11_30_08 (2)_NIM Summary 2" xfId="1840"/>
    <cellStyle name="_Power Cost Value Copy 11.30.05 gas 1.09.06 AURORA at 1.10.06_PCA 7 - Exhibit D update 11_30_08 (2)_NIM Summary 2 2" xfId="5209"/>
    <cellStyle name="_Power Cost Value Copy 11.30.05 gas 1.09.06 AURORA at 1.10.06_PCA 7 - Exhibit D update 11_30_08 (2)_NIM Summary 2 2 2" xfId="26139"/>
    <cellStyle name="_Power Cost Value Copy 11.30.05 gas 1.09.06 AURORA at 1.10.06_PCA 7 - Exhibit D update 11_30_08 (2)_NIM Summary 2 2 2 2" xfId="26140"/>
    <cellStyle name="_Power Cost Value Copy 11.30.05 gas 1.09.06 AURORA at 1.10.06_PCA 7 - Exhibit D update 11_30_08 (2)_NIM Summary 2 2 3" xfId="26141"/>
    <cellStyle name="_Power Cost Value Copy 11.30.05 gas 1.09.06 AURORA at 1.10.06_PCA 7 - Exhibit D update 11_30_08 (2)_NIM Summary 2 3" xfId="26142"/>
    <cellStyle name="_Power Cost Value Copy 11.30.05 gas 1.09.06 AURORA at 1.10.06_PCA 7 - Exhibit D update 11_30_08 (2)_NIM Summary 2 3 2" xfId="26143"/>
    <cellStyle name="_Power Cost Value Copy 11.30.05 gas 1.09.06 AURORA at 1.10.06_PCA 7 - Exhibit D update 11_30_08 (2)_NIM Summary 2 4" xfId="26144"/>
    <cellStyle name="_Power Cost Value Copy 11.30.05 gas 1.09.06 AURORA at 1.10.06_PCA 7 - Exhibit D update 11_30_08 (2)_NIM Summary 2 5" xfId="7569"/>
    <cellStyle name="_Power Cost Value Copy 11.30.05 gas 1.09.06 AURORA at 1.10.06_PCA 7 - Exhibit D update 11_30_08 (2)_NIM Summary 3" xfId="5208"/>
    <cellStyle name="_Power Cost Value Copy 11.30.05 gas 1.09.06 AURORA at 1.10.06_PCA 7 - Exhibit D update 11_30_08 (2)_NIM Summary 3 2" xfId="26145"/>
    <cellStyle name="_Power Cost Value Copy 11.30.05 gas 1.09.06 AURORA at 1.10.06_PCA 7 - Exhibit D update 11_30_08 (2)_NIM Summary 3 2 2" xfId="26146"/>
    <cellStyle name="_Power Cost Value Copy 11.30.05 gas 1.09.06 AURORA at 1.10.06_PCA 7 - Exhibit D update 11_30_08 (2)_NIM Summary 3 3" xfId="26147"/>
    <cellStyle name="_Power Cost Value Copy 11.30.05 gas 1.09.06 AURORA at 1.10.06_PCA 7 - Exhibit D update 11_30_08 (2)_NIM Summary 3 4" xfId="26148"/>
    <cellStyle name="_Power Cost Value Copy 11.30.05 gas 1.09.06 AURORA at 1.10.06_PCA 7 - Exhibit D update 11_30_08 (2)_NIM Summary 4" xfId="26149"/>
    <cellStyle name="_Power Cost Value Copy 11.30.05 gas 1.09.06 AURORA at 1.10.06_PCA 7 - Exhibit D update 11_30_08 (2)_NIM Summary 4 2" xfId="26150"/>
    <cellStyle name="_Power Cost Value Copy 11.30.05 gas 1.09.06 AURORA at 1.10.06_PCA 7 - Exhibit D update 11_30_08 (2)_NIM Summary 5" xfId="26151"/>
    <cellStyle name="_Power Cost Value Copy 11.30.05 gas 1.09.06 AURORA at 1.10.06_PCA 7 - Exhibit D update 11_30_08 (2)_NIM Summary 6" xfId="7568"/>
    <cellStyle name="_Power Cost Value Copy 11.30.05 gas 1.09.06 AURORA at 1.10.06_PCA 7 - Exhibit D update 11_30_08 (2)_NIM Summary_DEM-WP(C) ENERG10C--ctn Mid-C_042010 2010GRC" xfId="12894"/>
    <cellStyle name="_Power Cost Value Copy 11.30.05 gas 1.09.06 AURORA at 1.10.06_PCA 7 - Exhibit D update 11_30_08 (2)_NIM Summary_DEM-WP(C) ENERG10C--ctn Mid-C_042010 2010GRC 2" xfId="41540"/>
    <cellStyle name="_Power Cost Value Copy 11.30.05 gas 1.09.06 AURORA at 1.10.06_PCA 8 - Exhibit D update 12_31_09" xfId="14143"/>
    <cellStyle name="_Power Cost Value Copy 11.30.05 gas 1.09.06 AURORA at 1.10.06_PCA 8 - Exhibit D update 12_31_09 2" xfId="15163"/>
    <cellStyle name="_Power Cost Value Copy 11.30.05 gas 1.09.06 AURORA at 1.10.06_PCA 8 - Exhibit D update 12_31_09 2 2" xfId="41541"/>
    <cellStyle name="_Power Cost Value Copy 11.30.05 gas 1.09.06 AURORA at 1.10.06_PCA 8 - Exhibit D update 12_31_09 3" xfId="41542"/>
    <cellStyle name="_Power Cost Value Copy 11.30.05 gas 1.09.06 AURORA at 1.10.06_PCA 9 -  Exhibit D April 2010" xfId="14144"/>
    <cellStyle name="_Power Cost Value Copy 11.30.05 gas 1.09.06 AURORA at 1.10.06_PCA 9 -  Exhibit D April 2010 (3)" xfId="1841"/>
    <cellStyle name="_Power Cost Value Copy 11.30.05 gas 1.09.06 AURORA at 1.10.06_PCA 9 -  Exhibit D April 2010 (3) 2" xfId="1842"/>
    <cellStyle name="_Power Cost Value Copy 11.30.05 gas 1.09.06 AURORA at 1.10.06_PCA 9 -  Exhibit D April 2010 (3) 2 2" xfId="5211"/>
    <cellStyle name="_Power Cost Value Copy 11.30.05 gas 1.09.06 AURORA at 1.10.06_PCA 9 -  Exhibit D April 2010 (3) 2 2 2" xfId="26152"/>
    <cellStyle name="_Power Cost Value Copy 11.30.05 gas 1.09.06 AURORA at 1.10.06_PCA 9 -  Exhibit D April 2010 (3) 2 2 2 2" xfId="26153"/>
    <cellStyle name="_Power Cost Value Copy 11.30.05 gas 1.09.06 AURORA at 1.10.06_PCA 9 -  Exhibit D April 2010 (3) 2 2 3" xfId="26154"/>
    <cellStyle name="_Power Cost Value Copy 11.30.05 gas 1.09.06 AURORA at 1.10.06_PCA 9 -  Exhibit D April 2010 (3) 2 3" xfId="26155"/>
    <cellStyle name="_Power Cost Value Copy 11.30.05 gas 1.09.06 AURORA at 1.10.06_PCA 9 -  Exhibit D April 2010 (3) 2 3 2" xfId="26156"/>
    <cellStyle name="_Power Cost Value Copy 11.30.05 gas 1.09.06 AURORA at 1.10.06_PCA 9 -  Exhibit D April 2010 (3) 2 4" xfId="26157"/>
    <cellStyle name="_Power Cost Value Copy 11.30.05 gas 1.09.06 AURORA at 1.10.06_PCA 9 -  Exhibit D April 2010 (3) 2 5" xfId="7571"/>
    <cellStyle name="_Power Cost Value Copy 11.30.05 gas 1.09.06 AURORA at 1.10.06_PCA 9 -  Exhibit D April 2010 (3) 3" xfId="5210"/>
    <cellStyle name="_Power Cost Value Copy 11.30.05 gas 1.09.06 AURORA at 1.10.06_PCA 9 -  Exhibit D April 2010 (3) 3 2" xfId="26158"/>
    <cellStyle name="_Power Cost Value Copy 11.30.05 gas 1.09.06 AURORA at 1.10.06_PCA 9 -  Exhibit D April 2010 (3) 3 2 2" xfId="26159"/>
    <cellStyle name="_Power Cost Value Copy 11.30.05 gas 1.09.06 AURORA at 1.10.06_PCA 9 -  Exhibit D April 2010 (3) 3 3" xfId="26160"/>
    <cellStyle name="_Power Cost Value Copy 11.30.05 gas 1.09.06 AURORA at 1.10.06_PCA 9 -  Exhibit D April 2010 (3) 3 4" xfId="26161"/>
    <cellStyle name="_Power Cost Value Copy 11.30.05 gas 1.09.06 AURORA at 1.10.06_PCA 9 -  Exhibit D April 2010 (3) 4" xfId="26162"/>
    <cellStyle name="_Power Cost Value Copy 11.30.05 gas 1.09.06 AURORA at 1.10.06_PCA 9 -  Exhibit D April 2010 (3) 4 2" xfId="26163"/>
    <cellStyle name="_Power Cost Value Copy 11.30.05 gas 1.09.06 AURORA at 1.10.06_PCA 9 -  Exhibit D April 2010 (3) 5" xfId="26164"/>
    <cellStyle name="_Power Cost Value Copy 11.30.05 gas 1.09.06 AURORA at 1.10.06_PCA 9 -  Exhibit D April 2010 (3) 6" xfId="7570"/>
    <cellStyle name="_Power Cost Value Copy 11.30.05 gas 1.09.06 AURORA at 1.10.06_PCA 9 -  Exhibit D April 2010 (3)_DEM-WP(C) ENERG10C--ctn Mid-C_042010 2010GRC" xfId="12895"/>
    <cellStyle name="_Power Cost Value Copy 11.30.05 gas 1.09.06 AURORA at 1.10.06_PCA 9 -  Exhibit D April 2010 (3)_DEM-WP(C) ENERG10C--ctn Mid-C_042010 2010GRC 2" xfId="41543"/>
    <cellStyle name="_Power Cost Value Copy 11.30.05 gas 1.09.06 AURORA at 1.10.06_PCA 9 -  Exhibit D April 2010 2" xfId="15164"/>
    <cellStyle name="_Power Cost Value Copy 11.30.05 gas 1.09.06 AURORA at 1.10.06_PCA 9 -  Exhibit D April 2010 2 2" xfId="41544"/>
    <cellStyle name="_Power Cost Value Copy 11.30.05 gas 1.09.06 AURORA at 1.10.06_PCA 9 -  Exhibit D April 2010 3" xfId="15165"/>
    <cellStyle name="_Power Cost Value Copy 11.30.05 gas 1.09.06 AURORA at 1.10.06_PCA 9 -  Exhibit D April 2010 3 2" xfId="41545"/>
    <cellStyle name="_Power Cost Value Copy 11.30.05 gas 1.09.06 AURORA at 1.10.06_PCA 9 -  Exhibit D April 2010 4" xfId="15166"/>
    <cellStyle name="_Power Cost Value Copy 11.30.05 gas 1.09.06 AURORA at 1.10.06_PCA 9 -  Exhibit D April 2010 4 2" xfId="41546"/>
    <cellStyle name="_Power Cost Value Copy 11.30.05 gas 1.09.06 AURORA at 1.10.06_PCA 9 -  Exhibit D April 2010 5" xfId="15167"/>
    <cellStyle name="_Power Cost Value Copy 11.30.05 gas 1.09.06 AURORA at 1.10.06_PCA 9 -  Exhibit D April 2010 5 2" xfId="41547"/>
    <cellStyle name="_Power Cost Value Copy 11.30.05 gas 1.09.06 AURORA at 1.10.06_PCA 9 -  Exhibit D April 2010 6" xfId="15168"/>
    <cellStyle name="_Power Cost Value Copy 11.30.05 gas 1.09.06 AURORA at 1.10.06_PCA 9 -  Exhibit D April 2010 6 2" xfId="41548"/>
    <cellStyle name="_Power Cost Value Copy 11.30.05 gas 1.09.06 AURORA at 1.10.06_PCA 9 -  Exhibit D April 2010 7" xfId="41549"/>
    <cellStyle name="_Power Cost Value Copy 11.30.05 gas 1.09.06 AURORA at 1.10.06_PCA 9 -  Exhibit D Feb 2010" xfId="14145"/>
    <cellStyle name="_Power Cost Value Copy 11.30.05 gas 1.09.06 AURORA at 1.10.06_PCA 9 -  Exhibit D Feb 2010 2" xfId="15169"/>
    <cellStyle name="_Power Cost Value Copy 11.30.05 gas 1.09.06 AURORA at 1.10.06_PCA 9 -  Exhibit D Feb 2010 2 2" xfId="41550"/>
    <cellStyle name="_Power Cost Value Copy 11.30.05 gas 1.09.06 AURORA at 1.10.06_PCA 9 -  Exhibit D Feb 2010 3" xfId="41551"/>
    <cellStyle name="_Power Cost Value Copy 11.30.05 gas 1.09.06 AURORA at 1.10.06_PCA 9 -  Exhibit D Feb 2010 v2" xfId="14146"/>
    <cellStyle name="_Power Cost Value Copy 11.30.05 gas 1.09.06 AURORA at 1.10.06_PCA 9 -  Exhibit D Feb 2010 v2 2" xfId="15170"/>
    <cellStyle name="_Power Cost Value Copy 11.30.05 gas 1.09.06 AURORA at 1.10.06_PCA 9 -  Exhibit D Feb 2010 v2 2 2" xfId="41552"/>
    <cellStyle name="_Power Cost Value Copy 11.30.05 gas 1.09.06 AURORA at 1.10.06_PCA 9 -  Exhibit D Feb 2010 v2 3" xfId="41553"/>
    <cellStyle name="_Power Cost Value Copy 11.30.05 gas 1.09.06 AURORA at 1.10.06_PCA 9 -  Exhibit D Feb 2010 WF" xfId="14147"/>
    <cellStyle name="_Power Cost Value Copy 11.30.05 gas 1.09.06 AURORA at 1.10.06_PCA 9 -  Exhibit D Feb 2010 WF 2" xfId="15171"/>
    <cellStyle name="_Power Cost Value Copy 11.30.05 gas 1.09.06 AURORA at 1.10.06_PCA 9 -  Exhibit D Feb 2010 WF 2 2" xfId="41554"/>
    <cellStyle name="_Power Cost Value Copy 11.30.05 gas 1.09.06 AURORA at 1.10.06_PCA 9 -  Exhibit D Feb 2010 WF 3" xfId="41555"/>
    <cellStyle name="_Power Cost Value Copy 11.30.05 gas 1.09.06 AURORA at 1.10.06_PCA 9 -  Exhibit D Jan 2010" xfId="14148"/>
    <cellStyle name="_Power Cost Value Copy 11.30.05 gas 1.09.06 AURORA at 1.10.06_PCA 9 -  Exhibit D Jan 2010 2" xfId="15172"/>
    <cellStyle name="_Power Cost Value Copy 11.30.05 gas 1.09.06 AURORA at 1.10.06_PCA 9 -  Exhibit D Jan 2010 2 2" xfId="41556"/>
    <cellStyle name="_Power Cost Value Copy 11.30.05 gas 1.09.06 AURORA at 1.10.06_PCA 9 -  Exhibit D Jan 2010 3" xfId="41557"/>
    <cellStyle name="_Power Cost Value Copy 11.30.05 gas 1.09.06 AURORA at 1.10.06_PCA 9 -  Exhibit D March 2010 (2)" xfId="14149"/>
    <cellStyle name="_Power Cost Value Copy 11.30.05 gas 1.09.06 AURORA at 1.10.06_PCA 9 -  Exhibit D March 2010 (2) 2" xfId="15173"/>
    <cellStyle name="_Power Cost Value Copy 11.30.05 gas 1.09.06 AURORA at 1.10.06_PCA 9 -  Exhibit D March 2010 (2) 2 2" xfId="41558"/>
    <cellStyle name="_Power Cost Value Copy 11.30.05 gas 1.09.06 AURORA at 1.10.06_PCA 9 -  Exhibit D March 2010 (2) 3" xfId="41559"/>
    <cellStyle name="_Power Cost Value Copy 11.30.05 gas 1.09.06 AURORA at 1.10.06_PCA 9 -  Exhibit D Nov 2010" xfId="14150"/>
    <cellStyle name="_Power Cost Value Copy 11.30.05 gas 1.09.06 AURORA at 1.10.06_PCA 9 -  Exhibit D Nov 2010 2" xfId="15174"/>
    <cellStyle name="_Power Cost Value Copy 11.30.05 gas 1.09.06 AURORA at 1.10.06_PCA 9 -  Exhibit D Nov 2010 2 2" xfId="41560"/>
    <cellStyle name="_Power Cost Value Copy 11.30.05 gas 1.09.06 AURORA at 1.10.06_PCA 9 -  Exhibit D Nov 2010 3" xfId="41561"/>
    <cellStyle name="_Power Cost Value Copy 11.30.05 gas 1.09.06 AURORA at 1.10.06_PCA 9 - Exhibit D at August 2010" xfId="14151"/>
    <cellStyle name="_Power Cost Value Copy 11.30.05 gas 1.09.06 AURORA at 1.10.06_PCA 9 - Exhibit D at August 2010 2" xfId="15175"/>
    <cellStyle name="_Power Cost Value Copy 11.30.05 gas 1.09.06 AURORA at 1.10.06_PCA 9 - Exhibit D at August 2010 2 2" xfId="41562"/>
    <cellStyle name="_Power Cost Value Copy 11.30.05 gas 1.09.06 AURORA at 1.10.06_PCA 9 - Exhibit D at August 2010 3" xfId="41563"/>
    <cellStyle name="_Power Cost Value Copy 11.30.05 gas 1.09.06 AURORA at 1.10.06_PCA 9 - Exhibit D June 2010 GRC" xfId="14152"/>
    <cellStyle name="_Power Cost Value Copy 11.30.05 gas 1.09.06 AURORA at 1.10.06_PCA 9 - Exhibit D June 2010 GRC 2" xfId="15176"/>
    <cellStyle name="_Power Cost Value Copy 11.30.05 gas 1.09.06 AURORA at 1.10.06_PCA 9 - Exhibit D June 2010 GRC 2 2" xfId="41564"/>
    <cellStyle name="_Power Cost Value Copy 11.30.05 gas 1.09.06 AURORA at 1.10.06_PCA 9 - Exhibit D June 2010 GRC 3" xfId="41565"/>
    <cellStyle name="_Power Cost Value Copy 11.30.05 gas 1.09.06 AURORA at 1.10.06_Power Costs - Comparison bx Rbtl-Staff-Jt-PC" xfId="1843"/>
    <cellStyle name="_Power Cost Value Copy 11.30.05 gas 1.09.06 AURORA at 1.10.06_Power Costs - Comparison bx Rbtl-Staff-Jt-PC 2" xfId="1844"/>
    <cellStyle name="_Power Cost Value Copy 11.30.05 gas 1.09.06 AURORA at 1.10.06_Power Costs - Comparison bx Rbtl-Staff-Jt-PC 2 2" xfId="5213"/>
    <cellStyle name="_Power Cost Value Copy 11.30.05 gas 1.09.06 AURORA at 1.10.06_Power Costs - Comparison bx Rbtl-Staff-Jt-PC 2 2 2" xfId="21211"/>
    <cellStyle name="_Power Cost Value Copy 11.30.05 gas 1.09.06 AURORA at 1.10.06_Power Costs - Comparison bx Rbtl-Staff-Jt-PC 2 2 2 2" xfId="26165"/>
    <cellStyle name="_Power Cost Value Copy 11.30.05 gas 1.09.06 AURORA at 1.10.06_Power Costs - Comparison bx Rbtl-Staff-Jt-PC 2 2 3" xfId="26166"/>
    <cellStyle name="_Power Cost Value Copy 11.30.05 gas 1.09.06 AURORA at 1.10.06_Power Costs - Comparison bx Rbtl-Staff-Jt-PC 2 2 4" xfId="7574"/>
    <cellStyle name="_Power Cost Value Copy 11.30.05 gas 1.09.06 AURORA at 1.10.06_Power Costs - Comparison bx Rbtl-Staff-Jt-PC 2 3" xfId="16899"/>
    <cellStyle name="_Power Cost Value Copy 11.30.05 gas 1.09.06 AURORA at 1.10.06_Power Costs - Comparison bx Rbtl-Staff-Jt-PC 2 3 2" xfId="26167"/>
    <cellStyle name="_Power Cost Value Copy 11.30.05 gas 1.09.06 AURORA at 1.10.06_Power Costs - Comparison bx Rbtl-Staff-Jt-PC 2 4" xfId="26168"/>
    <cellStyle name="_Power Cost Value Copy 11.30.05 gas 1.09.06 AURORA at 1.10.06_Power Costs - Comparison bx Rbtl-Staff-Jt-PC 2 5" xfId="7573"/>
    <cellStyle name="_Power Cost Value Copy 11.30.05 gas 1.09.06 AURORA at 1.10.06_Power Costs - Comparison bx Rbtl-Staff-Jt-PC 3" xfId="5212"/>
    <cellStyle name="_Power Cost Value Copy 11.30.05 gas 1.09.06 AURORA at 1.10.06_Power Costs - Comparison bx Rbtl-Staff-Jt-PC 3 2" xfId="21212"/>
    <cellStyle name="_Power Cost Value Copy 11.30.05 gas 1.09.06 AURORA at 1.10.06_Power Costs - Comparison bx Rbtl-Staff-Jt-PC 3 2 2" xfId="26169"/>
    <cellStyle name="_Power Cost Value Copy 11.30.05 gas 1.09.06 AURORA at 1.10.06_Power Costs - Comparison bx Rbtl-Staff-Jt-PC 3 3" xfId="26170"/>
    <cellStyle name="_Power Cost Value Copy 11.30.05 gas 1.09.06 AURORA at 1.10.06_Power Costs - Comparison bx Rbtl-Staff-Jt-PC 3 4" xfId="26171"/>
    <cellStyle name="_Power Cost Value Copy 11.30.05 gas 1.09.06 AURORA at 1.10.06_Power Costs - Comparison bx Rbtl-Staff-Jt-PC 3 5" xfId="7575"/>
    <cellStyle name="_Power Cost Value Copy 11.30.05 gas 1.09.06 AURORA at 1.10.06_Power Costs - Comparison bx Rbtl-Staff-Jt-PC 4" xfId="16898"/>
    <cellStyle name="_Power Cost Value Copy 11.30.05 gas 1.09.06 AURORA at 1.10.06_Power Costs - Comparison bx Rbtl-Staff-Jt-PC 4 2" xfId="26172"/>
    <cellStyle name="_Power Cost Value Copy 11.30.05 gas 1.09.06 AURORA at 1.10.06_Power Costs - Comparison bx Rbtl-Staff-Jt-PC 5" xfId="26173"/>
    <cellStyle name="_Power Cost Value Copy 11.30.05 gas 1.09.06 AURORA at 1.10.06_Power Costs - Comparison bx Rbtl-Staff-Jt-PC 6" xfId="7572"/>
    <cellStyle name="_Power Cost Value Copy 11.30.05 gas 1.09.06 AURORA at 1.10.06_Power Costs - Comparison bx Rbtl-Staff-Jt-PC_Adj Bench DR 3 for Initial Briefs (Electric)" xfId="1845"/>
    <cellStyle name="_Power Cost Value Copy 11.30.05 gas 1.09.06 AURORA at 1.10.06_Power Costs - Comparison bx Rbtl-Staff-Jt-PC_Adj Bench DR 3 for Initial Briefs (Electric) 2" xfId="1846"/>
    <cellStyle name="_Power Cost Value Copy 11.30.05 gas 1.09.06 AURORA at 1.10.06_Power Costs - Comparison bx Rbtl-Staff-Jt-PC_Adj Bench DR 3 for Initial Briefs (Electric) 2 2" xfId="5215"/>
    <cellStyle name="_Power Cost Value Copy 11.30.05 gas 1.09.06 AURORA at 1.10.06_Power Costs - Comparison bx Rbtl-Staff-Jt-PC_Adj Bench DR 3 for Initial Briefs (Electric) 2 2 2" xfId="21213"/>
    <cellStyle name="_Power Cost Value Copy 11.30.05 gas 1.09.06 AURORA at 1.10.06_Power Costs - Comparison bx Rbtl-Staff-Jt-PC_Adj Bench DR 3 for Initial Briefs (Electric) 2 2 2 2" xfId="26174"/>
    <cellStyle name="_Power Cost Value Copy 11.30.05 gas 1.09.06 AURORA at 1.10.06_Power Costs - Comparison bx Rbtl-Staff-Jt-PC_Adj Bench DR 3 for Initial Briefs (Electric) 2 2 3" xfId="26175"/>
    <cellStyle name="_Power Cost Value Copy 11.30.05 gas 1.09.06 AURORA at 1.10.06_Power Costs - Comparison bx Rbtl-Staff-Jt-PC_Adj Bench DR 3 for Initial Briefs (Electric) 2 2 4" xfId="7578"/>
    <cellStyle name="_Power Cost Value Copy 11.30.05 gas 1.09.06 AURORA at 1.10.06_Power Costs - Comparison bx Rbtl-Staff-Jt-PC_Adj Bench DR 3 for Initial Briefs (Electric) 2 3" xfId="16901"/>
    <cellStyle name="_Power Cost Value Copy 11.30.05 gas 1.09.06 AURORA at 1.10.06_Power Costs - Comparison bx Rbtl-Staff-Jt-PC_Adj Bench DR 3 for Initial Briefs (Electric) 2 3 2" xfId="26176"/>
    <cellStyle name="_Power Cost Value Copy 11.30.05 gas 1.09.06 AURORA at 1.10.06_Power Costs - Comparison bx Rbtl-Staff-Jt-PC_Adj Bench DR 3 for Initial Briefs (Electric) 2 4" xfId="26177"/>
    <cellStyle name="_Power Cost Value Copy 11.30.05 gas 1.09.06 AURORA at 1.10.06_Power Costs - Comparison bx Rbtl-Staff-Jt-PC_Adj Bench DR 3 for Initial Briefs (Electric) 2 5" xfId="7577"/>
    <cellStyle name="_Power Cost Value Copy 11.30.05 gas 1.09.06 AURORA at 1.10.06_Power Costs - Comparison bx Rbtl-Staff-Jt-PC_Adj Bench DR 3 for Initial Briefs (Electric) 3" xfId="5214"/>
    <cellStyle name="_Power Cost Value Copy 11.30.05 gas 1.09.06 AURORA at 1.10.06_Power Costs - Comparison bx Rbtl-Staff-Jt-PC_Adj Bench DR 3 for Initial Briefs (Electric) 3 2" xfId="21214"/>
    <cellStyle name="_Power Cost Value Copy 11.30.05 gas 1.09.06 AURORA at 1.10.06_Power Costs - Comparison bx Rbtl-Staff-Jt-PC_Adj Bench DR 3 for Initial Briefs (Electric) 3 2 2" xfId="26178"/>
    <cellStyle name="_Power Cost Value Copy 11.30.05 gas 1.09.06 AURORA at 1.10.06_Power Costs - Comparison bx Rbtl-Staff-Jt-PC_Adj Bench DR 3 for Initial Briefs (Electric) 3 3" xfId="26179"/>
    <cellStyle name="_Power Cost Value Copy 11.30.05 gas 1.09.06 AURORA at 1.10.06_Power Costs - Comparison bx Rbtl-Staff-Jt-PC_Adj Bench DR 3 for Initial Briefs (Electric) 3 4" xfId="26180"/>
    <cellStyle name="_Power Cost Value Copy 11.30.05 gas 1.09.06 AURORA at 1.10.06_Power Costs - Comparison bx Rbtl-Staff-Jt-PC_Adj Bench DR 3 for Initial Briefs (Electric) 3 5" xfId="7579"/>
    <cellStyle name="_Power Cost Value Copy 11.30.05 gas 1.09.06 AURORA at 1.10.06_Power Costs - Comparison bx Rbtl-Staff-Jt-PC_Adj Bench DR 3 for Initial Briefs (Electric) 4" xfId="16900"/>
    <cellStyle name="_Power Cost Value Copy 11.30.05 gas 1.09.06 AURORA at 1.10.06_Power Costs - Comparison bx Rbtl-Staff-Jt-PC_Adj Bench DR 3 for Initial Briefs (Electric) 4 2" xfId="26181"/>
    <cellStyle name="_Power Cost Value Copy 11.30.05 gas 1.09.06 AURORA at 1.10.06_Power Costs - Comparison bx Rbtl-Staff-Jt-PC_Adj Bench DR 3 for Initial Briefs (Electric) 5" xfId="26182"/>
    <cellStyle name="_Power Cost Value Copy 11.30.05 gas 1.09.06 AURORA at 1.10.06_Power Costs - Comparison bx Rbtl-Staff-Jt-PC_Adj Bench DR 3 for Initial Briefs (Electric) 6" xfId="7576"/>
    <cellStyle name="_Power Cost Value Copy 11.30.05 gas 1.09.06 AURORA at 1.10.06_Power Costs - Comparison bx Rbtl-Staff-Jt-PC_Adj Bench DR 3 for Initial Briefs (Electric)_DEM-WP(C) ENERG10C--ctn Mid-C_042010 2010GRC" xfId="12896"/>
    <cellStyle name="_Power Cost Value Copy 11.30.05 gas 1.09.06 AURORA at 1.10.06_Power Costs - Comparison bx Rbtl-Staff-Jt-PC_Adj Bench DR 3 for Initial Briefs (Electric)_DEM-WP(C) ENERG10C--ctn Mid-C_042010 2010GRC 2" xfId="41566"/>
    <cellStyle name="_Power Cost Value Copy 11.30.05 gas 1.09.06 AURORA at 1.10.06_Power Costs - Comparison bx Rbtl-Staff-Jt-PC_DEM-WP(C) ENERG10C--ctn Mid-C_042010 2010GRC" xfId="12897"/>
    <cellStyle name="_Power Cost Value Copy 11.30.05 gas 1.09.06 AURORA at 1.10.06_Power Costs - Comparison bx Rbtl-Staff-Jt-PC_DEM-WP(C) ENERG10C--ctn Mid-C_042010 2010GRC 2" xfId="41567"/>
    <cellStyle name="_Power Cost Value Copy 11.30.05 gas 1.09.06 AURORA at 1.10.06_Power Costs - Comparison bx Rbtl-Staff-Jt-PC_Electric Rev Req Model (2009 GRC) Rebuttal" xfId="1847"/>
    <cellStyle name="_Power Cost Value Copy 11.30.05 gas 1.09.06 AURORA at 1.10.06_Power Costs - Comparison bx Rbtl-Staff-Jt-PC_Electric Rev Req Model (2009 GRC) Rebuttal 2" xfId="5216"/>
    <cellStyle name="_Power Cost Value Copy 11.30.05 gas 1.09.06 AURORA at 1.10.06_Power Costs - Comparison bx Rbtl-Staff-Jt-PC_Electric Rev Req Model (2009 GRC) Rebuttal 2 2" xfId="7582"/>
    <cellStyle name="_Power Cost Value Copy 11.30.05 gas 1.09.06 AURORA at 1.10.06_Power Costs - Comparison bx Rbtl-Staff-Jt-PC_Electric Rev Req Model (2009 GRC) Rebuttal 2 2 2" xfId="21215"/>
    <cellStyle name="_Power Cost Value Copy 11.30.05 gas 1.09.06 AURORA at 1.10.06_Power Costs - Comparison bx Rbtl-Staff-Jt-PC_Electric Rev Req Model (2009 GRC) Rebuttal 2 3" xfId="18607"/>
    <cellStyle name="_Power Cost Value Copy 11.30.05 gas 1.09.06 AURORA at 1.10.06_Power Costs - Comparison bx Rbtl-Staff-Jt-PC_Electric Rev Req Model (2009 GRC) Rebuttal 2 4" xfId="7581"/>
    <cellStyle name="_Power Cost Value Copy 11.30.05 gas 1.09.06 AURORA at 1.10.06_Power Costs - Comparison bx Rbtl-Staff-Jt-PC_Electric Rev Req Model (2009 GRC) Rebuttal 3" xfId="7583"/>
    <cellStyle name="_Power Cost Value Copy 11.30.05 gas 1.09.06 AURORA at 1.10.06_Power Costs - Comparison bx Rbtl-Staff-Jt-PC_Electric Rev Req Model (2009 GRC) Rebuttal 3 2" xfId="21216"/>
    <cellStyle name="_Power Cost Value Copy 11.30.05 gas 1.09.06 AURORA at 1.10.06_Power Costs - Comparison bx Rbtl-Staff-Jt-PC_Electric Rev Req Model (2009 GRC) Rebuttal 4" xfId="16902"/>
    <cellStyle name="_Power Cost Value Copy 11.30.05 gas 1.09.06 AURORA at 1.10.06_Power Costs - Comparison bx Rbtl-Staff-Jt-PC_Electric Rev Req Model (2009 GRC) Rebuttal 5" xfId="7580"/>
    <cellStyle name="_Power Cost Value Copy 11.30.05 gas 1.09.06 AURORA at 1.10.06_Power Costs - Comparison bx Rbtl-Staff-Jt-PC_Electric Rev Req Model (2009 GRC) Rebuttal REmoval of New  WH Solar AdjustMI" xfId="1848"/>
    <cellStyle name="_Power Cost Value Copy 11.30.05 gas 1.09.06 AURORA at 1.10.06_Power Costs - Comparison bx Rbtl-Staff-Jt-PC_Electric Rev Req Model (2009 GRC) Rebuttal REmoval of New  WH Solar AdjustMI 2" xfId="1849"/>
    <cellStyle name="_Power Cost Value Copy 11.30.05 gas 1.09.06 AURORA at 1.10.06_Power Costs - Comparison bx Rbtl-Staff-Jt-PC_Electric Rev Req Model (2009 GRC) Rebuttal REmoval of New  WH Solar AdjustMI 2 2" xfId="5218"/>
    <cellStyle name="_Power Cost Value Copy 11.30.05 gas 1.09.06 AURORA at 1.10.06_Power Costs - Comparison bx Rbtl-Staff-Jt-PC_Electric Rev Req Model (2009 GRC) Rebuttal REmoval of New  WH Solar AdjustMI 2 2 2" xfId="21217"/>
    <cellStyle name="_Power Cost Value Copy 11.30.05 gas 1.09.06 AURORA at 1.10.06_Power Costs - Comparison bx Rbtl-Staff-Jt-PC_Electric Rev Req Model (2009 GRC) Rebuttal REmoval of New  WH Solar AdjustMI 2 2 2 2" xfId="26183"/>
    <cellStyle name="_Power Cost Value Copy 11.30.05 gas 1.09.06 AURORA at 1.10.06_Power Costs - Comparison bx Rbtl-Staff-Jt-PC_Electric Rev Req Model (2009 GRC) Rebuttal REmoval of New  WH Solar AdjustMI 2 2 3" xfId="26184"/>
    <cellStyle name="_Power Cost Value Copy 11.30.05 gas 1.09.06 AURORA at 1.10.06_Power Costs - Comparison bx Rbtl-Staff-Jt-PC_Electric Rev Req Model (2009 GRC) Rebuttal REmoval of New  WH Solar AdjustMI 2 2 4" xfId="7586"/>
    <cellStyle name="_Power Cost Value Copy 11.30.05 gas 1.09.06 AURORA at 1.10.06_Power Costs - Comparison bx Rbtl-Staff-Jt-PC_Electric Rev Req Model (2009 GRC) Rebuttal REmoval of New  WH Solar AdjustMI 2 3" xfId="16904"/>
    <cellStyle name="_Power Cost Value Copy 11.30.05 gas 1.09.06 AURORA at 1.10.06_Power Costs - Comparison bx Rbtl-Staff-Jt-PC_Electric Rev Req Model (2009 GRC) Rebuttal REmoval of New  WH Solar AdjustMI 2 3 2" xfId="26185"/>
    <cellStyle name="_Power Cost Value Copy 11.30.05 gas 1.09.06 AURORA at 1.10.06_Power Costs - Comparison bx Rbtl-Staff-Jt-PC_Electric Rev Req Model (2009 GRC) Rebuttal REmoval of New  WH Solar AdjustMI 2 4" xfId="26186"/>
    <cellStyle name="_Power Cost Value Copy 11.30.05 gas 1.09.06 AURORA at 1.10.06_Power Costs - Comparison bx Rbtl-Staff-Jt-PC_Electric Rev Req Model (2009 GRC) Rebuttal REmoval of New  WH Solar AdjustMI 2 5" xfId="7585"/>
    <cellStyle name="_Power Cost Value Copy 11.30.05 gas 1.09.06 AURORA at 1.10.06_Power Costs - Comparison bx Rbtl-Staff-Jt-PC_Electric Rev Req Model (2009 GRC) Rebuttal REmoval of New  WH Solar AdjustMI 3" xfId="5217"/>
    <cellStyle name="_Power Cost Value Copy 11.30.05 gas 1.09.06 AURORA at 1.10.06_Power Costs - Comparison bx Rbtl-Staff-Jt-PC_Electric Rev Req Model (2009 GRC) Rebuttal REmoval of New  WH Solar AdjustMI 3 2" xfId="21218"/>
    <cellStyle name="_Power Cost Value Copy 11.30.05 gas 1.09.06 AURORA at 1.10.06_Power Costs - Comparison bx Rbtl-Staff-Jt-PC_Electric Rev Req Model (2009 GRC) Rebuttal REmoval of New  WH Solar AdjustMI 3 2 2" xfId="26187"/>
    <cellStyle name="_Power Cost Value Copy 11.30.05 gas 1.09.06 AURORA at 1.10.06_Power Costs - Comparison bx Rbtl-Staff-Jt-PC_Electric Rev Req Model (2009 GRC) Rebuttal REmoval of New  WH Solar AdjustMI 3 3" xfId="26188"/>
    <cellStyle name="_Power Cost Value Copy 11.30.05 gas 1.09.06 AURORA at 1.10.06_Power Costs - Comparison bx Rbtl-Staff-Jt-PC_Electric Rev Req Model (2009 GRC) Rebuttal REmoval of New  WH Solar AdjustMI 3 4" xfId="26189"/>
    <cellStyle name="_Power Cost Value Copy 11.30.05 gas 1.09.06 AURORA at 1.10.06_Power Costs - Comparison bx Rbtl-Staff-Jt-PC_Electric Rev Req Model (2009 GRC) Rebuttal REmoval of New  WH Solar AdjustMI 3 5" xfId="7587"/>
    <cellStyle name="_Power Cost Value Copy 11.30.05 gas 1.09.06 AURORA at 1.10.06_Power Costs - Comparison bx Rbtl-Staff-Jt-PC_Electric Rev Req Model (2009 GRC) Rebuttal REmoval of New  WH Solar AdjustMI 4" xfId="16903"/>
    <cellStyle name="_Power Cost Value Copy 11.30.05 gas 1.09.06 AURORA at 1.10.06_Power Costs - Comparison bx Rbtl-Staff-Jt-PC_Electric Rev Req Model (2009 GRC) Rebuttal REmoval of New  WH Solar AdjustMI 4 2" xfId="26190"/>
    <cellStyle name="_Power Cost Value Copy 11.30.05 gas 1.09.06 AURORA at 1.10.06_Power Costs - Comparison bx Rbtl-Staff-Jt-PC_Electric Rev Req Model (2009 GRC) Rebuttal REmoval of New  WH Solar AdjustMI 5" xfId="26191"/>
    <cellStyle name="_Power Cost Value Copy 11.30.05 gas 1.09.06 AURORA at 1.10.06_Power Costs - Comparison bx Rbtl-Staff-Jt-PC_Electric Rev Req Model (2009 GRC) Rebuttal REmoval of New  WH Solar AdjustMI 6" xfId="7584"/>
    <cellStyle name="_Power Cost Value Copy 11.30.05 gas 1.09.06 AURORA at 1.10.06_Power Costs - Comparison bx Rbtl-Staff-Jt-PC_Electric Rev Req Model (2009 GRC) Rebuttal REmoval of New  WH Solar AdjustMI_DEM-WP(C) ENERG10C--ctn Mid-C_042010 2010GRC" xfId="12898"/>
    <cellStyle name="_Power Cost Value Copy 11.30.05 gas 1.09.06 AURORA at 1.10.06_Power Costs - Comparison bx Rbtl-Staff-Jt-PC_Electric Rev Req Model (2009 GRC) Rebuttal REmoval of New  WH Solar AdjustMI_DEM-WP(C) ENERG10C--ctn Mid-C_042010 2010GRC 2" xfId="41568"/>
    <cellStyle name="_Power Cost Value Copy 11.30.05 gas 1.09.06 AURORA at 1.10.06_Power Costs - Comparison bx Rbtl-Staff-Jt-PC_Electric Rev Req Model (2009 GRC) Revised 01-18-2010" xfId="1850"/>
    <cellStyle name="_Power Cost Value Copy 11.30.05 gas 1.09.06 AURORA at 1.10.06_Power Costs - Comparison bx Rbtl-Staff-Jt-PC_Electric Rev Req Model (2009 GRC) Revised 01-18-2010 2" xfId="1851"/>
    <cellStyle name="_Power Cost Value Copy 11.30.05 gas 1.09.06 AURORA at 1.10.06_Power Costs - Comparison bx Rbtl-Staff-Jt-PC_Electric Rev Req Model (2009 GRC) Revised 01-18-2010 2 2" xfId="5220"/>
    <cellStyle name="_Power Cost Value Copy 11.30.05 gas 1.09.06 AURORA at 1.10.06_Power Costs - Comparison bx Rbtl-Staff-Jt-PC_Electric Rev Req Model (2009 GRC) Revised 01-18-2010 2 2 2" xfId="21219"/>
    <cellStyle name="_Power Cost Value Copy 11.30.05 gas 1.09.06 AURORA at 1.10.06_Power Costs - Comparison bx Rbtl-Staff-Jt-PC_Electric Rev Req Model (2009 GRC) Revised 01-18-2010 2 2 2 2" xfId="26192"/>
    <cellStyle name="_Power Cost Value Copy 11.30.05 gas 1.09.06 AURORA at 1.10.06_Power Costs - Comparison bx Rbtl-Staff-Jt-PC_Electric Rev Req Model (2009 GRC) Revised 01-18-2010 2 2 3" xfId="26193"/>
    <cellStyle name="_Power Cost Value Copy 11.30.05 gas 1.09.06 AURORA at 1.10.06_Power Costs - Comparison bx Rbtl-Staff-Jt-PC_Electric Rev Req Model (2009 GRC) Revised 01-18-2010 2 2 4" xfId="7590"/>
    <cellStyle name="_Power Cost Value Copy 11.30.05 gas 1.09.06 AURORA at 1.10.06_Power Costs - Comparison bx Rbtl-Staff-Jt-PC_Electric Rev Req Model (2009 GRC) Revised 01-18-2010 2 3" xfId="16906"/>
    <cellStyle name="_Power Cost Value Copy 11.30.05 gas 1.09.06 AURORA at 1.10.06_Power Costs - Comparison bx Rbtl-Staff-Jt-PC_Electric Rev Req Model (2009 GRC) Revised 01-18-2010 2 3 2" xfId="26194"/>
    <cellStyle name="_Power Cost Value Copy 11.30.05 gas 1.09.06 AURORA at 1.10.06_Power Costs - Comparison bx Rbtl-Staff-Jt-PC_Electric Rev Req Model (2009 GRC) Revised 01-18-2010 2 4" xfId="26195"/>
    <cellStyle name="_Power Cost Value Copy 11.30.05 gas 1.09.06 AURORA at 1.10.06_Power Costs - Comparison bx Rbtl-Staff-Jt-PC_Electric Rev Req Model (2009 GRC) Revised 01-18-2010 2 5" xfId="7589"/>
    <cellStyle name="_Power Cost Value Copy 11.30.05 gas 1.09.06 AURORA at 1.10.06_Power Costs - Comparison bx Rbtl-Staff-Jt-PC_Electric Rev Req Model (2009 GRC) Revised 01-18-2010 3" xfId="5219"/>
    <cellStyle name="_Power Cost Value Copy 11.30.05 gas 1.09.06 AURORA at 1.10.06_Power Costs - Comparison bx Rbtl-Staff-Jt-PC_Electric Rev Req Model (2009 GRC) Revised 01-18-2010 3 2" xfId="21220"/>
    <cellStyle name="_Power Cost Value Copy 11.30.05 gas 1.09.06 AURORA at 1.10.06_Power Costs - Comparison bx Rbtl-Staff-Jt-PC_Electric Rev Req Model (2009 GRC) Revised 01-18-2010 3 2 2" xfId="26196"/>
    <cellStyle name="_Power Cost Value Copy 11.30.05 gas 1.09.06 AURORA at 1.10.06_Power Costs - Comparison bx Rbtl-Staff-Jt-PC_Electric Rev Req Model (2009 GRC) Revised 01-18-2010 3 3" xfId="26197"/>
    <cellStyle name="_Power Cost Value Copy 11.30.05 gas 1.09.06 AURORA at 1.10.06_Power Costs - Comparison bx Rbtl-Staff-Jt-PC_Electric Rev Req Model (2009 GRC) Revised 01-18-2010 3 4" xfId="26198"/>
    <cellStyle name="_Power Cost Value Copy 11.30.05 gas 1.09.06 AURORA at 1.10.06_Power Costs - Comparison bx Rbtl-Staff-Jt-PC_Electric Rev Req Model (2009 GRC) Revised 01-18-2010 3 5" xfId="7591"/>
    <cellStyle name="_Power Cost Value Copy 11.30.05 gas 1.09.06 AURORA at 1.10.06_Power Costs - Comparison bx Rbtl-Staff-Jt-PC_Electric Rev Req Model (2009 GRC) Revised 01-18-2010 4" xfId="16905"/>
    <cellStyle name="_Power Cost Value Copy 11.30.05 gas 1.09.06 AURORA at 1.10.06_Power Costs - Comparison bx Rbtl-Staff-Jt-PC_Electric Rev Req Model (2009 GRC) Revised 01-18-2010 4 2" xfId="26199"/>
    <cellStyle name="_Power Cost Value Copy 11.30.05 gas 1.09.06 AURORA at 1.10.06_Power Costs - Comparison bx Rbtl-Staff-Jt-PC_Electric Rev Req Model (2009 GRC) Revised 01-18-2010 5" xfId="26200"/>
    <cellStyle name="_Power Cost Value Copy 11.30.05 gas 1.09.06 AURORA at 1.10.06_Power Costs - Comparison bx Rbtl-Staff-Jt-PC_Electric Rev Req Model (2009 GRC) Revised 01-18-2010 6" xfId="7588"/>
    <cellStyle name="_Power Cost Value Copy 11.30.05 gas 1.09.06 AURORA at 1.10.06_Power Costs - Comparison bx Rbtl-Staff-Jt-PC_Electric Rev Req Model (2009 GRC) Revised 01-18-2010_DEM-WP(C) ENERG10C--ctn Mid-C_042010 2010GRC" xfId="12899"/>
    <cellStyle name="_Power Cost Value Copy 11.30.05 gas 1.09.06 AURORA at 1.10.06_Power Costs - Comparison bx Rbtl-Staff-Jt-PC_Electric Rev Req Model (2009 GRC) Revised 01-18-2010_DEM-WP(C) ENERG10C--ctn Mid-C_042010 2010GRC 2" xfId="41569"/>
    <cellStyle name="_Power Cost Value Copy 11.30.05 gas 1.09.06 AURORA at 1.10.06_Power Costs - Comparison bx Rbtl-Staff-Jt-PC_Final Order Electric EXHIBIT A-1" xfId="1852"/>
    <cellStyle name="_Power Cost Value Copy 11.30.05 gas 1.09.06 AURORA at 1.10.06_Power Costs - Comparison bx Rbtl-Staff-Jt-PC_Final Order Electric EXHIBIT A-1 2" xfId="5221"/>
    <cellStyle name="_Power Cost Value Copy 11.30.05 gas 1.09.06 AURORA at 1.10.06_Power Costs - Comparison bx Rbtl-Staff-Jt-PC_Final Order Electric EXHIBIT A-1 2 2" xfId="7594"/>
    <cellStyle name="_Power Cost Value Copy 11.30.05 gas 1.09.06 AURORA at 1.10.06_Power Costs - Comparison bx Rbtl-Staff-Jt-PC_Final Order Electric EXHIBIT A-1 2 2 2" xfId="21221"/>
    <cellStyle name="_Power Cost Value Copy 11.30.05 gas 1.09.06 AURORA at 1.10.06_Power Costs - Comparison bx Rbtl-Staff-Jt-PC_Final Order Electric EXHIBIT A-1 2 3" xfId="18608"/>
    <cellStyle name="_Power Cost Value Copy 11.30.05 gas 1.09.06 AURORA at 1.10.06_Power Costs - Comparison bx Rbtl-Staff-Jt-PC_Final Order Electric EXHIBIT A-1 2 4" xfId="26201"/>
    <cellStyle name="_Power Cost Value Copy 11.30.05 gas 1.09.06 AURORA at 1.10.06_Power Costs - Comparison bx Rbtl-Staff-Jt-PC_Final Order Electric EXHIBIT A-1 2 5" xfId="7593"/>
    <cellStyle name="_Power Cost Value Copy 11.30.05 gas 1.09.06 AURORA at 1.10.06_Power Costs - Comparison bx Rbtl-Staff-Jt-PC_Final Order Electric EXHIBIT A-1 3" xfId="7595"/>
    <cellStyle name="_Power Cost Value Copy 11.30.05 gas 1.09.06 AURORA at 1.10.06_Power Costs - Comparison bx Rbtl-Staff-Jt-PC_Final Order Electric EXHIBIT A-1 3 2" xfId="21222"/>
    <cellStyle name="_Power Cost Value Copy 11.30.05 gas 1.09.06 AURORA at 1.10.06_Power Costs - Comparison bx Rbtl-Staff-Jt-PC_Final Order Electric EXHIBIT A-1 4" xfId="16907"/>
    <cellStyle name="_Power Cost Value Copy 11.30.05 gas 1.09.06 AURORA at 1.10.06_Power Costs - Comparison bx Rbtl-Staff-Jt-PC_Final Order Electric EXHIBIT A-1 5" xfId="26202"/>
    <cellStyle name="_Power Cost Value Copy 11.30.05 gas 1.09.06 AURORA at 1.10.06_Power Costs - Comparison bx Rbtl-Staff-Jt-PC_Final Order Electric EXHIBIT A-1 6" xfId="26203"/>
    <cellStyle name="_Power Cost Value Copy 11.30.05 gas 1.09.06 AURORA at 1.10.06_Power Costs - Comparison bx Rbtl-Staff-Jt-PC_Final Order Electric EXHIBIT A-1 7" xfId="7592"/>
    <cellStyle name="_Power Cost Value Copy 11.30.05 gas 1.09.06 AURORA at 1.10.06_Production Adj 4.37" xfId="7596"/>
    <cellStyle name="_Power Cost Value Copy 11.30.05 gas 1.09.06 AURORA at 1.10.06_Production Adj 4.37 2" xfId="7597"/>
    <cellStyle name="_Power Cost Value Copy 11.30.05 gas 1.09.06 AURORA at 1.10.06_Production Adj 4.37 2 2" xfId="7598"/>
    <cellStyle name="_Power Cost Value Copy 11.30.05 gas 1.09.06 AURORA at 1.10.06_Production Adj 4.37 2 2 2" xfId="21223"/>
    <cellStyle name="_Power Cost Value Copy 11.30.05 gas 1.09.06 AURORA at 1.10.06_Production Adj 4.37 2 3" xfId="18610"/>
    <cellStyle name="_Power Cost Value Copy 11.30.05 gas 1.09.06 AURORA at 1.10.06_Production Adj 4.37 3" xfId="7599"/>
    <cellStyle name="_Power Cost Value Copy 11.30.05 gas 1.09.06 AURORA at 1.10.06_Production Adj 4.37 3 2" xfId="21224"/>
    <cellStyle name="_Power Cost Value Copy 11.30.05 gas 1.09.06 AURORA at 1.10.06_Production Adj 4.37 4" xfId="18609"/>
    <cellStyle name="_Power Cost Value Copy 11.30.05 gas 1.09.06 AURORA at 1.10.06_Purchased Power Adj 4.03" xfId="7600"/>
    <cellStyle name="_Power Cost Value Copy 11.30.05 gas 1.09.06 AURORA at 1.10.06_Purchased Power Adj 4.03 2" xfId="7601"/>
    <cellStyle name="_Power Cost Value Copy 11.30.05 gas 1.09.06 AURORA at 1.10.06_Purchased Power Adj 4.03 2 2" xfId="7602"/>
    <cellStyle name="_Power Cost Value Copy 11.30.05 gas 1.09.06 AURORA at 1.10.06_Purchased Power Adj 4.03 2 2 2" xfId="21225"/>
    <cellStyle name="_Power Cost Value Copy 11.30.05 gas 1.09.06 AURORA at 1.10.06_Purchased Power Adj 4.03 2 3" xfId="18612"/>
    <cellStyle name="_Power Cost Value Copy 11.30.05 gas 1.09.06 AURORA at 1.10.06_Purchased Power Adj 4.03 3" xfId="7603"/>
    <cellStyle name="_Power Cost Value Copy 11.30.05 gas 1.09.06 AURORA at 1.10.06_Purchased Power Adj 4.03 3 2" xfId="21226"/>
    <cellStyle name="_Power Cost Value Copy 11.30.05 gas 1.09.06 AURORA at 1.10.06_Purchased Power Adj 4.03 4" xfId="18611"/>
    <cellStyle name="_Power Cost Value Copy 11.30.05 gas 1.09.06 AURORA at 1.10.06_Rate Design Sch 24" xfId="7604"/>
    <cellStyle name="_Power Cost Value Copy 11.30.05 gas 1.09.06 AURORA at 1.10.06_Rate Design Sch 24 2" xfId="7605"/>
    <cellStyle name="_Power Cost Value Copy 11.30.05 gas 1.09.06 AURORA at 1.10.06_Rate Design Sch 24 2 2" xfId="21227"/>
    <cellStyle name="_Power Cost Value Copy 11.30.05 gas 1.09.06 AURORA at 1.10.06_Rate Design Sch 24 3" xfId="18613"/>
    <cellStyle name="_Power Cost Value Copy 11.30.05 gas 1.09.06 AURORA at 1.10.06_Rate Design Sch 25" xfId="7606"/>
    <cellStyle name="_Power Cost Value Copy 11.30.05 gas 1.09.06 AURORA at 1.10.06_Rate Design Sch 25 2" xfId="7607"/>
    <cellStyle name="_Power Cost Value Copy 11.30.05 gas 1.09.06 AURORA at 1.10.06_Rate Design Sch 25 2 2" xfId="7608"/>
    <cellStyle name="_Power Cost Value Copy 11.30.05 gas 1.09.06 AURORA at 1.10.06_Rate Design Sch 25 2 2 2" xfId="21228"/>
    <cellStyle name="_Power Cost Value Copy 11.30.05 gas 1.09.06 AURORA at 1.10.06_Rate Design Sch 25 2 3" xfId="18615"/>
    <cellStyle name="_Power Cost Value Copy 11.30.05 gas 1.09.06 AURORA at 1.10.06_Rate Design Sch 25 3" xfId="7609"/>
    <cellStyle name="_Power Cost Value Copy 11.30.05 gas 1.09.06 AURORA at 1.10.06_Rate Design Sch 25 3 2" xfId="21229"/>
    <cellStyle name="_Power Cost Value Copy 11.30.05 gas 1.09.06 AURORA at 1.10.06_Rate Design Sch 25 4" xfId="18614"/>
    <cellStyle name="_Power Cost Value Copy 11.30.05 gas 1.09.06 AURORA at 1.10.06_Rate Design Sch 26" xfId="7610"/>
    <cellStyle name="_Power Cost Value Copy 11.30.05 gas 1.09.06 AURORA at 1.10.06_Rate Design Sch 26 2" xfId="7611"/>
    <cellStyle name="_Power Cost Value Copy 11.30.05 gas 1.09.06 AURORA at 1.10.06_Rate Design Sch 26 2 2" xfId="7612"/>
    <cellStyle name="_Power Cost Value Copy 11.30.05 gas 1.09.06 AURORA at 1.10.06_Rate Design Sch 26 2 2 2" xfId="21230"/>
    <cellStyle name="_Power Cost Value Copy 11.30.05 gas 1.09.06 AURORA at 1.10.06_Rate Design Sch 26 2 3" xfId="18617"/>
    <cellStyle name="_Power Cost Value Copy 11.30.05 gas 1.09.06 AURORA at 1.10.06_Rate Design Sch 26 3" xfId="7613"/>
    <cellStyle name="_Power Cost Value Copy 11.30.05 gas 1.09.06 AURORA at 1.10.06_Rate Design Sch 26 3 2" xfId="21231"/>
    <cellStyle name="_Power Cost Value Copy 11.30.05 gas 1.09.06 AURORA at 1.10.06_Rate Design Sch 26 4" xfId="18616"/>
    <cellStyle name="_Power Cost Value Copy 11.30.05 gas 1.09.06 AURORA at 1.10.06_Rate Design Sch 31" xfId="7614"/>
    <cellStyle name="_Power Cost Value Copy 11.30.05 gas 1.09.06 AURORA at 1.10.06_Rate Design Sch 31 2" xfId="7615"/>
    <cellStyle name="_Power Cost Value Copy 11.30.05 gas 1.09.06 AURORA at 1.10.06_Rate Design Sch 31 2 2" xfId="7616"/>
    <cellStyle name="_Power Cost Value Copy 11.30.05 gas 1.09.06 AURORA at 1.10.06_Rate Design Sch 31 2 2 2" xfId="21232"/>
    <cellStyle name="_Power Cost Value Copy 11.30.05 gas 1.09.06 AURORA at 1.10.06_Rate Design Sch 31 2 3" xfId="18619"/>
    <cellStyle name="_Power Cost Value Copy 11.30.05 gas 1.09.06 AURORA at 1.10.06_Rate Design Sch 31 3" xfId="7617"/>
    <cellStyle name="_Power Cost Value Copy 11.30.05 gas 1.09.06 AURORA at 1.10.06_Rate Design Sch 31 3 2" xfId="21233"/>
    <cellStyle name="_Power Cost Value Copy 11.30.05 gas 1.09.06 AURORA at 1.10.06_Rate Design Sch 31 4" xfId="18618"/>
    <cellStyle name="_Power Cost Value Copy 11.30.05 gas 1.09.06 AURORA at 1.10.06_Rate Design Sch 43" xfId="7618"/>
    <cellStyle name="_Power Cost Value Copy 11.30.05 gas 1.09.06 AURORA at 1.10.06_Rate Design Sch 43 2" xfId="7619"/>
    <cellStyle name="_Power Cost Value Copy 11.30.05 gas 1.09.06 AURORA at 1.10.06_Rate Design Sch 43 2 2" xfId="7620"/>
    <cellStyle name="_Power Cost Value Copy 11.30.05 gas 1.09.06 AURORA at 1.10.06_Rate Design Sch 43 2 2 2" xfId="21234"/>
    <cellStyle name="_Power Cost Value Copy 11.30.05 gas 1.09.06 AURORA at 1.10.06_Rate Design Sch 43 2 3" xfId="18621"/>
    <cellStyle name="_Power Cost Value Copy 11.30.05 gas 1.09.06 AURORA at 1.10.06_Rate Design Sch 43 3" xfId="7621"/>
    <cellStyle name="_Power Cost Value Copy 11.30.05 gas 1.09.06 AURORA at 1.10.06_Rate Design Sch 43 3 2" xfId="21235"/>
    <cellStyle name="_Power Cost Value Copy 11.30.05 gas 1.09.06 AURORA at 1.10.06_Rate Design Sch 43 4" xfId="18620"/>
    <cellStyle name="_Power Cost Value Copy 11.30.05 gas 1.09.06 AURORA at 1.10.06_Rate Design Sch 448-449" xfId="7622"/>
    <cellStyle name="_Power Cost Value Copy 11.30.05 gas 1.09.06 AURORA at 1.10.06_Rate Design Sch 448-449 2" xfId="7623"/>
    <cellStyle name="_Power Cost Value Copy 11.30.05 gas 1.09.06 AURORA at 1.10.06_Rate Design Sch 448-449 2 2" xfId="21236"/>
    <cellStyle name="_Power Cost Value Copy 11.30.05 gas 1.09.06 AURORA at 1.10.06_Rate Design Sch 448-449 3" xfId="18622"/>
    <cellStyle name="_Power Cost Value Copy 11.30.05 gas 1.09.06 AURORA at 1.10.06_Rate Design Sch 46" xfId="7624"/>
    <cellStyle name="_Power Cost Value Copy 11.30.05 gas 1.09.06 AURORA at 1.10.06_Rate Design Sch 46 2" xfId="7625"/>
    <cellStyle name="_Power Cost Value Copy 11.30.05 gas 1.09.06 AURORA at 1.10.06_Rate Design Sch 46 2 2" xfId="7626"/>
    <cellStyle name="_Power Cost Value Copy 11.30.05 gas 1.09.06 AURORA at 1.10.06_Rate Design Sch 46 2 2 2" xfId="21237"/>
    <cellStyle name="_Power Cost Value Copy 11.30.05 gas 1.09.06 AURORA at 1.10.06_Rate Design Sch 46 2 3" xfId="18624"/>
    <cellStyle name="_Power Cost Value Copy 11.30.05 gas 1.09.06 AURORA at 1.10.06_Rate Design Sch 46 3" xfId="7627"/>
    <cellStyle name="_Power Cost Value Copy 11.30.05 gas 1.09.06 AURORA at 1.10.06_Rate Design Sch 46 3 2" xfId="21238"/>
    <cellStyle name="_Power Cost Value Copy 11.30.05 gas 1.09.06 AURORA at 1.10.06_Rate Design Sch 46 4" xfId="18623"/>
    <cellStyle name="_Power Cost Value Copy 11.30.05 gas 1.09.06 AURORA at 1.10.06_Rate Spread" xfId="7628"/>
    <cellStyle name="_Power Cost Value Copy 11.30.05 gas 1.09.06 AURORA at 1.10.06_Rate Spread 2" xfId="7629"/>
    <cellStyle name="_Power Cost Value Copy 11.30.05 gas 1.09.06 AURORA at 1.10.06_Rate Spread 2 2" xfId="7630"/>
    <cellStyle name="_Power Cost Value Copy 11.30.05 gas 1.09.06 AURORA at 1.10.06_Rate Spread 2 2 2" xfId="21239"/>
    <cellStyle name="_Power Cost Value Copy 11.30.05 gas 1.09.06 AURORA at 1.10.06_Rate Spread 2 3" xfId="18626"/>
    <cellStyle name="_Power Cost Value Copy 11.30.05 gas 1.09.06 AURORA at 1.10.06_Rate Spread 3" xfId="7631"/>
    <cellStyle name="_Power Cost Value Copy 11.30.05 gas 1.09.06 AURORA at 1.10.06_Rate Spread 3 2" xfId="21240"/>
    <cellStyle name="_Power Cost Value Copy 11.30.05 gas 1.09.06 AURORA at 1.10.06_Rate Spread 4" xfId="18625"/>
    <cellStyle name="_Power Cost Value Copy 11.30.05 gas 1.09.06 AURORA at 1.10.06_Rebuttal Power Costs" xfId="1853"/>
    <cellStyle name="_Power Cost Value Copy 11.30.05 gas 1.09.06 AURORA at 1.10.06_Rebuttal Power Costs 2" xfId="1854"/>
    <cellStyle name="_Power Cost Value Copy 11.30.05 gas 1.09.06 AURORA at 1.10.06_Rebuttal Power Costs 2 2" xfId="5223"/>
    <cellStyle name="_Power Cost Value Copy 11.30.05 gas 1.09.06 AURORA at 1.10.06_Rebuttal Power Costs 2 2 2" xfId="21241"/>
    <cellStyle name="_Power Cost Value Copy 11.30.05 gas 1.09.06 AURORA at 1.10.06_Rebuttal Power Costs 2 2 2 2" xfId="26204"/>
    <cellStyle name="_Power Cost Value Copy 11.30.05 gas 1.09.06 AURORA at 1.10.06_Rebuttal Power Costs 2 2 3" xfId="26205"/>
    <cellStyle name="_Power Cost Value Copy 11.30.05 gas 1.09.06 AURORA at 1.10.06_Rebuttal Power Costs 2 2 4" xfId="7634"/>
    <cellStyle name="_Power Cost Value Copy 11.30.05 gas 1.09.06 AURORA at 1.10.06_Rebuttal Power Costs 2 3" xfId="16909"/>
    <cellStyle name="_Power Cost Value Copy 11.30.05 gas 1.09.06 AURORA at 1.10.06_Rebuttal Power Costs 2 3 2" xfId="26206"/>
    <cellStyle name="_Power Cost Value Copy 11.30.05 gas 1.09.06 AURORA at 1.10.06_Rebuttal Power Costs 2 4" xfId="26207"/>
    <cellStyle name="_Power Cost Value Copy 11.30.05 gas 1.09.06 AURORA at 1.10.06_Rebuttal Power Costs 2 5" xfId="7633"/>
    <cellStyle name="_Power Cost Value Copy 11.30.05 gas 1.09.06 AURORA at 1.10.06_Rebuttal Power Costs 3" xfId="5222"/>
    <cellStyle name="_Power Cost Value Copy 11.30.05 gas 1.09.06 AURORA at 1.10.06_Rebuttal Power Costs 3 2" xfId="21242"/>
    <cellStyle name="_Power Cost Value Copy 11.30.05 gas 1.09.06 AURORA at 1.10.06_Rebuttal Power Costs 3 2 2" xfId="26208"/>
    <cellStyle name="_Power Cost Value Copy 11.30.05 gas 1.09.06 AURORA at 1.10.06_Rebuttal Power Costs 3 3" xfId="26209"/>
    <cellStyle name="_Power Cost Value Copy 11.30.05 gas 1.09.06 AURORA at 1.10.06_Rebuttal Power Costs 3 4" xfId="26210"/>
    <cellStyle name="_Power Cost Value Copy 11.30.05 gas 1.09.06 AURORA at 1.10.06_Rebuttal Power Costs 3 5" xfId="7635"/>
    <cellStyle name="_Power Cost Value Copy 11.30.05 gas 1.09.06 AURORA at 1.10.06_Rebuttal Power Costs 4" xfId="16908"/>
    <cellStyle name="_Power Cost Value Copy 11.30.05 gas 1.09.06 AURORA at 1.10.06_Rebuttal Power Costs 4 2" xfId="26211"/>
    <cellStyle name="_Power Cost Value Copy 11.30.05 gas 1.09.06 AURORA at 1.10.06_Rebuttal Power Costs 5" xfId="26212"/>
    <cellStyle name="_Power Cost Value Copy 11.30.05 gas 1.09.06 AURORA at 1.10.06_Rebuttal Power Costs 6" xfId="7632"/>
    <cellStyle name="_Power Cost Value Copy 11.30.05 gas 1.09.06 AURORA at 1.10.06_Rebuttal Power Costs_Adj Bench DR 3 for Initial Briefs (Electric)" xfId="1855"/>
    <cellStyle name="_Power Cost Value Copy 11.30.05 gas 1.09.06 AURORA at 1.10.06_Rebuttal Power Costs_Adj Bench DR 3 for Initial Briefs (Electric) 2" xfId="1856"/>
    <cellStyle name="_Power Cost Value Copy 11.30.05 gas 1.09.06 AURORA at 1.10.06_Rebuttal Power Costs_Adj Bench DR 3 for Initial Briefs (Electric) 2 2" xfId="5225"/>
    <cellStyle name="_Power Cost Value Copy 11.30.05 gas 1.09.06 AURORA at 1.10.06_Rebuttal Power Costs_Adj Bench DR 3 for Initial Briefs (Electric) 2 2 2" xfId="21243"/>
    <cellStyle name="_Power Cost Value Copy 11.30.05 gas 1.09.06 AURORA at 1.10.06_Rebuttal Power Costs_Adj Bench DR 3 for Initial Briefs (Electric) 2 2 2 2" xfId="26213"/>
    <cellStyle name="_Power Cost Value Copy 11.30.05 gas 1.09.06 AURORA at 1.10.06_Rebuttal Power Costs_Adj Bench DR 3 for Initial Briefs (Electric) 2 2 3" xfId="26214"/>
    <cellStyle name="_Power Cost Value Copy 11.30.05 gas 1.09.06 AURORA at 1.10.06_Rebuttal Power Costs_Adj Bench DR 3 for Initial Briefs (Electric) 2 2 4" xfId="7638"/>
    <cellStyle name="_Power Cost Value Copy 11.30.05 gas 1.09.06 AURORA at 1.10.06_Rebuttal Power Costs_Adj Bench DR 3 for Initial Briefs (Electric) 2 3" xfId="16911"/>
    <cellStyle name="_Power Cost Value Copy 11.30.05 gas 1.09.06 AURORA at 1.10.06_Rebuttal Power Costs_Adj Bench DR 3 for Initial Briefs (Electric) 2 3 2" xfId="26215"/>
    <cellStyle name="_Power Cost Value Copy 11.30.05 gas 1.09.06 AURORA at 1.10.06_Rebuttal Power Costs_Adj Bench DR 3 for Initial Briefs (Electric) 2 4" xfId="26216"/>
    <cellStyle name="_Power Cost Value Copy 11.30.05 gas 1.09.06 AURORA at 1.10.06_Rebuttal Power Costs_Adj Bench DR 3 for Initial Briefs (Electric) 2 5" xfId="7637"/>
    <cellStyle name="_Power Cost Value Copy 11.30.05 gas 1.09.06 AURORA at 1.10.06_Rebuttal Power Costs_Adj Bench DR 3 for Initial Briefs (Electric) 3" xfId="5224"/>
    <cellStyle name="_Power Cost Value Copy 11.30.05 gas 1.09.06 AURORA at 1.10.06_Rebuttal Power Costs_Adj Bench DR 3 for Initial Briefs (Electric) 3 2" xfId="21244"/>
    <cellStyle name="_Power Cost Value Copy 11.30.05 gas 1.09.06 AURORA at 1.10.06_Rebuttal Power Costs_Adj Bench DR 3 for Initial Briefs (Electric) 3 2 2" xfId="26217"/>
    <cellStyle name="_Power Cost Value Copy 11.30.05 gas 1.09.06 AURORA at 1.10.06_Rebuttal Power Costs_Adj Bench DR 3 for Initial Briefs (Electric) 3 3" xfId="26218"/>
    <cellStyle name="_Power Cost Value Copy 11.30.05 gas 1.09.06 AURORA at 1.10.06_Rebuttal Power Costs_Adj Bench DR 3 for Initial Briefs (Electric) 3 4" xfId="26219"/>
    <cellStyle name="_Power Cost Value Copy 11.30.05 gas 1.09.06 AURORA at 1.10.06_Rebuttal Power Costs_Adj Bench DR 3 for Initial Briefs (Electric) 3 5" xfId="7639"/>
    <cellStyle name="_Power Cost Value Copy 11.30.05 gas 1.09.06 AURORA at 1.10.06_Rebuttal Power Costs_Adj Bench DR 3 for Initial Briefs (Electric) 4" xfId="16910"/>
    <cellStyle name="_Power Cost Value Copy 11.30.05 gas 1.09.06 AURORA at 1.10.06_Rebuttal Power Costs_Adj Bench DR 3 for Initial Briefs (Electric) 4 2" xfId="26220"/>
    <cellStyle name="_Power Cost Value Copy 11.30.05 gas 1.09.06 AURORA at 1.10.06_Rebuttal Power Costs_Adj Bench DR 3 for Initial Briefs (Electric) 5" xfId="26221"/>
    <cellStyle name="_Power Cost Value Copy 11.30.05 gas 1.09.06 AURORA at 1.10.06_Rebuttal Power Costs_Adj Bench DR 3 for Initial Briefs (Electric) 6" xfId="7636"/>
    <cellStyle name="_Power Cost Value Copy 11.30.05 gas 1.09.06 AURORA at 1.10.06_Rebuttal Power Costs_Adj Bench DR 3 for Initial Briefs (Electric)_DEM-WP(C) ENERG10C--ctn Mid-C_042010 2010GRC" xfId="12900"/>
    <cellStyle name="_Power Cost Value Copy 11.30.05 gas 1.09.06 AURORA at 1.10.06_Rebuttal Power Costs_Adj Bench DR 3 for Initial Briefs (Electric)_DEM-WP(C) ENERG10C--ctn Mid-C_042010 2010GRC 2" xfId="41570"/>
    <cellStyle name="_Power Cost Value Copy 11.30.05 gas 1.09.06 AURORA at 1.10.06_Rebuttal Power Costs_DEM-WP(C) ENERG10C--ctn Mid-C_042010 2010GRC" xfId="12901"/>
    <cellStyle name="_Power Cost Value Copy 11.30.05 gas 1.09.06 AURORA at 1.10.06_Rebuttal Power Costs_DEM-WP(C) ENERG10C--ctn Mid-C_042010 2010GRC 2" xfId="41571"/>
    <cellStyle name="_Power Cost Value Copy 11.30.05 gas 1.09.06 AURORA at 1.10.06_Rebuttal Power Costs_Electric Rev Req Model (2009 GRC) Rebuttal" xfId="1857"/>
    <cellStyle name="_Power Cost Value Copy 11.30.05 gas 1.09.06 AURORA at 1.10.06_Rebuttal Power Costs_Electric Rev Req Model (2009 GRC) Rebuttal 2" xfId="5226"/>
    <cellStyle name="_Power Cost Value Copy 11.30.05 gas 1.09.06 AURORA at 1.10.06_Rebuttal Power Costs_Electric Rev Req Model (2009 GRC) Rebuttal 2 2" xfId="7642"/>
    <cellStyle name="_Power Cost Value Copy 11.30.05 gas 1.09.06 AURORA at 1.10.06_Rebuttal Power Costs_Electric Rev Req Model (2009 GRC) Rebuttal 2 2 2" xfId="21245"/>
    <cellStyle name="_Power Cost Value Copy 11.30.05 gas 1.09.06 AURORA at 1.10.06_Rebuttal Power Costs_Electric Rev Req Model (2009 GRC) Rebuttal 2 3" xfId="18627"/>
    <cellStyle name="_Power Cost Value Copy 11.30.05 gas 1.09.06 AURORA at 1.10.06_Rebuttal Power Costs_Electric Rev Req Model (2009 GRC) Rebuttal 2 4" xfId="7641"/>
    <cellStyle name="_Power Cost Value Copy 11.30.05 gas 1.09.06 AURORA at 1.10.06_Rebuttal Power Costs_Electric Rev Req Model (2009 GRC) Rebuttal 3" xfId="7643"/>
    <cellStyle name="_Power Cost Value Copy 11.30.05 gas 1.09.06 AURORA at 1.10.06_Rebuttal Power Costs_Electric Rev Req Model (2009 GRC) Rebuttal 3 2" xfId="21246"/>
    <cellStyle name="_Power Cost Value Copy 11.30.05 gas 1.09.06 AURORA at 1.10.06_Rebuttal Power Costs_Electric Rev Req Model (2009 GRC) Rebuttal 4" xfId="16912"/>
    <cellStyle name="_Power Cost Value Copy 11.30.05 gas 1.09.06 AURORA at 1.10.06_Rebuttal Power Costs_Electric Rev Req Model (2009 GRC) Rebuttal 5" xfId="7640"/>
    <cellStyle name="_Power Cost Value Copy 11.30.05 gas 1.09.06 AURORA at 1.10.06_Rebuttal Power Costs_Electric Rev Req Model (2009 GRC) Rebuttal REmoval of New  WH Solar AdjustMI" xfId="1858"/>
    <cellStyle name="_Power Cost Value Copy 11.30.05 gas 1.09.06 AURORA at 1.10.06_Rebuttal Power Costs_Electric Rev Req Model (2009 GRC) Rebuttal REmoval of New  WH Solar AdjustMI 2" xfId="1859"/>
    <cellStyle name="_Power Cost Value Copy 11.30.05 gas 1.09.06 AURORA at 1.10.06_Rebuttal Power Costs_Electric Rev Req Model (2009 GRC) Rebuttal REmoval of New  WH Solar AdjustMI 2 2" xfId="5228"/>
    <cellStyle name="_Power Cost Value Copy 11.30.05 gas 1.09.06 AURORA at 1.10.06_Rebuttal Power Costs_Electric Rev Req Model (2009 GRC) Rebuttal REmoval of New  WH Solar AdjustMI 2 2 2" xfId="21247"/>
    <cellStyle name="_Power Cost Value Copy 11.30.05 gas 1.09.06 AURORA at 1.10.06_Rebuttal Power Costs_Electric Rev Req Model (2009 GRC) Rebuttal REmoval of New  WH Solar AdjustMI 2 2 2 2" xfId="26222"/>
    <cellStyle name="_Power Cost Value Copy 11.30.05 gas 1.09.06 AURORA at 1.10.06_Rebuttal Power Costs_Electric Rev Req Model (2009 GRC) Rebuttal REmoval of New  WH Solar AdjustMI 2 2 3" xfId="26223"/>
    <cellStyle name="_Power Cost Value Copy 11.30.05 gas 1.09.06 AURORA at 1.10.06_Rebuttal Power Costs_Electric Rev Req Model (2009 GRC) Rebuttal REmoval of New  WH Solar AdjustMI 2 2 4" xfId="7646"/>
    <cellStyle name="_Power Cost Value Copy 11.30.05 gas 1.09.06 AURORA at 1.10.06_Rebuttal Power Costs_Electric Rev Req Model (2009 GRC) Rebuttal REmoval of New  WH Solar AdjustMI 2 3" xfId="16914"/>
    <cellStyle name="_Power Cost Value Copy 11.30.05 gas 1.09.06 AURORA at 1.10.06_Rebuttal Power Costs_Electric Rev Req Model (2009 GRC) Rebuttal REmoval of New  WH Solar AdjustMI 2 3 2" xfId="26224"/>
    <cellStyle name="_Power Cost Value Copy 11.30.05 gas 1.09.06 AURORA at 1.10.06_Rebuttal Power Costs_Electric Rev Req Model (2009 GRC) Rebuttal REmoval of New  WH Solar AdjustMI 2 4" xfId="26225"/>
    <cellStyle name="_Power Cost Value Copy 11.30.05 gas 1.09.06 AURORA at 1.10.06_Rebuttal Power Costs_Electric Rev Req Model (2009 GRC) Rebuttal REmoval of New  WH Solar AdjustMI 2 5" xfId="7645"/>
    <cellStyle name="_Power Cost Value Copy 11.30.05 gas 1.09.06 AURORA at 1.10.06_Rebuttal Power Costs_Electric Rev Req Model (2009 GRC) Rebuttal REmoval of New  WH Solar AdjustMI 3" xfId="5227"/>
    <cellStyle name="_Power Cost Value Copy 11.30.05 gas 1.09.06 AURORA at 1.10.06_Rebuttal Power Costs_Electric Rev Req Model (2009 GRC) Rebuttal REmoval of New  WH Solar AdjustMI 3 2" xfId="21248"/>
    <cellStyle name="_Power Cost Value Copy 11.30.05 gas 1.09.06 AURORA at 1.10.06_Rebuttal Power Costs_Electric Rev Req Model (2009 GRC) Rebuttal REmoval of New  WH Solar AdjustMI 3 2 2" xfId="26226"/>
    <cellStyle name="_Power Cost Value Copy 11.30.05 gas 1.09.06 AURORA at 1.10.06_Rebuttal Power Costs_Electric Rev Req Model (2009 GRC) Rebuttal REmoval of New  WH Solar AdjustMI 3 3" xfId="26227"/>
    <cellStyle name="_Power Cost Value Copy 11.30.05 gas 1.09.06 AURORA at 1.10.06_Rebuttal Power Costs_Electric Rev Req Model (2009 GRC) Rebuttal REmoval of New  WH Solar AdjustMI 3 4" xfId="26228"/>
    <cellStyle name="_Power Cost Value Copy 11.30.05 gas 1.09.06 AURORA at 1.10.06_Rebuttal Power Costs_Electric Rev Req Model (2009 GRC) Rebuttal REmoval of New  WH Solar AdjustMI 3 5" xfId="7647"/>
    <cellStyle name="_Power Cost Value Copy 11.30.05 gas 1.09.06 AURORA at 1.10.06_Rebuttal Power Costs_Electric Rev Req Model (2009 GRC) Rebuttal REmoval of New  WH Solar AdjustMI 4" xfId="16913"/>
    <cellStyle name="_Power Cost Value Copy 11.30.05 gas 1.09.06 AURORA at 1.10.06_Rebuttal Power Costs_Electric Rev Req Model (2009 GRC) Rebuttal REmoval of New  WH Solar AdjustMI 4 2" xfId="26229"/>
    <cellStyle name="_Power Cost Value Copy 11.30.05 gas 1.09.06 AURORA at 1.10.06_Rebuttal Power Costs_Electric Rev Req Model (2009 GRC) Rebuttal REmoval of New  WH Solar AdjustMI 5" xfId="26230"/>
    <cellStyle name="_Power Cost Value Copy 11.30.05 gas 1.09.06 AURORA at 1.10.06_Rebuttal Power Costs_Electric Rev Req Model (2009 GRC) Rebuttal REmoval of New  WH Solar AdjustMI 6" xfId="7644"/>
    <cellStyle name="_Power Cost Value Copy 11.30.05 gas 1.09.06 AURORA at 1.10.06_Rebuttal Power Costs_Electric Rev Req Model (2009 GRC) Rebuttal REmoval of New  WH Solar AdjustMI_DEM-WP(C) ENERG10C--ctn Mid-C_042010 2010GRC" xfId="12902"/>
    <cellStyle name="_Power Cost Value Copy 11.30.05 gas 1.09.06 AURORA at 1.10.06_Rebuttal Power Costs_Electric Rev Req Model (2009 GRC) Rebuttal REmoval of New  WH Solar AdjustMI_DEM-WP(C) ENERG10C--ctn Mid-C_042010 2010GRC 2" xfId="41572"/>
    <cellStyle name="_Power Cost Value Copy 11.30.05 gas 1.09.06 AURORA at 1.10.06_Rebuttal Power Costs_Electric Rev Req Model (2009 GRC) Revised 01-18-2010" xfId="1860"/>
    <cellStyle name="_Power Cost Value Copy 11.30.05 gas 1.09.06 AURORA at 1.10.06_Rebuttal Power Costs_Electric Rev Req Model (2009 GRC) Revised 01-18-2010 2" xfId="1861"/>
    <cellStyle name="_Power Cost Value Copy 11.30.05 gas 1.09.06 AURORA at 1.10.06_Rebuttal Power Costs_Electric Rev Req Model (2009 GRC) Revised 01-18-2010 2 2" xfId="5230"/>
    <cellStyle name="_Power Cost Value Copy 11.30.05 gas 1.09.06 AURORA at 1.10.06_Rebuttal Power Costs_Electric Rev Req Model (2009 GRC) Revised 01-18-2010 2 2 2" xfId="21249"/>
    <cellStyle name="_Power Cost Value Copy 11.30.05 gas 1.09.06 AURORA at 1.10.06_Rebuttal Power Costs_Electric Rev Req Model (2009 GRC) Revised 01-18-2010 2 2 2 2" xfId="26231"/>
    <cellStyle name="_Power Cost Value Copy 11.30.05 gas 1.09.06 AURORA at 1.10.06_Rebuttal Power Costs_Electric Rev Req Model (2009 GRC) Revised 01-18-2010 2 2 3" xfId="26232"/>
    <cellStyle name="_Power Cost Value Copy 11.30.05 gas 1.09.06 AURORA at 1.10.06_Rebuttal Power Costs_Electric Rev Req Model (2009 GRC) Revised 01-18-2010 2 2 4" xfId="7650"/>
    <cellStyle name="_Power Cost Value Copy 11.30.05 gas 1.09.06 AURORA at 1.10.06_Rebuttal Power Costs_Electric Rev Req Model (2009 GRC) Revised 01-18-2010 2 3" xfId="16916"/>
    <cellStyle name="_Power Cost Value Copy 11.30.05 gas 1.09.06 AURORA at 1.10.06_Rebuttal Power Costs_Electric Rev Req Model (2009 GRC) Revised 01-18-2010 2 3 2" xfId="26233"/>
    <cellStyle name="_Power Cost Value Copy 11.30.05 gas 1.09.06 AURORA at 1.10.06_Rebuttal Power Costs_Electric Rev Req Model (2009 GRC) Revised 01-18-2010 2 4" xfId="26234"/>
    <cellStyle name="_Power Cost Value Copy 11.30.05 gas 1.09.06 AURORA at 1.10.06_Rebuttal Power Costs_Electric Rev Req Model (2009 GRC) Revised 01-18-2010 2 5" xfId="7649"/>
    <cellStyle name="_Power Cost Value Copy 11.30.05 gas 1.09.06 AURORA at 1.10.06_Rebuttal Power Costs_Electric Rev Req Model (2009 GRC) Revised 01-18-2010 3" xfId="5229"/>
    <cellStyle name="_Power Cost Value Copy 11.30.05 gas 1.09.06 AURORA at 1.10.06_Rebuttal Power Costs_Electric Rev Req Model (2009 GRC) Revised 01-18-2010 3 2" xfId="21250"/>
    <cellStyle name="_Power Cost Value Copy 11.30.05 gas 1.09.06 AURORA at 1.10.06_Rebuttal Power Costs_Electric Rev Req Model (2009 GRC) Revised 01-18-2010 3 2 2" xfId="26235"/>
    <cellStyle name="_Power Cost Value Copy 11.30.05 gas 1.09.06 AURORA at 1.10.06_Rebuttal Power Costs_Electric Rev Req Model (2009 GRC) Revised 01-18-2010 3 3" xfId="26236"/>
    <cellStyle name="_Power Cost Value Copy 11.30.05 gas 1.09.06 AURORA at 1.10.06_Rebuttal Power Costs_Electric Rev Req Model (2009 GRC) Revised 01-18-2010 3 4" xfId="26237"/>
    <cellStyle name="_Power Cost Value Copy 11.30.05 gas 1.09.06 AURORA at 1.10.06_Rebuttal Power Costs_Electric Rev Req Model (2009 GRC) Revised 01-18-2010 3 5" xfId="7651"/>
    <cellStyle name="_Power Cost Value Copy 11.30.05 gas 1.09.06 AURORA at 1.10.06_Rebuttal Power Costs_Electric Rev Req Model (2009 GRC) Revised 01-18-2010 4" xfId="16915"/>
    <cellStyle name="_Power Cost Value Copy 11.30.05 gas 1.09.06 AURORA at 1.10.06_Rebuttal Power Costs_Electric Rev Req Model (2009 GRC) Revised 01-18-2010 4 2" xfId="26238"/>
    <cellStyle name="_Power Cost Value Copy 11.30.05 gas 1.09.06 AURORA at 1.10.06_Rebuttal Power Costs_Electric Rev Req Model (2009 GRC) Revised 01-18-2010 5" xfId="26239"/>
    <cellStyle name="_Power Cost Value Copy 11.30.05 gas 1.09.06 AURORA at 1.10.06_Rebuttal Power Costs_Electric Rev Req Model (2009 GRC) Revised 01-18-2010 6" xfId="7648"/>
    <cellStyle name="_Power Cost Value Copy 11.30.05 gas 1.09.06 AURORA at 1.10.06_Rebuttal Power Costs_Electric Rev Req Model (2009 GRC) Revised 01-18-2010_DEM-WP(C) ENERG10C--ctn Mid-C_042010 2010GRC" xfId="12903"/>
    <cellStyle name="_Power Cost Value Copy 11.30.05 gas 1.09.06 AURORA at 1.10.06_Rebuttal Power Costs_Electric Rev Req Model (2009 GRC) Revised 01-18-2010_DEM-WP(C) ENERG10C--ctn Mid-C_042010 2010GRC 2" xfId="41573"/>
    <cellStyle name="_Power Cost Value Copy 11.30.05 gas 1.09.06 AURORA at 1.10.06_Rebuttal Power Costs_Final Order Electric EXHIBIT A-1" xfId="1862"/>
    <cellStyle name="_Power Cost Value Copy 11.30.05 gas 1.09.06 AURORA at 1.10.06_Rebuttal Power Costs_Final Order Electric EXHIBIT A-1 2" xfId="5231"/>
    <cellStyle name="_Power Cost Value Copy 11.30.05 gas 1.09.06 AURORA at 1.10.06_Rebuttal Power Costs_Final Order Electric EXHIBIT A-1 2 2" xfId="7654"/>
    <cellStyle name="_Power Cost Value Copy 11.30.05 gas 1.09.06 AURORA at 1.10.06_Rebuttal Power Costs_Final Order Electric EXHIBIT A-1 2 2 2" xfId="21251"/>
    <cellStyle name="_Power Cost Value Copy 11.30.05 gas 1.09.06 AURORA at 1.10.06_Rebuttal Power Costs_Final Order Electric EXHIBIT A-1 2 3" xfId="18628"/>
    <cellStyle name="_Power Cost Value Copy 11.30.05 gas 1.09.06 AURORA at 1.10.06_Rebuttal Power Costs_Final Order Electric EXHIBIT A-1 2 4" xfId="26240"/>
    <cellStyle name="_Power Cost Value Copy 11.30.05 gas 1.09.06 AURORA at 1.10.06_Rebuttal Power Costs_Final Order Electric EXHIBIT A-1 2 5" xfId="7653"/>
    <cellStyle name="_Power Cost Value Copy 11.30.05 gas 1.09.06 AURORA at 1.10.06_Rebuttal Power Costs_Final Order Electric EXHIBIT A-1 3" xfId="7655"/>
    <cellStyle name="_Power Cost Value Copy 11.30.05 gas 1.09.06 AURORA at 1.10.06_Rebuttal Power Costs_Final Order Electric EXHIBIT A-1 3 2" xfId="21252"/>
    <cellStyle name="_Power Cost Value Copy 11.30.05 gas 1.09.06 AURORA at 1.10.06_Rebuttal Power Costs_Final Order Electric EXHIBIT A-1 4" xfId="16917"/>
    <cellStyle name="_Power Cost Value Copy 11.30.05 gas 1.09.06 AURORA at 1.10.06_Rebuttal Power Costs_Final Order Electric EXHIBIT A-1 5" xfId="26241"/>
    <cellStyle name="_Power Cost Value Copy 11.30.05 gas 1.09.06 AURORA at 1.10.06_Rebuttal Power Costs_Final Order Electric EXHIBIT A-1 6" xfId="26242"/>
    <cellStyle name="_Power Cost Value Copy 11.30.05 gas 1.09.06 AURORA at 1.10.06_Rebuttal Power Costs_Final Order Electric EXHIBIT A-1 7" xfId="7652"/>
    <cellStyle name="_Power Cost Value Copy 11.30.05 gas 1.09.06 AURORA at 1.10.06_ROR 5.02" xfId="7656"/>
    <cellStyle name="_Power Cost Value Copy 11.30.05 gas 1.09.06 AURORA at 1.10.06_ROR 5.02 2" xfId="7657"/>
    <cellStyle name="_Power Cost Value Copy 11.30.05 gas 1.09.06 AURORA at 1.10.06_ROR 5.02 2 2" xfId="7658"/>
    <cellStyle name="_Power Cost Value Copy 11.30.05 gas 1.09.06 AURORA at 1.10.06_ROR 5.02 2 2 2" xfId="21253"/>
    <cellStyle name="_Power Cost Value Copy 11.30.05 gas 1.09.06 AURORA at 1.10.06_ROR 5.02 2 3" xfId="18630"/>
    <cellStyle name="_Power Cost Value Copy 11.30.05 gas 1.09.06 AURORA at 1.10.06_ROR 5.02 3" xfId="7659"/>
    <cellStyle name="_Power Cost Value Copy 11.30.05 gas 1.09.06 AURORA at 1.10.06_ROR 5.02 3 2" xfId="21254"/>
    <cellStyle name="_Power Cost Value Copy 11.30.05 gas 1.09.06 AURORA at 1.10.06_ROR 5.02 4" xfId="18629"/>
    <cellStyle name="_Power Cost Value Copy 11.30.05 gas 1.09.06 AURORA at 1.10.06_Sch 40 Feeder OH 2008" xfId="7660"/>
    <cellStyle name="_Power Cost Value Copy 11.30.05 gas 1.09.06 AURORA at 1.10.06_Sch 40 Feeder OH 2008 2" xfId="7661"/>
    <cellStyle name="_Power Cost Value Copy 11.30.05 gas 1.09.06 AURORA at 1.10.06_Sch 40 Feeder OH 2008 2 2" xfId="7662"/>
    <cellStyle name="_Power Cost Value Copy 11.30.05 gas 1.09.06 AURORA at 1.10.06_Sch 40 Feeder OH 2008 2 2 2" xfId="21255"/>
    <cellStyle name="_Power Cost Value Copy 11.30.05 gas 1.09.06 AURORA at 1.10.06_Sch 40 Feeder OH 2008 2 3" xfId="18632"/>
    <cellStyle name="_Power Cost Value Copy 11.30.05 gas 1.09.06 AURORA at 1.10.06_Sch 40 Feeder OH 2008 3" xfId="7663"/>
    <cellStyle name="_Power Cost Value Copy 11.30.05 gas 1.09.06 AURORA at 1.10.06_Sch 40 Feeder OH 2008 3 2" xfId="21256"/>
    <cellStyle name="_Power Cost Value Copy 11.30.05 gas 1.09.06 AURORA at 1.10.06_Sch 40 Feeder OH 2008 4" xfId="18631"/>
    <cellStyle name="_Power Cost Value Copy 11.30.05 gas 1.09.06 AURORA at 1.10.06_Sch 40 Interim Energy Rates " xfId="7664"/>
    <cellStyle name="_Power Cost Value Copy 11.30.05 gas 1.09.06 AURORA at 1.10.06_Sch 40 Interim Energy Rates  2" xfId="7665"/>
    <cellStyle name="_Power Cost Value Copy 11.30.05 gas 1.09.06 AURORA at 1.10.06_Sch 40 Interim Energy Rates  2 2" xfId="7666"/>
    <cellStyle name="_Power Cost Value Copy 11.30.05 gas 1.09.06 AURORA at 1.10.06_Sch 40 Interim Energy Rates  2 2 2" xfId="21257"/>
    <cellStyle name="_Power Cost Value Copy 11.30.05 gas 1.09.06 AURORA at 1.10.06_Sch 40 Interim Energy Rates  2 3" xfId="18634"/>
    <cellStyle name="_Power Cost Value Copy 11.30.05 gas 1.09.06 AURORA at 1.10.06_Sch 40 Interim Energy Rates  3" xfId="7667"/>
    <cellStyle name="_Power Cost Value Copy 11.30.05 gas 1.09.06 AURORA at 1.10.06_Sch 40 Interim Energy Rates  3 2" xfId="21258"/>
    <cellStyle name="_Power Cost Value Copy 11.30.05 gas 1.09.06 AURORA at 1.10.06_Sch 40 Interim Energy Rates  4" xfId="18633"/>
    <cellStyle name="_Power Cost Value Copy 11.30.05 gas 1.09.06 AURORA at 1.10.06_Sch 40 Substation A&amp;G 2008" xfId="7668"/>
    <cellStyle name="_Power Cost Value Copy 11.30.05 gas 1.09.06 AURORA at 1.10.06_Sch 40 Substation A&amp;G 2008 2" xfId="7669"/>
    <cellStyle name="_Power Cost Value Copy 11.30.05 gas 1.09.06 AURORA at 1.10.06_Sch 40 Substation A&amp;G 2008 2 2" xfId="7670"/>
    <cellStyle name="_Power Cost Value Copy 11.30.05 gas 1.09.06 AURORA at 1.10.06_Sch 40 Substation A&amp;G 2008 2 2 2" xfId="21259"/>
    <cellStyle name="_Power Cost Value Copy 11.30.05 gas 1.09.06 AURORA at 1.10.06_Sch 40 Substation A&amp;G 2008 2 3" xfId="18636"/>
    <cellStyle name="_Power Cost Value Copy 11.30.05 gas 1.09.06 AURORA at 1.10.06_Sch 40 Substation A&amp;G 2008 3" xfId="7671"/>
    <cellStyle name="_Power Cost Value Copy 11.30.05 gas 1.09.06 AURORA at 1.10.06_Sch 40 Substation A&amp;G 2008 3 2" xfId="21260"/>
    <cellStyle name="_Power Cost Value Copy 11.30.05 gas 1.09.06 AURORA at 1.10.06_Sch 40 Substation A&amp;G 2008 4" xfId="18635"/>
    <cellStyle name="_Power Cost Value Copy 11.30.05 gas 1.09.06 AURORA at 1.10.06_Sch 40 Substation O&amp;M 2008" xfId="7672"/>
    <cellStyle name="_Power Cost Value Copy 11.30.05 gas 1.09.06 AURORA at 1.10.06_Sch 40 Substation O&amp;M 2008 2" xfId="7673"/>
    <cellStyle name="_Power Cost Value Copy 11.30.05 gas 1.09.06 AURORA at 1.10.06_Sch 40 Substation O&amp;M 2008 2 2" xfId="7674"/>
    <cellStyle name="_Power Cost Value Copy 11.30.05 gas 1.09.06 AURORA at 1.10.06_Sch 40 Substation O&amp;M 2008 2 2 2" xfId="21261"/>
    <cellStyle name="_Power Cost Value Copy 11.30.05 gas 1.09.06 AURORA at 1.10.06_Sch 40 Substation O&amp;M 2008 2 3" xfId="18638"/>
    <cellStyle name="_Power Cost Value Copy 11.30.05 gas 1.09.06 AURORA at 1.10.06_Sch 40 Substation O&amp;M 2008 3" xfId="7675"/>
    <cellStyle name="_Power Cost Value Copy 11.30.05 gas 1.09.06 AURORA at 1.10.06_Sch 40 Substation O&amp;M 2008 3 2" xfId="21262"/>
    <cellStyle name="_Power Cost Value Copy 11.30.05 gas 1.09.06 AURORA at 1.10.06_Sch 40 Substation O&amp;M 2008 4" xfId="18637"/>
    <cellStyle name="_Power Cost Value Copy 11.30.05 gas 1.09.06 AURORA at 1.10.06_Subs 2008" xfId="7676"/>
    <cellStyle name="_Power Cost Value Copy 11.30.05 gas 1.09.06 AURORA at 1.10.06_Subs 2008 2" xfId="7677"/>
    <cellStyle name="_Power Cost Value Copy 11.30.05 gas 1.09.06 AURORA at 1.10.06_Subs 2008 2 2" xfId="7678"/>
    <cellStyle name="_Power Cost Value Copy 11.30.05 gas 1.09.06 AURORA at 1.10.06_Subs 2008 2 2 2" xfId="21263"/>
    <cellStyle name="_Power Cost Value Copy 11.30.05 gas 1.09.06 AURORA at 1.10.06_Subs 2008 2 3" xfId="18640"/>
    <cellStyle name="_Power Cost Value Copy 11.30.05 gas 1.09.06 AURORA at 1.10.06_Subs 2008 3" xfId="7679"/>
    <cellStyle name="_Power Cost Value Copy 11.30.05 gas 1.09.06 AURORA at 1.10.06_Subs 2008 3 2" xfId="21264"/>
    <cellStyle name="_Power Cost Value Copy 11.30.05 gas 1.09.06 AURORA at 1.10.06_Subs 2008 4" xfId="18639"/>
    <cellStyle name="_Power Cost Value Copy 11.30.05 gas 1.09.06 AURORA at 1.10.06_Transmission Workbook for May BOD" xfId="1863"/>
    <cellStyle name="_Power Cost Value Copy 11.30.05 gas 1.09.06 AURORA at 1.10.06_Transmission Workbook for May BOD 2" xfId="1864"/>
    <cellStyle name="_Power Cost Value Copy 11.30.05 gas 1.09.06 AURORA at 1.10.06_Transmission Workbook for May BOD 2 2" xfId="5233"/>
    <cellStyle name="_Power Cost Value Copy 11.30.05 gas 1.09.06 AURORA at 1.10.06_Transmission Workbook for May BOD 2 2 2" xfId="26243"/>
    <cellStyle name="_Power Cost Value Copy 11.30.05 gas 1.09.06 AURORA at 1.10.06_Transmission Workbook for May BOD 2 2 2 2" xfId="26244"/>
    <cellStyle name="_Power Cost Value Copy 11.30.05 gas 1.09.06 AURORA at 1.10.06_Transmission Workbook for May BOD 2 2 3" xfId="26245"/>
    <cellStyle name="_Power Cost Value Copy 11.30.05 gas 1.09.06 AURORA at 1.10.06_Transmission Workbook for May BOD 2 3" xfId="26246"/>
    <cellStyle name="_Power Cost Value Copy 11.30.05 gas 1.09.06 AURORA at 1.10.06_Transmission Workbook for May BOD 2 3 2" xfId="26247"/>
    <cellStyle name="_Power Cost Value Copy 11.30.05 gas 1.09.06 AURORA at 1.10.06_Transmission Workbook for May BOD 2 4" xfId="26248"/>
    <cellStyle name="_Power Cost Value Copy 11.30.05 gas 1.09.06 AURORA at 1.10.06_Transmission Workbook for May BOD 2 5" xfId="7681"/>
    <cellStyle name="_Power Cost Value Copy 11.30.05 gas 1.09.06 AURORA at 1.10.06_Transmission Workbook for May BOD 3" xfId="5232"/>
    <cellStyle name="_Power Cost Value Copy 11.30.05 gas 1.09.06 AURORA at 1.10.06_Transmission Workbook for May BOD 3 2" xfId="26249"/>
    <cellStyle name="_Power Cost Value Copy 11.30.05 gas 1.09.06 AURORA at 1.10.06_Transmission Workbook for May BOD 3 2 2" xfId="26250"/>
    <cellStyle name="_Power Cost Value Copy 11.30.05 gas 1.09.06 AURORA at 1.10.06_Transmission Workbook for May BOD 3 3" xfId="26251"/>
    <cellStyle name="_Power Cost Value Copy 11.30.05 gas 1.09.06 AURORA at 1.10.06_Transmission Workbook for May BOD 3 4" xfId="26252"/>
    <cellStyle name="_Power Cost Value Copy 11.30.05 gas 1.09.06 AURORA at 1.10.06_Transmission Workbook for May BOD 4" xfId="26253"/>
    <cellStyle name="_Power Cost Value Copy 11.30.05 gas 1.09.06 AURORA at 1.10.06_Transmission Workbook for May BOD 4 2" xfId="26254"/>
    <cellStyle name="_Power Cost Value Copy 11.30.05 gas 1.09.06 AURORA at 1.10.06_Transmission Workbook for May BOD 5" xfId="26255"/>
    <cellStyle name="_Power Cost Value Copy 11.30.05 gas 1.09.06 AURORA at 1.10.06_Transmission Workbook for May BOD 6" xfId="7680"/>
    <cellStyle name="_Power Cost Value Copy 11.30.05 gas 1.09.06 AURORA at 1.10.06_Transmission Workbook for May BOD_DEM-WP(C) ENERG10C--ctn Mid-C_042010 2010GRC" xfId="12904"/>
    <cellStyle name="_Power Cost Value Copy 11.30.05 gas 1.09.06 AURORA at 1.10.06_Transmission Workbook for May BOD_DEM-WP(C) ENERG10C--ctn Mid-C_042010 2010GRC 2" xfId="41574"/>
    <cellStyle name="_Power Cost Value Copy 11.30.05 gas 1.09.06 AURORA at 1.10.06_Wind Integration 10GRC" xfId="1865"/>
    <cellStyle name="_Power Cost Value Copy 11.30.05 gas 1.09.06 AURORA at 1.10.06_Wind Integration 10GRC 2" xfId="1866"/>
    <cellStyle name="_Power Cost Value Copy 11.30.05 gas 1.09.06 AURORA at 1.10.06_Wind Integration 10GRC 2 2" xfId="5235"/>
    <cellStyle name="_Power Cost Value Copy 11.30.05 gas 1.09.06 AURORA at 1.10.06_Wind Integration 10GRC 2 2 2" xfId="26256"/>
    <cellStyle name="_Power Cost Value Copy 11.30.05 gas 1.09.06 AURORA at 1.10.06_Wind Integration 10GRC 2 2 2 2" xfId="26257"/>
    <cellStyle name="_Power Cost Value Copy 11.30.05 gas 1.09.06 AURORA at 1.10.06_Wind Integration 10GRC 2 2 3" xfId="26258"/>
    <cellStyle name="_Power Cost Value Copy 11.30.05 gas 1.09.06 AURORA at 1.10.06_Wind Integration 10GRC 2 3" xfId="26259"/>
    <cellStyle name="_Power Cost Value Copy 11.30.05 gas 1.09.06 AURORA at 1.10.06_Wind Integration 10GRC 2 3 2" xfId="26260"/>
    <cellStyle name="_Power Cost Value Copy 11.30.05 gas 1.09.06 AURORA at 1.10.06_Wind Integration 10GRC 2 4" xfId="26261"/>
    <cellStyle name="_Power Cost Value Copy 11.30.05 gas 1.09.06 AURORA at 1.10.06_Wind Integration 10GRC 2 5" xfId="7683"/>
    <cellStyle name="_Power Cost Value Copy 11.30.05 gas 1.09.06 AURORA at 1.10.06_Wind Integration 10GRC 3" xfId="5234"/>
    <cellStyle name="_Power Cost Value Copy 11.30.05 gas 1.09.06 AURORA at 1.10.06_Wind Integration 10GRC 3 2" xfId="26262"/>
    <cellStyle name="_Power Cost Value Copy 11.30.05 gas 1.09.06 AURORA at 1.10.06_Wind Integration 10GRC 3 2 2" xfId="26263"/>
    <cellStyle name="_Power Cost Value Copy 11.30.05 gas 1.09.06 AURORA at 1.10.06_Wind Integration 10GRC 3 3" xfId="26264"/>
    <cellStyle name="_Power Cost Value Copy 11.30.05 gas 1.09.06 AURORA at 1.10.06_Wind Integration 10GRC 3 4" xfId="26265"/>
    <cellStyle name="_Power Cost Value Copy 11.30.05 gas 1.09.06 AURORA at 1.10.06_Wind Integration 10GRC 4" xfId="26266"/>
    <cellStyle name="_Power Cost Value Copy 11.30.05 gas 1.09.06 AURORA at 1.10.06_Wind Integration 10GRC 4 2" xfId="26267"/>
    <cellStyle name="_Power Cost Value Copy 11.30.05 gas 1.09.06 AURORA at 1.10.06_Wind Integration 10GRC 5" xfId="26268"/>
    <cellStyle name="_Power Cost Value Copy 11.30.05 gas 1.09.06 AURORA at 1.10.06_Wind Integration 10GRC 6" xfId="7682"/>
    <cellStyle name="_Power Cost Value Copy 11.30.05 gas 1.09.06 AURORA at 1.10.06_Wind Integration 10GRC_DEM-WP(C) ENERG10C--ctn Mid-C_042010 2010GRC" xfId="12905"/>
    <cellStyle name="_Power Cost Value Copy 11.30.05 gas 1.09.06 AURORA at 1.10.06_Wind Integration 10GRC_DEM-WP(C) ENERG10C--ctn Mid-C_042010 2010GRC 2" xfId="41575"/>
    <cellStyle name="_Power Costs Rate Year 11-13-07" xfId="1867"/>
    <cellStyle name="_Power Costs Rate Year 11-13-07 2" xfId="5236"/>
    <cellStyle name="_Power Costs Rate Year 11-13-07 2 2" xfId="26269"/>
    <cellStyle name="_Price Output" xfId="1868"/>
    <cellStyle name="_Price Output 2" xfId="5237"/>
    <cellStyle name="_Price Output 2 2" xfId="26270"/>
    <cellStyle name="_Price Output 2 2 2" xfId="26271"/>
    <cellStyle name="_Price Output 2 2 2 2" xfId="26272"/>
    <cellStyle name="_Price Output 2 2 2 2 2" xfId="26273"/>
    <cellStyle name="_Price Output 2 2 2 3" xfId="26274"/>
    <cellStyle name="_Price Output 2 2 3" xfId="26275"/>
    <cellStyle name="_Price Output 2 2 3 2" xfId="26276"/>
    <cellStyle name="_Price Output 2 2 4" xfId="26277"/>
    <cellStyle name="_Price Output 2 2 5" xfId="26278"/>
    <cellStyle name="_Price Output 2 3" xfId="26279"/>
    <cellStyle name="_Price Output 2 3 2" xfId="26280"/>
    <cellStyle name="_Price Output 2 3 2 2" xfId="26281"/>
    <cellStyle name="_Price Output 2 3 3" xfId="26282"/>
    <cellStyle name="_Price Output 2 4" xfId="26283"/>
    <cellStyle name="_Price Output 2 4 2" xfId="26284"/>
    <cellStyle name="_Price Output 2 5" xfId="26285"/>
    <cellStyle name="_Price Output 3" xfId="12906"/>
    <cellStyle name="_Price Output 3 2" xfId="12907"/>
    <cellStyle name="_Price Output 3 2 2" xfId="26286"/>
    <cellStyle name="_Price Output 3 2 2 2" xfId="26287"/>
    <cellStyle name="_Price Output 3 2 3" xfId="26288"/>
    <cellStyle name="_Price Output 3 3" xfId="26289"/>
    <cellStyle name="_Price Output 3 3 2" xfId="26290"/>
    <cellStyle name="_Price Output 3 4" xfId="26291"/>
    <cellStyle name="_Price Output 4" xfId="26292"/>
    <cellStyle name="_Price Output 4 2" xfId="26293"/>
    <cellStyle name="_Price Output 4 2 2" xfId="26294"/>
    <cellStyle name="_Price Output 4 2 2 2" xfId="26295"/>
    <cellStyle name="_Price Output 4 2 3" xfId="26296"/>
    <cellStyle name="_Price Output 4 2 4" xfId="26297"/>
    <cellStyle name="_Price Output 4 3" xfId="26298"/>
    <cellStyle name="_Price Output 4 3 2" xfId="26299"/>
    <cellStyle name="_Price Output 4 4" xfId="26300"/>
    <cellStyle name="_Price Output 4 5" xfId="26301"/>
    <cellStyle name="_Price Output 5" xfId="26302"/>
    <cellStyle name="_Price Output 5 2" xfId="26303"/>
    <cellStyle name="_Price Output 5 2 2" xfId="26304"/>
    <cellStyle name="_Price Output 5 2 2 2" xfId="26305"/>
    <cellStyle name="_Price Output 5 2 3" xfId="26306"/>
    <cellStyle name="_Price Output 5 2 4" xfId="26307"/>
    <cellStyle name="_Price Output 5 3" xfId="26308"/>
    <cellStyle name="_Price Output 5 3 2" xfId="26309"/>
    <cellStyle name="_Price Output 5 4" xfId="26310"/>
    <cellStyle name="_Price Output 5 5" xfId="26311"/>
    <cellStyle name="_Price Output 6" xfId="26312"/>
    <cellStyle name="_Price Output 6 2" xfId="26313"/>
    <cellStyle name="_Price Output 6 2 2" xfId="26314"/>
    <cellStyle name="_Price Output 6 2 2 2" xfId="26315"/>
    <cellStyle name="_Price Output 6 2 3" xfId="26316"/>
    <cellStyle name="_Price Output 6 2 4" xfId="26317"/>
    <cellStyle name="_Price Output 6 3" xfId="26318"/>
    <cellStyle name="_Price Output 6 3 2" xfId="26319"/>
    <cellStyle name="_Price Output 6 4" xfId="26320"/>
    <cellStyle name="_Price Output 6 5" xfId="26321"/>
    <cellStyle name="_Price Output 7" xfId="26322"/>
    <cellStyle name="_Price Output 7 2" xfId="26323"/>
    <cellStyle name="_Price Output 8" xfId="26324"/>
    <cellStyle name="_Price Output 9" xfId="7684"/>
    <cellStyle name="_Price Output_DEM-WP(C) Chelan Power Costs" xfId="12908"/>
    <cellStyle name="_Price Output_DEM-WP(C) Chelan Power Costs 2" xfId="26325"/>
    <cellStyle name="_Price Output_DEM-WP(C) Chelan Power Costs 2 2" xfId="26326"/>
    <cellStyle name="_Price Output_DEM-WP(C) Chelan Power Costs 2 2 2" xfId="26327"/>
    <cellStyle name="_Price Output_DEM-WP(C) Chelan Power Costs 2 3" xfId="26328"/>
    <cellStyle name="_Price Output_DEM-WP(C) Chelan Power Costs 2 4" xfId="26329"/>
    <cellStyle name="_Price Output_DEM-WP(C) Chelan Power Costs 3" xfId="26330"/>
    <cellStyle name="_Price Output_DEM-WP(C) Chelan Power Costs 3 2" xfId="26331"/>
    <cellStyle name="_Price Output_DEM-WP(C) Chelan Power Costs 4" xfId="26332"/>
    <cellStyle name="_Price Output_DEM-WP(C) ENERG10C--ctn Mid-C_042010 2010GRC" xfId="12909"/>
    <cellStyle name="_Price Output_DEM-WP(C) ENERG10C--ctn Mid-C_042010 2010GRC 2" xfId="41576"/>
    <cellStyle name="_Price Output_DEM-WP(C) Gas Transport 2010GRC" xfId="12910"/>
    <cellStyle name="_Price Output_DEM-WP(C) Gas Transport 2010GRC 2" xfId="26333"/>
    <cellStyle name="_Price Output_DEM-WP(C) Gas Transport 2010GRC 2 2" xfId="26334"/>
    <cellStyle name="_Price Output_DEM-WP(C) Gas Transport 2010GRC 2 2 2" xfId="26335"/>
    <cellStyle name="_Price Output_DEM-WP(C) Gas Transport 2010GRC 2 3" xfId="26336"/>
    <cellStyle name="_Price Output_DEM-WP(C) Gas Transport 2010GRC 2 4" xfId="26337"/>
    <cellStyle name="_Price Output_DEM-WP(C) Gas Transport 2010GRC 3" xfId="26338"/>
    <cellStyle name="_Price Output_DEM-WP(C) Gas Transport 2010GRC 3 2" xfId="26339"/>
    <cellStyle name="_Price Output_DEM-WP(C) Gas Transport 2010GRC 4" xfId="26340"/>
    <cellStyle name="_Price Output_NIM Summary" xfId="1869"/>
    <cellStyle name="_Price Output_NIM Summary 2" xfId="1870"/>
    <cellStyle name="_Price Output_NIM Summary 2 2" xfId="5239"/>
    <cellStyle name="_Price Output_NIM Summary 2 2 2" xfId="26341"/>
    <cellStyle name="_Price Output_NIM Summary 2 2 2 2" xfId="26342"/>
    <cellStyle name="_Price Output_NIM Summary 2 2 3" xfId="26343"/>
    <cellStyle name="_Price Output_NIM Summary 2 3" xfId="26344"/>
    <cellStyle name="_Price Output_NIM Summary 2 3 2" xfId="26345"/>
    <cellStyle name="_Price Output_NIM Summary 2 4" xfId="26346"/>
    <cellStyle name="_Price Output_NIM Summary 2 5" xfId="7686"/>
    <cellStyle name="_Price Output_NIM Summary 3" xfId="5238"/>
    <cellStyle name="_Price Output_NIM Summary 3 2" xfId="26347"/>
    <cellStyle name="_Price Output_NIM Summary 3 2 2" xfId="26348"/>
    <cellStyle name="_Price Output_NIM Summary 3 3" xfId="26349"/>
    <cellStyle name="_Price Output_NIM Summary 3 4" xfId="26350"/>
    <cellStyle name="_Price Output_NIM Summary 4" xfId="26351"/>
    <cellStyle name="_Price Output_NIM Summary 4 2" xfId="26352"/>
    <cellStyle name="_Price Output_NIM Summary 5" xfId="26353"/>
    <cellStyle name="_Price Output_NIM Summary 6" xfId="7685"/>
    <cellStyle name="_Price Output_NIM Summary_DEM-WP(C) ENERG10C--ctn Mid-C_042010 2010GRC" xfId="12911"/>
    <cellStyle name="_Price Output_NIM Summary_DEM-WP(C) ENERG10C--ctn Mid-C_042010 2010GRC 2" xfId="41577"/>
    <cellStyle name="_Price Output_Wind Integration 10GRC" xfId="1871"/>
    <cellStyle name="_Price Output_Wind Integration 10GRC 2" xfId="1872"/>
    <cellStyle name="_Price Output_Wind Integration 10GRC 2 2" xfId="5241"/>
    <cellStyle name="_Price Output_Wind Integration 10GRC 2 2 2" xfId="26354"/>
    <cellStyle name="_Price Output_Wind Integration 10GRC 2 2 2 2" xfId="26355"/>
    <cellStyle name="_Price Output_Wind Integration 10GRC 2 2 3" xfId="26356"/>
    <cellStyle name="_Price Output_Wind Integration 10GRC 2 3" xfId="26357"/>
    <cellStyle name="_Price Output_Wind Integration 10GRC 2 3 2" xfId="26358"/>
    <cellStyle name="_Price Output_Wind Integration 10GRC 2 4" xfId="26359"/>
    <cellStyle name="_Price Output_Wind Integration 10GRC 2 5" xfId="7688"/>
    <cellStyle name="_Price Output_Wind Integration 10GRC 3" xfId="5240"/>
    <cellStyle name="_Price Output_Wind Integration 10GRC 3 2" xfId="26360"/>
    <cellStyle name="_Price Output_Wind Integration 10GRC 3 2 2" xfId="26361"/>
    <cellStyle name="_Price Output_Wind Integration 10GRC 3 3" xfId="26362"/>
    <cellStyle name="_Price Output_Wind Integration 10GRC 3 4" xfId="26363"/>
    <cellStyle name="_Price Output_Wind Integration 10GRC 4" xfId="26364"/>
    <cellStyle name="_Price Output_Wind Integration 10GRC 4 2" xfId="26365"/>
    <cellStyle name="_Price Output_Wind Integration 10GRC 5" xfId="26366"/>
    <cellStyle name="_Price Output_Wind Integration 10GRC 6" xfId="7687"/>
    <cellStyle name="_Price Output_Wind Integration 10GRC_DEM-WP(C) ENERG10C--ctn Mid-C_042010 2010GRC" xfId="12912"/>
    <cellStyle name="_Price Output_Wind Integration 10GRC_DEM-WP(C) ENERG10C--ctn Mid-C_042010 2010GRC 2" xfId="41578"/>
    <cellStyle name="_Prices" xfId="1873"/>
    <cellStyle name="_Prices 2" xfId="5242"/>
    <cellStyle name="_Prices 2 2" xfId="26367"/>
    <cellStyle name="_Prices 2 2 2" xfId="26368"/>
    <cellStyle name="_Prices 2 2 2 2" xfId="26369"/>
    <cellStyle name="_Prices 2 2 2 2 2" xfId="26370"/>
    <cellStyle name="_Prices 2 2 2 3" xfId="26371"/>
    <cellStyle name="_Prices 2 2 3" xfId="26372"/>
    <cellStyle name="_Prices 2 2 3 2" xfId="26373"/>
    <cellStyle name="_Prices 2 2 4" xfId="26374"/>
    <cellStyle name="_Prices 2 2 5" xfId="26375"/>
    <cellStyle name="_Prices 2 3" xfId="26376"/>
    <cellStyle name="_Prices 2 3 2" xfId="26377"/>
    <cellStyle name="_Prices 2 3 2 2" xfId="26378"/>
    <cellStyle name="_Prices 2 3 3" xfId="26379"/>
    <cellStyle name="_Prices 2 4" xfId="26380"/>
    <cellStyle name="_Prices 2 4 2" xfId="26381"/>
    <cellStyle name="_Prices 2 5" xfId="26382"/>
    <cellStyle name="_Prices 3" xfId="12913"/>
    <cellStyle name="_Prices 3 2" xfId="12914"/>
    <cellStyle name="_Prices 3 2 2" xfId="26383"/>
    <cellStyle name="_Prices 3 2 2 2" xfId="26384"/>
    <cellStyle name="_Prices 3 2 3" xfId="26385"/>
    <cellStyle name="_Prices 3 3" xfId="26386"/>
    <cellStyle name="_Prices 3 3 2" xfId="26387"/>
    <cellStyle name="_Prices 3 4" xfId="26388"/>
    <cellStyle name="_Prices 4" xfId="26389"/>
    <cellStyle name="_Prices 4 2" xfId="26390"/>
    <cellStyle name="_Prices 4 2 2" xfId="26391"/>
    <cellStyle name="_Prices 4 2 2 2" xfId="26392"/>
    <cellStyle name="_Prices 4 2 3" xfId="26393"/>
    <cellStyle name="_Prices 4 2 4" xfId="26394"/>
    <cellStyle name="_Prices 4 3" xfId="26395"/>
    <cellStyle name="_Prices 4 3 2" xfId="26396"/>
    <cellStyle name="_Prices 4 4" xfId="26397"/>
    <cellStyle name="_Prices 4 5" xfId="26398"/>
    <cellStyle name="_Prices 5" xfId="26399"/>
    <cellStyle name="_Prices 5 2" xfId="26400"/>
    <cellStyle name="_Prices 5 2 2" xfId="26401"/>
    <cellStyle name="_Prices 5 2 2 2" xfId="26402"/>
    <cellStyle name="_Prices 5 2 3" xfId="26403"/>
    <cellStyle name="_Prices 5 2 4" xfId="26404"/>
    <cellStyle name="_Prices 5 3" xfId="26405"/>
    <cellStyle name="_Prices 5 3 2" xfId="26406"/>
    <cellStyle name="_Prices 5 4" xfId="26407"/>
    <cellStyle name="_Prices 5 5" xfId="26408"/>
    <cellStyle name="_Prices 6" xfId="26409"/>
    <cellStyle name="_Prices 6 2" xfId="26410"/>
    <cellStyle name="_Prices 6 2 2" xfId="26411"/>
    <cellStyle name="_Prices 6 2 2 2" xfId="26412"/>
    <cellStyle name="_Prices 6 2 3" xfId="26413"/>
    <cellStyle name="_Prices 6 2 4" xfId="26414"/>
    <cellStyle name="_Prices 6 3" xfId="26415"/>
    <cellStyle name="_Prices 6 3 2" xfId="26416"/>
    <cellStyle name="_Prices 6 4" xfId="26417"/>
    <cellStyle name="_Prices 6 5" xfId="26418"/>
    <cellStyle name="_Prices 7" xfId="26419"/>
    <cellStyle name="_Prices 7 2" xfId="26420"/>
    <cellStyle name="_Prices 8" xfId="26421"/>
    <cellStyle name="_Prices 9" xfId="7689"/>
    <cellStyle name="_Prices_DEM-WP(C) Chelan Power Costs" xfId="12915"/>
    <cellStyle name="_Prices_DEM-WP(C) Chelan Power Costs 2" xfId="26422"/>
    <cellStyle name="_Prices_DEM-WP(C) Chelan Power Costs 2 2" xfId="26423"/>
    <cellStyle name="_Prices_DEM-WP(C) Chelan Power Costs 2 2 2" xfId="26424"/>
    <cellStyle name="_Prices_DEM-WP(C) Chelan Power Costs 2 3" xfId="26425"/>
    <cellStyle name="_Prices_DEM-WP(C) Chelan Power Costs 2 4" xfId="26426"/>
    <cellStyle name="_Prices_DEM-WP(C) Chelan Power Costs 3" xfId="26427"/>
    <cellStyle name="_Prices_DEM-WP(C) Chelan Power Costs 3 2" xfId="26428"/>
    <cellStyle name="_Prices_DEM-WP(C) Chelan Power Costs 4" xfId="26429"/>
    <cellStyle name="_Prices_DEM-WP(C) ENERG10C--ctn Mid-C_042010 2010GRC" xfId="12916"/>
    <cellStyle name="_Prices_DEM-WP(C) ENERG10C--ctn Mid-C_042010 2010GRC 2" xfId="41579"/>
    <cellStyle name="_Prices_DEM-WP(C) Gas Transport 2010GRC" xfId="12917"/>
    <cellStyle name="_Prices_DEM-WP(C) Gas Transport 2010GRC 2" xfId="26430"/>
    <cellStyle name="_Prices_DEM-WP(C) Gas Transport 2010GRC 2 2" xfId="26431"/>
    <cellStyle name="_Prices_DEM-WP(C) Gas Transport 2010GRC 2 2 2" xfId="26432"/>
    <cellStyle name="_Prices_DEM-WP(C) Gas Transport 2010GRC 2 3" xfId="26433"/>
    <cellStyle name="_Prices_DEM-WP(C) Gas Transport 2010GRC 2 4" xfId="26434"/>
    <cellStyle name="_Prices_DEM-WP(C) Gas Transport 2010GRC 3" xfId="26435"/>
    <cellStyle name="_Prices_DEM-WP(C) Gas Transport 2010GRC 3 2" xfId="26436"/>
    <cellStyle name="_Prices_DEM-WP(C) Gas Transport 2010GRC 4" xfId="26437"/>
    <cellStyle name="_Prices_NIM Summary" xfId="1874"/>
    <cellStyle name="_Prices_NIM Summary 2" xfId="1875"/>
    <cellStyle name="_Prices_NIM Summary 2 2" xfId="5244"/>
    <cellStyle name="_Prices_NIM Summary 2 2 2" xfId="26438"/>
    <cellStyle name="_Prices_NIM Summary 2 2 2 2" xfId="26439"/>
    <cellStyle name="_Prices_NIM Summary 2 2 3" xfId="26440"/>
    <cellStyle name="_Prices_NIM Summary 2 3" xfId="26441"/>
    <cellStyle name="_Prices_NIM Summary 2 3 2" xfId="26442"/>
    <cellStyle name="_Prices_NIM Summary 2 4" xfId="26443"/>
    <cellStyle name="_Prices_NIM Summary 2 5" xfId="7691"/>
    <cellStyle name="_Prices_NIM Summary 3" xfId="5243"/>
    <cellStyle name="_Prices_NIM Summary 3 2" xfId="26444"/>
    <cellStyle name="_Prices_NIM Summary 3 2 2" xfId="26445"/>
    <cellStyle name="_Prices_NIM Summary 3 3" xfId="26446"/>
    <cellStyle name="_Prices_NIM Summary 3 4" xfId="26447"/>
    <cellStyle name="_Prices_NIM Summary 4" xfId="26448"/>
    <cellStyle name="_Prices_NIM Summary 4 2" xfId="26449"/>
    <cellStyle name="_Prices_NIM Summary 5" xfId="26450"/>
    <cellStyle name="_Prices_NIM Summary 6" xfId="7690"/>
    <cellStyle name="_Prices_NIM Summary_DEM-WP(C) ENERG10C--ctn Mid-C_042010 2010GRC" xfId="12918"/>
    <cellStyle name="_Prices_NIM Summary_DEM-WP(C) ENERG10C--ctn Mid-C_042010 2010GRC 2" xfId="41580"/>
    <cellStyle name="_Prices_Wind Integration 10GRC" xfId="1876"/>
    <cellStyle name="_Prices_Wind Integration 10GRC 2" xfId="1877"/>
    <cellStyle name="_Prices_Wind Integration 10GRC 2 2" xfId="5246"/>
    <cellStyle name="_Prices_Wind Integration 10GRC 2 2 2" xfId="26451"/>
    <cellStyle name="_Prices_Wind Integration 10GRC 2 2 2 2" xfId="26452"/>
    <cellStyle name="_Prices_Wind Integration 10GRC 2 2 3" xfId="26453"/>
    <cellStyle name="_Prices_Wind Integration 10GRC 2 3" xfId="26454"/>
    <cellStyle name="_Prices_Wind Integration 10GRC 2 3 2" xfId="26455"/>
    <cellStyle name="_Prices_Wind Integration 10GRC 2 4" xfId="26456"/>
    <cellStyle name="_Prices_Wind Integration 10GRC 2 5" xfId="7693"/>
    <cellStyle name="_Prices_Wind Integration 10GRC 3" xfId="5245"/>
    <cellStyle name="_Prices_Wind Integration 10GRC 3 2" xfId="26457"/>
    <cellStyle name="_Prices_Wind Integration 10GRC 3 2 2" xfId="26458"/>
    <cellStyle name="_Prices_Wind Integration 10GRC 3 3" xfId="26459"/>
    <cellStyle name="_Prices_Wind Integration 10GRC 3 4" xfId="26460"/>
    <cellStyle name="_Prices_Wind Integration 10GRC 4" xfId="26461"/>
    <cellStyle name="_Prices_Wind Integration 10GRC 4 2" xfId="26462"/>
    <cellStyle name="_Prices_Wind Integration 10GRC 5" xfId="26463"/>
    <cellStyle name="_Prices_Wind Integration 10GRC 6" xfId="7692"/>
    <cellStyle name="_Prices_Wind Integration 10GRC_DEM-WP(C) ENERG10C--ctn Mid-C_042010 2010GRC" xfId="12919"/>
    <cellStyle name="_Prices_Wind Integration 10GRC_DEM-WP(C) ENERG10C--ctn Mid-C_042010 2010GRC 2" xfId="41581"/>
    <cellStyle name="_Pro Forma Rev 07 GRC" xfId="7694"/>
    <cellStyle name="_Pro Forma Rev 07 GRC 2" xfId="17813"/>
    <cellStyle name="_x0013__Rebuttal Power Costs" xfId="1878"/>
    <cellStyle name="_x0013__Rebuttal Power Costs 2" xfId="1879"/>
    <cellStyle name="_x0013__Rebuttal Power Costs 2 2" xfId="5248"/>
    <cellStyle name="_x0013__Rebuttal Power Costs 2 2 2" xfId="21265"/>
    <cellStyle name="_x0013__Rebuttal Power Costs 2 3" xfId="16919"/>
    <cellStyle name="_x0013__Rebuttal Power Costs 3" xfId="5247"/>
    <cellStyle name="_x0013__Rebuttal Power Costs 3 2" xfId="21266"/>
    <cellStyle name="_x0013__Rebuttal Power Costs 4" xfId="16918"/>
    <cellStyle name="_x0013__Rebuttal Power Costs_Adj Bench DR 3 for Initial Briefs (Electric)" xfId="1880"/>
    <cellStyle name="_x0013__Rebuttal Power Costs_Adj Bench DR 3 for Initial Briefs (Electric) 2" xfId="1881"/>
    <cellStyle name="_x0013__Rebuttal Power Costs_Adj Bench DR 3 for Initial Briefs (Electric) 2 2" xfId="5250"/>
    <cellStyle name="_x0013__Rebuttal Power Costs_Adj Bench DR 3 for Initial Briefs (Electric) 2 2 2" xfId="21267"/>
    <cellStyle name="_x0013__Rebuttal Power Costs_Adj Bench DR 3 for Initial Briefs (Electric) 2 3" xfId="16921"/>
    <cellStyle name="_x0013__Rebuttal Power Costs_Adj Bench DR 3 for Initial Briefs (Electric) 3" xfId="5249"/>
    <cellStyle name="_x0013__Rebuttal Power Costs_Adj Bench DR 3 for Initial Briefs (Electric) 3 2" xfId="21268"/>
    <cellStyle name="_x0013__Rebuttal Power Costs_Adj Bench DR 3 for Initial Briefs (Electric) 4" xfId="16920"/>
    <cellStyle name="_x0013__Rebuttal Power Costs_Adj Bench DR 3 for Initial Briefs (Electric)_DEM-WP(C) ENERG10C--ctn Mid-C_042010 2010GRC" xfId="12920"/>
    <cellStyle name="_x0013__Rebuttal Power Costs_Adj Bench DR 3 for Initial Briefs (Electric)_DEM-WP(C) ENERG10C--ctn Mid-C_042010 2010GRC 2" xfId="41582"/>
    <cellStyle name="_x0013__Rebuttal Power Costs_DEM-WP(C) ENERG10C--ctn Mid-C_042010 2010GRC" xfId="12921"/>
    <cellStyle name="_x0013__Rebuttal Power Costs_DEM-WP(C) ENERG10C--ctn Mid-C_042010 2010GRC 2" xfId="41583"/>
    <cellStyle name="_x0013__Rebuttal Power Costs_Electric Rev Req Model (2009 GRC) Rebuttal" xfId="1882"/>
    <cellStyle name="_x0013__Rebuttal Power Costs_Electric Rev Req Model (2009 GRC) Rebuttal 2" xfId="5251"/>
    <cellStyle name="_x0013__Rebuttal Power Costs_Electric Rev Req Model (2009 GRC) Rebuttal 2 2" xfId="7695"/>
    <cellStyle name="_x0013__Rebuttal Power Costs_Electric Rev Req Model (2009 GRC) Rebuttal 2 2 2" xfId="21269"/>
    <cellStyle name="_x0013__Rebuttal Power Costs_Electric Rev Req Model (2009 GRC) Rebuttal 2 3" xfId="18641"/>
    <cellStyle name="_x0013__Rebuttal Power Costs_Electric Rev Req Model (2009 GRC) Rebuttal 3" xfId="7696"/>
    <cellStyle name="_x0013__Rebuttal Power Costs_Electric Rev Req Model (2009 GRC) Rebuttal 3 2" xfId="21270"/>
    <cellStyle name="_x0013__Rebuttal Power Costs_Electric Rev Req Model (2009 GRC) Rebuttal 4" xfId="16922"/>
    <cellStyle name="_x0013__Rebuttal Power Costs_Electric Rev Req Model (2009 GRC) Rebuttal REmoval of New  WH Solar AdjustMI" xfId="1883"/>
    <cellStyle name="_x0013__Rebuttal Power Costs_Electric Rev Req Model (2009 GRC) Rebuttal REmoval of New  WH Solar AdjustMI 2" xfId="1884"/>
    <cellStyle name="_x0013__Rebuttal Power Costs_Electric Rev Req Model (2009 GRC) Rebuttal REmoval of New  WH Solar AdjustMI 2 2" xfId="5253"/>
    <cellStyle name="_x0013__Rebuttal Power Costs_Electric Rev Req Model (2009 GRC) Rebuttal REmoval of New  WH Solar AdjustMI 2 2 2" xfId="21271"/>
    <cellStyle name="_x0013__Rebuttal Power Costs_Electric Rev Req Model (2009 GRC) Rebuttal REmoval of New  WH Solar AdjustMI 2 3" xfId="16924"/>
    <cellStyle name="_x0013__Rebuttal Power Costs_Electric Rev Req Model (2009 GRC) Rebuttal REmoval of New  WH Solar AdjustMI 3" xfId="5252"/>
    <cellStyle name="_x0013__Rebuttal Power Costs_Electric Rev Req Model (2009 GRC) Rebuttal REmoval of New  WH Solar AdjustMI 3 2" xfId="21272"/>
    <cellStyle name="_x0013__Rebuttal Power Costs_Electric Rev Req Model (2009 GRC) Rebuttal REmoval of New  WH Solar AdjustMI 4" xfId="16923"/>
    <cellStyle name="_x0013__Rebuttal Power Costs_Electric Rev Req Model (2009 GRC) Rebuttal REmoval of New  WH Solar AdjustMI_DEM-WP(C) ENERG10C--ctn Mid-C_042010 2010GRC" xfId="12922"/>
    <cellStyle name="_x0013__Rebuttal Power Costs_Electric Rev Req Model (2009 GRC) Rebuttal REmoval of New  WH Solar AdjustMI_DEM-WP(C) ENERG10C--ctn Mid-C_042010 2010GRC 2" xfId="41584"/>
    <cellStyle name="_x0013__Rebuttal Power Costs_Electric Rev Req Model (2009 GRC) Revised 01-18-2010" xfId="1885"/>
    <cellStyle name="_x0013__Rebuttal Power Costs_Electric Rev Req Model (2009 GRC) Revised 01-18-2010 2" xfId="1886"/>
    <cellStyle name="_x0013__Rebuttal Power Costs_Electric Rev Req Model (2009 GRC) Revised 01-18-2010 2 2" xfId="5255"/>
    <cellStyle name="_x0013__Rebuttal Power Costs_Electric Rev Req Model (2009 GRC) Revised 01-18-2010 2 2 2" xfId="21273"/>
    <cellStyle name="_x0013__Rebuttal Power Costs_Electric Rev Req Model (2009 GRC) Revised 01-18-2010 2 3" xfId="16926"/>
    <cellStyle name="_x0013__Rebuttal Power Costs_Electric Rev Req Model (2009 GRC) Revised 01-18-2010 3" xfId="5254"/>
    <cellStyle name="_x0013__Rebuttal Power Costs_Electric Rev Req Model (2009 GRC) Revised 01-18-2010 3 2" xfId="21274"/>
    <cellStyle name="_x0013__Rebuttal Power Costs_Electric Rev Req Model (2009 GRC) Revised 01-18-2010 4" xfId="16925"/>
    <cellStyle name="_x0013__Rebuttal Power Costs_Electric Rev Req Model (2009 GRC) Revised 01-18-2010_DEM-WP(C) ENERG10C--ctn Mid-C_042010 2010GRC" xfId="12923"/>
    <cellStyle name="_x0013__Rebuttal Power Costs_Electric Rev Req Model (2009 GRC) Revised 01-18-2010_DEM-WP(C) ENERG10C--ctn Mid-C_042010 2010GRC 2" xfId="41585"/>
    <cellStyle name="_x0013__Rebuttal Power Costs_Final Order Electric EXHIBIT A-1" xfId="1887"/>
    <cellStyle name="_x0013__Rebuttal Power Costs_Final Order Electric EXHIBIT A-1 2" xfId="5256"/>
    <cellStyle name="_x0013__Rebuttal Power Costs_Final Order Electric EXHIBIT A-1 2 2" xfId="7697"/>
    <cellStyle name="_x0013__Rebuttal Power Costs_Final Order Electric EXHIBIT A-1 2 2 2" xfId="21275"/>
    <cellStyle name="_x0013__Rebuttal Power Costs_Final Order Electric EXHIBIT A-1 2 3" xfId="18642"/>
    <cellStyle name="_x0013__Rebuttal Power Costs_Final Order Electric EXHIBIT A-1 3" xfId="7698"/>
    <cellStyle name="_x0013__Rebuttal Power Costs_Final Order Electric EXHIBIT A-1 3 2" xfId="21276"/>
    <cellStyle name="_x0013__Rebuttal Power Costs_Final Order Electric EXHIBIT A-1 4" xfId="16927"/>
    <cellStyle name="_recommendation" xfId="1888"/>
    <cellStyle name="_recommendation 2" xfId="5257"/>
    <cellStyle name="_recommendation 2 2" xfId="26464"/>
    <cellStyle name="_recommendation 2 2 2" xfId="26465"/>
    <cellStyle name="_recommendation 2 2 2 2" xfId="26466"/>
    <cellStyle name="_recommendation 2 2 2 2 2" xfId="26467"/>
    <cellStyle name="_recommendation 2 2 2 3" xfId="26468"/>
    <cellStyle name="_recommendation 2 2 3" xfId="26469"/>
    <cellStyle name="_recommendation 2 2 3 2" xfId="26470"/>
    <cellStyle name="_recommendation 2 2 4" xfId="26471"/>
    <cellStyle name="_recommendation 2 2 5" xfId="26472"/>
    <cellStyle name="_recommendation 2 3" xfId="26473"/>
    <cellStyle name="_recommendation 2 3 2" xfId="26474"/>
    <cellStyle name="_recommendation 2 3 2 2" xfId="26475"/>
    <cellStyle name="_recommendation 2 3 3" xfId="26476"/>
    <cellStyle name="_recommendation 2 4" xfId="26477"/>
    <cellStyle name="_recommendation 2 4 2" xfId="26478"/>
    <cellStyle name="_recommendation 2 5" xfId="26479"/>
    <cellStyle name="_recommendation 3" xfId="12924"/>
    <cellStyle name="_recommendation 3 2" xfId="12925"/>
    <cellStyle name="_recommendation 3 2 2" xfId="26480"/>
    <cellStyle name="_recommendation 3 2 2 2" xfId="26481"/>
    <cellStyle name="_recommendation 3 2 3" xfId="26482"/>
    <cellStyle name="_recommendation 3 3" xfId="26483"/>
    <cellStyle name="_recommendation 3 3 2" xfId="26484"/>
    <cellStyle name="_recommendation 3 4" xfId="26485"/>
    <cellStyle name="_recommendation 4" xfId="26486"/>
    <cellStyle name="_recommendation 4 2" xfId="26487"/>
    <cellStyle name="_recommendation 4 2 2" xfId="26488"/>
    <cellStyle name="_recommendation 4 2 2 2" xfId="26489"/>
    <cellStyle name="_recommendation 4 2 3" xfId="26490"/>
    <cellStyle name="_recommendation 4 2 4" xfId="26491"/>
    <cellStyle name="_recommendation 4 3" xfId="26492"/>
    <cellStyle name="_recommendation 4 3 2" xfId="26493"/>
    <cellStyle name="_recommendation 4 4" xfId="26494"/>
    <cellStyle name="_recommendation 4 5" xfId="26495"/>
    <cellStyle name="_recommendation 5" xfId="26496"/>
    <cellStyle name="_recommendation 5 2" xfId="26497"/>
    <cellStyle name="_recommendation 5 2 2" xfId="26498"/>
    <cellStyle name="_recommendation 5 2 2 2" xfId="26499"/>
    <cellStyle name="_recommendation 5 2 3" xfId="26500"/>
    <cellStyle name="_recommendation 5 2 4" xfId="26501"/>
    <cellStyle name="_recommendation 5 3" xfId="26502"/>
    <cellStyle name="_recommendation 5 3 2" xfId="26503"/>
    <cellStyle name="_recommendation 5 4" xfId="26504"/>
    <cellStyle name="_recommendation 5 5" xfId="26505"/>
    <cellStyle name="_recommendation 6" xfId="26506"/>
    <cellStyle name="_recommendation 6 2" xfId="26507"/>
    <cellStyle name="_recommendation 6 2 2" xfId="26508"/>
    <cellStyle name="_recommendation 6 3" xfId="26509"/>
    <cellStyle name="_recommendation 7" xfId="26510"/>
    <cellStyle name="_recommendation 8" xfId="7699"/>
    <cellStyle name="_recommendation_DEM-WP(C) Chelan Power Costs" xfId="12926"/>
    <cellStyle name="_recommendation_DEM-WP(C) Chelan Power Costs 2" xfId="26511"/>
    <cellStyle name="_recommendation_DEM-WP(C) Chelan Power Costs 2 2" xfId="26512"/>
    <cellStyle name="_recommendation_DEM-WP(C) Chelan Power Costs 2 2 2" xfId="26513"/>
    <cellStyle name="_recommendation_DEM-WP(C) Chelan Power Costs 2 3" xfId="26514"/>
    <cellStyle name="_recommendation_DEM-WP(C) Chelan Power Costs 2 4" xfId="26515"/>
    <cellStyle name="_recommendation_DEM-WP(C) Chelan Power Costs 3" xfId="26516"/>
    <cellStyle name="_recommendation_DEM-WP(C) Chelan Power Costs 3 2" xfId="26517"/>
    <cellStyle name="_recommendation_DEM-WP(C) Chelan Power Costs 4" xfId="26518"/>
    <cellStyle name="_recommendation_DEM-WP(C) ENERG10C--ctn Mid-C_042010 2010GRC" xfId="12927"/>
    <cellStyle name="_recommendation_DEM-WP(C) ENERG10C--ctn Mid-C_042010 2010GRC 2" xfId="41586"/>
    <cellStyle name="_recommendation_DEM-WP(C) Gas Transport 2010GRC" xfId="12928"/>
    <cellStyle name="_recommendation_DEM-WP(C) Gas Transport 2010GRC 2" xfId="26519"/>
    <cellStyle name="_recommendation_DEM-WP(C) Gas Transport 2010GRC 2 2" xfId="26520"/>
    <cellStyle name="_recommendation_DEM-WP(C) Gas Transport 2010GRC 2 2 2" xfId="26521"/>
    <cellStyle name="_recommendation_DEM-WP(C) Gas Transport 2010GRC 2 3" xfId="26522"/>
    <cellStyle name="_recommendation_DEM-WP(C) Gas Transport 2010GRC 2 4" xfId="26523"/>
    <cellStyle name="_recommendation_DEM-WP(C) Gas Transport 2010GRC 3" xfId="26524"/>
    <cellStyle name="_recommendation_DEM-WP(C) Gas Transport 2010GRC 3 2" xfId="26525"/>
    <cellStyle name="_recommendation_DEM-WP(C) Gas Transport 2010GRC 4" xfId="26526"/>
    <cellStyle name="_recommendation_DEM-WP(C) Wind Integration Summary 2010GRC" xfId="1889"/>
    <cellStyle name="_recommendation_DEM-WP(C) Wind Integration Summary 2010GRC 2" xfId="1890"/>
    <cellStyle name="_recommendation_DEM-WP(C) Wind Integration Summary 2010GRC 2 2" xfId="5259"/>
    <cellStyle name="_recommendation_DEM-WP(C) Wind Integration Summary 2010GRC 2 2 2" xfId="26527"/>
    <cellStyle name="_recommendation_DEM-WP(C) Wind Integration Summary 2010GRC 2 2 2 2" xfId="26528"/>
    <cellStyle name="_recommendation_DEM-WP(C) Wind Integration Summary 2010GRC 2 2 3" xfId="26529"/>
    <cellStyle name="_recommendation_DEM-WP(C) Wind Integration Summary 2010GRC 2 3" xfId="26530"/>
    <cellStyle name="_recommendation_DEM-WP(C) Wind Integration Summary 2010GRC 2 3 2" xfId="26531"/>
    <cellStyle name="_recommendation_DEM-WP(C) Wind Integration Summary 2010GRC 2 4" xfId="26532"/>
    <cellStyle name="_recommendation_DEM-WP(C) Wind Integration Summary 2010GRC 2 5" xfId="7701"/>
    <cellStyle name="_recommendation_DEM-WP(C) Wind Integration Summary 2010GRC 3" xfId="5258"/>
    <cellStyle name="_recommendation_DEM-WP(C) Wind Integration Summary 2010GRC 3 2" xfId="26533"/>
    <cellStyle name="_recommendation_DEM-WP(C) Wind Integration Summary 2010GRC 3 2 2" xfId="26534"/>
    <cellStyle name="_recommendation_DEM-WP(C) Wind Integration Summary 2010GRC 3 3" xfId="26535"/>
    <cellStyle name="_recommendation_DEM-WP(C) Wind Integration Summary 2010GRC 3 4" xfId="26536"/>
    <cellStyle name="_recommendation_DEM-WP(C) Wind Integration Summary 2010GRC 4" xfId="26537"/>
    <cellStyle name="_recommendation_DEM-WP(C) Wind Integration Summary 2010GRC 4 2" xfId="26538"/>
    <cellStyle name="_recommendation_DEM-WP(C) Wind Integration Summary 2010GRC 5" xfId="26539"/>
    <cellStyle name="_recommendation_DEM-WP(C) Wind Integration Summary 2010GRC 6" xfId="7700"/>
    <cellStyle name="_recommendation_DEM-WP(C) Wind Integration Summary 2010GRC_DEM-WP(C) ENERG10C--ctn Mid-C_042010 2010GRC" xfId="12929"/>
    <cellStyle name="_recommendation_DEM-WP(C) Wind Integration Summary 2010GRC_DEM-WP(C) ENERG10C--ctn Mid-C_042010 2010GRC 2" xfId="41587"/>
    <cellStyle name="_recommendation_NIM Summary" xfId="1891"/>
    <cellStyle name="_recommendation_NIM Summary 2" xfId="1892"/>
    <cellStyle name="_recommendation_NIM Summary 2 2" xfId="5261"/>
    <cellStyle name="_recommendation_NIM Summary 2 2 2" xfId="26540"/>
    <cellStyle name="_recommendation_NIM Summary 2 2 2 2" xfId="26541"/>
    <cellStyle name="_recommendation_NIM Summary 2 2 3" xfId="26542"/>
    <cellStyle name="_recommendation_NIM Summary 2 3" xfId="26543"/>
    <cellStyle name="_recommendation_NIM Summary 2 3 2" xfId="26544"/>
    <cellStyle name="_recommendation_NIM Summary 2 4" xfId="26545"/>
    <cellStyle name="_recommendation_NIM Summary 2 5" xfId="7703"/>
    <cellStyle name="_recommendation_NIM Summary 3" xfId="5260"/>
    <cellStyle name="_recommendation_NIM Summary 3 2" xfId="26546"/>
    <cellStyle name="_recommendation_NIM Summary 3 2 2" xfId="26547"/>
    <cellStyle name="_recommendation_NIM Summary 3 3" xfId="26548"/>
    <cellStyle name="_recommendation_NIM Summary 3 4" xfId="26549"/>
    <cellStyle name="_recommendation_NIM Summary 4" xfId="26550"/>
    <cellStyle name="_recommendation_NIM Summary 4 2" xfId="26551"/>
    <cellStyle name="_recommendation_NIM Summary 5" xfId="26552"/>
    <cellStyle name="_recommendation_NIM Summary 6" xfId="7702"/>
    <cellStyle name="_recommendation_NIM Summary_DEM-WP(C) ENERG10C--ctn Mid-C_042010 2010GRC" xfId="12930"/>
    <cellStyle name="_recommendation_NIM Summary_DEM-WP(C) ENERG10C--ctn Mid-C_042010 2010GRC 2" xfId="41588"/>
    <cellStyle name="_Recon to Darrin's 5.11.05 proforma" xfId="1893"/>
    <cellStyle name="_Recon to Darrin's 5.11.05 proforma 10" xfId="26553"/>
    <cellStyle name="_Recon to Darrin's 5.11.05 proforma 10 2" xfId="26554"/>
    <cellStyle name="_Recon to Darrin's 5.11.05 proforma 11" xfId="26555"/>
    <cellStyle name="_Recon to Darrin's 5.11.05 proforma 11 2" xfId="26556"/>
    <cellStyle name="_Recon to Darrin's 5.11.05 proforma 11 3" xfId="26557"/>
    <cellStyle name="_Recon to Darrin's 5.11.05 proforma 12" xfId="26558"/>
    <cellStyle name="_Recon to Darrin's 5.11.05 proforma 13" xfId="7704"/>
    <cellStyle name="_Recon to Darrin's 5.11.05 proforma 2" xfId="1894"/>
    <cellStyle name="_Recon to Darrin's 5.11.05 proforma 2 2" xfId="1895"/>
    <cellStyle name="_Recon to Darrin's 5.11.05 proforma 2 2 2" xfId="5263"/>
    <cellStyle name="_Recon to Darrin's 5.11.05 proforma 2 2 2 2" xfId="21277"/>
    <cellStyle name="_Recon to Darrin's 5.11.05 proforma 2 2 2 2 2" xfId="26559"/>
    <cellStyle name="_Recon to Darrin's 5.11.05 proforma 2 2 2 3" xfId="26560"/>
    <cellStyle name="_Recon to Darrin's 5.11.05 proforma 2 2 2 4" xfId="7707"/>
    <cellStyle name="_Recon to Darrin's 5.11.05 proforma 2 2 3" xfId="16929"/>
    <cellStyle name="_Recon to Darrin's 5.11.05 proforma 2 2 3 2" xfId="26561"/>
    <cellStyle name="_Recon to Darrin's 5.11.05 proforma 2 2 4" xfId="26562"/>
    <cellStyle name="_Recon to Darrin's 5.11.05 proforma 2 2 5" xfId="7706"/>
    <cellStyle name="_Recon to Darrin's 5.11.05 proforma 2 3" xfId="5262"/>
    <cellStyle name="_Recon to Darrin's 5.11.05 proforma 2 3 2" xfId="21278"/>
    <cellStyle name="_Recon to Darrin's 5.11.05 proforma 2 3 2 2" xfId="26563"/>
    <cellStyle name="_Recon to Darrin's 5.11.05 proforma 2 3 3" xfId="26564"/>
    <cellStyle name="_Recon to Darrin's 5.11.05 proforma 2 3 4" xfId="26565"/>
    <cellStyle name="_Recon to Darrin's 5.11.05 proforma 2 3 5" xfId="7708"/>
    <cellStyle name="_Recon to Darrin's 5.11.05 proforma 2 4" xfId="16928"/>
    <cellStyle name="_Recon to Darrin's 5.11.05 proforma 2 4 2" xfId="26566"/>
    <cellStyle name="_Recon to Darrin's 5.11.05 proforma 2 5" xfId="26567"/>
    <cellStyle name="_Recon to Darrin's 5.11.05 proforma 2 6" xfId="7705"/>
    <cellStyle name="_Recon to Darrin's 5.11.05 proforma 3" xfId="1896"/>
    <cellStyle name="_Recon to Darrin's 5.11.05 proforma 3 2" xfId="5264"/>
    <cellStyle name="_Recon to Darrin's 5.11.05 proforma 3 2 2" xfId="7711"/>
    <cellStyle name="_Recon to Darrin's 5.11.05 proforma 3 2 2 2" xfId="21279"/>
    <cellStyle name="_Recon to Darrin's 5.11.05 proforma 3 2 3" xfId="18643"/>
    <cellStyle name="_Recon to Darrin's 5.11.05 proforma 3 2 4" xfId="26568"/>
    <cellStyle name="_Recon to Darrin's 5.11.05 proforma 3 2 5" xfId="7710"/>
    <cellStyle name="_Recon to Darrin's 5.11.05 proforma 3 3" xfId="7712"/>
    <cellStyle name="_Recon to Darrin's 5.11.05 proforma 3 3 2" xfId="7713"/>
    <cellStyle name="_Recon to Darrin's 5.11.05 proforma 3 3 2 2" xfId="21280"/>
    <cellStyle name="_Recon to Darrin's 5.11.05 proforma 3 3 3" xfId="18644"/>
    <cellStyle name="_Recon to Darrin's 5.11.05 proforma 3 4" xfId="7714"/>
    <cellStyle name="_Recon to Darrin's 5.11.05 proforma 3 4 2" xfId="7715"/>
    <cellStyle name="_Recon to Darrin's 5.11.05 proforma 3 4 2 2" xfId="21281"/>
    <cellStyle name="_Recon to Darrin's 5.11.05 proforma 3 4 3" xfId="18645"/>
    <cellStyle name="_Recon to Darrin's 5.11.05 proforma 3 5" xfId="16930"/>
    <cellStyle name="_Recon to Darrin's 5.11.05 proforma 3 6" xfId="7709"/>
    <cellStyle name="_Recon to Darrin's 5.11.05 proforma 4" xfId="1897"/>
    <cellStyle name="_Recon to Darrin's 5.11.05 proforma 4 2" xfId="1898"/>
    <cellStyle name="_Recon to Darrin's 5.11.05 proforma 4 2 2" xfId="5266"/>
    <cellStyle name="_Recon to Darrin's 5.11.05 proforma 4 2 2 2" xfId="26569"/>
    <cellStyle name="_Recon to Darrin's 5.11.05 proforma 4 2 2 2 2" xfId="26570"/>
    <cellStyle name="_Recon to Darrin's 5.11.05 proforma 4 2 2 3" xfId="26571"/>
    <cellStyle name="_Recon to Darrin's 5.11.05 proforma 4 2 3" xfId="26572"/>
    <cellStyle name="_Recon to Darrin's 5.11.05 proforma 4 2 3 2" xfId="26573"/>
    <cellStyle name="_Recon to Darrin's 5.11.05 proforma 4 2 4" xfId="26574"/>
    <cellStyle name="_Recon to Darrin's 5.11.05 proforma 4 2 5" xfId="7717"/>
    <cellStyle name="_Recon to Darrin's 5.11.05 proforma 4 3" xfId="5265"/>
    <cellStyle name="_Recon to Darrin's 5.11.05 proforma 4 3 2" xfId="26575"/>
    <cellStyle name="_Recon to Darrin's 5.11.05 proforma 4 3 2 2" xfId="26576"/>
    <cellStyle name="_Recon to Darrin's 5.11.05 proforma 4 3 3" xfId="26577"/>
    <cellStyle name="_Recon to Darrin's 5.11.05 proforma 4 3 4" xfId="26578"/>
    <cellStyle name="_Recon to Darrin's 5.11.05 proforma 4 4" xfId="26579"/>
    <cellStyle name="_Recon to Darrin's 5.11.05 proforma 4 4 2" xfId="26580"/>
    <cellStyle name="_Recon to Darrin's 5.11.05 proforma 4 5" xfId="26581"/>
    <cellStyle name="_Recon to Darrin's 5.11.05 proforma 4 6" xfId="7716"/>
    <cellStyle name="_Recon to Darrin's 5.11.05 proforma 5" xfId="7718"/>
    <cellStyle name="_Recon to Darrin's 5.11.05 proforma 5 2" xfId="12931"/>
    <cellStyle name="_Recon to Darrin's 5.11.05 proforma 5 2 2" xfId="26582"/>
    <cellStyle name="_Recon to Darrin's 5.11.05 proforma 5 2 2 2" xfId="26583"/>
    <cellStyle name="_Recon to Darrin's 5.11.05 proforma 5 2 2 2 2" xfId="26584"/>
    <cellStyle name="_Recon to Darrin's 5.11.05 proforma 5 2 2 3" xfId="26585"/>
    <cellStyle name="_Recon to Darrin's 5.11.05 proforma 5 2 3" xfId="26586"/>
    <cellStyle name="_Recon to Darrin's 5.11.05 proforma 5 2 3 2" xfId="26587"/>
    <cellStyle name="_Recon to Darrin's 5.11.05 proforma 5 2 4" xfId="26588"/>
    <cellStyle name="_Recon to Darrin's 5.11.05 proforma 5 2 5" xfId="26589"/>
    <cellStyle name="_Recon to Darrin's 5.11.05 proforma 5 3" xfId="21282"/>
    <cellStyle name="_Recon to Darrin's 5.11.05 proforma 5 3 2" xfId="26590"/>
    <cellStyle name="_Recon to Darrin's 5.11.05 proforma 5 3 2 2" xfId="26591"/>
    <cellStyle name="_Recon to Darrin's 5.11.05 proforma 5 3 3" xfId="26592"/>
    <cellStyle name="_Recon to Darrin's 5.11.05 proforma 5 3 4" xfId="26593"/>
    <cellStyle name="_Recon to Darrin's 5.11.05 proforma 5 4" xfId="26594"/>
    <cellStyle name="_Recon to Darrin's 5.11.05 proforma 5 4 2" xfId="26595"/>
    <cellStyle name="_Recon to Darrin's 5.11.05 proforma 5 5" xfId="26596"/>
    <cellStyle name="_Recon to Darrin's 5.11.05 proforma 6" xfId="7719"/>
    <cellStyle name="_Recon to Darrin's 5.11.05 proforma 6 2" xfId="26597"/>
    <cellStyle name="_Recon to Darrin's 5.11.05 proforma 6 2 2" xfId="26598"/>
    <cellStyle name="_Recon to Darrin's 5.11.05 proforma 6 2 2 2" xfId="26599"/>
    <cellStyle name="_Recon to Darrin's 5.11.05 proforma 6 2 2 2 2" xfId="26600"/>
    <cellStyle name="_Recon to Darrin's 5.11.05 proforma 6 2 2 3" xfId="26601"/>
    <cellStyle name="_Recon to Darrin's 5.11.05 proforma 6 2 3" xfId="26602"/>
    <cellStyle name="_Recon to Darrin's 5.11.05 proforma 6 2 3 2" xfId="26603"/>
    <cellStyle name="_Recon to Darrin's 5.11.05 proforma 6 2 4" xfId="26604"/>
    <cellStyle name="_Recon to Darrin's 5.11.05 proforma 6 2 5" xfId="26605"/>
    <cellStyle name="_Recon to Darrin's 5.11.05 proforma 6 3" xfId="26606"/>
    <cellStyle name="_Recon to Darrin's 5.11.05 proforma 6 3 2" xfId="26607"/>
    <cellStyle name="_Recon to Darrin's 5.11.05 proforma 6 3 2 2" xfId="26608"/>
    <cellStyle name="_Recon to Darrin's 5.11.05 proforma 6 3 3" xfId="26609"/>
    <cellStyle name="_Recon to Darrin's 5.11.05 proforma 6 4" xfId="26610"/>
    <cellStyle name="_Recon to Darrin's 5.11.05 proforma 6 4 2" xfId="26611"/>
    <cellStyle name="_Recon to Darrin's 5.11.05 proforma 6 5" xfId="26612"/>
    <cellStyle name="_Recon to Darrin's 5.11.05 proforma 7" xfId="12932"/>
    <cellStyle name="_Recon to Darrin's 5.11.05 proforma 7 2" xfId="12933"/>
    <cellStyle name="_Recon to Darrin's 5.11.05 proforma 7 2 2" xfId="26613"/>
    <cellStyle name="_Recon to Darrin's 5.11.05 proforma 7 2 2 2" xfId="26614"/>
    <cellStyle name="_Recon to Darrin's 5.11.05 proforma 7 2 3" xfId="26615"/>
    <cellStyle name="_Recon to Darrin's 5.11.05 proforma 7 3" xfId="26616"/>
    <cellStyle name="_Recon to Darrin's 5.11.05 proforma 7 3 2" xfId="26617"/>
    <cellStyle name="_Recon to Darrin's 5.11.05 proforma 7 4" xfId="26618"/>
    <cellStyle name="_Recon to Darrin's 5.11.05 proforma 8" xfId="12934"/>
    <cellStyle name="_Recon to Darrin's 5.11.05 proforma 8 2" xfId="12935"/>
    <cellStyle name="_Recon to Darrin's 5.11.05 proforma 8 2 2" xfId="26619"/>
    <cellStyle name="_Recon to Darrin's 5.11.05 proforma 8 2 2 2" xfId="26620"/>
    <cellStyle name="_Recon to Darrin's 5.11.05 proforma 8 2 3" xfId="26621"/>
    <cellStyle name="_Recon to Darrin's 5.11.05 proforma 8 3" xfId="26622"/>
    <cellStyle name="_Recon to Darrin's 5.11.05 proforma 8 3 2" xfId="26623"/>
    <cellStyle name="_Recon to Darrin's 5.11.05 proforma 8 4" xfId="26624"/>
    <cellStyle name="_Recon to Darrin's 5.11.05 proforma 9" xfId="26625"/>
    <cellStyle name="_Recon to Darrin's 5.11.05 proforma 9 2" xfId="26626"/>
    <cellStyle name="_Recon to Darrin's 5.11.05 proforma 9 2 2" xfId="26627"/>
    <cellStyle name="_Recon to Darrin's 5.11.05 proforma 9 2 2 2" xfId="26628"/>
    <cellStyle name="_Recon to Darrin's 5.11.05 proforma 9 2 3" xfId="26629"/>
    <cellStyle name="_Recon to Darrin's 5.11.05 proforma 9 3" xfId="26630"/>
    <cellStyle name="_Recon to Darrin's 5.11.05 proforma 9 3 2" xfId="26631"/>
    <cellStyle name="_Recon to Darrin's 5.11.05 proforma 9 4" xfId="26632"/>
    <cellStyle name="_Recon to Darrin's 5.11.05 proforma_(C) WHE Proforma with ITC cash grant 10 Yr Amort_for deferral_102809" xfId="1899"/>
    <cellStyle name="_Recon to Darrin's 5.11.05 proforma_(C) WHE Proforma with ITC cash grant 10 Yr Amort_for deferral_102809 2" xfId="1900"/>
    <cellStyle name="_Recon to Darrin's 5.11.05 proforma_(C) WHE Proforma with ITC cash grant 10 Yr Amort_for deferral_102809 2 2" xfId="5268"/>
    <cellStyle name="_Recon to Darrin's 5.11.05 proforma_(C) WHE Proforma with ITC cash grant 10 Yr Amort_for deferral_102809 2 2 2" xfId="21283"/>
    <cellStyle name="_Recon to Darrin's 5.11.05 proforma_(C) WHE Proforma with ITC cash grant 10 Yr Amort_for deferral_102809 2 2 2 2" xfId="26633"/>
    <cellStyle name="_Recon to Darrin's 5.11.05 proforma_(C) WHE Proforma with ITC cash grant 10 Yr Amort_for deferral_102809 2 2 3" xfId="26634"/>
    <cellStyle name="_Recon to Darrin's 5.11.05 proforma_(C) WHE Proforma with ITC cash grant 10 Yr Amort_for deferral_102809 2 2 4" xfId="7722"/>
    <cellStyle name="_Recon to Darrin's 5.11.05 proforma_(C) WHE Proforma with ITC cash grant 10 Yr Amort_for deferral_102809 2 3" xfId="16932"/>
    <cellStyle name="_Recon to Darrin's 5.11.05 proforma_(C) WHE Proforma with ITC cash grant 10 Yr Amort_for deferral_102809 2 3 2" xfId="26635"/>
    <cellStyle name="_Recon to Darrin's 5.11.05 proforma_(C) WHE Proforma with ITC cash grant 10 Yr Amort_for deferral_102809 2 4" xfId="26636"/>
    <cellStyle name="_Recon to Darrin's 5.11.05 proforma_(C) WHE Proforma with ITC cash grant 10 Yr Amort_for deferral_102809 2 5" xfId="7721"/>
    <cellStyle name="_Recon to Darrin's 5.11.05 proforma_(C) WHE Proforma with ITC cash grant 10 Yr Amort_for deferral_102809 3" xfId="5267"/>
    <cellStyle name="_Recon to Darrin's 5.11.05 proforma_(C) WHE Proforma with ITC cash grant 10 Yr Amort_for deferral_102809 3 2" xfId="21284"/>
    <cellStyle name="_Recon to Darrin's 5.11.05 proforma_(C) WHE Proforma with ITC cash grant 10 Yr Amort_for deferral_102809 3 2 2" xfId="26637"/>
    <cellStyle name="_Recon to Darrin's 5.11.05 proforma_(C) WHE Proforma with ITC cash grant 10 Yr Amort_for deferral_102809 3 3" xfId="26638"/>
    <cellStyle name="_Recon to Darrin's 5.11.05 proforma_(C) WHE Proforma with ITC cash grant 10 Yr Amort_for deferral_102809 3 4" xfId="26639"/>
    <cellStyle name="_Recon to Darrin's 5.11.05 proforma_(C) WHE Proforma with ITC cash grant 10 Yr Amort_for deferral_102809 3 5" xfId="7723"/>
    <cellStyle name="_Recon to Darrin's 5.11.05 proforma_(C) WHE Proforma with ITC cash grant 10 Yr Amort_for deferral_102809 4" xfId="16931"/>
    <cellStyle name="_Recon to Darrin's 5.11.05 proforma_(C) WHE Proforma with ITC cash grant 10 Yr Amort_for deferral_102809 4 2" xfId="26640"/>
    <cellStyle name="_Recon to Darrin's 5.11.05 proforma_(C) WHE Proforma with ITC cash grant 10 Yr Amort_for deferral_102809 5" xfId="26641"/>
    <cellStyle name="_Recon to Darrin's 5.11.05 proforma_(C) WHE Proforma with ITC cash grant 10 Yr Amort_for deferral_102809 6" xfId="7720"/>
    <cellStyle name="_Recon to Darrin's 5.11.05 proforma_(C) WHE Proforma with ITC cash grant 10 Yr Amort_for deferral_102809_16.07E Wild Horse Wind Expansionwrkingfile" xfId="1901"/>
    <cellStyle name="_Recon to Darrin's 5.11.05 proforma_(C) WHE Proforma with ITC cash grant 10 Yr Amort_for deferral_102809_16.07E Wild Horse Wind Expansionwrkingfile 2" xfId="1902"/>
    <cellStyle name="_Recon to Darrin's 5.11.05 proforma_(C) WHE Proforma with ITC cash grant 10 Yr Amort_for deferral_102809_16.07E Wild Horse Wind Expansionwrkingfile 2 2" xfId="5270"/>
    <cellStyle name="_Recon to Darrin's 5.11.05 proforma_(C) WHE Proforma with ITC cash grant 10 Yr Amort_for deferral_102809_16.07E Wild Horse Wind Expansionwrkingfile 2 2 2" xfId="21285"/>
    <cellStyle name="_Recon to Darrin's 5.11.05 proforma_(C) WHE Proforma with ITC cash grant 10 Yr Amort_for deferral_102809_16.07E Wild Horse Wind Expansionwrkingfile 2 2 2 2" xfId="26642"/>
    <cellStyle name="_Recon to Darrin's 5.11.05 proforma_(C) WHE Proforma with ITC cash grant 10 Yr Amort_for deferral_102809_16.07E Wild Horse Wind Expansionwrkingfile 2 2 3" xfId="26643"/>
    <cellStyle name="_Recon to Darrin's 5.11.05 proforma_(C) WHE Proforma with ITC cash grant 10 Yr Amort_for deferral_102809_16.07E Wild Horse Wind Expansionwrkingfile 2 2 4" xfId="7726"/>
    <cellStyle name="_Recon to Darrin's 5.11.05 proforma_(C) WHE Proforma with ITC cash grant 10 Yr Amort_for deferral_102809_16.07E Wild Horse Wind Expansionwrkingfile 2 3" xfId="16934"/>
    <cellStyle name="_Recon to Darrin's 5.11.05 proforma_(C) WHE Proforma with ITC cash grant 10 Yr Amort_for deferral_102809_16.07E Wild Horse Wind Expansionwrkingfile 2 3 2" xfId="26644"/>
    <cellStyle name="_Recon to Darrin's 5.11.05 proforma_(C) WHE Proforma with ITC cash grant 10 Yr Amort_for deferral_102809_16.07E Wild Horse Wind Expansionwrkingfile 2 4" xfId="26645"/>
    <cellStyle name="_Recon to Darrin's 5.11.05 proforma_(C) WHE Proforma with ITC cash grant 10 Yr Amort_for deferral_102809_16.07E Wild Horse Wind Expansionwrkingfile 2 5" xfId="7725"/>
    <cellStyle name="_Recon to Darrin's 5.11.05 proforma_(C) WHE Proforma with ITC cash grant 10 Yr Amort_for deferral_102809_16.07E Wild Horse Wind Expansionwrkingfile 3" xfId="5269"/>
    <cellStyle name="_Recon to Darrin's 5.11.05 proforma_(C) WHE Proforma with ITC cash grant 10 Yr Amort_for deferral_102809_16.07E Wild Horse Wind Expansionwrkingfile 3 2" xfId="21286"/>
    <cellStyle name="_Recon to Darrin's 5.11.05 proforma_(C) WHE Proforma with ITC cash grant 10 Yr Amort_for deferral_102809_16.07E Wild Horse Wind Expansionwrkingfile 3 2 2" xfId="26646"/>
    <cellStyle name="_Recon to Darrin's 5.11.05 proforma_(C) WHE Proforma with ITC cash grant 10 Yr Amort_for deferral_102809_16.07E Wild Horse Wind Expansionwrkingfile 3 3" xfId="26647"/>
    <cellStyle name="_Recon to Darrin's 5.11.05 proforma_(C) WHE Proforma with ITC cash grant 10 Yr Amort_for deferral_102809_16.07E Wild Horse Wind Expansionwrkingfile 3 4" xfId="7727"/>
    <cellStyle name="_Recon to Darrin's 5.11.05 proforma_(C) WHE Proforma with ITC cash grant 10 Yr Amort_for deferral_102809_16.07E Wild Horse Wind Expansionwrkingfile 4" xfId="16933"/>
    <cellStyle name="_Recon to Darrin's 5.11.05 proforma_(C) WHE Proforma with ITC cash grant 10 Yr Amort_for deferral_102809_16.07E Wild Horse Wind Expansionwrkingfile 4 2" xfId="26648"/>
    <cellStyle name="_Recon to Darrin's 5.11.05 proforma_(C) WHE Proforma with ITC cash grant 10 Yr Amort_for deferral_102809_16.07E Wild Horse Wind Expansionwrkingfile 5" xfId="7724"/>
    <cellStyle name="_Recon to Darrin's 5.11.05 proforma_(C) WHE Proforma with ITC cash grant 10 Yr Amort_for deferral_102809_16.07E Wild Horse Wind Expansionwrkingfile SF" xfId="1903"/>
    <cellStyle name="_Recon to Darrin's 5.11.05 proforma_(C) WHE Proforma with ITC cash grant 10 Yr Amort_for deferral_102809_16.07E Wild Horse Wind Expansionwrkingfile SF 2" xfId="1904"/>
    <cellStyle name="_Recon to Darrin's 5.11.05 proforma_(C) WHE Proforma with ITC cash grant 10 Yr Amort_for deferral_102809_16.07E Wild Horse Wind Expansionwrkingfile SF 2 2" xfId="5272"/>
    <cellStyle name="_Recon to Darrin's 5.11.05 proforma_(C) WHE Proforma with ITC cash grant 10 Yr Amort_for deferral_102809_16.07E Wild Horse Wind Expansionwrkingfile SF 2 2 2" xfId="21287"/>
    <cellStyle name="_Recon to Darrin's 5.11.05 proforma_(C) WHE Proforma with ITC cash grant 10 Yr Amort_for deferral_102809_16.07E Wild Horse Wind Expansionwrkingfile SF 2 2 2 2" xfId="26649"/>
    <cellStyle name="_Recon to Darrin's 5.11.05 proforma_(C) WHE Proforma with ITC cash grant 10 Yr Amort_for deferral_102809_16.07E Wild Horse Wind Expansionwrkingfile SF 2 2 3" xfId="7730"/>
    <cellStyle name="_Recon to Darrin's 5.11.05 proforma_(C) WHE Proforma with ITC cash grant 10 Yr Amort_for deferral_102809_16.07E Wild Horse Wind Expansionwrkingfile SF 2 3" xfId="16936"/>
    <cellStyle name="_Recon to Darrin's 5.11.05 proforma_(C) WHE Proforma with ITC cash grant 10 Yr Amort_for deferral_102809_16.07E Wild Horse Wind Expansionwrkingfile SF 2 3 2" xfId="26650"/>
    <cellStyle name="_Recon to Darrin's 5.11.05 proforma_(C) WHE Proforma with ITC cash grant 10 Yr Amort_for deferral_102809_16.07E Wild Horse Wind Expansionwrkingfile SF 2 4" xfId="26651"/>
    <cellStyle name="_Recon to Darrin's 5.11.05 proforma_(C) WHE Proforma with ITC cash grant 10 Yr Amort_for deferral_102809_16.07E Wild Horse Wind Expansionwrkingfile SF 2 4 2" xfId="26652"/>
    <cellStyle name="_Recon to Darrin's 5.11.05 proforma_(C) WHE Proforma with ITC cash grant 10 Yr Amort_for deferral_102809_16.07E Wild Horse Wind Expansionwrkingfile SF 2 5" xfId="7729"/>
    <cellStyle name="_Recon to Darrin's 5.11.05 proforma_(C) WHE Proforma with ITC cash grant 10 Yr Amort_for deferral_102809_16.07E Wild Horse Wind Expansionwrkingfile SF 3" xfId="5271"/>
    <cellStyle name="_Recon to Darrin's 5.11.05 proforma_(C) WHE Proforma with ITC cash grant 10 Yr Amort_for deferral_102809_16.07E Wild Horse Wind Expansionwrkingfile SF 3 2" xfId="21288"/>
    <cellStyle name="_Recon to Darrin's 5.11.05 proforma_(C) WHE Proforma with ITC cash grant 10 Yr Amort_for deferral_102809_16.07E Wild Horse Wind Expansionwrkingfile SF 3 2 2" xfId="26653"/>
    <cellStyle name="_Recon to Darrin's 5.11.05 proforma_(C) WHE Proforma with ITC cash grant 10 Yr Amort_for deferral_102809_16.07E Wild Horse Wind Expansionwrkingfile SF 3 3" xfId="26654"/>
    <cellStyle name="_Recon to Darrin's 5.11.05 proforma_(C) WHE Proforma with ITC cash grant 10 Yr Amort_for deferral_102809_16.07E Wild Horse Wind Expansionwrkingfile SF 3 4" xfId="7731"/>
    <cellStyle name="_Recon to Darrin's 5.11.05 proforma_(C) WHE Proforma with ITC cash grant 10 Yr Amort_for deferral_102809_16.07E Wild Horse Wind Expansionwrkingfile SF 4" xfId="16935"/>
    <cellStyle name="_Recon to Darrin's 5.11.05 proforma_(C) WHE Proforma with ITC cash grant 10 Yr Amort_for deferral_102809_16.07E Wild Horse Wind Expansionwrkingfile SF 4 2" xfId="26655"/>
    <cellStyle name="_Recon to Darrin's 5.11.05 proforma_(C) WHE Proforma with ITC cash grant 10 Yr Amort_for deferral_102809_16.07E Wild Horse Wind Expansionwrkingfile SF 4 2 2" xfId="26656"/>
    <cellStyle name="_Recon to Darrin's 5.11.05 proforma_(C) WHE Proforma with ITC cash grant 10 Yr Amort_for deferral_102809_16.07E Wild Horse Wind Expansionwrkingfile SF 4 3" xfId="26657"/>
    <cellStyle name="_Recon to Darrin's 5.11.05 proforma_(C) WHE Proforma with ITC cash grant 10 Yr Amort_for deferral_102809_16.07E Wild Horse Wind Expansionwrkingfile SF 5" xfId="26658"/>
    <cellStyle name="_Recon to Darrin's 5.11.05 proforma_(C) WHE Proforma with ITC cash grant 10 Yr Amort_for deferral_102809_16.07E Wild Horse Wind Expansionwrkingfile SF 5 2" xfId="26659"/>
    <cellStyle name="_Recon to Darrin's 5.11.05 proforma_(C) WHE Proforma with ITC cash grant 10 Yr Amort_for deferral_102809_16.07E Wild Horse Wind Expansionwrkingfile SF 6" xfId="26660"/>
    <cellStyle name="_Recon to Darrin's 5.11.05 proforma_(C) WHE Proforma with ITC cash grant 10 Yr Amort_for deferral_102809_16.07E Wild Horse Wind Expansionwrkingfile SF 6 2" xfId="26661"/>
    <cellStyle name="_Recon to Darrin's 5.11.05 proforma_(C) WHE Proforma with ITC cash grant 10 Yr Amort_for deferral_102809_16.07E Wild Horse Wind Expansionwrkingfile SF 7" xfId="7728"/>
    <cellStyle name="_Recon to Darrin's 5.11.05 proforma_(C) WHE Proforma with ITC cash grant 10 Yr Amort_for deferral_102809_16.07E Wild Horse Wind Expansionwrkingfile SF_DEM-WP(C) ENERG10C--ctn Mid-C_042010 2010GRC" xfId="12936"/>
    <cellStyle name="_Recon to Darrin's 5.11.05 proforma_(C) WHE Proforma with ITC cash grant 10 Yr Amort_for deferral_102809_16.07E Wild Horse Wind Expansionwrkingfile SF_DEM-WP(C) ENERG10C--ctn Mid-C_042010 2010GRC 2" xfId="41589"/>
    <cellStyle name="_Recon to Darrin's 5.11.05 proforma_(C) WHE Proforma with ITC cash grant 10 Yr Amort_for deferral_102809_16.07E Wild Horse Wind Expansionwrkingfile_DEM-WP(C) ENERG10C--ctn Mid-C_042010 2010GRC" xfId="12937"/>
    <cellStyle name="_Recon to Darrin's 5.11.05 proforma_(C) WHE Proforma with ITC cash grant 10 Yr Amort_for deferral_102809_16.07E Wild Horse Wind Expansionwrkingfile_DEM-WP(C) ENERG10C--ctn Mid-C_042010 2010GRC 2" xfId="41590"/>
    <cellStyle name="_Recon to Darrin's 5.11.05 proforma_(C) WHE Proforma with ITC cash grant 10 Yr Amort_for deferral_102809_16.37E Wild Horse Expansion DeferralRevwrkingfile SF" xfId="1905"/>
    <cellStyle name="_Recon to Darrin's 5.11.05 proforma_(C) WHE Proforma with ITC cash grant 10 Yr Amort_for deferral_102809_16.37E Wild Horse Expansion DeferralRevwrkingfile SF 2" xfId="1906"/>
    <cellStyle name="_Recon to Darrin's 5.11.05 proforma_(C) WHE Proforma with ITC cash grant 10 Yr Amort_for deferral_102809_16.37E Wild Horse Expansion DeferralRevwrkingfile SF 2 2" xfId="5274"/>
    <cellStyle name="_Recon to Darrin's 5.11.05 proforma_(C) WHE Proforma with ITC cash grant 10 Yr Amort_for deferral_102809_16.37E Wild Horse Expansion DeferralRevwrkingfile SF 2 2 2" xfId="21289"/>
    <cellStyle name="_Recon to Darrin's 5.11.05 proforma_(C) WHE Proforma with ITC cash grant 10 Yr Amort_for deferral_102809_16.37E Wild Horse Expansion DeferralRevwrkingfile SF 2 2 2 2" xfId="26662"/>
    <cellStyle name="_Recon to Darrin's 5.11.05 proforma_(C) WHE Proforma with ITC cash grant 10 Yr Amort_for deferral_102809_16.37E Wild Horse Expansion DeferralRevwrkingfile SF 2 2 3" xfId="7734"/>
    <cellStyle name="_Recon to Darrin's 5.11.05 proforma_(C) WHE Proforma with ITC cash grant 10 Yr Amort_for deferral_102809_16.37E Wild Horse Expansion DeferralRevwrkingfile SF 2 3" xfId="16938"/>
    <cellStyle name="_Recon to Darrin's 5.11.05 proforma_(C) WHE Proforma with ITC cash grant 10 Yr Amort_for deferral_102809_16.37E Wild Horse Expansion DeferralRevwrkingfile SF 2 3 2" xfId="26663"/>
    <cellStyle name="_Recon to Darrin's 5.11.05 proforma_(C) WHE Proforma with ITC cash grant 10 Yr Amort_for deferral_102809_16.37E Wild Horse Expansion DeferralRevwrkingfile SF 2 4" xfId="26664"/>
    <cellStyle name="_Recon to Darrin's 5.11.05 proforma_(C) WHE Proforma with ITC cash grant 10 Yr Amort_for deferral_102809_16.37E Wild Horse Expansion DeferralRevwrkingfile SF 2 4 2" xfId="26665"/>
    <cellStyle name="_Recon to Darrin's 5.11.05 proforma_(C) WHE Proforma with ITC cash grant 10 Yr Amort_for deferral_102809_16.37E Wild Horse Expansion DeferralRevwrkingfile SF 2 5" xfId="7733"/>
    <cellStyle name="_Recon to Darrin's 5.11.05 proforma_(C) WHE Proforma with ITC cash grant 10 Yr Amort_for deferral_102809_16.37E Wild Horse Expansion DeferralRevwrkingfile SF 3" xfId="5273"/>
    <cellStyle name="_Recon to Darrin's 5.11.05 proforma_(C) WHE Proforma with ITC cash grant 10 Yr Amort_for deferral_102809_16.37E Wild Horse Expansion DeferralRevwrkingfile SF 3 2" xfId="21290"/>
    <cellStyle name="_Recon to Darrin's 5.11.05 proforma_(C) WHE Proforma with ITC cash grant 10 Yr Amort_for deferral_102809_16.37E Wild Horse Expansion DeferralRevwrkingfile SF 3 2 2" xfId="26666"/>
    <cellStyle name="_Recon to Darrin's 5.11.05 proforma_(C) WHE Proforma with ITC cash grant 10 Yr Amort_for deferral_102809_16.37E Wild Horse Expansion DeferralRevwrkingfile SF 3 3" xfId="26667"/>
    <cellStyle name="_Recon to Darrin's 5.11.05 proforma_(C) WHE Proforma with ITC cash grant 10 Yr Amort_for deferral_102809_16.37E Wild Horse Expansion DeferralRevwrkingfile SF 3 4" xfId="7735"/>
    <cellStyle name="_Recon to Darrin's 5.11.05 proforma_(C) WHE Proforma with ITC cash grant 10 Yr Amort_for deferral_102809_16.37E Wild Horse Expansion DeferralRevwrkingfile SF 4" xfId="16937"/>
    <cellStyle name="_Recon to Darrin's 5.11.05 proforma_(C) WHE Proforma with ITC cash grant 10 Yr Amort_for deferral_102809_16.37E Wild Horse Expansion DeferralRevwrkingfile SF 4 2" xfId="26668"/>
    <cellStyle name="_Recon to Darrin's 5.11.05 proforma_(C) WHE Proforma with ITC cash grant 10 Yr Amort_for deferral_102809_16.37E Wild Horse Expansion DeferralRevwrkingfile SF 4 2 2" xfId="26669"/>
    <cellStyle name="_Recon to Darrin's 5.11.05 proforma_(C) WHE Proforma with ITC cash grant 10 Yr Amort_for deferral_102809_16.37E Wild Horse Expansion DeferralRevwrkingfile SF 4 3" xfId="26670"/>
    <cellStyle name="_Recon to Darrin's 5.11.05 proforma_(C) WHE Proforma with ITC cash grant 10 Yr Amort_for deferral_102809_16.37E Wild Horse Expansion DeferralRevwrkingfile SF 5" xfId="26671"/>
    <cellStyle name="_Recon to Darrin's 5.11.05 proforma_(C) WHE Proforma with ITC cash grant 10 Yr Amort_for deferral_102809_16.37E Wild Horse Expansion DeferralRevwrkingfile SF 5 2" xfId="26672"/>
    <cellStyle name="_Recon to Darrin's 5.11.05 proforma_(C) WHE Proforma with ITC cash grant 10 Yr Amort_for deferral_102809_16.37E Wild Horse Expansion DeferralRevwrkingfile SF 6" xfId="26673"/>
    <cellStyle name="_Recon to Darrin's 5.11.05 proforma_(C) WHE Proforma with ITC cash grant 10 Yr Amort_for deferral_102809_16.37E Wild Horse Expansion DeferralRevwrkingfile SF 6 2" xfId="26674"/>
    <cellStyle name="_Recon to Darrin's 5.11.05 proforma_(C) WHE Proforma with ITC cash grant 10 Yr Amort_for deferral_102809_16.37E Wild Horse Expansion DeferralRevwrkingfile SF 7" xfId="7732"/>
    <cellStyle name="_Recon to Darrin's 5.11.05 proforma_(C) WHE Proforma with ITC cash grant 10 Yr Amort_for deferral_102809_16.37E Wild Horse Expansion DeferralRevwrkingfile SF_DEM-WP(C) ENERG10C--ctn Mid-C_042010 2010GRC" xfId="12938"/>
    <cellStyle name="_Recon to Darrin's 5.11.05 proforma_(C) WHE Proforma with ITC cash grant 10 Yr Amort_for deferral_102809_16.37E Wild Horse Expansion DeferralRevwrkingfile SF_DEM-WP(C) ENERG10C--ctn Mid-C_042010 2010GRC 2" xfId="41591"/>
    <cellStyle name="_Recon to Darrin's 5.11.05 proforma_(C) WHE Proforma with ITC cash grant 10 Yr Amort_for deferral_102809_DEM-WP(C) ENERG10C--ctn Mid-C_042010 2010GRC" xfId="12939"/>
    <cellStyle name="_Recon to Darrin's 5.11.05 proforma_(C) WHE Proforma with ITC cash grant 10 Yr Amort_for deferral_102809_DEM-WP(C) ENERG10C--ctn Mid-C_042010 2010GRC 2" xfId="41592"/>
    <cellStyle name="_Recon to Darrin's 5.11.05 proforma_(C) WHE Proforma with ITC cash grant 10 Yr Amort_for rebuttal_120709" xfId="1907"/>
    <cellStyle name="_Recon to Darrin's 5.11.05 proforma_(C) WHE Proforma with ITC cash grant 10 Yr Amort_for rebuttal_120709 2" xfId="1908"/>
    <cellStyle name="_Recon to Darrin's 5.11.05 proforma_(C) WHE Proforma with ITC cash grant 10 Yr Amort_for rebuttal_120709 2 2" xfId="5275"/>
    <cellStyle name="_Recon to Darrin's 5.11.05 proforma_(C) WHE Proforma with ITC cash grant 10 Yr Amort_for rebuttal_120709 2 2 2" xfId="21291"/>
    <cellStyle name="_Recon to Darrin's 5.11.05 proforma_(C) WHE Proforma with ITC cash grant 10 Yr Amort_for rebuttal_120709 2 2 2 2" xfId="26675"/>
    <cellStyle name="_Recon to Darrin's 5.11.05 proforma_(C) WHE Proforma with ITC cash grant 10 Yr Amort_for rebuttal_120709 2 2 3" xfId="7738"/>
    <cellStyle name="_Recon to Darrin's 5.11.05 proforma_(C) WHE Proforma with ITC cash grant 10 Yr Amort_for rebuttal_120709 2 3" xfId="16940"/>
    <cellStyle name="_Recon to Darrin's 5.11.05 proforma_(C) WHE Proforma with ITC cash grant 10 Yr Amort_for rebuttal_120709 2 3 2" xfId="26676"/>
    <cellStyle name="_Recon to Darrin's 5.11.05 proforma_(C) WHE Proforma with ITC cash grant 10 Yr Amort_for rebuttal_120709 2 4" xfId="26677"/>
    <cellStyle name="_Recon to Darrin's 5.11.05 proforma_(C) WHE Proforma with ITC cash grant 10 Yr Amort_for rebuttal_120709 2 4 2" xfId="26678"/>
    <cellStyle name="_Recon to Darrin's 5.11.05 proforma_(C) WHE Proforma with ITC cash grant 10 Yr Amort_for rebuttal_120709 2 5" xfId="7737"/>
    <cellStyle name="_Recon to Darrin's 5.11.05 proforma_(C) WHE Proforma with ITC cash grant 10 Yr Amort_for rebuttal_120709 3" xfId="7739"/>
    <cellStyle name="_Recon to Darrin's 5.11.05 proforma_(C) WHE Proforma with ITC cash grant 10 Yr Amort_for rebuttal_120709 3 2" xfId="21292"/>
    <cellStyle name="_Recon to Darrin's 5.11.05 proforma_(C) WHE Proforma with ITC cash grant 10 Yr Amort_for rebuttal_120709 3 2 2" xfId="26679"/>
    <cellStyle name="_Recon to Darrin's 5.11.05 proforma_(C) WHE Proforma with ITC cash grant 10 Yr Amort_for rebuttal_120709 3 3" xfId="26680"/>
    <cellStyle name="_Recon to Darrin's 5.11.05 proforma_(C) WHE Proforma with ITC cash grant 10 Yr Amort_for rebuttal_120709 4" xfId="16939"/>
    <cellStyle name="_Recon to Darrin's 5.11.05 proforma_(C) WHE Proforma with ITC cash grant 10 Yr Amort_for rebuttal_120709 4 2" xfId="26681"/>
    <cellStyle name="_Recon to Darrin's 5.11.05 proforma_(C) WHE Proforma with ITC cash grant 10 Yr Amort_for rebuttal_120709 4 2 2" xfId="26682"/>
    <cellStyle name="_Recon to Darrin's 5.11.05 proforma_(C) WHE Proforma with ITC cash grant 10 Yr Amort_for rebuttal_120709 4 3" xfId="26683"/>
    <cellStyle name="_Recon to Darrin's 5.11.05 proforma_(C) WHE Proforma with ITC cash grant 10 Yr Amort_for rebuttal_120709 5" xfId="26684"/>
    <cellStyle name="_Recon to Darrin's 5.11.05 proforma_(C) WHE Proforma with ITC cash grant 10 Yr Amort_for rebuttal_120709 5 2" xfId="26685"/>
    <cellStyle name="_Recon to Darrin's 5.11.05 proforma_(C) WHE Proforma with ITC cash grant 10 Yr Amort_for rebuttal_120709 6" xfId="26686"/>
    <cellStyle name="_Recon to Darrin's 5.11.05 proforma_(C) WHE Proforma with ITC cash grant 10 Yr Amort_for rebuttal_120709 6 2" xfId="26687"/>
    <cellStyle name="_Recon to Darrin's 5.11.05 proforma_(C) WHE Proforma with ITC cash grant 10 Yr Amort_for rebuttal_120709 7" xfId="7736"/>
    <cellStyle name="_Recon to Darrin's 5.11.05 proforma_(C) WHE Proforma with ITC cash grant 10 Yr Amort_for rebuttal_120709_DEM-WP(C) ENERG10C--ctn Mid-C_042010 2010GRC" xfId="12940"/>
    <cellStyle name="_Recon to Darrin's 5.11.05 proforma_(C) WHE Proforma with ITC cash grant 10 Yr Amort_for rebuttal_120709_DEM-WP(C) ENERG10C--ctn Mid-C_042010 2010GRC 2" xfId="41593"/>
    <cellStyle name="_Recon to Darrin's 5.11.05 proforma_04.07E Wild Horse Wind Expansion" xfId="1909"/>
    <cellStyle name="_Recon to Darrin's 5.11.05 proforma_04.07E Wild Horse Wind Expansion 2" xfId="1910"/>
    <cellStyle name="_Recon to Darrin's 5.11.05 proforma_04.07E Wild Horse Wind Expansion 2 2" xfId="5277"/>
    <cellStyle name="_Recon to Darrin's 5.11.05 proforma_04.07E Wild Horse Wind Expansion 2 2 2" xfId="21293"/>
    <cellStyle name="_Recon to Darrin's 5.11.05 proforma_04.07E Wild Horse Wind Expansion 2 2 2 2" xfId="26688"/>
    <cellStyle name="_Recon to Darrin's 5.11.05 proforma_04.07E Wild Horse Wind Expansion 2 2 3" xfId="7742"/>
    <cellStyle name="_Recon to Darrin's 5.11.05 proforma_04.07E Wild Horse Wind Expansion 2 3" xfId="16942"/>
    <cellStyle name="_Recon to Darrin's 5.11.05 proforma_04.07E Wild Horse Wind Expansion 2 3 2" xfId="26689"/>
    <cellStyle name="_Recon to Darrin's 5.11.05 proforma_04.07E Wild Horse Wind Expansion 2 4" xfId="26690"/>
    <cellStyle name="_Recon to Darrin's 5.11.05 proforma_04.07E Wild Horse Wind Expansion 2 4 2" xfId="26691"/>
    <cellStyle name="_Recon to Darrin's 5.11.05 proforma_04.07E Wild Horse Wind Expansion 2 5" xfId="7741"/>
    <cellStyle name="_Recon to Darrin's 5.11.05 proforma_04.07E Wild Horse Wind Expansion 3" xfId="5276"/>
    <cellStyle name="_Recon to Darrin's 5.11.05 proforma_04.07E Wild Horse Wind Expansion 3 2" xfId="21294"/>
    <cellStyle name="_Recon to Darrin's 5.11.05 proforma_04.07E Wild Horse Wind Expansion 3 2 2" xfId="26692"/>
    <cellStyle name="_Recon to Darrin's 5.11.05 proforma_04.07E Wild Horse Wind Expansion 3 3" xfId="26693"/>
    <cellStyle name="_Recon to Darrin's 5.11.05 proforma_04.07E Wild Horse Wind Expansion 3 4" xfId="7743"/>
    <cellStyle name="_Recon to Darrin's 5.11.05 proforma_04.07E Wild Horse Wind Expansion 4" xfId="16941"/>
    <cellStyle name="_Recon to Darrin's 5.11.05 proforma_04.07E Wild Horse Wind Expansion 4 2" xfId="26694"/>
    <cellStyle name="_Recon to Darrin's 5.11.05 proforma_04.07E Wild Horse Wind Expansion 4 2 2" xfId="26695"/>
    <cellStyle name="_Recon to Darrin's 5.11.05 proforma_04.07E Wild Horse Wind Expansion 4 3" xfId="26696"/>
    <cellStyle name="_Recon to Darrin's 5.11.05 proforma_04.07E Wild Horse Wind Expansion 5" xfId="26697"/>
    <cellStyle name="_Recon to Darrin's 5.11.05 proforma_04.07E Wild Horse Wind Expansion 5 2" xfId="26698"/>
    <cellStyle name="_Recon to Darrin's 5.11.05 proforma_04.07E Wild Horse Wind Expansion 6" xfId="26699"/>
    <cellStyle name="_Recon to Darrin's 5.11.05 proforma_04.07E Wild Horse Wind Expansion 6 2" xfId="26700"/>
    <cellStyle name="_Recon to Darrin's 5.11.05 proforma_04.07E Wild Horse Wind Expansion 7" xfId="7740"/>
    <cellStyle name="_Recon to Darrin's 5.11.05 proforma_04.07E Wild Horse Wind Expansion_16.07E Wild Horse Wind Expansionwrkingfile" xfId="1911"/>
    <cellStyle name="_Recon to Darrin's 5.11.05 proforma_04.07E Wild Horse Wind Expansion_16.07E Wild Horse Wind Expansionwrkingfile 2" xfId="1912"/>
    <cellStyle name="_Recon to Darrin's 5.11.05 proforma_04.07E Wild Horse Wind Expansion_16.07E Wild Horse Wind Expansionwrkingfile 2 2" xfId="5279"/>
    <cellStyle name="_Recon to Darrin's 5.11.05 proforma_04.07E Wild Horse Wind Expansion_16.07E Wild Horse Wind Expansionwrkingfile 2 2 2" xfId="21295"/>
    <cellStyle name="_Recon to Darrin's 5.11.05 proforma_04.07E Wild Horse Wind Expansion_16.07E Wild Horse Wind Expansionwrkingfile 2 2 2 2" xfId="26701"/>
    <cellStyle name="_Recon to Darrin's 5.11.05 proforma_04.07E Wild Horse Wind Expansion_16.07E Wild Horse Wind Expansionwrkingfile 2 2 3" xfId="7746"/>
    <cellStyle name="_Recon to Darrin's 5.11.05 proforma_04.07E Wild Horse Wind Expansion_16.07E Wild Horse Wind Expansionwrkingfile 2 3" xfId="16944"/>
    <cellStyle name="_Recon to Darrin's 5.11.05 proforma_04.07E Wild Horse Wind Expansion_16.07E Wild Horse Wind Expansionwrkingfile 2 3 2" xfId="26702"/>
    <cellStyle name="_Recon to Darrin's 5.11.05 proforma_04.07E Wild Horse Wind Expansion_16.07E Wild Horse Wind Expansionwrkingfile 2 4" xfId="26703"/>
    <cellStyle name="_Recon to Darrin's 5.11.05 proforma_04.07E Wild Horse Wind Expansion_16.07E Wild Horse Wind Expansionwrkingfile 2 4 2" xfId="26704"/>
    <cellStyle name="_Recon to Darrin's 5.11.05 proforma_04.07E Wild Horse Wind Expansion_16.07E Wild Horse Wind Expansionwrkingfile 2 5" xfId="7745"/>
    <cellStyle name="_Recon to Darrin's 5.11.05 proforma_04.07E Wild Horse Wind Expansion_16.07E Wild Horse Wind Expansionwrkingfile 3" xfId="5278"/>
    <cellStyle name="_Recon to Darrin's 5.11.05 proforma_04.07E Wild Horse Wind Expansion_16.07E Wild Horse Wind Expansionwrkingfile 3 2" xfId="21296"/>
    <cellStyle name="_Recon to Darrin's 5.11.05 proforma_04.07E Wild Horse Wind Expansion_16.07E Wild Horse Wind Expansionwrkingfile 3 2 2" xfId="26705"/>
    <cellStyle name="_Recon to Darrin's 5.11.05 proforma_04.07E Wild Horse Wind Expansion_16.07E Wild Horse Wind Expansionwrkingfile 3 3" xfId="26706"/>
    <cellStyle name="_Recon to Darrin's 5.11.05 proforma_04.07E Wild Horse Wind Expansion_16.07E Wild Horse Wind Expansionwrkingfile 3 4" xfId="7747"/>
    <cellStyle name="_Recon to Darrin's 5.11.05 proforma_04.07E Wild Horse Wind Expansion_16.07E Wild Horse Wind Expansionwrkingfile 4" xfId="16943"/>
    <cellStyle name="_Recon to Darrin's 5.11.05 proforma_04.07E Wild Horse Wind Expansion_16.07E Wild Horse Wind Expansionwrkingfile 4 2" xfId="26707"/>
    <cellStyle name="_Recon to Darrin's 5.11.05 proforma_04.07E Wild Horse Wind Expansion_16.07E Wild Horse Wind Expansionwrkingfile 4 2 2" xfId="26708"/>
    <cellStyle name="_Recon to Darrin's 5.11.05 proforma_04.07E Wild Horse Wind Expansion_16.07E Wild Horse Wind Expansionwrkingfile 4 3" xfId="26709"/>
    <cellStyle name="_Recon to Darrin's 5.11.05 proforma_04.07E Wild Horse Wind Expansion_16.07E Wild Horse Wind Expansionwrkingfile 5" xfId="26710"/>
    <cellStyle name="_Recon to Darrin's 5.11.05 proforma_04.07E Wild Horse Wind Expansion_16.07E Wild Horse Wind Expansionwrkingfile 5 2" xfId="26711"/>
    <cellStyle name="_Recon to Darrin's 5.11.05 proforma_04.07E Wild Horse Wind Expansion_16.07E Wild Horse Wind Expansionwrkingfile 6" xfId="26712"/>
    <cellStyle name="_Recon to Darrin's 5.11.05 proforma_04.07E Wild Horse Wind Expansion_16.07E Wild Horse Wind Expansionwrkingfile 6 2" xfId="26713"/>
    <cellStyle name="_Recon to Darrin's 5.11.05 proforma_04.07E Wild Horse Wind Expansion_16.07E Wild Horse Wind Expansionwrkingfile 7" xfId="7744"/>
    <cellStyle name="_Recon to Darrin's 5.11.05 proforma_04.07E Wild Horse Wind Expansion_16.07E Wild Horse Wind Expansionwrkingfile SF" xfId="1913"/>
    <cellStyle name="_Recon to Darrin's 5.11.05 proforma_04.07E Wild Horse Wind Expansion_16.07E Wild Horse Wind Expansionwrkingfile SF 2" xfId="1914"/>
    <cellStyle name="_Recon to Darrin's 5.11.05 proforma_04.07E Wild Horse Wind Expansion_16.07E Wild Horse Wind Expansionwrkingfile SF 2 2" xfId="5281"/>
    <cellStyle name="_Recon to Darrin's 5.11.05 proforma_04.07E Wild Horse Wind Expansion_16.07E Wild Horse Wind Expansionwrkingfile SF 2 2 2" xfId="21297"/>
    <cellStyle name="_Recon to Darrin's 5.11.05 proforma_04.07E Wild Horse Wind Expansion_16.07E Wild Horse Wind Expansionwrkingfile SF 2 2 2 2" xfId="26714"/>
    <cellStyle name="_Recon to Darrin's 5.11.05 proforma_04.07E Wild Horse Wind Expansion_16.07E Wild Horse Wind Expansionwrkingfile SF 2 2 3" xfId="7750"/>
    <cellStyle name="_Recon to Darrin's 5.11.05 proforma_04.07E Wild Horse Wind Expansion_16.07E Wild Horse Wind Expansionwrkingfile SF 2 3" xfId="16946"/>
    <cellStyle name="_Recon to Darrin's 5.11.05 proforma_04.07E Wild Horse Wind Expansion_16.07E Wild Horse Wind Expansionwrkingfile SF 2 3 2" xfId="26715"/>
    <cellStyle name="_Recon to Darrin's 5.11.05 proforma_04.07E Wild Horse Wind Expansion_16.07E Wild Horse Wind Expansionwrkingfile SF 2 4" xfId="26716"/>
    <cellStyle name="_Recon to Darrin's 5.11.05 proforma_04.07E Wild Horse Wind Expansion_16.07E Wild Horse Wind Expansionwrkingfile SF 2 4 2" xfId="26717"/>
    <cellStyle name="_Recon to Darrin's 5.11.05 proforma_04.07E Wild Horse Wind Expansion_16.07E Wild Horse Wind Expansionwrkingfile SF 2 5" xfId="7749"/>
    <cellStyle name="_Recon to Darrin's 5.11.05 proforma_04.07E Wild Horse Wind Expansion_16.07E Wild Horse Wind Expansionwrkingfile SF 3" xfId="5280"/>
    <cellStyle name="_Recon to Darrin's 5.11.05 proforma_04.07E Wild Horse Wind Expansion_16.07E Wild Horse Wind Expansionwrkingfile SF 3 2" xfId="21298"/>
    <cellStyle name="_Recon to Darrin's 5.11.05 proforma_04.07E Wild Horse Wind Expansion_16.07E Wild Horse Wind Expansionwrkingfile SF 3 2 2" xfId="26718"/>
    <cellStyle name="_Recon to Darrin's 5.11.05 proforma_04.07E Wild Horse Wind Expansion_16.07E Wild Horse Wind Expansionwrkingfile SF 3 3" xfId="26719"/>
    <cellStyle name="_Recon to Darrin's 5.11.05 proforma_04.07E Wild Horse Wind Expansion_16.07E Wild Horse Wind Expansionwrkingfile SF 3 4" xfId="7751"/>
    <cellStyle name="_Recon to Darrin's 5.11.05 proforma_04.07E Wild Horse Wind Expansion_16.07E Wild Horse Wind Expansionwrkingfile SF 4" xfId="16945"/>
    <cellStyle name="_Recon to Darrin's 5.11.05 proforma_04.07E Wild Horse Wind Expansion_16.07E Wild Horse Wind Expansionwrkingfile SF 4 2" xfId="26720"/>
    <cellStyle name="_Recon to Darrin's 5.11.05 proforma_04.07E Wild Horse Wind Expansion_16.07E Wild Horse Wind Expansionwrkingfile SF 4 2 2" xfId="26721"/>
    <cellStyle name="_Recon to Darrin's 5.11.05 proforma_04.07E Wild Horse Wind Expansion_16.07E Wild Horse Wind Expansionwrkingfile SF 4 3" xfId="26722"/>
    <cellStyle name="_Recon to Darrin's 5.11.05 proforma_04.07E Wild Horse Wind Expansion_16.07E Wild Horse Wind Expansionwrkingfile SF 5" xfId="26723"/>
    <cellStyle name="_Recon to Darrin's 5.11.05 proforma_04.07E Wild Horse Wind Expansion_16.07E Wild Horse Wind Expansionwrkingfile SF 5 2" xfId="26724"/>
    <cellStyle name="_Recon to Darrin's 5.11.05 proforma_04.07E Wild Horse Wind Expansion_16.07E Wild Horse Wind Expansionwrkingfile SF 6" xfId="26725"/>
    <cellStyle name="_Recon to Darrin's 5.11.05 proforma_04.07E Wild Horse Wind Expansion_16.07E Wild Horse Wind Expansionwrkingfile SF 6 2" xfId="26726"/>
    <cellStyle name="_Recon to Darrin's 5.11.05 proforma_04.07E Wild Horse Wind Expansion_16.07E Wild Horse Wind Expansionwrkingfile SF 7" xfId="7748"/>
    <cellStyle name="_Recon to Darrin's 5.11.05 proforma_04.07E Wild Horse Wind Expansion_16.07E Wild Horse Wind Expansionwrkingfile SF_DEM-WP(C) ENERG10C--ctn Mid-C_042010 2010GRC" xfId="12941"/>
    <cellStyle name="_Recon to Darrin's 5.11.05 proforma_04.07E Wild Horse Wind Expansion_16.07E Wild Horse Wind Expansionwrkingfile SF_DEM-WP(C) ENERG10C--ctn Mid-C_042010 2010GRC 2" xfId="41594"/>
    <cellStyle name="_Recon to Darrin's 5.11.05 proforma_04.07E Wild Horse Wind Expansion_16.07E Wild Horse Wind Expansionwrkingfile_DEM-WP(C) ENERG10C--ctn Mid-C_042010 2010GRC" xfId="12942"/>
    <cellStyle name="_Recon to Darrin's 5.11.05 proforma_04.07E Wild Horse Wind Expansion_16.07E Wild Horse Wind Expansionwrkingfile_DEM-WP(C) ENERG10C--ctn Mid-C_042010 2010GRC 2" xfId="41595"/>
    <cellStyle name="_Recon to Darrin's 5.11.05 proforma_04.07E Wild Horse Wind Expansion_16.37E Wild Horse Expansion DeferralRevwrkingfile SF" xfId="1915"/>
    <cellStyle name="_Recon to Darrin's 5.11.05 proforma_04.07E Wild Horse Wind Expansion_16.37E Wild Horse Expansion DeferralRevwrkingfile SF 2" xfId="1916"/>
    <cellStyle name="_Recon to Darrin's 5.11.05 proforma_04.07E Wild Horse Wind Expansion_16.37E Wild Horse Expansion DeferralRevwrkingfile SF 2 2" xfId="5283"/>
    <cellStyle name="_Recon to Darrin's 5.11.05 proforma_04.07E Wild Horse Wind Expansion_16.37E Wild Horse Expansion DeferralRevwrkingfile SF 2 2 2" xfId="21299"/>
    <cellStyle name="_Recon to Darrin's 5.11.05 proforma_04.07E Wild Horse Wind Expansion_16.37E Wild Horse Expansion DeferralRevwrkingfile SF 2 2 2 2" xfId="26727"/>
    <cellStyle name="_Recon to Darrin's 5.11.05 proforma_04.07E Wild Horse Wind Expansion_16.37E Wild Horse Expansion DeferralRevwrkingfile SF 2 2 3" xfId="7754"/>
    <cellStyle name="_Recon to Darrin's 5.11.05 proforma_04.07E Wild Horse Wind Expansion_16.37E Wild Horse Expansion DeferralRevwrkingfile SF 2 3" xfId="16948"/>
    <cellStyle name="_Recon to Darrin's 5.11.05 proforma_04.07E Wild Horse Wind Expansion_16.37E Wild Horse Expansion DeferralRevwrkingfile SF 2 3 2" xfId="26728"/>
    <cellStyle name="_Recon to Darrin's 5.11.05 proforma_04.07E Wild Horse Wind Expansion_16.37E Wild Horse Expansion DeferralRevwrkingfile SF 2 4" xfId="26729"/>
    <cellStyle name="_Recon to Darrin's 5.11.05 proforma_04.07E Wild Horse Wind Expansion_16.37E Wild Horse Expansion DeferralRevwrkingfile SF 2 4 2" xfId="26730"/>
    <cellStyle name="_Recon to Darrin's 5.11.05 proforma_04.07E Wild Horse Wind Expansion_16.37E Wild Horse Expansion DeferralRevwrkingfile SF 2 5" xfId="7753"/>
    <cellStyle name="_Recon to Darrin's 5.11.05 proforma_04.07E Wild Horse Wind Expansion_16.37E Wild Horse Expansion DeferralRevwrkingfile SF 3" xfId="5282"/>
    <cellStyle name="_Recon to Darrin's 5.11.05 proforma_04.07E Wild Horse Wind Expansion_16.37E Wild Horse Expansion DeferralRevwrkingfile SF 3 2" xfId="21300"/>
    <cellStyle name="_Recon to Darrin's 5.11.05 proforma_04.07E Wild Horse Wind Expansion_16.37E Wild Horse Expansion DeferralRevwrkingfile SF 3 2 2" xfId="26731"/>
    <cellStyle name="_Recon to Darrin's 5.11.05 proforma_04.07E Wild Horse Wind Expansion_16.37E Wild Horse Expansion DeferralRevwrkingfile SF 3 3" xfId="26732"/>
    <cellStyle name="_Recon to Darrin's 5.11.05 proforma_04.07E Wild Horse Wind Expansion_16.37E Wild Horse Expansion DeferralRevwrkingfile SF 3 4" xfId="7755"/>
    <cellStyle name="_Recon to Darrin's 5.11.05 proforma_04.07E Wild Horse Wind Expansion_16.37E Wild Horse Expansion DeferralRevwrkingfile SF 4" xfId="16947"/>
    <cellStyle name="_Recon to Darrin's 5.11.05 proforma_04.07E Wild Horse Wind Expansion_16.37E Wild Horse Expansion DeferralRevwrkingfile SF 4 2" xfId="26733"/>
    <cellStyle name="_Recon to Darrin's 5.11.05 proforma_04.07E Wild Horse Wind Expansion_16.37E Wild Horse Expansion DeferralRevwrkingfile SF 4 2 2" xfId="26734"/>
    <cellStyle name="_Recon to Darrin's 5.11.05 proforma_04.07E Wild Horse Wind Expansion_16.37E Wild Horse Expansion DeferralRevwrkingfile SF 4 3" xfId="26735"/>
    <cellStyle name="_Recon to Darrin's 5.11.05 proforma_04.07E Wild Horse Wind Expansion_16.37E Wild Horse Expansion DeferralRevwrkingfile SF 5" xfId="26736"/>
    <cellStyle name="_Recon to Darrin's 5.11.05 proforma_04.07E Wild Horse Wind Expansion_16.37E Wild Horse Expansion DeferralRevwrkingfile SF 5 2" xfId="26737"/>
    <cellStyle name="_Recon to Darrin's 5.11.05 proforma_04.07E Wild Horse Wind Expansion_16.37E Wild Horse Expansion DeferralRevwrkingfile SF 6" xfId="26738"/>
    <cellStyle name="_Recon to Darrin's 5.11.05 proforma_04.07E Wild Horse Wind Expansion_16.37E Wild Horse Expansion DeferralRevwrkingfile SF 6 2" xfId="26739"/>
    <cellStyle name="_Recon to Darrin's 5.11.05 proforma_04.07E Wild Horse Wind Expansion_16.37E Wild Horse Expansion DeferralRevwrkingfile SF 7" xfId="7752"/>
    <cellStyle name="_Recon to Darrin's 5.11.05 proforma_04.07E Wild Horse Wind Expansion_16.37E Wild Horse Expansion DeferralRevwrkingfile SF_DEM-WP(C) ENERG10C--ctn Mid-C_042010 2010GRC" xfId="12943"/>
    <cellStyle name="_Recon to Darrin's 5.11.05 proforma_04.07E Wild Horse Wind Expansion_16.37E Wild Horse Expansion DeferralRevwrkingfile SF_DEM-WP(C) ENERG10C--ctn Mid-C_042010 2010GRC 2" xfId="41596"/>
    <cellStyle name="_Recon to Darrin's 5.11.05 proforma_04.07E Wild Horse Wind Expansion_DEM-WP(C) ENERG10C--ctn Mid-C_042010 2010GRC" xfId="12944"/>
    <cellStyle name="_Recon to Darrin's 5.11.05 proforma_04.07E Wild Horse Wind Expansion_DEM-WP(C) ENERG10C--ctn Mid-C_042010 2010GRC 2" xfId="41597"/>
    <cellStyle name="_Recon to Darrin's 5.11.05 proforma_16.07E Wild Horse Wind Expansionwrkingfile" xfId="1917"/>
    <cellStyle name="_Recon to Darrin's 5.11.05 proforma_16.07E Wild Horse Wind Expansionwrkingfile 2" xfId="1918"/>
    <cellStyle name="_Recon to Darrin's 5.11.05 proforma_16.07E Wild Horse Wind Expansionwrkingfile 2 2" xfId="5285"/>
    <cellStyle name="_Recon to Darrin's 5.11.05 proforma_16.07E Wild Horse Wind Expansionwrkingfile 2 2 2" xfId="21301"/>
    <cellStyle name="_Recon to Darrin's 5.11.05 proforma_16.07E Wild Horse Wind Expansionwrkingfile 2 2 2 2" xfId="26740"/>
    <cellStyle name="_Recon to Darrin's 5.11.05 proforma_16.07E Wild Horse Wind Expansionwrkingfile 2 2 3" xfId="7758"/>
    <cellStyle name="_Recon to Darrin's 5.11.05 proforma_16.07E Wild Horse Wind Expansionwrkingfile 2 3" xfId="16950"/>
    <cellStyle name="_Recon to Darrin's 5.11.05 proforma_16.07E Wild Horse Wind Expansionwrkingfile 2 3 2" xfId="26741"/>
    <cellStyle name="_Recon to Darrin's 5.11.05 proforma_16.07E Wild Horse Wind Expansionwrkingfile 2 4" xfId="26742"/>
    <cellStyle name="_Recon to Darrin's 5.11.05 proforma_16.07E Wild Horse Wind Expansionwrkingfile 2 4 2" xfId="26743"/>
    <cellStyle name="_Recon to Darrin's 5.11.05 proforma_16.07E Wild Horse Wind Expansionwrkingfile 2 5" xfId="7757"/>
    <cellStyle name="_Recon to Darrin's 5.11.05 proforma_16.07E Wild Horse Wind Expansionwrkingfile 3" xfId="5284"/>
    <cellStyle name="_Recon to Darrin's 5.11.05 proforma_16.07E Wild Horse Wind Expansionwrkingfile 3 2" xfId="21302"/>
    <cellStyle name="_Recon to Darrin's 5.11.05 proforma_16.07E Wild Horse Wind Expansionwrkingfile 3 2 2" xfId="26744"/>
    <cellStyle name="_Recon to Darrin's 5.11.05 proforma_16.07E Wild Horse Wind Expansionwrkingfile 3 3" xfId="26745"/>
    <cellStyle name="_Recon to Darrin's 5.11.05 proforma_16.07E Wild Horse Wind Expansionwrkingfile 3 4" xfId="7759"/>
    <cellStyle name="_Recon to Darrin's 5.11.05 proforma_16.07E Wild Horse Wind Expansionwrkingfile 4" xfId="16949"/>
    <cellStyle name="_Recon to Darrin's 5.11.05 proforma_16.07E Wild Horse Wind Expansionwrkingfile 4 2" xfId="26746"/>
    <cellStyle name="_Recon to Darrin's 5.11.05 proforma_16.07E Wild Horse Wind Expansionwrkingfile 4 2 2" xfId="26747"/>
    <cellStyle name="_Recon to Darrin's 5.11.05 proforma_16.07E Wild Horse Wind Expansionwrkingfile 4 3" xfId="26748"/>
    <cellStyle name="_Recon to Darrin's 5.11.05 proforma_16.07E Wild Horse Wind Expansionwrkingfile 5" xfId="26749"/>
    <cellStyle name="_Recon to Darrin's 5.11.05 proforma_16.07E Wild Horse Wind Expansionwrkingfile 5 2" xfId="26750"/>
    <cellStyle name="_Recon to Darrin's 5.11.05 proforma_16.07E Wild Horse Wind Expansionwrkingfile 6" xfId="26751"/>
    <cellStyle name="_Recon to Darrin's 5.11.05 proforma_16.07E Wild Horse Wind Expansionwrkingfile 6 2" xfId="26752"/>
    <cellStyle name="_Recon to Darrin's 5.11.05 proforma_16.07E Wild Horse Wind Expansionwrkingfile 7" xfId="7756"/>
    <cellStyle name="_Recon to Darrin's 5.11.05 proforma_16.07E Wild Horse Wind Expansionwrkingfile SF" xfId="1919"/>
    <cellStyle name="_Recon to Darrin's 5.11.05 proforma_16.07E Wild Horse Wind Expansionwrkingfile SF 2" xfId="1920"/>
    <cellStyle name="_Recon to Darrin's 5.11.05 proforma_16.07E Wild Horse Wind Expansionwrkingfile SF 2 2" xfId="5287"/>
    <cellStyle name="_Recon to Darrin's 5.11.05 proforma_16.07E Wild Horse Wind Expansionwrkingfile SF 2 2 2" xfId="21303"/>
    <cellStyle name="_Recon to Darrin's 5.11.05 proforma_16.07E Wild Horse Wind Expansionwrkingfile SF 2 2 2 2" xfId="26753"/>
    <cellStyle name="_Recon to Darrin's 5.11.05 proforma_16.07E Wild Horse Wind Expansionwrkingfile SF 2 2 3" xfId="7762"/>
    <cellStyle name="_Recon to Darrin's 5.11.05 proforma_16.07E Wild Horse Wind Expansionwrkingfile SF 2 3" xfId="16952"/>
    <cellStyle name="_Recon to Darrin's 5.11.05 proforma_16.07E Wild Horse Wind Expansionwrkingfile SF 2 3 2" xfId="26754"/>
    <cellStyle name="_Recon to Darrin's 5.11.05 proforma_16.07E Wild Horse Wind Expansionwrkingfile SF 2 4" xfId="26755"/>
    <cellStyle name="_Recon to Darrin's 5.11.05 proforma_16.07E Wild Horse Wind Expansionwrkingfile SF 2 4 2" xfId="26756"/>
    <cellStyle name="_Recon to Darrin's 5.11.05 proforma_16.07E Wild Horse Wind Expansionwrkingfile SF 2 5" xfId="7761"/>
    <cellStyle name="_Recon to Darrin's 5.11.05 proforma_16.07E Wild Horse Wind Expansionwrkingfile SF 3" xfId="5286"/>
    <cellStyle name="_Recon to Darrin's 5.11.05 proforma_16.07E Wild Horse Wind Expansionwrkingfile SF 3 2" xfId="21304"/>
    <cellStyle name="_Recon to Darrin's 5.11.05 proforma_16.07E Wild Horse Wind Expansionwrkingfile SF 3 2 2" xfId="26757"/>
    <cellStyle name="_Recon to Darrin's 5.11.05 proforma_16.07E Wild Horse Wind Expansionwrkingfile SF 3 3" xfId="26758"/>
    <cellStyle name="_Recon to Darrin's 5.11.05 proforma_16.07E Wild Horse Wind Expansionwrkingfile SF 3 4" xfId="7763"/>
    <cellStyle name="_Recon to Darrin's 5.11.05 proforma_16.07E Wild Horse Wind Expansionwrkingfile SF 4" xfId="16951"/>
    <cellStyle name="_Recon to Darrin's 5.11.05 proforma_16.07E Wild Horse Wind Expansionwrkingfile SF 4 2" xfId="26759"/>
    <cellStyle name="_Recon to Darrin's 5.11.05 proforma_16.07E Wild Horse Wind Expansionwrkingfile SF 4 2 2" xfId="26760"/>
    <cellStyle name="_Recon to Darrin's 5.11.05 proforma_16.07E Wild Horse Wind Expansionwrkingfile SF 4 3" xfId="26761"/>
    <cellStyle name="_Recon to Darrin's 5.11.05 proforma_16.07E Wild Horse Wind Expansionwrkingfile SF 5" xfId="26762"/>
    <cellStyle name="_Recon to Darrin's 5.11.05 proforma_16.07E Wild Horse Wind Expansionwrkingfile SF 5 2" xfId="26763"/>
    <cellStyle name="_Recon to Darrin's 5.11.05 proforma_16.07E Wild Horse Wind Expansionwrkingfile SF 6" xfId="26764"/>
    <cellStyle name="_Recon to Darrin's 5.11.05 proforma_16.07E Wild Horse Wind Expansionwrkingfile SF 6 2" xfId="26765"/>
    <cellStyle name="_Recon to Darrin's 5.11.05 proforma_16.07E Wild Horse Wind Expansionwrkingfile SF 7" xfId="7760"/>
    <cellStyle name="_Recon to Darrin's 5.11.05 proforma_16.07E Wild Horse Wind Expansionwrkingfile SF_DEM-WP(C) ENERG10C--ctn Mid-C_042010 2010GRC" xfId="12945"/>
    <cellStyle name="_Recon to Darrin's 5.11.05 proforma_16.07E Wild Horse Wind Expansionwrkingfile SF_DEM-WP(C) ENERG10C--ctn Mid-C_042010 2010GRC 2" xfId="41598"/>
    <cellStyle name="_Recon to Darrin's 5.11.05 proforma_16.07E Wild Horse Wind Expansionwrkingfile_DEM-WP(C) ENERG10C--ctn Mid-C_042010 2010GRC" xfId="12946"/>
    <cellStyle name="_Recon to Darrin's 5.11.05 proforma_16.07E Wild Horse Wind Expansionwrkingfile_DEM-WP(C) ENERG10C--ctn Mid-C_042010 2010GRC 2" xfId="41599"/>
    <cellStyle name="_Recon to Darrin's 5.11.05 proforma_16.37E Wild Horse Expansion DeferralRevwrkingfile SF" xfId="1921"/>
    <cellStyle name="_Recon to Darrin's 5.11.05 proforma_16.37E Wild Horse Expansion DeferralRevwrkingfile SF 2" xfId="1922"/>
    <cellStyle name="_Recon to Darrin's 5.11.05 proforma_16.37E Wild Horse Expansion DeferralRevwrkingfile SF 2 2" xfId="5289"/>
    <cellStyle name="_Recon to Darrin's 5.11.05 proforma_16.37E Wild Horse Expansion DeferralRevwrkingfile SF 2 2 2" xfId="21305"/>
    <cellStyle name="_Recon to Darrin's 5.11.05 proforma_16.37E Wild Horse Expansion DeferralRevwrkingfile SF 2 2 2 2" xfId="26766"/>
    <cellStyle name="_Recon to Darrin's 5.11.05 proforma_16.37E Wild Horse Expansion DeferralRevwrkingfile SF 2 2 3" xfId="7766"/>
    <cellStyle name="_Recon to Darrin's 5.11.05 proforma_16.37E Wild Horse Expansion DeferralRevwrkingfile SF 2 3" xfId="16954"/>
    <cellStyle name="_Recon to Darrin's 5.11.05 proforma_16.37E Wild Horse Expansion DeferralRevwrkingfile SF 2 3 2" xfId="26767"/>
    <cellStyle name="_Recon to Darrin's 5.11.05 proforma_16.37E Wild Horse Expansion DeferralRevwrkingfile SF 2 4" xfId="26768"/>
    <cellStyle name="_Recon to Darrin's 5.11.05 proforma_16.37E Wild Horse Expansion DeferralRevwrkingfile SF 2 4 2" xfId="26769"/>
    <cellStyle name="_Recon to Darrin's 5.11.05 proforma_16.37E Wild Horse Expansion DeferralRevwrkingfile SF 2 5" xfId="7765"/>
    <cellStyle name="_Recon to Darrin's 5.11.05 proforma_16.37E Wild Horse Expansion DeferralRevwrkingfile SF 3" xfId="5288"/>
    <cellStyle name="_Recon to Darrin's 5.11.05 proforma_16.37E Wild Horse Expansion DeferralRevwrkingfile SF 3 2" xfId="21306"/>
    <cellStyle name="_Recon to Darrin's 5.11.05 proforma_16.37E Wild Horse Expansion DeferralRevwrkingfile SF 3 2 2" xfId="26770"/>
    <cellStyle name="_Recon to Darrin's 5.11.05 proforma_16.37E Wild Horse Expansion DeferralRevwrkingfile SF 3 3" xfId="26771"/>
    <cellStyle name="_Recon to Darrin's 5.11.05 proforma_16.37E Wild Horse Expansion DeferralRevwrkingfile SF 3 4" xfId="7767"/>
    <cellStyle name="_Recon to Darrin's 5.11.05 proforma_16.37E Wild Horse Expansion DeferralRevwrkingfile SF 4" xfId="16953"/>
    <cellStyle name="_Recon to Darrin's 5.11.05 proforma_16.37E Wild Horse Expansion DeferralRevwrkingfile SF 4 2" xfId="26772"/>
    <cellStyle name="_Recon to Darrin's 5.11.05 proforma_16.37E Wild Horse Expansion DeferralRevwrkingfile SF 4 2 2" xfId="26773"/>
    <cellStyle name="_Recon to Darrin's 5.11.05 proforma_16.37E Wild Horse Expansion DeferralRevwrkingfile SF 4 3" xfId="26774"/>
    <cellStyle name="_Recon to Darrin's 5.11.05 proforma_16.37E Wild Horse Expansion DeferralRevwrkingfile SF 5" xfId="26775"/>
    <cellStyle name="_Recon to Darrin's 5.11.05 proforma_16.37E Wild Horse Expansion DeferralRevwrkingfile SF 5 2" xfId="26776"/>
    <cellStyle name="_Recon to Darrin's 5.11.05 proforma_16.37E Wild Horse Expansion DeferralRevwrkingfile SF 6" xfId="26777"/>
    <cellStyle name="_Recon to Darrin's 5.11.05 proforma_16.37E Wild Horse Expansion DeferralRevwrkingfile SF 6 2" xfId="26778"/>
    <cellStyle name="_Recon to Darrin's 5.11.05 proforma_16.37E Wild Horse Expansion DeferralRevwrkingfile SF 7" xfId="7764"/>
    <cellStyle name="_Recon to Darrin's 5.11.05 proforma_16.37E Wild Horse Expansion DeferralRevwrkingfile SF_DEM-WP(C) ENERG10C--ctn Mid-C_042010 2010GRC" xfId="12947"/>
    <cellStyle name="_Recon to Darrin's 5.11.05 proforma_16.37E Wild Horse Expansion DeferralRevwrkingfile SF_DEM-WP(C) ENERG10C--ctn Mid-C_042010 2010GRC 2" xfId="41600"/>
    <cellStyle name="_Recon to Darrin's 5.11.05 proforma_2009 Compliance Filing PCA Exhibits for GRC" xfId="14153"/>
    <cellStyle name="_Recon to Darrin's 5.11.05 proforma_2009 Compliance Filing PCA Exhibits for GRC 2" xfId="15177"/>
    <cellStyle name="_Recon to Darrin's 5.11.05 proforma_2009 Compliance Filing PCA Exhibits for GRC 2 2" xfId="41601"/>
    <cellStyle name="_Recon to Darrin's 5.11.05 proforma_2009 Compliance Filing PCA Exhibits for GRC 3" xfId="41602"/>
    <cellStyle name="_Recon to Darrin's 5.11.05 proforma_2009 GRC Compl Filing - Exhibit D" xfId="1923"/>
    <cellStyle name="_Recon to Darrin's 5.11.05 proforma_2009 GRC Compl Filing - Exhibit D 2" xfId="1924"/>
    <cellStyle name="_Recon to Darrin's 5.11.05 proforma_2009 GRC Compl Filing - Exhibit D 2 2" xfId="5291"/>
    <cellStyle name="_Recon to Darrin's 5.11.05 proforma_2009 GRC Compl Filing - Exhibit D 2 2 2" xfId="26779"/>
    <cellStyle name="_Recon to Darrin's 5.11.05 proforma_2009 GRC Compl Filing - Exhibit D 2 2 2 2" xfId="26780"/>
    <cellStyle name="_Recon to Darrin's 5.11.05 proforma_2009 GRC Compl Filing - Exhibit D 2 3" xfId="26781"/>
    <cellStyle name="_Recon to Darrin's 5.11.05 proforma_2009 GRC Compl Filing - Exhibit D 2 3 2" xfId="26782"/>
    <cellStyle name="_Recon to Darrin's 5.11.05 proforma_2009 GRC Compl Filing - Exhibit D 2 4" xfId="26783"/>
    <cellStyle name="_Recon to Darrin's 5.11.05 proforma_2009 GRC Compl Filing - Exhibit D 2 4 2" xfId="26784"/>
    <cellStyle name="_Recon to Darrin's 5.11.05 proforma_2009 GRC Compl Filing - Exhibit D 2 5" xfId="7769"/>
    <cellStyle name="_Recon to Darrin's 5.11.05 proforma_2009 GRC Compl Filing - Exhibit D 3" xfId="5290"/>
    <cellStyle name="_Recon to Darrin's 5.11.05 proforma_2009 GRC Compl Filing - Exhibit D 3 2" xfId="26785"/>
    <cellStyle name="_Recon to Darrin's 5.11.05 proforma_2009 GRC Compl Filing - Exhibit D 3 2 2" xfId="26786"/>
    <cellStyle name="_Recon to Darrin's 5.11.05 proforma_2009 GRC Compl Filing - Exhibit D 3 3" xfId="26787"/>
    <cellStyle name="_Recon to Darrin's 5.11.05 proforma_2009 GRC Compl Filing - Exhibit D 4" xfId="26788"/>
    <cellStyle name="_Recon to Darrin's 5.11.05 proforma_2009 GRC Compl Filing - Exhibit D 4 2" xfId="26789"/>
    <cellStyle name="_Recon to Darrin's 5.11.05 proforma_2009 GRC Compl Filing - Exhibit D 4 2 2" xfId="26790"/>
    <cellStyle name="_Recon to Darrin's 5.11.05 proforma_2009 GRC Compl Filing - Exhibit D 4 3" xfId="26791"/>
    <cellStyle name="_Recon to Darrin's 5.11.05 proforma_2009 GRC Compl Filing - Exhibit D 5" xfId="26792"/>
    <cellStyle name="_Recon to Darrin's 5.11.05 proforma_2009 GRC Compl Filing - Exhibit D 5 2" xfId="26793"/>
    <cellStyle name="_Recon to Darrin's 5.11.05 proforma_2009 GRC Compl Filing - Exhibit D 6" xfId="26794"/>
    <cellStyle name="_Recon to Darrin's 5.11.05 proforma_2009 GRC Compl Filing - Exhibit D 6 2" xfId="26795"/>
    <cellStyle name="_Recon to Darrin's 5.11.05 proforma_2009 GRC Compl Filing - Exhibit D 7" xfId="7768"/>
    <cellStyle name="_Recon to Darrin's 5.11.05 proforma_2009 GRC Compl Filing - Exhibit D_DEM-WP(C) ENERG10C--ctn Mid-C_042010 2010GRC" xfId="12948"/>
    <cellStyle name="_Recon to Darrin's 5.11.05 proforma_2009 GRC Compl Filing - Exhibit D_DEM-WP(C) ENERG10C--ctn Mid-C_042010 2010GRC 2" xfId="41603"/>
    <cellStyle name="_Recon to Darrin's 5.11.05 proforma_3.01 Income Statement" xfId="14154"/>
    <cellStyle name="_Recon to Darrin's 5.11.05 proforma_4 31 Regulatory Assets and Liabilities  7 06- Exhibit D" xfId="1925"/>
    <cellStyle name="_Recon to Darrin's 5.11.05 proforma_4 31 Regulatory Assets and Liabilities  7 06- Exhibit D 2" xfId="1926"/>
    <cellStyle name="_Recon to Darrin's 5.11.05 proforma_4 31 Regulatory Assets and Liabilities  7 06- Exhibit D 2 2" xfId="5293"/>
    <cellStyle name="_Recon to Darrin's 5.11.05 proforma_4 31 Regulatory Assets and Liabilities  7 06- Exhibit D 2 2 2" xfId="21307"/>
    <cellStyle name="_Recon to Darrin's 5.11.05 proforma_4 31 Regulatory Assets and Liabilities  7 06- Exhibit D 2 2 2 2" xfId="26796"/>
    <cellStyle name="_Recon to Darrin's 5.11.05 proforma_4 31 Regulatory Assets and Liabilities  7 06- Exhibit D 2 2 3" xfId="26797"/>
    <cellStyle name="_Recon to Darrin's 5.11.05 proforma_4 31 Regulatory Assets and Liabilities  7 06- Exhibit D 2 2 4" xfId="7772"/>
    <cellStyle name="_Recon to Darrin's 5.11.05 proforma_4 31 Regulatory Assets and Liabilities  7 06- Exhibit D 2 3" xfId="16956"/>
    <cellStyle name="_Recon to Darrin's 5.11.05 proforma_4 31 Regulatory Assets and Liabilities  7 06- Exhibit D 2 3 2" xfId="26798"/>
    <cellStyle name="_Recon to Darrin's 5.11.05 proforma_4 31 Regulatory Assets and Liabilities  7 06- Exhibit D 2 3 2 2" xfId="26799"/>
    <cellStyle name="_Recon to Darrin's 5.11.05 proforma_4 31 Regulatory Assets and Liabilities  7 06- Exhibit D 2 3 3" xfId="26800"/>
    <cellStyle name="_Recon to Darrin's 5.11.05 proforma_4 31 Regulatory Assets and Liabilities  7 06- Exhibit D 2 4" xfId="26801"/>
    <cellStyle name="_Recon to Darrin's 5.11.05 proforma_4 31 Regulatory Assets and Liabilities  7 06- Exhibit D 2 4 2" xfId="26802"/>
    <cellStyle name="_Recon to Darrin's 5.11.05 proforma_4 31 Regulatory Assets and Liabilities  7 06- Exhibit D 2 5" xfId="26803"/>
    <cellStyle name="_Recon to Darrin's 5.11.05 proforma_4 31 Regulatory Assets and Liabilities  7 06- Exhibit D 2 5 2" xfId="26804"/>
    <cellStyle name="_Recon to Darrin's 5.11.05 proforma_4 31 Regulatory Assets and Liabilities  7 06- Exhibit D 2 6" xfId="7771"/>
    <cellStyle name="_Recon to Darrin's 5.11.05 proforma_4 31 Regulatory Assets and Liabilities  7 06- Exhibit D 3" xfId="5292"/>
    <cellStyle name="_Recon to Darrin's 5.11.05 proforma_4 31 Regulatory Assets and Liabilities  7 06- Exhibit D 3 2" xfId="21308"/>
    <cellStyle name="_Recon to Darrin's 5.11.05 proforma_4 31 Regulatory Assets and Liabilities  7 06- Exhibit D 3 2 2" xfId="26805"/>
    <cellStyle name="_Recon to Darrin's 5.11.05 proforma_4 31 Regulatory Assets and Liabilities  7 06- Exhibit D 3 3" xfId="26806"/>
    <cellStyle name="_Recon to Darrin's 5.11.05 proforma_4 31 Regulatory Assets and Liabilities  7 06- Exhibit D 3 4" xfId="7773"/>
    <cellStyle name="_Recon to Darrin's 5.11.05 proforma_4 31 Regulatory Assets and Liabilities  7 06- Exhibit D 4" xfId="16955"/>
    <cellStyle name="_Recon to Darrin's 5.11.05 proforma_4 31 Regulatory Assets and Liabilities  7 06- Exhibit D 4 2" xfId="26807"/>
    <cellStyle name="_Recon to Darrin's 5.11.05 proforma_4 31 Regulatory Assets and Liabilities  7 06- Exhibit D 4 2 2" xfId="26808"/>
    <cellStyle name="_Recon to Darrin's 5.11.05 proforma_4 31 Regulatory Assets and Liabilities  7 06- Exhibit D 4 3" xfId="26809"/>
    <cellStyle name="_Recon to Darrin's 5.11.05 proforma_4 31 Regulatory Assets and Liabilities  7 06- Exhibit D 5" xfId="26810"/>
    <cellStyle name="_Recon to Darrin's 5.11.05 proforma_4 31 Regulatory Assets and Liabilities  7 06- Exhibit D 5 2" xfId="26811"/>
    <cellStyle name="_Recon to Darrin's 5.11.05 proforma_4 31 Regulatory Assets and Liabilities  7 06- Exhibit D 6" xfId="26812"/>
    <cellStyle name="_Recon to Darrin's 5.11.05 proforma_4 31 Regulatory Assets and Liabilities  7 06- Exhibit D 6 2" xfId="26813"/>
    <cellStyle name="_Recon to Darrin's 5.11.05 proforma_4 31 Regulatory Assets and Liabilities  7 06- Exhibit D 7" xfId="7770"/>
    <cellStyle name="_Recon to Darrin's 5.11.05 proforma_4 31 Regulatory Assets and Liabilities  7 06- Exhibit D_DEM-WP(C) ENERG10C--ctn Mid-C_042010 2010GRC" xfId="12949"/>
    <cellStyle name="_Recon to Darrin's 5.11.05 proforma_4 31 Regulatory Assets and Liabilities  7 06- Exhibit D_DEM-WP(C) ENERG10C--ctn Mid-C_042010 2010GRC 2" xfId="41604"/>
    <cellStyle name="_Recon to Darrin's 5.11.05 proforma_4 31 Regulatory Assets and Liabilities  7 06- Exhibit D_NIM Summary" xfId="1927"/>
    <cellStyle name="_Recon to Darrin's 5.11.05 proforma_4 31 Regulatory Assets and Liabilities  7 06- Exhibit D_NIM Summary 2" xfId="1928"/>
    <cellStyle name="_Recon to Darrin's 5.11.05 proforma_4 31 Regulatory Assets and Liabilities  7 06- Exhibit D_NIM Summary 2 2" xfId="5295"/>
    <cellStyle name="_Recon to Darrin's 5.11.05 proforma_4 31 Regulatory Assets and Liabilities  7 06- Exhibit D_NIM Summary 2 2 2" xfId="26814"/>
    <cellStyle name="_Recon to Darrin's 5.11.05 proforma_4 31 Regulatory Assets and Liabilities  7 06- Exhibit D_NIM Summary 2 2 2 2" xfId="26815"/>
    <cellStyle name="_Recon to Darrin's 5.11.05 proforma_4 31 Regulatory Assets and Liabilities  7 06- Exhibit D_NIM Summary 2 3" xfId="26816"/>
    <cellStyle name="_Recon to Darrin's 5.11.05 proforma_4 31 Regulatory Assets and Liabilities  7 06- Exhibit D_NIM Summary 2 3 2" xfId="26817"/>
    <cellStyle name="_Recon to Darrin's 5.11.05 proforma_4 31 Regulatory Assets and Liabilities  7 06- Exhibit D_NIM Summary 2 4" xfId="26818"/>
    <cellStyle name="_Recon to Darrin's 5.11.05 proforma_4 31 Regulatory Assets and Liabilities  7 06- Exhibit D_NIM Summary 2 4 2" xfId="26819"/>
    <cellStyle name="_Recon to Darrin's 5.11.05 proforma_4 31 Regulatory Assets and Liabilities  7 06- Exhibit D_NIM Summary 2 5" xfId="7775"/>
    <cellStyle name="_Recon to Darrin's 5.11.05 proforma_4 31 Regulatory Assets and Liabilities  7 06- Exhibit D_NIM Summary 3" xfId="5294"/>
    <cellStyle name="_Recon to Darrin's 5.11.05 proforma_4 31 Regulatory Assets and Liabilities  7 06- Exhibit D_NIM Summary 3 2" xfId="26820"/>
    <cellStyle name="_Recon to Darrin's 5.11.05 proforma_4 31 Regulatory Assets and Liabilities  7 06- Exhibit D_NIM Summary 3 2 2" xfId="26821"/>
    <cellStyle name="_Recon to Darrin's 5.11.05 proforma_4 31 Regulatory Assets and Liabilities  7 06- Exhibit D_NIM Summary 3 3" xfId="26822"/>
    <cellStyle name="_Recon to Darrin's 5.11.05 proforma_4 31 Regulatory Assets and Liabilities  7 06- Exhibit D_NIM Summary 4" xfId="26823"/>
    <cellStyle name="_Recon to Darrin's 5.11.05 proforma_4 31 Regulatory Assets and Liabilities  7 06- Exhibit D_NIM Summary 4 2" xfId="26824"/>
    <cellStyle name="_Recon to Darrin's 5.11.05 proforma_4 31 Regulatory Assets and Liabilities  7 06- Exhibit D_NIM Summary 4 2 2" xfId="26825"/>
    <cellStyle name="_Recon to Darrin's 5.11.05 proforma_4 31 Regulatory Assets and Liabilities  7 06- Exhibit D_NIM Summary 4 3" xfId="26826"/>
    <cellStyle name="_Recon to Darrin's 5.11.05 proforma_4 31 Regulatory Assets and Liabilities  7 06- Exhibit D_NIM Summary 5" xfId="26827"/>
    <cellStyle name="_Recon to Darrin's 5.11.05 proforma_4 31 Regulatory Assets and Liabilities  7 06- Exhibit D_NIM Summary 5 2" xfId="26828"/>
    <cellStyle name="_Recon to Darrin's 5.11.05 proforma_4 31 Regulatory Assets and Liabilities  7 06- Exhibit D_NIM Summary 6" xfId="26829"/>
    <cellStyle name="_Recon to Darrin's 5.11.05 proforma_4 31 Regulatory Assets and Liabilities  7 06- Exhibit D_NIM Summary 6 2" xfId="26830"/>
    <cellStyle name="_Recon to Darrin's 5.11.05 proforma_4 31 Regulatory Assets and Liabilities  7 06- Exhibit D_NIM Summary 7" xfId="7774"/>
    <cellStyle name="_Recon to Darrin's 5.11.05 proforma_4 31 Regulatory Assets and Liabilities  7 06- Exhibit D_NIM Summary_DEM-WP(C) ENERG10C--ctn Mid-C_042010 2010GRC" xfId="12950"/>
    <cellStyle name="_Recon to Darrin's 5.11.05 proforma_4 31 Regulatory Assets and Liabilities  7 06- Exhibit D_NIM Summary_DEM-WP(C) ENERG10C--ctn Mid-C_042010 2010GRC 2" xfId="41605"/>
    <cellStyle name="_Recon to Darrin's 5.11.05 proforma_4 31 Regulatory Assets and Liabilities  7 06- Exhibit D_NIM+O&amp;M" xfId="12951"/>
    <cellStyle name="_Recon to Darrin's 5.11.05 proforma_4 31 Regulatory Assets and Liabilities  7 06- Exhibit D_NIM+O&amp;M 2" xfId="26831"/>
    <cellStyle name="_Recon to Darrin's 5.11.05 proforma_4 31 Regulatory Assets and Liabilities  7 06- Exhibit D_NIM+O&amp;M 2 2" xfId="26832"/>
    <cellStyle name="_Recon to Darrin's 5.11.05 proforma_4 31 Regulatory Assets and Liabilities  7 06- Exhibit D_NIM+O&amp;M 2 2 2" xfId="26833"/>
    <cellStyle name="_Recon to Darrin's 5.11.05 proforma_4 31 Regulatory Assets and Liabilities  7 06- Exhibit D_NIM+O&amp;M 3" xfId="26834"/>
    <cellStyle name="_Recon to Darrin's 5.11.05 proforma_4 31 Regulatory Assets and Liabilities  7 06- Exhibit D_NIM+O&amp;M 3 2" xfId="26835"/>
    <cellStyle name="_Recon to Darrin's 5.11.05 proforma_4 31 Regulatory Assets and Liabilities  7 06- Exhibit D_NIM+O&amp;M 3 2 2" xfId="26836"/>
    <cellStyle name="_Recon to Darrin's 5.11.05 proforma_4 31 Regulatory Assets and Liabilities  7 06- Exhibit D_NIM+O&amp;M 3 3" xfId="26837"/>
    <cellStyle name="_Recon to Darrin's 5.11.05 proforma_4 31 Regulatory Assets and Liabilities  7 06- Exhibit D_NIM+O&amp;M 4" xfId="26838"/>
    <cellStyle name="_Recon to Darrin's 5.11.05 proforma_4 31 Regulatory Assets and Liabilities  7 06- Exhibit D_NIM+O&amp;M 4 2" xfId="26839"/>
    <cellStyle name="_Recon to Darrin's 5.11.05 proforma_4 31 Regulatory Assets and Liabilities  7 06- Exhibit D_NIM+O&amp;M 5" xfId="26840"/>
    <cellStyle name="_Recon to Darrin's 5.11.05 proforma_4 31 Regulatory Assets and Liabilities  7 06- Exhibit D_NIM+O&amp;M 5 2" xfId="26841"/>
    <cellStyle name="_Recon to Darrin's 5.11.05 proforma_4 31 Regulatory Assets and Liabilities  7 06- Exhibit D_NIM+O&amp;M Monthly" xfId="12952"/>
    <cellStyle name="_Recon to Darrin's 5.11.05 proforma_4 31 Regulatory Assets and Liabilities  7 06- Exhibit D_NIM+O&amp;M Monthly 2" xfId="26842"/>
    <cellStyle name="_Recon to Darrin's 5.11.05 proforma_4 31 Regulatory Assets and Liabilities  7 06- Exhibit D_NIM+O&amp;M Monthly 2 2" xfId="26843"/>
    <cellStyle name="_Recon to Darrin's 5.11.05 proforma_4 31 Regulatory Assets and Liabilities  7 06- Exhibit D_NIM+O&amp;M Monthly 2 2 2" xfId="26844"/>
    <cellStyle name="_Recon to Darrin's 5.11.05 proforma_4 31 Regulatory Assets and Liabilities  7 06- Exhibit D_NIM+O&amp;M Monthly 3" xfId="26845"/>
    <cellStyle name="_Recon to Darrin's 5.11.05 proforma_4 31 Regulatory Assets and Liabilities  7 06- Exhibit D_NIM+O&amp;M Monthly 3 2" xfId="26846"/>
    <cellStyle name="_Recon to Darrin's 5.11.05 proforma_4 31 Regulatory Assets and Liabilities  7 06- Exhibit D_NIM+O&amp;M Monthly 3 2 2" xfId="26847"/>
    <cellStyle name="_Recon to Darrin's 5.11.05 proforma_4 31 Regulatory Assets and Liabilities  7 06- Exhibit D_NIM+O&amp;M Monthly 3 3" xfId="26848"/>
    <cellStyle name="_Recon to Darrin's 5.11.05 proforma_4 31 Regulatory Assets and Liabilities  7 06- Exhibit D_NIM+O&amp;M Monthly 4" xfId="26849"/>
    <cellStyle name="_Recon to Darrin's 5.11.05 proforma_4 31 Regulatory Assets and Liabilities  7 06- Exhibit D_NIM+O&amp;M Monthly 4 2" xfId="26850"/>
    <cellStyle name="_Recon to Darrin's 5.11.05 proforma_4 31 Regulatory Assets and Liabilities  7 06- Exhibit D_NIM+O&amp;M Monthly 5" xfId="26851"/>
    <cellStyle name="_Recon to Darrin's 5.11.05 proforma_4 31 Regulatory Assets and Liabilities  7 06- Exhibit D_NIM+O&amp;M Monthly 5 2" xfId="26852"/>
    <cellStyle name="_Recon to Darrin's 5.11.05 proforma_4 31E Reg Asset  Liab and EXH D" xfId="12953"/>
    <cellStyle name="_Recon to Darrin's 5.11.05 proforma_4 31E Reg Asset  Liab and EXH D _ Aug 10 Filing (2)" xfId="12954"/>
    <cellStyle name="_Recon to Darrin's 5.11.05 proforma_4 31E Reg Asset  Liab and EXH D _ Aug 10 Filing (2) 2" xfId="26853"/>
    <cellStyle name="_Recon to Darrin's 5.11.05 proforma_4 31E Reg Asset  Liab and EXH D _ Aug 10 Filing (2) 2 2" xfId="26854"/>
    <cellStyle name="_Recon to Darrin's 5.11.05 proforma_4 31E Reg Asset  Liab and EXH D _ Aug 10 Filing (2) 2 2 2" xfId="26855"/>
    <cellStyle name="_Recon to Darrin's 5.11.05 proforma_4 31E Reg Asset  Liab and EXH D _ Aug 10 Filing (2) 2 3" xfId="26856"/>
    <cellStyle name="_Recon to Darrin's 5.11.05 proforma_4 31E Reg Asset  Liab and EXH D _ Aug 10 Filing (2) 3" xfId="26857"/>
    <cellStyle name="_Recon to Darrin's 5.11.05 proforma_4 31E Reg Asset  Liab and EXH D _ Aug 10 Filing (2) 3 2" xfId="26858"/>
    <cellStyle name="_Recon to Darrin's 5.11.05 proforma_4 31E Reg Asset  Liab and EXH D _ Aug 10 Filing (2) 3 2 2" xfId="26859"/>
    <cellStyle name="_Recon to Darrin's 5.11.05 proforma_4 31E Reg Asset  Liab and EXH D _ Aug 10 Filing (2) 3 3" xfId="26860"/>
    <cellStyle name="_Recon to Darrin's 5.11.05 proforma_4 31E Reg Asset  Liab and EXH D _ Aug 10 Filing (2) 4" xfId="26861"/>
    <cellStyle name="_Recon to Darrin's 5.11.05 proforma_4 31E Reg Asset  Liab and EXH D _ Aug 10 Filing (2) 4 2" xfId="26862"/>
    <cellStyle name="_Recon to Darrin's 5.11.05 proforma_4 31E Reg Asset  Liab and EXH D _ Aug 10 Filing (2) 5" xfId="26863"/>
    <cellStyle name="_Recon to Darrin's 5.11.05 proforma_4 31E Reg Asset  Liab and EXH D _ Aug 10 Filing (2) 5 2" xfId="26864"/>
    <cellStyle name="_Recon to Darrin's 5.11.05 proforma_4 31E Reg Asset  Liab and EXH D 10" xfId="26865"/>
    <cellStyle name="_Recon to Darrin's 5.11.05 proforma_4 31E Reg Asset  Liab and EXH D 10 2" xfId="26866"/>
    <cellStyle name="_Recon to Darrin's 5.11.05 proforma_4 31E Reg Asset  Liab and EXH D 10 2 2" xfId="26867"/>
    <cellStyle name="_Recon to Darrin's 5.11.05 proforma_4 31E Reg Asset  Liab and EXH D 10 3" xfId="26868"/>
    <cellStyle name="_Recon to Darrin's 5.11.05 proforma_4 31E Reg Asset  Liab and EXH D 11" xfId="26869"/>
    <cellStyle name="_Recon to Darrin's 5.11.05 proforma_4 31E Reg Asset  Liab and EXH D 11 2" xfId="26870"/>
    <cellStyle name="_Recon to Darrin's 5.11.05 proforma_4 31E Reg Asset  Liab and EXH D 11 2 2" xfId="26871"/>
    <cellStyle name="_Recon to Darrin's 5.11.05 proforma_4 31E Reg Asset  Liab and EXH D 11 3" xfId="26872"/>
    <cellStyle name="_Recon to Darrin's 5.11.05 proforma_4 31E Reg Asset  Liab and EXH D 12" xfId="26873"/>
    <cellStyle name="_Recon to Darrin's 5.11.05 proforma_4 31E Reg Asset  Liab and EXH D 12 2" xfId="26874"/>
    <cellStyle name="_Recon to Darrin's 5.11.05 proforma_4 31E Reg Asset  Liab and EXH D 12 2 2" xfId="26875"/>
    <cellStyle name="_Recon to Darrin's 5.11.05 proforma_4 31E Reg Asset  Liab and EXH D 12 3" xfId="26876"/>
    <cellStyle name="_Recon to Darrin's 5.11.05 proforma_4 31E Reg Asset  Liab and EXH D 13" xfId="26877"/>
    <cellStyle name="_Recon to Darrin's 5.11.05 proforma_4 31E Reg Asset  Liab and EXH D 13 2" xfId="26878"/>
    <cellStyle name="_Recon to Darrin's 5.11.05 proforma_4 31E Reg Asset  Liab and EXH D 13 2 2" xfId="26879"/>
    <cellStyle name="_Recon to Darrin's 5.11.05 proforma_4 31E Reg Asset  Liab and EXH D 13 3" xfId="26880"/>
    <cellStyle name="_Recon to Darrin's 5.11.05 proforma_4 31E Reg Asset  Liab and EXH D 14" xfId="26881"/>
    <cellStyle name="_Recon to Darrin's 5.11.05 proforma_4 31E Reg Asset  Liab and EXH D 14 2" xfId="26882"/>
    <cellStyle name="_Recon to Darrin's 5.11.05 proforma_4 31E Reg Asset  Liab and EXH D 14 2 2" xfId="26883"/>
    <cellStyle name="_Recon to Darrin's 5.11.05 proforma_4 31E Reg Asset  Liab and EXH D 14 3" xfId="26884"/>
    <cellStyle name="_Recon to Darrin's 5.11.05 proforma_4 31E Reg Asset  Liab and EXH D 15" xfId="26885"/>
    <cellStyle name="_Recon to Darrin's 5.11.05 proforma_4 31E Reg Asset  Liab and EXH D 15 2" xfId="26886"/>
    <cellStyle name="_Recon to Darrin's 5.11.05 proforma_4 31E Reg Asset  Liab and EXH D 15 2 2" xfId="26887"/>
    <cellStyle name="_Recon to Darrin's 5.11.05 proforma_4 31E Reg Asset  Liab and EXH D 15 3" xfId="26888"/>
    <cellStyle name="_Recon to Darrin's 5.11.05 proforma_4 31E Reg Asset  Liab and EXH D 16" xfId="26889"/>
    <cellStyle name="_Recon to Darrin's 5.11.05 proforma_4 31E Reg Asset  Liab and EXH D 16 2" xfId="26890"/>
    <cellStyle name="_Recon to Darrin's 5.11.05 proforma_4 31E Reg Asset  Liab and EXH D 16 2 2" xfId="26891"/>
    <cellStyle name="_Recon to Darrin's 5.11.05 proforma_4 31E Reg Asset  Liab and EXH D 16 3" xfId="26892"/>
    <cellStyle name="_Recon to Darrin's 5.11.05 proforma_4 31E Reg Asset  Liab and EXH D 17" xfId="26893"/>
    <cellStyle name="_Recon to Darrin's 5.11.05 proforma_4 31E Reg Asset  Liab and EXH D 17 2" xfId="26894"/>
    <cellStyle name="_Recon to Darrin's 5.11.05 proforma_4 31E Reg Asset  Liab and EXH D 18" xfId="26895"/>
    <cellStyle name="_Recon to Darrin's 5.11.05 proforma_4 31E Reg Asset  Liab and EXH D 18 2" xfId="26896"/>
    <cellStyle name="_Recon to Darrin's 5.11.05 proforma_4 31E Reg Asset  Liab and EXH D 19" xfId="26897"/>
    <cellStyle name="_Recon to Darrin's 5.11.05 proforma_4 31E Reg Asset  Liab and EXH D 19 2" xfId="26898"/>
    <cellStyle name="_Recon to Darrin's 5.11.05 proforma_4 31E Reg Asset  Liab and EXH D 2" xfId="26899"/>
    <cellStyle name="_Recon to Darrin's 5.11.05 proforma_4 31E Reg Asset  Liab and EXH D 2 2" xfId="26900"/>
    <cellStyle name="_Recon to Darrin's 5.11.05 proforma_4 31E Reg Asset  Liab and EXH D 2 2 2" xfId="26901"/>
    <cellStyle name="_Recon to Darrin's 5.11.05 proforma_4 31E Reg Asset  Liab and EXH D 2 3" xfId="26902"/>
    <cellStyle name="_Recon to Darrin's 5.11.05 proforma_4 31E Reg Asset  Liab and EXH D 20" xfId="26903"/>
    <cellStyle name="_Recon to Darrin's 5.11.05 proforma_4 31E Reg Asset  Liab and EXH D 20 2" xfId="26904"/>
    <cellStyle name="_Recon to Darrin's 5.11.05 proforma_4 31E Reg Asset  Liab and EXH D 21" xfId="26905"/>
    <cellStyle name="_Recon to Darrin's 5.11.05 proforma_4 31E Reg Asset  Liab and EXH D 21 2" xfId="26906"/>
    <cellStyle name="_Recon to Darrin's 5.11.05 proforma_4 31E Reg Asset  Liab and EXH D 22" xfId="26907"/>
    <cellStyle name="_Recon to Darrin's 5.11.05 proforma_4 31E Reg Asset  Liab and EXH D 22 2" xfId="26908"/>
    <cellStyle name="_Recon to Darrin's 5.11.05 proforma_4 31E Reg Asset  Liab and EXH D 23" xfId="26909"/>
    <cellStyle name="_Recon to Darrin's 5.11.05 proforma_4 31E Reg Asset  Liab and EXH D 23 2" xfId="26910"/>
    <cellStyle name="_Recon to Darrin's 5.11.05 proforma_4 31E Reg Asset  Liab and EXH D 24" xfId="26911"/>
    <cellStyle name="_Recon to Darrin's 5.11.05 proforma_4 31E Reg Asset  Liab and EXH D 24 2" xfId="26912"/>
    <cellStyle name="_Recon to Darrin's 5.11.05 proforma_4 31E Reg Asset  Liab and EXH D 25" xfId="26913"/>
    <cellStyle name="_Recon to Darrin's 5.11.05 proforma_4 31E Reg Asset  Liab and EXH D 25 2" xfId="26914"/>
    <cellStyle name="_Recon to Darrin's 5.11.05 proforma_4 31E Reg Asset  Liab and EXH D 26" xfId="26915"/>
    <cellStyle name="_Recon to Darrin's 5.11.05 proforma_4 31E Reg Asset  Liab and EXH D 26 2" xfId="26916"/>
    <cellStyle name="_Recon to Darrin's 5.11.05 proforma_4 31E Reg Asset  Liab and EXH D 27" xfId="26917"/>
    <cellStyle name="_Recon to Darrin's 5.11.05 proforma_4 31E Reg Asset  Liab and EXH D 27 2" xfId="26918"/>
    <cellStyle name="_Recon to Darrin's 5.11.05 proforma_4 31E Reg Asset  Liab and EXH D 28" xfId="26919"/>
    <cellStyle name="_Recon to Darrin's 5.11.05 proforma_4 31E Reg Asset  Liab and EXH D 28 2" xfId="26920"/>
    <cellStyle name="_Recon to Darrin's 5.11.05 proforma_4 31E Reg Asset  Liab and EXH D 29" xfId="26921"/>
    <cellStyle name="_Recon to Darrin's 5.11.05 proforma_4 31E Reg Asset  Liab and EXH D 29 2" xfId="26922"/>
    <cellStyle name="_Recon to Darrin's 5.11.05 proforma_4 31E Reg Asset  Liab and EXH D 3" xfId="26923"/>
    <cellStyle name="_Recon to Darrin's 5.11.05 proforma_4 31E Reg Asset  Liab and EXH D 3 2" xfId="26924"/>
    <cellStyle name="_Recon to Darrin's 5.11.05 proforma_4 31E Reg Asset  Liab and EXH D 3 2 2" xfId="26925"/>
    <cellStyle name="_Recon to Darrin's 5.11.05 proforma_4 31E Reg Asset  Liab and EXH D 3 3" xfId="26926"/>
    <cellStyle name="_Recon to Darrin's 5.11.05 proforma_4 31E Reg Asset  Liab and EXH D 30" xfId="26927"/>
    <cellStyle name="_Recon to Darrin's 5.11.05 proforma_4 31E Reg Asset  Liab and EXH D 30 2" xfId="26928"/>
    <cellStyle name="_Recon to Darrin's 5.11.05 proforma_4 31E Reg Asset  Liab and EXH D 4" xfId="26929"/>
    <cellStyle name="_Recon to Darrin's 5.11.05 proforma_4 31E Reg Asset  Liab and EXH D 4 2" xfId="26930"/>
    <cellStyle name="_Recon to Darrin's 5.11.05 proforma_4 31E Reg Asset  Liab and EXH D 4 2 2" xfId="26931"/>
    <cellStyle name="_Recon to Darrin's 5.11.05 proforma_4 31E Reg Asset  Liab and EXH D 5" xfId="26932"/>
    <cellStyle name="_Recon to Darrin's 5.11.05 proforma_4 31E Reg Asset  Liab and EXH D 5 2" xfId="26933"/>
    <cellStyle name="_Recon to Darrin's 5.11.05 proforma_4 31E Reg Asset  Liab and EXH D 5 2 2" xfId="26934"/>
    <cellStyle name="_Recon to Darrin's 5.11.05 proforma_4 31E Reg Asset  Liab and EXH D 6" xfId="26935"/>
    <cellStyle name="_Recon to Darrin's 5.11.05 proforma_4 31E Reg Asset  Liab and EXH D 6 2" xfId="26936"/>
    <cellStyle name="_Recon to Darrin's 5.11.05 proforma_4 31E Reg Asset  Liab and EXH D 6 2 2" xfId="26937"/>
    <cellStyle name="_Recon to Darrin's 5.11.05 proforma_4 31E Reg Asset  Liab and EXH D 6 3" xfId="26938"/>
    <cellStyle name="_Recon to Darrin's 5.11.05 proforma_4 31E Reg Asset  Liab and EXH D 7" xfId="26939"/>
    <cellStyle name="_Recon to Darrin's 5.11.05 proforma_4 31E Reg Asset  Liab and EXH D 7 2" xfId="26940"/>
    <cellStyle name="_Recon to Darrin's 5.11.05 proforma_4 31E Reg Asset  Liab and EXH D 7 2 2" xfId="26941"/>
    <cellStyle name="_Recon to Darrin's 5.11.05 proforma_4 31E Reg Asset  Liab and EXH D 7 3" xfId="26942"/>
    <cellStyle name="_Recon to Darrin's 5.11.05 proforma_4 31E Reg Asset  Liab and EXH D 8" xfId="26943"/>
    <cellStyle name="_Recon to Darrin's 5.11.05 proforma_4 31E Reg Asset  Liab and EXH D 8 2" xfId="26944"/>
    <cellStyle name="_Recon to Darrin's 5.11.05 proforma_4 31E Reg Asset  Liab and EXH D 8 2 2" xfId="26945"/>
    <cellStyle name="_Recon to Darrin's 5.11.05 proforma_4 31E Reg Asset  Liab and EXH D 8 3" xfId="26946"/>
    <cellStyle name="_Recon to Darrin's 5.11.05 proforma_4 31E Reg Asset  Liab and EXH D 9" xfId="26947"/>
    <cellStyle name="_Recon to Darrin's 5.11.05 proforma_4 31E Reg Asset  Liab and EXH D 9 2" xfId="26948"/>
    <cellStyle name="_Recon to Darrin's 5.11.05 proforma_4 31E Reg Asset  Liab and EXH D 9 2 2" xfId="26949"/>
    <cellStyle name="_Recon to Darrin's 5.11.05 proforma_4 31E Reg Asset  Liab and EXH D 9 3" xfId="26950"/>
    <cellStyle name="_Recon to Darrin's 5.11.05 proforma_4 32 Regulatory Assets and Liabilities  7 06- Exhibit D" xfId="1929"/>
    <cellStyle name="_Recon to Darrin's 5.11.05 proforma_4 32 Regulatory Assets and Liabilities  7 06- Exhibit D 2" xfId="1930"/>
    <cellStyle name="_Recon to Darrin's 5.11.05 proforma_4 32 Regulatory Assets and Liabilities  7 06- Exhibit D 2 2" xfId="5297"/>
    <cellStyle name="_Recon to Darrin's 5.11.05 proforma_4 32 Regulatory Assets and Liabilities  7 06- Exhibit D 2 2 2" xfId="21309"/>
    <cellStyle name="_Recon to Darrin's 5.11.05 proforma_4 32 Regulatory Assets and Liabilities  7 06- Exhibit D 2 2 2 2" xfId="26951"/>
    <cellStyle name="_Recon to Darrin's 5.11.05 proforma_4 32 Regulatory Assets and Liabilities  7 06- Exhibit D 2 2 3" xfId="26952"/>
    <cellStyle name="_Recon to Darrin's 5.11.05 proforma_4 32 Regulatory Assets and Liabilities  7 06- Exhibit D 2 2 4" xfId="7778"/>
    <cellStyle name="_Recon to Darrin's 5.11.05 proforma_4 32 Regulatory Assets and Liabilities  7 06- Exhibit D 2 3" xfId="16958"/>
    <cellStyle name="_Recon to Darrin's 5.11.05 proforma_4 32 Regulatory Assets and Liabilities  7 06- Exhibit D 2 3 2" xfId="26953"/>
    <cellStyle name="_Recon to Darrin's 5.11.05 proforma_4 32 Regulatory Assets and Liabilities  7 06- Exhibit D 2 3 2 2" xfId="26954"/>
    <cellStyle name="_Recon to Darrin's 5.11.05 proforma_4 32 Regulatory Assets and Liabilities  7 06- Exhibit D 2 3 3" xfId="26955"/>
    <cellStyle name="_Recon to Darrin's 5.11.05 proforma_4 32 Regulatory Assets and Liabilities  7 06- Exhibit D 2 4" xfId="26956"/>
    <cellStyle name="_Recon to Darrin's 5.11.05 proforma_4 32 Regulatory Assets and Liabilities  7 06- Exhibit D 2 4 2" xfId="26957"/>
    <cellStyle name="_Recon to Darrin's 5.11.05 proforma_4 32 Regulatory Assets and Liabilities  7 06- Exhibit D 2 5" xfId="26958"/>
    <cellStyle name="_Recon to Darrin's 5.11.05 proforma_4 32 Regulatory Assets and Liabilities  7 06- Exhibit D 2 5 2" xfId="26959"/>
    <cellStyle name="_Recon to Darrin's 5.11.05 proforma_4 32 Regulatory Assets and Liabilities  7 06- Exhibit D 2 6" xfId="7777"/>
    <cellStyle name="_Recon to Darrin's 5.11.05 proforma_4 32 Regulatory Assets and Liabilities  7 06- Exhibit D 3" xfId="5296"/>
    <cellStyle name="_Recon to Darrin's 5.11.05 proforma_4 32 Regulatory Assets and Liabilities  7 06- Exhibit D 3 2" xfId="21310"/>
    <cellStyle name="_Recon to Darrin's 5.11.05 proforma_4 32 Regulatory Assets and Liabilities  7 06- Exhibit D 3 2 2" xfId="26960"/>
    <cellStyle name="_Recon to Darrin's 5.11.05 proforma_4 32 Regulatory Assets and Liabilities  7 06- Exhibit D 3 3" xfId="26961"/>
    <cellStyle name="_Recon to Darrin's 5.11.05 proforma_4 32 Regulatory Assets and Liabilities  7 06- Exhibit D 3 4" xfId="7779"/>
    <cellStyle name="_Recon to Darrin's 5.11.05 proforma_4 32 Regulatory Assets and Liabilities  7 06- Exhibit D 4" xfId="16957"/>
    <cellStyle name="_Recon to Darrin's 5.11.05 proforma_4 32 Regulatory Assets and Liabilities  7 06- Exhibit D 4 2" xfId="26962"/>
    <cellStyle name="_Recon to Darrin's 5.11.05 proforma_4 32 Regulatory Assets and Liabilities  7 06- Exhibit D 4 2 2" xfId="26963"/>
    <cellStyle name="_Recon to Darrin's 5.11.05 proforma_4 32 Regulatory Assets and Liabilities  7 06- Exhibit D 4 3" xfId="26964"/>
    <cellStyle name="_Recon to Darrin's 5.11.05 proforma_4 32 Regulatory Assets and Liabilities  7 06- Exhibit D 5" xfId="26965"/>
    <cellStyle name="_Recon to Darrin's 5.11.05 proforma_4 32 Regulatory Assets and Liabilities  7 06- Exhibit D 5 2" xfId="26966"/>
    <cellStyle name="_Recon to Darrin's 5.11.05 proforma_4 32 Regulatory Assets and Liabilities  7 06- Exhibit D 6" xfId="26967"/>
    <cellStyle name="_Recon to Darrin's 5.11.05 proforma_4 32 Regulatory Assets and Liabilities  7 06- Exhibit D 6 2" xfId="26968"/>
    <cellStyle name="_Recon to Darrin's 5.11.05 proforma_4 32 Regulatory Assets and Liabilities  7 06- Exhibit D 7" xfId="7776"/>
    <cellStyle name="_Recon to Darrin's 5.11.05 proforma_4 32 Regulatory Assets and Liabilities  7 06- Exhibit D_DEM-WP(C) ENERG10C--ctn Mid-C_042010 2010GRC" xfId="12955"/>
    <cellStyle name="_Recon to Darrin's 5.11.05 proforma_4 32 Regulatory Assets and Liabilities  7 06- Exhibit D_DEM-WP(C) ENERG10C--ctn Mid-C_042010 2010GRC 2" xfId="41606"/>
    <cellStyle name="_Recon to Darrin's 5.11.05 proforma_4 32 Regulatory Assets and Liabilities  7 06- Exhibit D_NIM Summary" xfId="1931"/>
    <cellStyle name="_Recon to Darrin's 5.11.05 proforma_4 32 Regulatory Assets and Liabilities  7 06- Exhibit D_NIM Summary 2" xfId="1932"/>
    <cellStyle name="_Recon to Darrin's 5.11.05 proforma_4 32 Regulatory Assets and Liabilities  7 06- Exhibit D_NIM Summary 2 2" xfId="5299"/>
    <cellStyle name="_Recon to Darrin's 5.11.05 proforma_4 32 Regulatory Assets and Liabilities  7 06- Exhibit D_NIM Summary 2 2 2" xfId="26969"/>
    <cellStyle name="_Recon to Darrin's 5.11.05 proforma_4 32 Regulatory Assets and Liabilities  7 06- Exhibit D_NIM Summary 2 2 2 2" xfId="26970"/>
    <cellStyle name="_Recon to Darrin's 5.11.05 proforma_4 32 Regulatory Assets and Liabilities  7 06- Exhibit D_NIM Summary 2 3" xfId="26971"/>
    <cellStyle name="_Recon to Darrin's 5.11.05 proforma_4 32 Regulatory Assets and Liabilities  7 06- Exhibit D_NIM Summary 2 3 2" xfId="26972"/>
    <cellStyle name="_Recon to Darrin's 5.11.05 proforma_4 32 Regulatory Assets and Liabilities  7 06- Exhibit D_NIM Summary 2 4" xfId="26973"/>
    <cellStyle name="_Recon to Darrin's 5.11.05 proforma_4 32 Regulatory Assets and Liabilities  7 06- Exhibit D_NIM Summary 2 4 2" xfId="26974"/>
    <cellStyle name="_Recon to Darrin's 5.11.05 proforma_4 32 Regulatory Assets and Liabilities  7 06- Exhibit D_NIM Summary 2 5" xfId="7781"/>
    <cellStyle name="_Recon to Darrin's 5.11.05 proforma_4 32 Regulatory Assets and Liabilities  7 06- Exhibit D_NIM Summary 3" xfId="5298"/>
    <cellStyle name="_Recon to Darrin's 5.11.05 proforma_4 32 Regulatory Assets and Liabilities  7 06- Exhibit D_NIM Summary 3 2" xfId="26975"/>
    <cellStyle name="_Recon to Darrin's 5.11.05 proforma_4 32 Regulatory Assets and Liabilities  7 06- Exhibit D_NIM Summary 3 2 2" xfId="26976"/>
    <cellStyle name="_Recon to Darrin's 5.11.05 proforma_4 32 Regulatory Assets and Liabilities  7 06- Exhibit D_NIM Summary 3 3" xfId="26977"/>
    <cellStyle name="_Recon to Darrin's 5.11.05 proforma_4 32 Regulatory Assets and Liabilities  7 06- Exhibit D_NIM Summary 4" xfId="26978"/>
    <cellStyle name="_Recon to Darrin's 5.11.05 proforma_4 32 Regulatory Assets and Liabilities  7 06- Exhibit D_NIM Summary 4 2" xfId="26979"/>
    <cellStyle name="_Recon to Darrin's 5.11.05 proforma_4 32 Regulatory Assets and Liabilities  7 06- Exhibit D_NIM Summary 4 2 2" xfId="26980"/>
    <cellStyle name="_Recon to Darrin's 5.11.05 proforma_4 32 Regulatory Assets and Liabilities  7 06- Exhibit D_NIM Summary 4 3" xfId="26981"/>
    <cellStyle name="_Recon to Darrin's 5.11.05 proforma_4 32 Regulatory Assets and Liabilities  7 06- Exhibit D_NIM Summary 5" xfId="26982"/>
    <cellStyle name="_Recon to Darrin's 5.11.05 proforma_4 32 Regulatory Assets and Liabilities  7 06- Exhibit D_NIM Summary 5 2" xfId="26983"/>
    <cellStyle name="_Recon to Darrin's 5.11.05 proforma_4 32 Regulatory Assets and Liabilities  7 06- Exhibit D_NIM Summary 6" xfId="26984"/>
    <cellStyle name="_Recon to Darrin's 5.11.05 proforma_4 32 Regulatory Assets and Liabilities  7 06- Exhibit D_NIM Summary 6 2" xfId="26985"/>
    <cellStyle name="_Recon to Darrin's 5.11.05 proforma_4 32 Regulatory Assets and Liabilities  7 06- Exhibit D_NIM Summary 7" xfId="7780"/>
    <cellStyle name="_Recon to Darrin's 5.11.05 proforma_4 32 Regulatory Assets and Liabilities  7 06- Exhibit D_NIM Summary_DEM-WP(C) ENERG10C--ctn Mid-C_042010 2010GRC" xfId="12956"/>
    <cellStyle name="_Recon to Darrin's 5.11.05 proforma_4 32 Regulatory Assets and Liabilities  7 06- Exhibit D_NIM Summary_DEM-WP(C) ENERG10C--ctn Mid-C_042010 2010GRC 2" xfId="41607"/>
    <cellStyle name="_Recon to Darrin's 5.11.05 proforma_4 32 Regulatory Assets and Liabilities  7 06- Exhibit D_NIM+O&amp;M" xfId="12957"/>
    <cellStyle name="_Recon to Darrin's 5.11.05 proforma_4 32 Regulatory Assets and Liabilities  7 06- Exhibit D_NIM+O&amp;M 2" xfId="26986"/>
    <cellStyle name="_Recon to Darrin's 5.11.05 proforma_4 32 Regulatory Assets and Liabilities  7 06- Exhibit D_NIM+O&amp;M 2 2" xfId="26987"/>
    <cellStyle name="_Recon to Darrin's 5.11.05 proforma_4 32 Regulatory Assets and Liabilities  7 06- Exhibit D_NIM+O&amp;M 2 2 2" xfId="26988"/>
    <cellStyle name="_Recon to Darrin's 5.11.05 proforma_4 32 Regulatory Assets and Liabilities  7 06- Exhibit D_NIM+O&amp;M 3" xfId="26989"/>
    <cellStyle name="_Recon to Darrin's 5.11.05 proforma_4 32 Regulatory Assets and Liabilities  7 06- Exhibit D_NIM+O&amp;M 3 2" xfId="26990"/>
    <cellStyle name="_Recon to Darrin's 5.11.05 proforma_4 32 Regulatory Assets and Liabilities  7 06- Exhibit D_NIM+O&amp;M 3 2 2" xfId="26991"/>
    <cellStyle name="_Recon to Darrin's 5.11.05 proforma_4 32 Regulatory Assets and Liabilities  7 06- Exhibit D_NIM+O&amp;M 3 3" xfId="26992"/>
    <cellStyle name="_Recon to Darrin's 5.11.05 proforma_4 32 Regulatory Assets and Liabilities  7 06- Exhibit D_NIM+O&amp;M 4" xfId="26993"/>
    <cellStyle name="_Recon to Darrin's 5.11.05 proforma_4 32 Regulatory Assets and Liabilities  7 06- Exhibit D_NIM+O&amp;M 4 2" xfId="26994"/>
    <cellStyle name="_Recon to Darrin's 5.11.05 proforma_4 32 Regulatory Assets and Liabilities  7 06- Exhibit D_NIM+O&amp;M 5" xfId="26995"/>
    <cellStyle name="_Recon to Darrin's 5.11.05 proforma_4 32 Regulatory Assets and Liabilities  7 06- Exhibit D_NIM+O&amp;M 5 2" xfId="26996"/>
    <cellStyle name="_Recon to Darrin's 5.11.05 proforma_4 32 Regulatory Assets and Liabilities  7 06- Exhibit D_NIM+O&amp;M Monthly" xfId="12958"/>
    <cellStyle name="_Recon to Darrin's 5.11.05 proforma_4 32 Regulatory Assets and Liabilities  7 06- Exhibit D_NIM+O&amp;M Monthly 2" xfId="26997"/>
    <cellStyle name="_Recon to Darrin's 5.11.05 proforma_4 32 Regulatory Assets and Liabilities  7 06- Exhibit D_NIM+O&amp;M Monthly 2 2" xfId="26998"/>
    <cellStyle name="_Recon to Darrin's 5.11.05 proforma_4 32 Regulatory Assets and Liabilities  7 06- Exhibit D_NIM+O&amp;M Monthly 2 2 2" xfId="26999"/>
    <cellStyle name="_Recon to Darrin's 5.11.05 proforma_4 32 Regulatory Assets and Liabilities  7 06- Exhibit D_NIM+O&amp;M Monthly 3" xfId="27000"/>
    <cellStyle name="_Recon to Darrin's 5.11.05 proforma_4 32 Regulatory Assets and Liabilities  7 06- Exhibit D_NIM+O&amp;M Monthly 3 2" xfId="27001"/>
    <cellStyle name="_Recon to Darrin's 5.11.05 proforma_4 32 Regulatory Assets and Liabilities  7 06- Exhibit D_NIM+O&amp;M Monthly 3 2 2" xfId="27002"/>
    <cellStyle name="_Recon to Darrin's 5.11.05 proforma_4 32 Regulatory Assets and Liabilities  7 06- Exhibit D_NIM+O&amp;M Monthly 3 3" xfId="27003"/>
    <cellStyle name="_Recon to Darrin's 5.11.05 proforma_4 32 Regulatory Assets and Liabilities  7 06- Exhibit D_NIM+O&amp;M Monthly 4" xfId="27004"/>
    <cellStyle name="_Recon to Darrin's 5.11.05 proforma_4 32 Regulatory Assets and Liabilities  7 06- Exhibit D_NIM+O&amp;M Monthly 4 2" xfId="27005"/>
    <cellStyle name="_Recon to Darrin's 5.11.05 proforma_4 32 Regulatory Assets and Liabilities  7 06- Exhibit D_NIM+O&amp;M Monthly 5" xfId="27006"/>
    <cellStyle name="_Recon to Darrin's 5.11.05 proforma_4 32 Regulatory Assets and Liabilities  7 06- Exhibit D_NIM+O&amp;M Monthly 5 2" xfId="27007"/>
    <cellStyle name="_Recon to Darrin's 5.11.05 proforma_AURORA Total New" xfId="1933"/>
    <cellStyle name="_Recon to Darrin's 5.11.05 proforma_AURORA Total New 2" xfId="1934"/>
    <cellStyle name="_Recon to Darrin's 5.11.05 proforma_AURORA Total New 2 2" xfId="5301"/>
    <cellStyle name="_Recon to Darrin's 5.11.05 proforma_AURORA Total New 2 2 2" xfId="27008"/>
    <cellStyle name="_Recon to Darrin's 5.11.05 proforma_AURORA Total New 2 2 2 2" xfId="27009"/>
    <cellStyle name="_Recon to Darrin's 5.11.05 proforma_AURORA Total New 2 3" xfId="27010"/>
    <cellStyle name="_Recon to Darrin's 5.11.05 proforma_AURORA Total New 2 3 2" xfId="27011"/>
    <cellStyle name="_Recon to Darrin's 5.11.05 proforma_AURORA Total New 2 4" xfId="27012"/>
    <cellStyle name="_Recon to Darrin's 5.11.05 proforma_AURORA Total New 2 4 2" xfId="27013"/>
    <cellStyle name="_Recon to Darrin's 5.11.05 proforma_AURORA Total New 2 5" xfId="7783"/>
    <cellStyle name="_Recon to Darrin's 5.11.05 proforma_AURORA Total New 3" xfId="5300"/>
    <cellStyle name="_Recon to Darrin's 5.11.05 proforma_AURORA Total New 3 2" xfId="27014"/>
    <cellStyle name="_Recon to Darrin's 5.11.05 proforma_AURORA Total New 3 2 2" xfId="27015"/>
    <cellStyle name="_Recon to Darrin's 5.11.05 proforma_AURORA Total New 4" xfId="27016"/>
    <cellStyle name="_Recon to Darrin's 5.11.05 proforma_AURORA Total New 4 2" xfId="27017"/>
    <cellStyle name="_Recon to Darrin's 5.11.05 proforma_AURORA Total New 5" xfId="27018"/>
    <cellStyle name="_Recon to Darrin's 5.11.05 proforma_AURORA Total New 5 2" xfId="27019"/>
    <cellStyle name="_Recon to Darrin's 5.11.05 proforma_AURORA Total New 6" xfId="7782"/>
    <cellStyle name="_Recon to Darrin's 5.11.05 proforma_Book2" xfId="1935"/>
    <cellStyle name="_Recon to Darrin's 5.11.05 proforma_Book2 2" xfId="1936"/>
    <cellStyle name="_Recon to Darrin's 5.11.05 proforma_Book2 2 2" xfId="5303"/>
    <cellStyle name="_Recon to Darrin's 5.11.05 proforma_Book2 2 2 2" xfId="21311"/>
    <cellStyle name="_Recon to Darrin's 5.11.05 proforma_Book2 2 2 2 2" xfId="27020"/>
    <cellStyle name="_Recon to Darrin's 5.11.05 proforma_Book2 2 2 3" xfId="7786"/>
    <cellStyle name="_Recon to Darrin's 5.11.05 proforma_Book2 2 3" xfId="16960"/>
    <cellStyle name="_Recon to Darrin's 5.11.05 proforma_Book2 2 3 2" xfId="27021"/>
    <cellStyle name="_Recon to Darrin's 5.11.05 proforma_Book2 2 4" xfId="27022"/>
    <cellStyle name="_Recon to Darrin's 5.11.05 proforma_Book2 2 4 2" xfId="27023"/>
    <cellStyle name="_Recon to Darrin's 5.11.05 proforma_Book2 2 5" xfId="7785"/>
    <cellStyle name="_Recon to Darrin's 5.11.05 proforma_Book2 3" xfId="5302"/>
    <cellStyle name="_Recon to Darrin's 5.11.05 proforma_Book2 3 2" xfId="21312"/>
    <cellStyle name="_Recon to Darrin's 5.11.05 proforma_Book2 3 2 2" xfId="27024"/>
    <cellStyle name="_Recon to Darrin's 5.11.05 proforma_Book2 3 3" xfId="27025"/>
    <cellStyle name="_Recon to Darrin's 5.11.05 proforma_Book2 3 4" xfId="7787"/>
    <cellStyle name="_Recon to Darrin's 5.11.05 proforma_Book2 4" xfId="16959"/>
    <cellStyle name="_Recon to Darrin's 5.11.05 proforma_Book2 4 2" xfId="27026"/>
    <cellStyle name="_Recon to Darrin's 5.11.05 proforma_Book2 4 2 2" xfId="27027"/>
    <cellStyle name="_Recon to Darrin's 5.11.05 proforma_Book2 4 3" xfId="27028"/>
    <cellStyle name="_Recon to Darrin's 5.11.05 proforma_Book2 5" xfId="27029"/>
    <cellStyle name="_Recon to Darrin's 5.11.05 proforma_Book2 5 2" xfId="27030"/>
    <cellStyle name="_Recon to Darrin's 5.11.05 proforma_Book2 6" xfId="27031"/>
    <cellStyle name="_Recon to Darrin's 5.11.05 proforma_Book2 6 2" xfId="27032"/>
    <cellStyle name="_Recon to Darrin's 5.11.05 proforma_Book2 7" xfId="7784"/>
    <cellStyle name="_Recon to Darrin's 5.11.05 proforma_Book2_Adj Bench DR 3 for Initial Briefs (Electric)" xfId="1937"/>
    <cellStyle name="_Recon to Darrin's 5.11.05 proforma_Book2_Adj Bench DR 3 for Initial Briefs (Electric) 2" xfId="1938"/>
    <cellStyle name="_Recon to Darrin's 5.11.05 proforma_Book2_Adj Bench DR 3 for Initial Briefs (Electric) 2 2" xfId="5305"/>
    <cellStyle name="_Recon to Darrin's 5.11.05 proforma_Book2_Adj Bench DR 3 for Initial Briefs (Electric) 2 2 2" xfId="21313"/>
    <cellStyle name="_Recon to Darrin's 5.11.05 proforma_Book2_Adj Bench DR 3 for Initial Briefs (Electric) 2 2 2 2" xfId="27033"/>
    <cellStyle name="_Recon to Darrin's 5.11.05 proforma_Book2_Adj Bench DR 3 for Initial Briefs (Electric) 2 2 3" xfId="7790"/>
    <cellStyle name="_Recon to Darrin's 5.11.05 proforma_Book2_Adj Bench DR 3 for Initial Briefs (Electric) 2 3" xfId="16962"/>
    <cellStyle name="_Recon to Darrin's 5.11.05 proforma_Book2_Adj Bench DR 3 for Initial Briefs (Electric) 2 3 2" xfId="27034"/>
    <cellStyle name="_Recon to Darrin's 5.11.05 proforma_Book2_Adj Bench DR 3 for Initial Briefs (Electric) 2 4" xfId="27035"/>
    <cellStyle name="_Recon to Darrin's 5.11.05 proforma_Book2_Adj Bench DR 3 for Initial Briefs (Electric) 2 4 2" xfId="27036"/>
    <cellStyle name="_Recon to Darrin's 5.11.05 proforma_Book2_Adj Bench DR 3 for Initial Briefs (Electric) 2 5" xfId="7789"/>
    <cellStyle name="_Recon to Darrin's 5.11.05 proforma_Book2_Adj Bench DR 3 for Initial Briefs (Electric) 3" xfId="5304"/>
    <cellStyle name="_Recon to Darrin's 5.11.05 proforma_Book2_Adj Bench DR 3 for Initial Briefs (Electric) 3 2" xfId="21314"/>
    <cellStyle name="_Recon to Darrin's 5.11.05 proforma_Book2_Adj Bench DR 3 for Initial Briefs (Electric) 3 2 2" xfId="27037"/>
    <cellStyle name="_Recon to Darrin's 5.11.05 proforma_Book2_Adj Bench DR 3 for Initial Briefs (Electric) 3 3" xfId="27038"/>
    <cellStyle name="_Recon to Darrin's 5.11.05 proforma_Book2_Adj Bench DR 3 for Initial Briefs (Electric) 3 4" xfId="7791"/>
    <cellStyle name="_Recon to Darrin's 5.11.05 proforma_Book2_Adj Bench DR 3 for Initial Briefs (Electric) 4" xfId="16961"/>
    <cellStyle name="_Recon to Darrin's 5.11.05 proforma_Book2_Adj Bench DR 3 for Initial Briefs (Electric) 4 2" xfId="27039"/>
    <cellStyle name="_Recon to Darrin's 5.11.05 proforma_Book2_Adj Bench DR 3 for Initial Briefs (Electric) 4 2 2" xfId="27040"/>
    <cellStyle name="_Recon to Darrin's 5.11.05 proforma_Book2_Adj Bench DR 3 for Initial Briefs (Electric) 4 3" xfId="27041"/>
    <cellStyle name="_Recon to Darrin's 5.11.05 proforma_Book2_Adj Bench DR 3 for Initial Briefs (Electric) 5" xfId="27042"/>
    <cellStyle name="_Recon to Darrin's 5.11.05 proforma_Book2_Adj Bench DR 3 for Initial Briefs (Electric) 5 2" xfId="27043"/>
    <cellStyle name="_Recon to Darrin's 5.11.05 proforma_Book2_Adj Bench DR 3 for Initial Briefs (Electric) 6" xfId="27044"/>
    <cellStyle name="_Recon to Darrin's 5.11.05 proforma_Book2_Adj Bench DR 3 for Initial Briefs (Electric) 6 2" xfId="27045"/>
    <cellStyle name="_Recon to Darrin's 5.11.05 proforma_Book2_Adj Bench DR 3 for Initial Briefs (Electric) 7" xfId="7788"/>
    <cellStyle name="_Recon to Darrin's 5.11.05 proforma_Book2_Adj Bench DR 3 for Initial Briefs (Electric)_DEM-WP(C) ENERG10C--ctn Mid-C_042010 2010GRC" xfId="12959"/>
    <cellStyle name="_Recon to Darrin's 5.11.05 proforma_Book2_Adj Bench DR 3 for Initial Briefs (Electric)_DEM-WP(C) ENERG10C--ctn Mid-C_042010 2010GRC 2" xfId="41608"/>
    <cellStyle name="_Recon to Darrin's 5.11.05 proforma_Book2_DEM-WP(C) ENERG10C--ctn Mid-C_042010 2010GRC" xfId="12960"/>
    <cellStyle name="_Recon to Darrin's 5.11.05 proforma_Book2_DEM-WP(C) ENERG10C--ctn Mid-C_042010 2010GRC 2" xfId="41609"/>
    <cellStyle name="_Recon to Darrin's 5.11.05 proforma_Book2_Electric Rev Req Model (2009 GRC) Rebuttal" xfId="1939"/>
    <cellStyle name="_Recon to Darrin's 5.11.05 proforma_Book2_Electric Rev Req Model (2009 GRC) Rebuttal 2" xfId="5306"/>
    <cellStyle name="_Recon to Darrin's 5.11.05 proforma_Book2_Electric Rev Req Model (2009 GRC) Rebuttal 2 2" xfId="7794"/>
    <cellStyle name="_Recon to Darrin's 5.11.05 proforma_Book2_Electric Rev Req Model (2009 GRC) Rebuttal 2 2 2" xfId="21315"/>
    <cellStyle name="_Recon to Darrin's 5.11.05 proforma_Book2_Electric Rev Req Model (2009 GRC) Rebuttal 2 3" xfId="18646"/>
    <cellStyle name="_Recon to Darrin's 5.11.05 proforma_Book2_Electric Rev Req Model (2009 GRC) Rebuttal 2 4" xfId="7793"/>
    <cellStyle name="_Recon to Darrin's 5.11.05 proforma_Book2_Electric Rev Req Model (2009 GRC) Rebuttal 3" xfId="7795"/>
    <cellStyle name="_Recon to Darrin's 5.11.05 proforma_Book2_Electric Rev Req Model (2009 GRC) Rebuttal 3 2" xfId="21316"/>
    <cellStyle name="_Recon to Darrin's 5.11.05 proforma_Book2_Electric Rev Req Model (2009 GRC) Rebuttal 4" xfId="16963"/>
    <cellStyle name="_Recon to Darrin's 5.11.05 proforma_Book2_Electric Rev Req Model (2009 GRC) Rebuttal 5" xfId="7792"/>
    <cellStyle name="_Recon to Darrin's 5.11.05 proforma_Book2_Electric Rev Req Model (2009 GRC) Rebuttal REmoval of New  WH Solar AdjustMI" xfId="1940"/>
    <cellStyle name="_Recon to Darrin's 5.11.05 proforma_Book2_Electric Rev Req Model (2009 GRC) Rebuttal REmoval of New  WH Solar AdjustMI 2" xfId="1941"/>
    <cellStyle name="_Recon to Darrin's 5.11.05 proforma_Book2_Electric Rev Req Model (2009 GRC) Rebuttal REmoval of New  WH Solar AdjustMI 2 2" xfId="5308"/>
    <cellStyle name="_Recon to Darrin's 5.11.05 proforma_Book2_Electric Rev Req Model (2009 GRC) Rebuttal REmoval of New  WH Solar AdjustMI 2 2 2" xfId="21317"/>
    <cellStyle name="_Recon to Darrin's 5.11.05 proforma_Book2_Electric Rev Req Model (2009 GRC) Rebuttal REmoval of New  WH Solar AdjustMI 2 2 2 2" xfId="27046"/>
    <cellStyle name="_Recon to Darrin's 5.11.05 proforma_Book2_Electric Rev Req Model (2009 GRC) Rebuttal REmoval of New  WH Solar AdjustMI 2 2 3" xfId="7798"/>
    <cellStyle name="_Recon to Darrin's 5.11.05 proforma_Book2_Electric Rev Req Model (2009 GRC) Rebuttal REmoval of New  WH Solar AdjustMI 2 3" xfId="16965"/>
    <cellStyle name="_Recon to Darrin's 5.11.05 proforma_Book2_Electric Rev Req Model (2009 GRC) Rebuttal REmoval of New  WH Solar AdjustMI 2 3 2" xfId="27047"/>
    <cellStyle name="_Recon to Darrin's 5.11.05 proforma_Book2_Electric Rev Req Model (2009 GRC) Rebuttal REmoval of New  WH Solar AdjustMI 2 4" xfId="27048"/>
    <cellStyle name="_Recon to Darrin's 5.11.05 proforma_Book2_Electric Rev Req Model (2009 GRC) Rebuttal REmoval of New  WH Solar AdjustMI 2 4 2" xfId="27049"/>
    <cellStyle name="_Recon to Darrin's 5.11.05 proforma_Book2_Electric Rev Req Model (2009 GRC) Rebuttal REmoval of New  WH Solar AdjustMI 2 5" xfId="7797"/>
    <cellStyle name="_Recon to Darrin's 5.11.05 proforma_Book2_Electric Rev Req Model (2009 GRC) Rebuttal REmoval of New  WH Solar AdjustMI 3" xfId="5307"/>
    <cellStyle name="_Recon to Darrin's 5.11.05 proforma_Book2_Electric Rev Req Model (2009 GRC) Rebuttal REmoval of New  WH Solar AdjustMI 3 2" xfId="21318"/>
    <cellStyle name="_Recon to Darrin's 5.11.05 proforma_Book2_Electric Rev Req Model (2009 GRC) Rebuttal REmoval of New  WH Solar AdjustMI 3 2 2" xfId="27050"/>
    <cellStyle name="_Recon to Darrin's 5.11.05 proforma_Book2_Electric Rev Req Model (2009 GRC) Rebuttal REmoval of New  WH Solar AdjustMI 3 3" xfId="27051"/>
    <cellStyle name="_Recon to Darrin's 5.11.05 proforma_Book2_Electric Rev Req Model (2009 GRC) Rebuttal REmoval of New  WH Solar AdjustMI 3 4" xfId="7799"/>
    <cellStyle name="_Recon to Darrin's 5.11.05 proforma_Book2_Electric Rev Req Model (2009 GRC) Rebuttal REmoval of New  WH Solar AdjustMI 4" xfId="16964"/>
    <cellStyle name="_Recon to Darrin's 5.11.05 proforma_Book2_Electric Rev Req Model (2009 GRC) Rebuttal REmoval of New  WH Solar AdjustMI 4 2" xfId="27052"/>
    <cellStyle name="_Recon to Darrin's 5.11.05 proforma_Book2_Electric Rev Req Model (2009 GRC) Rebuttal REmoval of New  WH Solar AdjustMI 4 2 2" xfId="27053"/>
    <cellStyle name="_Recon to Darrin's 5.11.05 proforma_Book2_Electric Rev Req Model (2009 GRC) Rebuttal REmoval of New  WH Solar AdjustMI 4 3" xfId="27054"/>
    <cellStyle name="_Recon to Darrin's 5.11.05 proforma_Book2_Electric Rev Req Model (2009 GRC) Rebuttal REmoval of New  WH Solar AdjustMI 5" xfId="27055"/>
    <cellStyle name="_Recon to Darrin's 5.11.05 proforma_Book2_Electric Rev Req Model (2009 GRC) Rebuttal REmoval of New  WH Solar AdjustMI 5 2" xfId="27056"/>
    <cellStyle name="_Recon to Darrin's 5.11.05 proforma_Book2_Electric Rev Req Model (2009 GRC) Rebuttal REmoval of New  WH Solar AdjustMI 6" xfId="27057"/>
    <cellStyle name="_Recon to Darrin's 5.11.05 proforma_Book2_Electric Rev Req Model (2009 GRC) Rebuttal REmoval of New  WH Solar AdjustMI 6 2" xfId="27058"/>
    <cellStyle name="_Recon to Darrin's 5.11.05 proforma_Book2_Electric Rev Req Model (2009 GRC) Rebuttal REmoval of New  WH Solar AdjustMI 7" xfId="7796"/>
    <cellStyle name="_Recon to Darrin's 5.11.05 proforma_Book2_Electric Rev Req Model (2009 GRC) Rebuttal REmoval of New  WH Solar AdjustMI_DEM-WP(C) ENERG10C--ctn Mid-C_042010 2010GRC" xfId="12961"/>
    <cellStyle name="_Recon to Darrin's 5.11.05 proforma_Book2_Electric Rev Req Model (2009 GRC) Rebuttal REmoval of New  WH Solar AdjustMI_DEM-WP(C) ENERG10C--ctn Mid-C_042010 2010GRC 2" xfId="41610"/>
    <cellStyle name="_Recon to Darrin's 5.11.05 proforma_Book2_Electric Rev Req Model (2009 GRC) Revised 01-18-2010" xfId="1942"/>
    <cellStyle name="_Recon to Darrin's 5.11.05 proforma_Book2_Electric Rev Req Model (2009 GRC) Revised 01-18-2010 2" xfId="1943"/>
    <cellStyle name="_Recon to Darrin's 5.11.05 proforma_Book2_Electric Rev Req Model (2009 GRC) Revised 01-18-2010 2 2" xfId="5310"/>
    <cellStyle name="_Recon to Darrin's 5.11.05 proforma_Book2_Electric Rev Req Model (2009 GRC) Revised 01-18-2010 2 2 2" xfId="21319"/>
    <cellStyle name="_Recon to Darrin's 5.11.05 proforma_Book2_Electric Rev Req Model (2009 GRC) Revised 01-18-2010 2 2 2 2" xfId="27059"/>
    <cellStyle name="_Recon to Darrin's 5.11.05 proforma_Book2_Electric Rev Req Model (2009 GRC) Revised 01-18-2010 2 2 3" xfId="7802"/>
    <cellStyle name="_Recon to Darrin's 5.11.05 proforma_Book2_Electric Rev Req Model (2009 GRC) Revised 01-18-2010 2 3" xfId="16967"/>
    <cellStyle name="_Recon to Darrin's 5.11.05 proforma_Book2_Electric Rev Req Model (2009 GRC) Revised 01-18-2010 2 3 2" xfId="27060"/>
    <cellStyle name="_Recon to Darrin's 5.11.05 proforma_Book2_Electric Rev Req Model (2009 GRC) Revised 01-18-2010 2 4" xfId="27061"/>
    <cellStyle name="_Recon to Darrin's 5.11.05 proforma_Book2_Electric Rev Req Model (2009 GRC) Revised 01-18-2010 2 4 2" xfId="27062"/>
    <cellStyle name="_Recon to Darrin's 5.11.05 proforma_Book2_Electric Rev Req Model (2009 GRC) Revised 01-18-2010 2 5" xfId="7801"/>
    <cellStyle name="_Recon to Darrin's 5.11.05 proforma_Book2_Electric Rev Req Model (2009 GRC) Revised 01-18-2010 3" xfId="5309"/>
    <cellStyle name="_Recon to Darrin's 5.11.05 proforma_Book2_Electric Rev Req Model (2009 GRC) Revised 01-18-2010 3 2" xfId="21320"/>
    <cellStyle name="_Recon to Darrin's 5.11.05 proforma_Book2_Electric Rev Req Model (2009 GRC) Revised 01-18-2010 3 2 2" xfId="27063"/>
    <cellStyle name="_Recon to Darrin's 5.11.05 proforma_Book2_Electric Rev Req Model (2009 GRC) Revised 01-18-2010 3 3" xfId="27064"/>
    <cellStyle name="_Recon to Darrin's 5.11.05 proforma_Book2_Electric Rev Req Model (2009 GRC) Revised 01-18-2010 3 4" xfId="7803"/>
    <cellStyle name="_Recon to Darrin's 5.11.05 proforma_Book2_Electric Rev Req Model (2009 GRC) Revised 01-18-2010 4" xfId="16966"/>
    <cellStyle name="_Recon to Darrin's 5.11.05 proforma_Book2_Electric Rev Req Model (2009 GRC) Revised 01-18-2010 4 2" xfId="27065"/>
    <cellStyle name="_Recon to Darrin's 5.11.05 proforma_Book2_Electric Rev Req Model (2009 GRC) Revised 01-18-2010 4 2 2" xfId="27066"/>
    <cellStyle name="_Recon to Darrin's 5.11.05 proforma_Book2_Electric Rev Req Model (2009 GRC) Revised 01-18-2010 4 3" xfId="27067"/>
    <cellStyle name="_Recon to Darrin's 5.11.05 proforma_Book2_Electric Rev Req Model (2009 GRC) Revised 01-18-2010 5" xfId="27068"/>
    <cellStyle name="_Recon to Darrin's 5.11.05 proforma_Book2_Electric Rev Req Model (2009 GRC) Revised 01-18-2010 5 2" xfId="27069"/>
    <cellStyle name="_Recon to Darrin's 5.11.05 proforma_Book2_Electric Rev Req Model (2009 GRC) Revised 01-18-2010 6" xfId="27070"/>
    <cellStyle name="_Recon to Darrin's 5.11.05 proforma_Book2_Electric Rev Req Model (2009 GRC) Revised 01-18-2010 6 2" xfId="27071"/>
    <cellStyle name="_Recon to Darrin's 5.11.05 proforma_Book2_Electric Rev Req Model (2009 GRC) Revised 01-18-2010 7" xfId="7800"/>
    <cellStyle name="_Recon to Darrin's 5.11.05 proforma_Book2_Electric Rev Req Model (2009 GRC) Revised 01-18-2010_DEM-WP(C) ENERG10C--ctn Mid-C_042010 2010GRC" xfId="12962"/>
    <cellStyle name="_Recon to Darrin's 5.11.05 proforma_Book2_Electric Rev Req Model (2009 GRC) Revised 01-18-2010_DEM-WP(C) ENERG10C--ctn Mid-C_042010 2010GRC 2" xfId="41611"/>
    <cellStyle name="_Recon to Darrin's 5.11.05 proforma_Book2_Final Order Electric EXHIBIT A-1" xfId="1944"/>
    <cellStyle name="_Recon to Darrin's 5.11.05 proforma_Book2_Final Order Electric EXHIBIT A-1 2" xfId="5311"/>
    <cellStyle name="_Recon to Darrin's 5.11.05 proforma_Book2_Final Order Electric EXHIBIT A-1 2 2" xfId="7806"/>
    <cellStyle name="_Recon to Darrin's 5.11.05 proforma_Book2_Final Order Electric EXHIBIT A-1 2 2 2" xfId="21321"/>
    <cellStyle name="_Recon to Darrin's 5.11.05 proforma_Book2_Final Order Electric EXHIBIT A-1 2 3" xfId="18647"/>
    <cellStyle name="_Recon to Darrin's 5.11.05 proforma_Book2_Final Order Electric EXHIBIT A-1 2 4" xfId="7805"/>
    <cellStyle name="_Recon to Darrin's 5.11.05 proforma_Book2_Final Order Electric EXHIBIT A-1 3" xfId="7807"/>
    <cellStyle name="_Recon to Darrin's 5.11.05 proforma_Book2_Final Order Electric EXHIBIT A-1 3 2" xfId="21322"/>
    <cellStyle name="_Recon to Darrin's 5.11.05 proforma_Book2_Final Order Electric EXHIBIT A-1 3 2 2" xfId="27072"/>
    <cellStyle name="_Recon to Darrin's 5.11.05 proforma_Book2_Final Order Electric EXHIBIT A-1 3 3" xfId="27073"/>
    <cellStyle name="_Recon to Darrin's 5.11.05 proforma_Book2_Final Order Electric EXHIBIT A-1 4" xfId="16968"/>
    <cellStyle name="_Recon to Darrin's 5.11.05 proforma_Book2_Final Order Electric EXHIBIT A-1 4 2" xfId="27074"/>
    <cellStyle name="_Recon to Darrin's 5.11.05 proforma_Book2_Final Order Electric EXHIBIT A-1 5" xfId="27075"/>
    <cellStyle name="_Recon to Darrin's 5.11.05 proforma_Book2_Final Order Electric EXHIBIT A-1 6" xfId="27076"/>
    <cellStyle name="_Recon to Darrin's 5.11.05 proforma_Book2_Final Order Electric EXHIBIT A-1 7" xfId="7804"/>
    <cellStyle name="_Recon to Darrin's 5.11.05 proforma_Book4" xfId="1945"/>
    <cellStyle name="_Recon to Darrin's 5.11.05 proforma_Book4 2" xfId="1946"/>
    <cellStyle name="_Recon to Darrin's 5.11.05 proforma_Book4 2 2" xfId="5313"/>
    <cellStyle name="_Recon to Darrin's 5.11.05 proforma_Book4 2 2 2" xfId="21323"/>
    <cellStyle name="_Recon to Darrin's 5.11.05 proforma_Book4 2 2 2 2" xfId="27077"/>
    <cellStyle name="_Recon to Darrin's 5.11.05 proforma_Book4 2 2 3" xfId="7810"/>
    <cellStyle name="_Recon to Darrin's 5.11.05 proforma_Book4 2 3" xfId="16970"/>
    <cellStyle name="_Recon to Darrin's 5.11.05 proforma_Book4 2 3 2" xfId="27078"/>
    <cellStyle name="_Recon to Darrin's 5.11.05 proforma_Book4 2 4" xfId="27079"/>
    <cellStyle name="_Recon to Darrin's 5.11.05 proforma_Book4 2 4 2" xfId="27080"/>
    <cellStyle name="_Recon to Darrin's 5.11.05 proforma_Book4 2 5" xfId="7809"/>
    <cellStyle name="_Recon to Darrin's 5.11.05 proforma_Book4 3" xfId="5312"/>
    <cellStyle name="_Recon to Darrin's 5.11.05 proforma_Book4 3 2" xfId="21324"/>
    <cellStyle name="_Recon to Darrin's 5.11.05 proforma_Book4 3 2 2" xfId="27081"/>
    <cellStyle name="_Recon to Darrin's 5.11.05 proforma_Book4 3 3" xfId="27082"/>
    <cellStyle name="_Recon to Darrin's 5.11.05 proforma_Book4 3 4" xfId="7811"/>
    <cellStyle name="_Recon to Darrin's 5.11.05 proforma_Book4 4" xfId="16969"/>
    <cellStyle name="_Recon to Darrin's 5.11.05 proforma_Book4 4 2" xfId="27083"/>
    <cellStyle name="_Recon to Darrin's 5.11.05 proforma_Book4 4 2 2" xfId="27084"/>
    <cellStyle name="_Recon to Darrin's 5.11.05 proforma_Book4 4 3" xfId="27085"/>
    <cellStyle name="_Recon to Darrin's 5.11.05 proforma_Book4 5" xfId="27086"/>
    <cellStyle name="_Recon to Darrin's 5.11.05 proforma_Book4 5 2" xfId="27087"/>
    <cellStyle name="_Recon to Darrin's 5.11.05 proforma_Book4 6" xfId="27088"/>
    <cellStyle name="_Recon to Darrin's 5.11.05 proforma_Book4 6 2" xfId="27089"/>
    <cellStyle name="_Recon to Darrin's 5.11.05 proforma_Book4 7" xfId="7808"/>
    <cellStyle name="_Recon to Darrin's 5.11.05 proforma_Book4_DEM-WP(C) ENERG10C--ctn Mid-C_042010 2010GRC" xfId="12963"/>
    <cellStyle name="_Recon to Darrin's 5.11.05 proforma_Book4_DEM-WP(C) ENERG10C--ctn Mid-C_042010 2010GRC 2" xfId="41612"/>
    <cellStyle name="_Recon to Darrin's 5.11.05 proforma_Book9" xfId="1947"/>
    <cellStyle name="_Recon to Darrin's 5.11.05 proforma_Book9 2" xfId="1948"/>
    <cellStyle name="_Recon to Darrin's 5.11.05 proforma_Book9 2 2" xfId="5315"/>
    <cellStyle name="_Recon to Darrin's 5.11.05 proforma_Book9 2 2 2" xfId="21325"/>
    <cellStyle name="_Recon to Darrin's 5.11.05 proforma_Book9 2 2 2 2" xfId="27090"/>
    <cellStyle name="_Recon to Darrin's 5.11.05 proforma_Book9 2 2 3" xfId="7814"/>
    <cellStyle name="_Recon to Darrin's 5.11.05 proforma_Book9 2 3" xfId="16972"/>
    <cellStyle name="_Recon to Darrin's 5.11.05 proforma_Book9 2 3 2" xfId="27091"/>
    <cellStyle name="_Recon to Darrin's 5.11.05 proforma_Book9 2 4" xfId="27092"/>
    <cellStyle name="_Recon to Darrin's 5.11.05 proforma_Book9 2 4 2" xfId="27093"/>
    <cellStyle name="_Recon to Darrin's 5.11.05 proforma_Book9 2 5" xfId="7813"/>
    <cellStyle name="_Recon to Darrin's 5.11.05 proforma_Book9 3" xfId="5314"/>
    <cellStyle name="_Recon to Darrin's 5.11.05 proforma_Book9 3 2" xfId="21326"/>
    <cellStyle name="_Recon to Darrin's 5.11.05 proforma_Book9 3 2 2" xfId="27094"/>
    <cellStyle name="_Recon to Darrin's 5.11.05 proforma_Book9 3 3" xfId="27095"/>
    <cellStyle name="_Recon to Darrin's 5.11.05 proforma_Book9 3 4" xfId="7815"/>
    <cellStyle name="_Recon to Darrin's 5.11.05 proforma_Book9 4" xfId="16971"/>
    <cellStyle name="_Recon to Darrin's 5.11.05 proforma_Book9 4 2" xfId="27096"/>
    <cellStyle name="_Recon to Darrin's 5.11.05 proforma_Book9 4 2 2" xfId="27097"/>
    <cellStyle name="_Recon to Darrin's 5.11.05 proforma_Book9 4 3" xfId="27098"/>
    <cellStyle name="_Recon to Darrin's 5.11.05 proforma_Book9 5" xfId="27099"/>
    <cellStyle name="_Recon to Darrin's 5.11.05 proforma_Book9 5 2" xfId="27100"/>
    <cellStyle name="_Recon to Darrin's 5.11.05 proforma_Book9 6" xfId="27101"/>
    <cellStyle name="_Recon to Darrin's 5.11.05 proforma_Book9 6 2" xfId="27102"/>
    <cellStyle name="_Recon to Darrin's 5.11.05 proforma_Book9 7" xfId="7812"/>
    <cellStyle name="_Recon to Darrin's 5.11.05 proforma_Book9_DEM-WP(C) ENERG10C--ctn Mid-C_042010 2010GRC" xfId="12964"/>
    <cellStyle name="_Recon to Darrin's 5.11.05 proforma_Book9_DEM-WP(C) ENERG10C--ctn Mid-C_042010 2010GRC 2" xfId="41613"/>
    <cellStyle name="_Recon to Darrin's 5.11.05 proforma_Check the Interest Calculation" xfId="15178"/>
    <cellStyle name="_Recon to Darrin's 5.11.05 proforma_Check the Interest Calculation 2" xfId="27103"/>
    <cellStyle name="_Recon to Darrin's 5.11.05 proforma_Check the Interest Calculation_Scenario 1 REC vs PTC Offset" xfId="15179"/>
    <cellStyle name="_Recon to Darrin's 5.11.05 proforma_Check the Interest Calculation_Scenario 1 REC vs PTC Offset 2" xfId="27104"/>
    <cellStyle name="_Recon to Darrin's 5.11.05 proforma_Check the Interest Calculation_Scenario 3" xfId="15180"/>
    <cellStyle name="_Recon to Darrin's 5.11.05 proforma_Check the Interest Calculation_Scenario 3 2" xfId="27105"/>
    <cellStyle name="_Recon to Darrin's 5.11.05 proforma_Chelan PUD Power Costs (8-10)" xfId="12965"/>
    <cellStyle name="_Recon to Darrin's 5.11.05 proforma_Chelan PUD Power Costs (8-10) 2" xfId="27106"/>
    <cellStyle name="_Recon to Darrin's 5.11.05 proforma_DEM-WP(C) Chelan Power Costs" xfId="12966"/>
    <cellStyle name="_Recon to Darrin's 5.11.05 proforma_DEM-WP(C) Chelan Power Costs 2" xfId="27107"/>
    <cellStyle name="_Recon to Darrin's 5.11.05 proforma_DEM-WP(C) Chelan Power Costs 2 2" xfId="27108"/>
    <cellStyle name="_Recon to Darrin's 5.11.05 proforma_DEM-WP(C) Chelan Power Costs 2 2 2" xfId="27109"/>
    <cellStyle name="_Recon to Darrin's 5.11.05 proforma_DEM-WP(C) Chelan Power Costs 2 3" xfId="27110"/>
    <cellStyle name="_Recon to Darrin's 5.11.05 proforma_DEM-WP(C) Chelan Power Costs 3" xfId="27111"/>
    <cellStyle name="_Recon to Darrin's 5.11.05 proforma_DEM-WP(C) Chelan Power Costs 3 2" xfId="27112"/>
    <cellStyle name="_Recon to Darrin's 5.11.05 proforma_DEM-WP(C) Chelan Power Costs 3 2 2" xfId="27113"/>
    <cellStyle name="_Recon to Darrin's 5.11.05 proforma_DEM-WP(C) Chelan Power Costs 3 3" xfId="27114"/>
    <cellStyle name="_Recon to Darrin's 5.11.05 proforma_DEM-WP(C) Chelan Power Costs 4" xfId="27115"/>
    <cellStyle name="_Recon to Darrin's 5.11.05 proforma_DEM-WP(C) Chelan Power Costs 4 2" xfId="27116"/>
    <cellStyle name="_Recon to Darrin's 5.11.05 proforma_DEM-WP(C) Chelan Power Costs 5" xfId="27117"/>
    <cellStyle name="_Recon to Darrin's 5.11.05 proforma_DEM-WP(C) Chelan Power Costs 5 2" xfId="27118"/>
    <cellStyle name="_Recon to Darrin's 5.11.05 proforma_DEM-WP(C) ENERG10C--ctn Mid-C_042010 2010GRC" xfId="12967"/>
    <cellStyle name="_Recon to Darrin's 5.11.05 proforma_DEM-WP(C) ENERG10C--ctn Mid-C_042010 2010GRC 2" xfId="41614"/>
    <cellStyle name="_Recon to Darrin's 5.11.05 proforma_DEM-WP(C) Gas Transport 2010GRC" xfId="12968"/>
    <cellStyle name="_Recon to Darrin's 5.11.05 proforma_DEM-WP(C) Gas Transport 2010GRC 2" xfId="27119"/>
    <cellStyle name="_Recon to Darrin's 5.11.05 proforma_DEM-WP(C) Gas Transport 2010GRC 2 2" xfId="27120"/>
    <cellStyle name="_Recon to Darrin's 5.11.05 proforma_DEM-WP(C) Gas Transport 2010GRC 2 2 2" xfId="27121"/>
    <cellStyle name="_Recon to Darrin's 5.11.05 proforma_DEM-WP(C) Gas Transport 2010GRC 2 3" xfId="27122"/>
    <cellStyle name="_Recon to Darrin's 5.11.05 proforma_DEM-WP(C) Gas Transport 2010GRC 3" xfId="27123"/>
    <cellStyle name="_Recon to Darrin's 5.11.05 proforma_DEM-WP(C) Gas Transport 2010GRC 3 2" xfId="27124"/>
    <cellStyle name="_Recon to Darrin's 5.11.05 proforma_DEM-WP(C) Gas Transport 2010GRC 3 2 2" xfId="27125"/>
    <cellStyle name="_Recon to Darrin's 5.11.05 proforma_DEM-WP(C) Gas Transport 2010GRC 3 3" xfId="27126"/>
    <cellStyle name="_Recon to Darrin's 5.11.05 proforma_DEM-WP(C) Gas Transport 2010GRC 4" xfId="27127"/>
    <cellStyle name="_Recon to Darrin's 5.11.05 proforma_DEM-WP(C) Gas Transport 2010GRC 4 2" xfId="27128"/>
    <cellStyle name="_Recon to Darrin's 5.11.05 proforma_DEM-WP(C) Gas Transport 2010GRC 5" xfId="27129"/>
    <cellStyle name="_Recon to Darrin's 5.11.05 proforma_DEM-WP(C) Gas Transport 2010GRC 5 2" xfId="27130"/>
    <cellStyle name="_Recon to Darrin's 5.11.05 proforma_Exh A-1 resulting from UE-112050 effective Jan 1 2012" xfId="15181"/>
    <cellStyle name="_Recon to Darrin's 5.11.05 proforma_Exh A-1 resulting from UE-112050 effective Jan 1 2012 2" xfId="41615"/>
    <cellStyle name="_Recon to Darrin's 5.11.05 proforma_Exhibit A-1 effective 4-1-11 fr S Free 12-11" xfId="15182"/>
    <cellStyle name="_Recon to Darrin's 5.11.05 proforma_Exhibit A-1 effective 4-1-11 fr S Free 12-11 2" xfId="41616"/>
    <cellStyle name="_Recon to Darrin's 5.11.05 proforma_Exhibit D fr R Gho 12-31-08" xfId="1949"/>
    <cellStyle name="_Recon to Darrin's 5.11.05 proforma_Exhibit D fr R Gho 12-31-08 2" xfId="1950"/>
    <cellStyle name="_Recon to Darrin's 5.11.05 proforma_Exhibit D fr R Gho 12-31-08 2 2" xfId="5317"/>
    <cellStyle name="_Recon to Darrin's 5.11.05 proforma_Exhibit D fr R Gho 12-31-08 2 2 2" xfId="27131"/>
    <cellStyle name="_Recon to Darrin's 5.11.05 proforma_Exhibit D fr R Gho 12-31-08 2 2 2 2" xfId="27132"/>
    <cellStyle name="_Recon to Darrin's 5.11.05 proforma_Exhibit D fr R Gho 12-31-08 2 3" xfId="27133"/>
    <cellStyle name="_Recon to Darrin's 5.11.05 proforma_Exhibit D fr R Gho 12-31-08 2 3 2" xfId="27134"/>
    <cellStyle name="_Recon to Darrin's 5.11.05 proforma_Exhibit D fr R Gho 12-31-08 2 4" xfId="27135"/>
    <cellStyle name="_Recon to Darrin's 5.11.05 proforma_Exhibit D fr R Gho 12-31-08 2 4 2" xfId="27136"/>
    <cellStyle name="_Recon to Darrin's 5.11.05 proforma_Exhibit D fr R Gho 12-31-08 2 5" xfId="7817"/>
    <cellStyle name="_Recon to Darrin's 5.11.05 proforma_Exhibit D fr R Gho 12-31-08 3" xfId="5316"/>
    <cellStyle name="_Recon to Darrin's 5.11.05 proforma_Exhibit D fr R Gho 12-31-08 3 2" xfId="27137"/>
    <cellStyle name="_Recon to Darrin's 5.11.05 proforma_Exhibit D fr R Gho 12-31-08 3 2 2" xfId="27138"/>
    <cellStyle name="_Recon to Darrin's 5.11.05 proforma_Exhibit D fr R Gho 12-31-08 3 3" xfId="27139"/>
    <cellStyle name="_Recon to Darrin's 5.11.05 proforma_Exhibit D fr R Gho 12-31-08 4" xfId="27140"/>
    <cellStyle name="_Recon to Darrin's 5.11.05 proforma_Exhibit D fr R Gho 12-31-08 4 2" xfId="27141"/>
    <cellStyle name="_Recon to Darrin's 5.11.05 proforma_Exhibit D fr R Gho 12-31-08 4 2 2" xfId="27142"/>
    <cellStyle name="_Recon to Darrin's 5.11.05 proforma_Exhibit D fr R Gho 12-31-08 4 3" xfId="27143"/>
    <cellStyle name="_Recon to Darrin's 5.11.05 proforma_Exhibit D fr R Gho 12-31-08 5" xfId="27144"/>
    <cellStyle name="_Recon to Darrin's 5.11.05 proforma_Exhibit D fr R Gho 12-31-08 5 2" xfId="27145"/>
    <cellStyle name="_Recon to Darrin's 5.11.05 proforma_Exhibit D fr R Gho 12-31-08 6" xfId="27146"/>
    <cellStyle name="_Recon to Darrin's 5.11.05 proforma_Exhibit D fr R Gho 12-31-08 6 2" xfId="27147"/>
    <cellStyle name="_Recon to Darrin's 5.11.05 proforma_Exhibit D fr R Gho 12-31-08 7" xfId="7816"/>
    <cellStyle name="_Recon to Darrin's 5.11.05 proforma_Exhibit D fr R Gho 12-31-08 v2" xfId="1951"/>
    <cellStyle name="_Recon to Darrin's 5.11.05 proforma_Exhibit D fr R Gho 12-31-08 v2 2" xfId="1952"/>
    <cellStyle name="_Recon to Darrin's 5.11.05 proforma_Exhibit D fr R Gho 12-31-08 v2 2 2" xfId="5319"/>
    <cellStyle name="_Recon to Darrin's 5.11.05 proforma_Exhibit D fr R Gho 12-31-08 v2 2 2 2" xfId="27148"/>
    <cellStyle name="_Recon to Darrin's 5.11.05 proforma_Exhibit D fr R Gho 12-31-08 v2 2 2 2 2" xfId="27149"/>
    <cellStyle name="_Recon to Darrin's 5.11.05 proforma_Exhibit D fr R Gho 12-31-08 v2 2 3" xfId="27150"/>
    <cellStyle name="_Recon to Darrin's 5.11.05 proforma_Exhibit D fr R Gho 12-31-08 v2 2 3 2" xfId="27151"/>
    <cellStyle name="_Recon to Darrin's 5.11.05 proforma_Exhibit D fr R Gho 12-31-08 v2 2 4" xfId="27152"/>
    <cellStyle name="_Recon to Darrin's 5.11.05 proforma_Exhibit D fr R Gho 12-31-08 v2 2 4 2" xfId="27153"/>
    <cellStyle name="_Recon to Darrin's 5.11.05 proforma_Exhibit D fr R Gho 12-31-08 v2 2 5" xfId="7819"/>
    <cellStyle name="_Recon to Darrin's 5.11.05 proforma_Exhibit D fr R Gho 12-31-08 v2 3" xfId="5318"/>
    <cellStyle name="_Recon to Darrin's 5.11.05 proforma_Exhibit D fr R Gho 12-31-08 v2 3 2" xfId="27154"/>
    <cellStyle name="_Recon to Darrin's 5.11.05 proforma_Exhibit D fr R Gho 12-31-08 v2 3 2 2" xfId="27155"/>
    <cellStyle name="_Recon to Darrin's 5.11.05 proforma_Exhibit D fr R Gho 12-31-08 v2 3 3" xfId="27156"/>
    <cellStyle name="_Recon to Darrin's 5.11.05 proforma_Exhibit D fr R Gho 12-31-08 v2 4" xfId="27157"/>
    <cellStyle name="_Recon to Darrin's 5.11.05 proforma_Exhibit D fr R Gho 12-31-08 v2 4 2" xfId="27158"/>
    <cellStyle name="_Recon to Darrin's 5.11.05 proforma_Exhibit D fr R Gho 12-31-08 v2 4 2 2" xfId="27159"/>
    <cellStyle name="_Recon to Darrin's 5.11.05 proforma_Exhibit D fr R Gho 12-31-08 v2 4 3" xfId="27160"/>
    <cellStyle name="_Recon to Darrin's 5.11.05 proforma_Exhibit D fr R Gho 12-31-08 v2 5" xfId="27161"/>
    <cellStyle name="_Recon to Darrin's 5.11.05 proforma_Exhibit D fr R Gho 12-31-08 v2 5 2" xfId="27162"/>
    <cellStyle name="_Recon to Darrin's 5.11.05 proforma_Exhibit D fr R Gho 12-31-08 v2 6" xfId="27163"/>
    <cellStyle name="_Recon to Darrin's 5.11.05 proforma_Exhibit D fr R Gho 12-31-08 v2 6 2" xfId="27164"/>
    <cellStyle name="_Recon to Darrin's 5.11.05 proforma_Exhibit D fr R Gho 12-31-08 v2 7" xfId="7818"/>
    <cellStyle name="_Recon to Darrin's 5.11.05 proforma_Exhibit D fr R Gho 12-31-08 v2_DEM-WP(C) ENERG10C--ctn Mid-C_042010 2010GRC" xfId="12969"/>
    <cellStyle name="_Recon to Darrin's 5.11.05 proforma_Exhibit D fr R Gho 12-31-08 v2_DEM-WP(C) ENERG10C--ctn Mid-C_042010 2010GRC 2" xfId="41617"/>
    <cellStyle name="_Recon to Darrin's 5.11.05 proforma_Exhibit D fr R Gho 12-31-08 v2_NIM Summary" xfId="1953"/>
    <cellStyle name="_Recon to Darrin's 5.11.05 proforma_Exhibit D fr R Gho 12-31-08 v2_NIM Summary 2" xfId="1954"/>
    <cellStyle name="_Recon to Darrin's 5.11.05 proforma_Exhibit D fr R Gho 12-31-08 v2_NIM Summary 2 2" xfId="5321"/>
    <cellStyle name="_Recon to Darrin's 5.11.05 proforma_Exhibit D fr R Gho 12-31-08 v2_NIM Summary 2 2 2" xfId="27165"/>
    <cellStyle name="_Recon to Darrin's 5.11.05 proforma_Exhibit D fr R Gho 12-31-08 v2_NIM Summary 2 2 2 2" xfId="27166"/>
    <cellStyle name="_Recon to Darrin's 5.11.05 proforma_Exhibit D fr R Gho 12-31-08 v2_NIM Summary 2 3" xfId="27167"/>
    <cellStyle name="_Recon to Darrin's 5.11.05 proforma_Exhibit D fr R Gho 12-31-08 v2_NIM Summary 2 3 2" xfId="27168"/>
    <cellStyle name="_Recon to Darrin's 5.11.05 proforma_Exhibit D fr R Gho 12-31-08 v2_NIM Summary 2 4" xfId="27169"/>
    <cellStyle name="_Recon to Darrin's 5.11.05 proforma_Exhibit D fr R Gho 12-31-08 v2_NIM Summary 2 4 2" xfId="27170"/>
    <cellStyle name="_Recon to Darrin's 5.11.05 proforma_Exhibit D fr R Gho 12-31-08 v2_NIM Summary 2 5" xfId="7821"/>
    <cellStyle name="_Recon to Darrin's 5.11.05 proforma_Exhibit D fr R Gho 12-31-08 v2_NIM Summary 3" xfId="5320"/>
    <cellStyle name="_Recon to Darrin's 5.11.05 proforma_Exhibit D fr R Gho 12-31-08 v2_NIM Summary 3 2" xfId="27171"/>
    <cellStyle name="_Recon to Darrin's 5.11.05 proforma_Exhibit D fr R Gho 12-31-08 v2_NIM Summary 3 2 2" xfId="27172"/>
    <cellStyle name="_Recon to Darrin's 5.11.05 proforma_Exhibit D fr R Gho 12-31-08 v2_NIM Summary 3 3" xfId="27173"/>
    <cellStyle name="_Recon to Darrin's 5.11.05 proforma_Exhibit D fr R Gho 12-31-08 v2_NIM Summary 4" xfId="27174"/>
    <cellStyle name="_Recon to Darrin's 5.11.05 proforma_Exhibit D fr R Gho 12-31-08 v2_NIM Summary 4 2" xfId="27175"/>
    <cellStyle name="_Recon to Darrin's 5.11.05 proforma_Exhibit D fr R Gho 12-31-08 v2_NIM Summary 4 2 2" xfId="27176"/>
    <cellStyle name="_Recon to Darrin's 5.11.05 proforma_Exhibit D fr R Gho 12-31-08 v2_NIM Summary 4 3" xfId="27177"/>
    <cellStyle name="_Recon to Darrin's 5.11.05 proforma_Exhibit D fr R Gho 12-31-08 v2_NIM Summary 5" xfId="27178"/>
    <cellStyle name="_Recon to Darrin's 5.11.05 proforma_Exhibit D fr R Gho 12-31-08 v2_NIM Summary 5 2" xfId="27179"/>
    <cellStyle name="_Recon to Darrin's 5.11.05 proforma_Exhibit D fr R Gho 12-31-08 v2_NIM Summary 6" xfId="27180"/>
    <cellStyle name="_Recon to Darrin's 5.11.05 proforma_Exhibit D fr R Gho 12-31-08 v2_NIM Summary 6 2" xfId="27181"/>
    <cellStyle name="_Recon to Darrin's 5.11.05 proforma_Exhibit D fr R Gho 12-31-08 v2_NIM Summary 7" xfId="7820"/>
    <cellStyle name="_Recon to Darrin's 5.11.05 proforma_Exhibit D fr R Gho 12-31-08 v2_NIM Summary_DEM-WP(C) ENERG10C--ctn Mid-C_042010 2010GRC" xfId="12970"/>
    <cellStyle name="_Recon to Darrin's 5.11.05 proforma_Exhibit D fr R Gho 12-31-08 v2_NIM Summary_DEM-WP(C) ENERG10C--ctn Mid-C_042010 2010GRC 2" xfId="41618"/>
    <cellStyle name="_Recon to Darrin's 5.11.05 proforma_Exhibit D fr R Gho 12-31-08_DEM-WP(C) ENERG10C--ctn Mid-C_042010 2010GRC" xfId="12971"/>
    <cellStyle name="_Recon to Darrin's 5.11.05 proforma_Exhibit D fr R Gho 12-31-08_DEM-WP(C) ENERG10C--ctn Mid-C_042010 2010GRC 2" xfId="41619"/>
    <cellStyle name="_Recon to Darrin's 5.11.05 proforma_Exhibit D fr R Gho 12-31-08_NIM Summary" xfId="1955"/>
    <cellStyle name="_Recon to Darrin's 5.11.05 proforma_Exhibit D fr R Gho 12-31-08_NIM Summary 2" xfId="1956"/>
    <cellStyle name="_Recon to Darrin's 5.11.05 proforma_Exhibit D fr R Gho 12-31-08_NIM Summary 2 2" xfId="5323"/>
    <cellStyle name="_Recon to Darrin's 5.11.05 proforma_Exhibit D fr R Gho 12-31-08_NIM Summary 2 2 2" xfId="27182"/>
    <cellStyle name="_Recon to Darrin's 5.11.05 proforma_Exhibit D fr R Gho 12-31-08_NIM Summary 2 2 2 2" xfId="27183"/>
    <cellStyle name="_Recon to Darrin's 5.11.05 proforma_Exhibit D fr R Gho 12-31-08_NIM Summary 2 3" xfId="27184"/>
    <cellStyle name="_Recon to Darrin's 5.11.05 proforma_Exhibit D fr R Gho 12-31-08_NIM Summary 2 3 2" xfId="27185"/>
    <cellStyle name="_Recon to Darrin's 5.11.05 proforma_Exhibit D fr R Gho 12-31-08_NIM Summary 2 4" xfId="27186"/>
    <cellStyle name="_Recon to Darrin's 5.11.05 proforma_Exhibit D fr R Gho 12-31-08_NIM Summary 2 4 2" xfId="27187"/>
    <cellStyle name="_Recon to Darrin's 5.11.05 proforma_Exhibit D fr R Gho 12-31-08_NIM Summary 2 5" xfId="7823"/>
    <cellStyle name="_Recon to Darrin's 5.11.05 proforma_Exhibit D fr R Gho 12-31-08_NIM Summary 3" xfId="5322"/>
    <cellStyle name="_Recon to Darrin's 5.11.05 proforma_Exhibit D fr R Gho 12-31-08_NIM Summary 3 2" xfId="27188"/>
    <cellStyle name="_Recon to Darrin's 5.11.05 proforma_Exhibit D fr R Gho 12-31-08_NIM Summary 3 2 2" xfId="27189"/>
    <cellStyle name="_Recon to Darrin's 5.11.05 proforma_Exhibit D fr R Gho 12-31-08_NIM Summary 3 3" xfId="27190"/>
    <cellStyle name="_Recon to Darrin's 5.11.05 proforma_Exhibit D fr R Gho 12-31-08_NIM Summary 4" xfId="27191"/>
    <cellStyle name="_Recon to Darrin's 5.11.05 proforma_Exhibit D fr R Gho 12-31-08_NIM Summary 4 2" xfId="27192"/>
    <cellStyle name="_Recon to Darrin's 5.11.05 proforma_Exhibit D fr R Gho 12-31-08_NIM Summary 4 2 2" xfId="27193"/>
    <cellStyle name="_Recon to Darrin's 5.11.05 proforma_Exhibit D fr R Gho 12-31-08_NIM Summary 4 3" xfId="27194"/>
    <cellStyle name="_Recon to Darrin's 5.11.05 proforma_Exhibit D fr R Gho 12-31-08_NIM Summary 5" xfId="27195"/>
    <cellStyle name="_Recon to Darrin's 5.11.05 proforma_Exhibit D fr R Gho 12-31-08_NIM Summary 5 2" xfId="27196"/>
    <cellStyle name="_Recon to Darrin's 5.11.05 proforma_Exhibit D fr R Gho 12-31-08_NIM Summary 6" xfId="27197"/>
    <cellStyle name="_Recon to Darrin's 5.11.05 proforma_Exhibit D fr R Gho 12-31-08_NIM Summary 6 2" xfId="27198"/>
    <cellStyle name="_Recon to Darrin's 5.11.05 proforma_Exhibit D fr R Gho 12-31-08_NIM Summary 7" xfId="7822"/>
    <cellStyle name="_Recon to Darrin's 5.11.05 proforma_Exhibit D fr R Gho 12-31-08_NIM Summary_DEM-WP(C) ENERG10C--ctn Mid-C_042010 2010GRC" xfId="12972"/>
    <cellStyle name="_Recon to Darrin's 5.11.05 proforma_Exhibit D fr R Gho 12-31-08_NIM Summary_DEM-WP(C) ENERG10C--ctn Mid-C_042010 2010GRC 2" xfId="41620"/>
    <cellStyle name="_Recon to Darrin's 5.11.05 proforma_Hopkins Ridge Prepaid Tran - Interest Earned RY 12ME Feb  '11" xfId="1957"/>
    <cellStyle name="_Recon to Darrin's 5.11.05 proforma_Hopkins Ridge Prepaid Tran - Interest Earned RY 12ME Feb  '11 2" xfId="1958"/>
    <cellStyle name="_Recon to Darrin's 5.11.05 proforma_Hopkins Ridge Prepaid Tran - Interest Earned RY 12ME Feb  '11 2 2" xfId="5325"/>
    <cellStyle name="_Recon to Darrin's 5.11.05 proforma_Hopkins Ridge Prepaid Tran - Interest Earned RY 12ME Feb  '11 2 2 2" xfId="27199"/>
    <cellStyle name="_Recon to Darrin's 5.11.05 proforma_Hopkins Ridge Prepaid Tran - Interest Earned RY 12ME Feb  '11 2 2 2 2" xfId="27200"/>
    <cellStyle name="_Recon to Darrin's 5.11.05 proforma_Hopkins Ridge Prepaid Tran - Interest Earned RY 12ME Feb  '11 2 3" xfId="27201"/>
    <cellStyle name="_Recon to Darrin's 5.11.05 proforma_Hopkins Ridge Prepaid Tran - Interest Earned RY 12ME Feb  '11 2 3 2" xfId="27202"/>
    <cellStyle name="_Recon to Darrin's 5.11.05 proforma_Hopkins Ridge Prepaid Tran - Interest Earned RY 12ME Feb  '11 2 4" xfId="27203"/>
    <cellStyle name="_Recon to Darrin's 5.11.05 proforma_Hopkins Ridge Prepaid Tran - Interest Earned RY 12ME Feb  '11 2 4 2" xfId="27204"/>
    <cellStyle name="_Recon to Darrin's 5.11.05 proforma_Hopkins Ridge Prepaid Tran - Interest Earned RY 12ME Feb  '11 2 5" xfId="7825"/>
    <cellStyle name="_Recon to Darrin's 5.11.05 proforma_Hopkins Ridge Prepaid Tran - Interest Earned RY 12ME Feb  '11 3" xfId="5324"/>
    <cellStyle name="_Recon to Darrin's 5.11.05 proforma_Hopkins Ridge Prepaid Tran - Interest Earned RY 12ME Feb  '11 3 2" xfId="27205"/>
    <cellStyle name="_Recon to Darrin's 5.11.05 proforma_Hopkins Ridge Prepaid Tran - Interest Earned RY 12ME Feb  '11 3 2 2" xfId="27206"/>
    <cellStyle name="_Recon to Darrin's 5.11.05 proforma_Hopkins Ridge Prepaid Tran - Interest Earned RY 12ME Feb  '11 3 3" xfId="27207"/>
    <cellStyle name="_Recon to Darrin's 5.11.05 proforma_Hopkins Ridge Prepaid Tran - Interest Earned RY 12ME Feb  '11 4" xfId="27208"/>
    <cellStyle name="_Recon to Darrin's 5.11.05 proforma_Hopkins Ridge Prepaid Tran - Interest Earned RY 12ME Feb  '11 4 2" xfId="27209"/>
    <cellStyle name="_Recon to Darrin's 5.11.05 proforma_Hopkins Ridge Prepaid Tran - Interest Earned RY 12ME Feb  '11 4 2 2" xfId="27210"/>
    <cellStyle name="_Recon to Darrin's 5.11.05 proforma_Hopkins Ridge Prepaid Tran - Interest Earned RY 12ME Feb  '11 4 3" xfId="27211"/>
    <cellStyle name="_Recon to Darrin's 5.11.05 proforma_Hopkins Ridge Prepaid Tran - Interest Earned RY 12ME Feb  '11 5" xfId="27212"/>
    <cellStyle name="_Recon to Darrin's 5.11.05 proforma_Hopkins Ridge Prepaid Tran - Interest Earned RY 12ME Feb  '11 5 2" xfId="27213"/>
    <cellStyle name="_Recon to Darrin's 5.11.05 proforma_Hopkins Ridge Prepaid Tran - Interest Earned RY 12ME Feb  '11 6" xfId="27214"/>
    <cellStyle name="_Recon to Darrin's 5.11.05 proforma_Hopkins Ridge Prepaid Tran - Interest Earned RY 12ME Feb  '11 6 2" xfId="27215"/>
    <cellStyle name="_Recon to Darrin's 5.11.05 proforma_Hopkins Ridge Prepaid Tran - Interest Earned RY 12ME Feb  '11 7" xfId="7824"/>
    <cellStyle name="_Recon to Darrin's 5.11.05 proforma_Hopkins Ridge Prepaid Tran - Interest Earned RY 12ME Feb  '11_DEM-WP(C) ENERG10C--ctn Mid-C_042010 2010GRC" xfId="12973"/>
    <cellStyle name="_Recon to Darrin's 5.11.05 proforma_Hopkins Ridge Prepaid Tran - Interest Earned RY 12ME Feb  '11_DEM-WP(C) ENERG10C--ctn Mid-C_042010 2010GRC 2" xfId="41621"/>
    <cellStyle name="_Recon to Darrin's 5.11.05 proforma_Hopkins Ridge Prepaid Tran - Interest Earned RY 12ME Feb  '11_NIM Summary" xfId="1959"/>
    <cellStyle name="_Recon to Darrin's 5.11.05 proforma_Hopkins Ridge Prepaid Tran - Interest Earned RY 12ME Feb  '11_NIM Summary 2" xfId="1960"/>
    <cellStyle name="_Recon to Darrin's 5.11.05 proforma_Hopkins Ridge Prepaid Tran - Interest Earned RY 12ME Feb  '11_NIM Summary 2 2" xfId="5327"/>
    <cellStyle name="_Recon to Darrin's 5.11.05 proforma_Hopkins Ridge Prepaid Tran - Interest Earned RY 12ME Feb  '11_NIM Summary 2 2 2" xfId="27216"/>
    <cellStyle name="_Recon to Darrin's 5.11.05 proforma_Hopkins Ridge Prepaid Tran - Interest Earned RY 12ME Feb  '11_NIM Summary 2 2 2 2" xfId="27217"/>
    <cellStyle name="_Recon to Darrin's 5.11.05 proforma_Hopkins Ridge Prepaid Tran - Interest Earned RY 12ME Feb  '11_NIM Summary 2 3" xfId="27218"/>
    <cellStyle name="_Recon to Darrin's 5.11.05 proforma_Hopkins Ridge Prepaid Tran - Interest Earned RY 12ME Feb  '11_NIM Summary 2 3 2" xfId="27219"/>
    <cellStyle name="_Recon to Darrin's 5.11.05 proforma_Hopkins Ridge Prepaid Tran - Interest Earned RY 12ME Feb  '11_NIM Summary 2 4" xfId="27220"/>
    <cellStyle name="_Recon to Darrin's 5.11.05 proforma_Hopkins Ridge Prepaid Tran - Interest Earned RY 12ME Feb  '11_NIM Summary 2 4 2" xfId="27221"/>
    <cellStyle name="_Recon to Darrin's 5.11.05 proforma_Hopkins Ridge Prepaid Tran - Interest Earned RY 12ME Feb  '11_NIM Summary 2 5" xfId="7827"/>
    <cellStyle name="_Recon to Darrin's 5.11.05 proforma_Hopkins Ridge Prepaid Tran - Interest Earned RY 12ME Feb  '11_NIM Summary 3" xfId="5326"/>
    <cellStyle name="_Recon to Darrin's 5.11.05 proforma_Hopkins Ridge Prepaid Tran - Interest Earned RY 12ME Feb  '11_NIM Summary 3 2" xfId="27222"/>
    <cellStyle name="_Recon to Darrin's 5.11.05 proforma_Hopkins Ridge Prepaid Tran - Interest Earned RY 12ME Feb  '11_NIM Summary 3 2 2" xfId="27223"/>
    <cellStyle name="_Recon to Darrin's 5.11.05 proforma_Hopkins Ridge Prepaid Tran - Interest Earned RY 12ME Feb  '11_NIM Summary 3 3" xfId="27224"/>
    <cellStyle name="_Recon to Darrin's 5.11.05 proforma_Hopkins Ridge Prepaid Tran - Interest Earned RY 12ME Feb  '11_NIM Summary 4" xfId="27225"/>
    <cellStyle name="_Recon to Darrin's 5.11.05 proforma_Hopkins Ridge Prepaid Tran - Interest Earned RY 12ME Feb  '11_NIM Summary 4 2" xfId="27226"/>
    <cellStyle name="_Recon to Darrin's 5.11.05 proforma_Hopkins Ridge Prepaid Tran - Interest Earned RY 12ME Feb  '11_NIM Summary 4 2 2" xfId="27227"/>
    <cellStyle name="_Recon to Darrin's 5.11.05 proforma_Hopkins Ridge Prepaid Tran - Interest Earned RY 12ME Feb  '11_NIM Summary 4 3" xfId="27228"/>
    <cellStyle name="_Recon to Darrin's 5.11.05 proforma_Hopkins Ridge Prepaid Tran - Interest Earned RY 12ME Feb  '11_NIM Summary 5" xfId="27229"/>
    <cellStyle name="_Recon to Darrin's 5.11.05 proforma_Hopkins Ridge Prepaid Tran - Interest Earned RY 12ME Feb  '11_NIM Summary 5 2" xfId="27230"/>
    <cellStyle name="_Recon to Darrin's 5.11.05 proforma_Hopkins Ridge Prepaid Tran - Interest Earned RY 12ME Feb  '11_NIM Summary 6" xfId="27231"/>
    <cellStyle name="_Recon to Darrin's 5.11.05 proforma_Hopkins Ridge Prepaid Tran - Interest Earned RY 12ME Feb  '11_NIM Summary 6 2" xfId="27232"/>
    <cellStyle name="_Recon to Darrin's 5.11.05 proforma_Hopkins Ridge Prepaid Tran - Interest Earned RY 12ME Feb  '11_NIM Summary 7" xfId="7826"/>
    <cellStyle name="_Recon to Darrin's 5.11.05 proforma_Hopkins Ridge Prepaid Tran - Interest Earned RY 12ME Feb  '11_NIM Summary_DEM-WP(C) ENERG10C--ctn Mid-C_042010 2010GRC" xfId="12974"/>
    <cellStyle name="_Recon to Darrin's 5.11.05 proforma_Hopkins Ridge Prepaid Tran - Interest Earned RY 12ME Feb  '11_NIM Summary_DEM-WP(C) ENERG10C--ctn Mid-C_042010 2010GRC 2" xfId="41622"/>
    <cellStyle name="_Recon to Darrin's 5.11.05 proforma_Hopkins Ridge Prepaid Tran - Interest Earned RY 12ME Feb  '11_Transmission Workbook for May BOD" xfId="1961"/>
    <cellStyle name="_Recon to Darrin's 5.11.05 proforma_Hopkins Ridge Prepaid Tran - Interest Earned RY 12ME Feb  '11_Transmission Workbook for May BOD 2" xfId="1962"/>
    <cellStyle name="_Recon to Darrin's 5.11.05 proforma_Hopkins Ridge Prepaid Tran - Interest Earned RY 12ME Feb  '11_Transmission Workbook for May BOD 2 2" xfId="5329"/>
    <cellStyle name="_Recon to Darrin's 5.11.05 proforma_Hopkins Ridge Prepaid Tran - Interest Earned RY 12ME Feb  '11_Transmission Workbook for May BOD 2 2 2" xfId="27233"/>
    <cellStyle name="_Recon to Darrin's 5.11.05 proforma_Hopkins Ridge Prepaid Tran - Interest Earned RY 12ME Feb  '11_Transmission Workbook for May BOD 2 2 2 2" xfId="27234"/>
    <cellStyle name="_Recon to Darrin's 5.11.05 proforma_Hopkins Ridge Prepaid Tran - Interest Earned RY 12ME Feb  '11_Transmission Workbook for May BOD 2 3" xfId="27235"/>
    <cellStyle name="_Recon to Darrin's 5.11.05 proforma_Hopkins Ridge Prepaid Tran - Interest Earned RY 12ME Feb  '11_Transmission Workbook for May BOD 2 3 2" xfId="27236"/>
    <cellStyle name="_Recon to Darrin's 5.11.05 proforma_Hopkins Ridge Prepaid Tran - Interest Earned RY 12ME Feb  '11_Transmission Workbook for May BOD 2 4" xfId="27237"/>
    <cellStyle name="_Recon to Darrin's 5.11.05 proforma_Hopkins Ridge Prepaid Tran - Interest Earned RY 12ME Feb  '11_Transmission Workbook for May BOD 2 4 2" xfId="27238"/>
    <cellStyle name="_Recon to Darrin's 5.11.05 proforma_Hopkins Ridge Prepaid Tran - Interest Earned RY 12ME Feb  '11_Transmission Workbook for May BOD 2 5" xfId="7829"/>
    <cellStyle name="_Recon to Darrin's 5.11.05 proforma_Hopkins Ridge Prepaid Tran - Interest Earned RY 12ME Feb  '11_Transmission Workbook for May BOD 3" xfId="5328"/>
    <cellStyle name="_Recon to Darrin's 5.11.05 proforma_Hopkins Ridge Prepaid Tran - Interest Earned RY 12ME Feb  '11_Transmission Workbook for May BOD 3 2" xfId="27239"/>
    <cellStyle name="_Recon to Darrin's 5.11.05 proforma_Hopkins Ridge Prepaid Tran - Interest Earned RY 12ME Feb  '11_Transmission Workbook for May BOD 3 2 2" xfId="27240"/>
    <cellStyle name="_Recon to Darrin's 5.11.05 proforma_Hopkins Ridge Prepaid Tran - Interest Earned RY 12ME Feb  '11_Transmission Workbook for May BOD 3 3" xfId="27241"/>
    <cellStyle name="_Recon to Darrin's 5.11.05 proforma_Hopkins Ridge Prepaid Tran - Interest Earned RY 12ME Feb  '11_Transmission Workbook for May BOD 4" xfId="27242"/>
    <cellStyle name="_Recon to Darrin's 5.11.05 proforma_Hopkins Ridge Prepaid Tran - Interest Earned RY 12ME Feb  '11_Transmission Workbook for May BOD 4 2" xfId="27243"/>
    <cellStyle name="_Recon to Darrin's 5.11.05 proforma_Hopkins Ridge Prepaid Tran - Interest Earned RY 12ME Feb  '11_Transmission Workbook for May BOD 4 2 2" xfId="27244"/>
    <cellStyle name="_Recon to Darrin's 5.11.05 proforma_Hopkins Ridge Prepaid Tran - Interest Earned RY 12ME Feb  '11_Transmission Workbook for May BOD 4 3" xfId="27245"/>
    <cellStyle name="_Recon to Darrin's 5.11.05 proforma_Hopkins Ridge Prepaid Tran - Interest Earned RY 12ME Feb  '11_Transmission Workbook for May BOD 5" xfId="27246"/>
    <cellStyle name="_Recon to Darrin's 5.11.05 proforma_Hopkins Ridge Prepaid Tran - Interest Earned RY 12ME Feb  '11_Transmission Workbook for May BOD 5 2" xfId="27247"/>
    <cellStyle name="_Recon to Darrin's 5.11.05 proforma_Hopkins Ridge Prepaid Tran - Interest Earned RY 12ME Feb  '11_Transmission Workbook for May BOD 6" xfId="27248"/>
    <cellStyle name="_Recon to Darrin's 5.11.05 proforma_Hopkins Ridge Prepaid Tran - Interest Earned RY 12ME Feb  '11_Transmission Workbook for May BOD 6 2" xfId="27249"/>
    <cellStyle name="_Recon to Darrin's 5.11.05 proforma_Hopkins Ridge Prepaid Tran - Interest Earned RY 12ME Feb  '11_Transmission Workbook for May BOD 7" xfId="7828"/>
    <cellStyle name="_Recon to Darrin's 5.11.05 proforma_Hopkins Ridge Prepaid Tran - Interest Earned RY 12ME Feb  '11_Transmission Workbook for May BOD_DEM-WP(C) ENERG10C--ctn Mid-C_042010 2010GRC" xfId="12975"/>
    <cellStyle name="_Recon to Darrin's 5.11.05 proforma_Hopkins Ridge Prepaid Tran - Interest Earned RY 12ME Feb  '11_Transmission Workbook for May BOD_DEM-WP(C) ENERG10C--ctn Mid-C_042010 2010GRC 2" xfId="41623"/>
    <cellStyle name="_Recon to Darrin's 5.11.05 proforma_INPUTS" xfId="7830"/>
    <cellStyle name="_Recon to Darrin's 5.11.05 proforma_INPUTS 2" xfId="7831"/>
    <cellStyle name="_Recon to Darrin's 5.11.05 proforma_INPUTS 2 2" xfId="7832"/>
    <cellStyle name="_Recon to Darrin's 5.11.05 proforma_INPUTS 2 2 2" xfId="21327"/>
    <cellStyle name="_Recon to Darrin's 5.11.05 proforma_INPUTS 2 3" xfId="18649"/>
    <cellStyle name="_Recon to Darrin's 5.11.05 proforma_INPUTS 3" xfId="7833"/>
    <cellStyle name="_Recon to Darrin's 5.11.05 proforma_INPUTS 3 2" xfId="21328"/>
    <cellStyle name="_Recon to Darrin's 5.11.05 proforma_INPUTS 4" xfId="18648"/>
    <cellStyle name="_Recon to Darrin's 5.11.05 proforma_LSRWEP LGIA like Acctg Petition Aug 2010" xfId="12976"/>
    <cellStyle name="_Recon to Darrin's 5.11.05 proforma_LSRWEP LGIA like Acctg Petition Aug 2010 2" xfId="27250"/>
    <cellStyle name="_Recon to Darrin's 5.11.05 proforma_LSRWEP LGIA like Acctg Petition Aug 2010 2 2" xfId="27251"/>
    <cellStyle name="_Recon to Darrin's 5.11.05 proforma_LSRWEP LGIA like Acctg Petition Aug 2010 2 2 2" xfId="27252"/>
    <cellStyle name="_Recon to Darrin's 5.11.05 proforma_LSRWEP LGIA like Acctg Petition Aug 2010 3" xfId="27253"/>
    <cellStyle name="_Recon to Darrin's 5.11.05 proforma_LSRWEP LGIA like Acctg Petition Aug 2010 3 2" xfId="27254"/>
    <cellStyle name="_Recon to Darrin's 5.11.05 proforma_LSRWEP LGIA like Acctg Petition Aug 2010 3 2 2" xfId="27255"/>
    <cellStyle name="_Recon to Darrin's 5.11.05 proforma_LSRWEP LGIA like Acctg Petition Aug 2010 3 3" xfId="27256"/>
    <cellStyle name="_Recon to Darrin's 5.11.05 proforma_LSRWEP LGIA like Acctg Petition Aug 2010 4" xfId="27257"/>
    <cellStyle name="_Recon to Darrin's 5.11.05 proforma_LSRWEP LGIA like Acctg Petition Aug 2010 4 2" xfId="27258"/>
    <cellStyle name="_Recon to Darrin's 5.11.05 proforma_LSRWEP LGIA like Acctg Petition Aug 2010 5" xfId="27259"/>
    <cellStyle name="_Recon to Darrin's 5.11.05 proforma_LSRWEP LGIA like Acctg Petition Aug 2010 5 2" xfId="27260"/>
    <cellStyle name="_Recon to Darrin's 5.11.05 proforma_Mint Farm Generation BPA" xfId="27261"/>
    <cellStyle name="_Recon to Darrin's 5.11.05 proforma_NIM Summary" xfId="1963"/>
    <cellStyle name="_Recon to Darrin's 5.11.05 proforma_NIM Summary 09GRC" xfId="1964"/>
    <cellStyle name="_Recon to Darrin's 5.11.05 proforma_NIM Summary 09GRC 2" xfId="1965"/>
    <cellStyle name="_Recon to Darrin's 5.11.05 proforma_NIM Summary 09GRC 2 2" xfId="5332"/>
    <cellStyle name="_Recon to Darrin's 5.11.05 proforma_NIM Summary 09GRC 2 2 2" xfId="27262"/>
    <cellStyle name="_Recon to Darrin's 5.11.05 proforma_NIM Summary 09GRC 2 2 2 2" xfId="27263"/>
    <cellStyle name="_Recon to Darrin's 5.11.05 proforma_NIM Summary 09GRC 2 3" xfId="27264"/>
    <cellStyle name="_Recon to Darrin's 5.11.05 proforma_NIM Summary 09GRC 2 3 2" xfId="27265"/>
    <cellStyle name="_Recon to Darrin's 5.11.05 proforma_NIM Summary 09GRC 2 4" xfId="27266"/>
    <cellStyle name="_Recon to Darrin's 5.11.05 proforma_NIM Summary 09GRC 2 4 2" xfId="27267"/>
    <cellStyle name="_Recon to Darrin's 5.11.05 proforma_NIM Summary 09GRC 2 5" xfId="7836"/>
    <cellStyle name="_Recon to Darrin's 5.11.05 proforma_NIM Summary 09GRC 3" xfId="5331"/>
    <cellStyle name="_Recon to Darrin's 5.11.05 proforma_NIM Summary 09GRC 3 2" xfId="27268"/>
    <cellStyle name="_Recon to Darrin's 5.11.05 proforma_NIM Summary 09GRC 3 2 2" xfId="27269"/>
    <cellStyle name="_Recon to Darrin's 5.11.05 proforma_NIM Summary 09GRC 3 3" xfId="27270"/>
    <cellStyle name="_Recon to Darrin's 5.11.05 proforma_NIM Summary 09GRC 4" xfId="27271"/>
    <cellStyle name="_Recon to Darrin's 5.11.05 proforma_NIM Summary 09GRC 4 2" xfId="27272"/>
    <cellStyle name="_Recon to Darrin's 5.11.05 proforma_NIM Summary 09GRC 4 2 2" xfId="27273"/>
    <cellStyle name="_Recon to Darrin's 5.11.05 proforma_NIM Summary 09GRC 4 3" xfId="27274"/>
    <cellStyle name="_Recon to Darrin's 5.11.05 proforma_NIM Summary 09GRC 5" xfId="27275"/>
    <cellStyle name="_Recon to Darrin's 5.11.05 proforma_NIM Summary 09GRC 5 2" xfId="27276"/>
    <cellStyle name="_Recon to Darrin's 5.11.05 proforma_NIM Summary 09GRC 6" xfId="27277"/>
    <cellStyle name="_Recon to Darrin's 5.11.05 proforma_NIM Summary 09GRC 6 2" xfId="27278"/>
    <cellStyle name="_Recon to Darrin's 5.11.05 proforma_NIM Summary 09GRC 7" xfId="7835"/>
    <cellStyle name="_Recon to Darrin's 5.11.05 proforma_NIM Summary 09GRC_DEM-WP(C) ENERG10C--ctn Mid-C_042010 2010GRC" xfId="12977"/>
    <cellStyle name="_Recon to Darrin's 5.11.05 proforma_NIM Summary 09GRC_DEM-WP(C) ENERG10C--ctn Mid-C_042010 2010GRC 2" xfId="41624"/>
    <cellStyle name="_Recon to Darrin's 5.11.05 proforma_NIM Summary 10" xfId="5330"/>
    <cellStyle name="_Recon to Darrin's 5.11.05 proforma_NIM Summary 10 2" xfId="27279"/>
    <cellStyle name="_Recon to Darrin's 5.11.05 proforma_NIM Summary 10 2 2" xfId="27280"/>
    <cellStyle name="_Recon to Darrin's 5.11.05 proforma_NIM Summary 10 3" xfId="27281"/>
    <cellStyle name="_Recon to Darrin's 5.11.05 proforma_NIM Summary 10 4" xfId="27282"/>
    <cellStyle name="_Recon to Darrin's 5.11.05 proforma_NIM Summary 11" xfId="6249"/>
    <cellStyle name="_Recon to Darrin's 5.11.05 proforma_NIM Summary 11 2" xfId="27283"/>
    <cellStyle name="_Recon to Darrin's 5.11.05 proforma_NIM Summary 11 2 2" xfId="27284"/>
    <cellStyle name="_Recon to Darrin's 5.11.05 proforma_NIM Summary 11 3" xfId="27285"/>
    <cellStyle name="_Recon to Darrin's 5.11.05 proforma_NIM Summary 11 4" xfId="27286"/>
    <cellStyle name="_Recon to Darrin's 5.11.05 proforma_NIM Summary 12" xfId="6238"/>
    <cellStyle name="_Recon to Darrin's 5.11.05 proforma_NIM Summary 12 2" xfId="27287"/>
    <cellStyle name="_Recon to Darrin's 5.11.05 proforma_NIM Summary 12 2 2" xfId="27288"/>
    <cellStyle name="_Recon to Darrin's 5.11.05 proforma_NIM Summary 12 3" xfId="27289"/>
    <cellStyle name="_Recon to Darrin's 5.11.05 proforma_NIM Summary 12 4" xfId="27290"/>
    <cellStyle name="_Recon to Darrin's 5.11.05 proforma_NIM Summary 13" xfId="6248"/>
    <cellStyle name="_Recon to Darrin's 5.11.05 proforma_NIM Summary 13 2" xfId="27291"/>
    <cellStyle name="_Recon to Darrin's 5.11.05 proforma_NIM Summary 13 2 2" xfId="27292"/>
    <cellStyle name="_Recon to Darrin's 5.11.05 proforma_NIM Summary 13 3" xfId="27293"/>
    <cellStyle name="_Recon to Darrin's 5.11.05 proforma_NIM Summary 13 4" xfId="27294"/>
    <cellStyle name="_Recon to Darrin's 5.11.05 proforma_NIM Summary 14" xfId="6323"/>
    <cellStyle name="_Recon to Darrin's 5.11.05 proforma_NIM Summary 14 2" xfId="27295"/>
    <cellStyle name="_Recon to Darrin's 5.11.05 proforma_NIM Summary 14 2 2" xfId="27296"/>
    <cellStyle name="_Recon to Darrin's 5.11.05 proforma_NIM Summary 14 3" xfId="27297"/>
    <cellStyle name="_Recon to Darrin's 5.11.05 proforma_NIM Summary 14 4" xfId="27298"/>
    <cellStyle name="_Recon to Darrin's 5.11.05 proforma_NIM Summary 15" xfId="15183"/>
    <cellStyle name="_Recon to Darrin's 5.11.05 proforma_NIM Summary 15 2" xfId="27299"/>
    <cellStyle name="_Recon to Darrin's 5.11.05 proforma_NIM Summary 15 2 2" xfId="27300"/>
    <cellStyle name="_Recon to Darrin's 5.11.05 proforma_NIM Summary 15 3" xfId="27301"/>
    <cellStyle name="_Recon to Darrin's 5.11.05 proforma_NIM Summary 15 4" xfId="27302"/>
    <cellStyle name="_Recon to Darrin's 5.11.05 proforma_NIM Summary 16" xfId="15184"/>
    <cellStyle name="_Recon to Darrin's 5.11.05 proforma_NIM Summary 16 2" xfId="27303"/>
    <cellStyle name="_Recon to Darrin's 5.11.05 proforma_NIM Summary 16 2 2" xfId="27304"/>
    <cellStyle name="_Recon to Darrin's 5.11.05 proforma_NIM Summary 16 3" xfId="27305"/>
    <cellStyle name="_Recon to Darrin's 5.11.05 proforma_NIM Summary 16 4" xfId="27306"/>
    <cellStyle name="_Recon to Darrin's 5.11.05 proforma_NIM Summary 17" xfId="15185"/>
    <cellStyle name="_Recon to Darrin's 5.11.05 proforma_NIM Summary 17 2" xfId="27307"/>
    <cellStyle name="_Recon to Darrin's 5.11.05 proforma_NIM Summary 17 2 2" xfId="27308"/>
    <cellStyle name="_Recon to Darrin's 5.11.05 proforma_NIM Summary 17 3" xfId="27309"/>
    <cellStyle name="_Recon to Darrin's 5.11.05 proforma_NIM Summary 17 4" xfId="27310"/>
    <cellStyle name="_Recon to Darrin's 5.11.05 proforma_NIM Summary 18" xfId="15186"/>
    <cellStyle name="_Recon to Darrin's 5.11.05 proforma_NIM Summary 18 2" xfId="27311"/>
    <cellStyle name="_Recon to Darrin's 5.11.05 proforma_NIM Summary 18 3" xfId="27312"/>
    <cellStyle name="_Recon to Darrin's 5.11.05 proforma_NIM Summary 19" xfId="15187"/>
    <cellStyle name="_Recon to Darrin's 5.11.05 proforma_NIM Summary 19 2" xfId="27313"/>
    <cellStyle name="_Recon to Darrin's 5.11.05 proforma_NIM Summary 19 3" xfId="27314"/>
    <cellStyle name="_Recon to Darrin's 5.11.05 proforma_NIM Summary 2" xfId="1966"/>
    <cellStyle name="_Recon to Darrin's 5.11.05 proforma_NIM Summary 2 2" xfId="5333"/>
    <cellStyle name="_Recon to Darrin's 5.11.05 proforma_NIM Summary 2 2 2" xfId="27315"/>
    <cellStyle name="_Recon to Darrin's 5.11.05 proforma_NIM Summary 2 2 2 2" xfId="27316"/>
    <cellStyle name="_Recon to Darrin's 5.11.05 proforma_NIM Summary 2 3" xfId="27317"/>
    <cellStyle name="_Recon to Darrin's 5.11.05 proforma_NIM Summary 2 3 2" xfId="27318"/>
    <cellStyle name="_Recon to Darrin's 5.11.05 proforma_NIM Summary 2 4" xfId="27319"/>
    <cellStyle name="_Recon to Darrin's 5.11.05 proforma_NIM Summary 2 4 2" xfId="27320"/>
    <cellStyle name="_Recon to Darrin's 5.11.05 proforma_NIM Summary 2 5" xfId="7837"/>
    <cellStyle name="_Recon to Darrin's 5.11.05 proforma_NIM Summary 20" xfId="15188"/>
    <cellStyle name="_Recon to Darrin's 5.11.05 proforma_NIM Summary 20 2" xfId="27321"/>
    <cellStyle name="_Recon to Darrin's 5.11.05 proforma_NIM Summary 20 3" xfId="27322"/>
    <cellStyle name="_Recon to Darrin's 5.11.05 proforma_NIM Summary 21" xfId="15189"/>
    <cellStyle name="_Recon to Darrin's 5.11.05 proforma_NIM Summary 21 2" xfId="27323"/>
    <cellStyle name="_Recon to Darrin's 5.11.05 proforma_NIM Summary 21 3" xfId="27324"/>
    <cellStyle name="_Recon to Darrin's 5.11.05 proforma_NIM Summary 22" xfId="15190"/>
    <cellStyle name="_Recon to Darrin's 5.11.05 proforma_NIM Summary 22 2" xfId="27325"/>
    <cellStyle name="_Recon to Darrin's 5.11.05 proforma_NIM Summary 22 3" xfId="27326"/>
    <cellStyle name="_Recon to Darrin's 5.11.05 proforma_NIM Summary 23" xfId="15191"/>
    <cellStyle name="_Recon to Darrin's 5.11.05 proforma_NIM Summary 23 2" xfId="27327"/>
    <cellStyle name="_Recon to Darrin's 5.11.05 proforma_NIM Summary 23 3" xfId="27328"/>
    <cellStyle name="_Recon to Darrin's 5.11.05 proforma_NIM Summary 24" xfId="15192"/>
    <cellStyle name="_Recon to Darrin's 5.11.05 proforma_NIM Summary 24 2" xfId="27329"/>
    <cellStyle name="_Recon to Darrin's 5.11.05 proforma_NIM Summary 24 3" xfId="27330"/>
    <cellStyle name="_Recon to Darrin's 5.11.05 proforma_NIM Summary 25" xfId="15193"/>
    <cellStyle name="_Recon to Darrin's 5.11.05 proforma_NIM Summary 25 2" xfId="27331"/>
    <cellStyle name="_Recon to Darrin's 5.11.05 proforma_NIM Summary 25 3" xfId="27332"/>
    <cellStyle name="_Recon to Darrin's 5.11.05 proforma_NIM Summary 26" xfId="15194"/>
    <cellStyle name="_Recon to Darrin's 5.11.05 proforma_NIM Summary 26 2" xfId="27333"/>
    <cellStyle name="_Recon to Darrin's 5.11.05 proforma_NIM Summary 26 3" xfId="27334"/>
    <cellStyle name="_Recon to Darrin's 5.11.05 proforma_NIM Summary 27" xfId="15195"/>
    <cellStyle name="_Recon to Darrin's 5.11.05 proforma_NIM Summary 27 2" xfId="27335"/>
    <cellStyle name="_Recon to Darrin's 5.11.05 proforma_NIM Summary 27 3" xfId="27336"/>
    <cellStyle name="_Recon to Darrin's 5.11.05 proforma_NIM Summary 28" xfId="15196"/>
    <cellStyle name="_Recon to Darrin's 5.11.05 proforma_NIM Summary 28 2" xfId="27337"/>
    <cellStyle name="_Recon to Darrin's 5.11.05 proforma_NIM Summary 28 3" xfId="27338"/>
    <cellStyle name="_Recon to Darrin's 5.11.05 proforma_NIM Summary 29" xfId="15197"/>
    <cellStyle name="_Recon to Darrin's 5.11.05 proforma_NIM Summary 29 2" xfId="27339"/>
    <cellStyle name="_Recon to Darrin's 5.11.05 proforma_NIM Summary 29 3" xfId="27340"/>
    <cellStyle name="_Recon to Darrin's 5.11.05 proforma_NIM Summary 3" xfId="1967"/>
    <cellStyle name="_Recon to Darrin's 5.11.05 proforma_NIM Summary 3 2" xfId="5334"/>
    <cellStyle name="_Recon to Darrin's 5.11.05 proforma_NIM Summary 3 2 2" xfId="27341"/>
    <cellStyle name="_Recon to Darrin's 5.11.05 proforma_NIM Summary 3 3" xfId="27342"/>
    <cellStyle name="_Recon to Darrin's 5.11.05 proforma_NIM Summary 3 4" xfId="7838"/>
    <cellStyle name="_Recon to Darrin's 5.11.05 proforma_NIM Summary 30" xfId="15198"/>
    <cellStyle name="_Recon to Darrin's 5.11.05 proforma_NIM Summary 30 2" xfId="27343"/>
    <cellStyle name="_Recon to Darrin's 5.11.05 proforma_NIM Summary 30 3" xfId="27344"/>
    <cellStyle name="_Recon to Darrin's 5.11.05 proforma_NIM Summary 31" xfId="15199"/>
    <cellStyle name="_Recon to Darrin's 5.11.05 proforma_NIM Summary 31 2" xfId="27345"/>
    <cellStyle name="_Recon to Darrin's 5.11.05 proforma_NIM Summary 31 3" xfId="27346"/>
    <cellStyle name="_Recon to Darrin's 5.11.05 proforma_NIM Summary 32" xfId="15200"/>
    <cellStyle name="_Recon to Darrin's 5.11.05 proforma_NIM Summary 32 2" xfId="41625"/>
    <cellStyle name="_Recon to Darrin's 5.11.05 proforma_NIM Summary 33" xfId="15201"/>
    <cellStyle name="_Recon to Darrin's 5.11.05 proforma_NIM Summary 33 2" xfId="41626"/>
    <cellStyle name="_Recon to Darrin's 5.11.05 proforma_NIM Summary 34" xfId="15202"/>
    <cellStyle name="_Recon to Darrin's 5.11.05 proforma_NIM Summary 34 2" xfId="41627"/>
    <cellStyle name="_Recon to Darrin's 5.11.05 proforma_NIM Summary 35" xfId="15203"/>
    <cellStyle name="_Recon to Darrin's 5.11.05 proforma_NIM Summary 35 2" xfId="41628"/>
    <cellStyle name="_Recon to Darrin's 5.11.05 proforma_NIM Summary 36" xfId="15204"/>
    <cellStyle name="_Recon to Darrin's 5.11.05 proforma_NIM Summary 36 2" xfId="41629"/>
    <cellStyle name="_Recon to Darrin's 5.11.05 proforma_NIM Summary 37" xfId="15205"/>
    <cellStyle name="_Recon to Darrin's 5.11.05 proforma_NIM Summary 37 2" xfId="41630"/>
    <cellStyle name="_Recon to Darrin's 5.11.05 proforma_NIM Summary 38" xfId="15206"/>
    <cellStyle name="_Recon to Darrin's 5.11.05 proforma_NIM Summary 38 2" xfId="41631"/>
    <cellStyle name="_Recon to Darrin's 5.11.05 proforma_NIM Summary 39" xfId="15207"/>
    <cellStyle name="_Recon to Darrin's 5.11.05 proforma_NIM Summary 39 2" xfId="41632"/>
    <cellStyle name="_Recon to Darrin's 5.11.05 proforma_NIM Summary 4" xfId="1968"/>
    <cellStyle name="_Recon to Darrin's 5.11.05 proforma_NIM Summary 4 2" xfId="5335"/>
    <cellStyle name="_Recon to Darrin's 5.11.05 proforma_NIM Summary 4 2 2" xfId="27347"/>
    <cellStyle name="_Recon to Darrin's 5.11.05 proforma_NIM Summary 4 3" xfId="27348"/>
    <cellStyle name="_Recon to Darrin's 5.11.05 proforma_NIM Summary 4 4" xfId="7839"/>
    <cellStyle name="_Recon to Darrin's 5.11.05 proforma_NIM Summary 40" xfId="15208"/>
    <cellStyle name="_Recon to Darrin's 5.11.05 proforma_NIM Summary 40 2" xfId="41633"/>
    <cellStyle name="_Recon to Darrin's 5.11.05 proforma_NIM Summary 41" xfId="15209"/>
    <cellStyle name="_Recon to Darrin's 5.11.05 proforma_NIM Summary 41 2" xfId="41634"/>
    <cellStyle name="_Recon to Darrin's 5.11.05 proforma_NIM Summary 42" xfId="16973"/>
    <cellStyle name="_Recon to Darrin's 5.11.05 proforma_NIM Summary 42 2" xfId="41635"/>
    <cellStyle name="_Recon to Darrin's 5.11.05 proforma_NIM Summary 43" xfId="22324"/>
    <cellStyle name="_Recon to Darrin's 5.11.05 proforma_NIM Summary 43 2" xfId="41636"/>
    <cellStyle name="_Recon to Darrin's 5.11.05 proforma_NIM Summary 44" xfId="27349"/>
    <cellStyle name="_Recon to Darrin's 5.11.05 proforma_NIM Summary 44 2" xfId="41637"/>
    <cellStyle name="_Recon to Darrin's 5.11.05 proforma_NIM Summary 45" xfId="27350"/>
    <cellStyle name="_Recon to Darrin's 5.11.05 proforma_NIM Summary 45 2" xfId="41638"/>
    <cellStyle name="_Recon to Darrin's 5.11.05 proforma_NIM Summary 46" xfId="27351"/>
    <cellStyle name="_Recon to Darrin's 5.11.05 proforma_NIM Summary 46 2" xfId="41639"/>
    <cellStyle name="_Recon to Darrin's 5.11.05 proforma_NIM Summary 47" xfId="27352"/>
    <cellStyle name="_Recon to Darrin's 5.11.05 proforma_NIM Summary 47 2" xfId="41640"/>
    <cellStyle name="_Recon to Darrin's 5.11.05 proforma_NIM Summary 48" xfId="27353"/>
    <cellStyle name="_Recon to Darrin's 5.11.05 proforma_NIM Summary 49" xfId="27354"/>
    <cellStyle name="_Recon to Darrin's 5.11.05 proforma_NIM Summary 5" xfId="1969"/>
    <cellStyle name="_Recon to Darrin's 5.11.05 proforma_NIM Summary 5 2" xfId="5336"/>
    <cellStyle name="_Recon to Darrin's 5.11.05 proforma_NIM Summary 5 2 2" xfId="27355"/>
    <cellStyle name="_Recon to Darrin's 5.11.05 proforma_NIM Summary 5 3" xfId="27356"/>
    <cellStyle name="_Recon to Darrin's 5.11.05 proforma_NIM Summary 5 4" xfId="7840"/>
    <cellStyle name="_Recon to Darrin's 5.11.05 proforma_NIM Summary 50" xfId="27357"/>
    <cellStyle name="_Recon to Darrin's 5.11.05 proforma_NIM Summary 51" xfId="41641"/>
    <cellStyle name="_Recon to Darrin's 5.11.05 proforma_NIM Summary 52" xfId="7834"/>
    <cellStyle name="_Recon to Darrin's 5.11.05 proforma_NIM Summary 6" xfId="1970"/>
    <cellStyle name="_Recon to Darrin's 5.11.05 proforma_NIM Summary 6 2" xfId="5337"/>
    <cellStyle name="_Recon to Darrin's 5.11.05 proforma_NIM Summary 6 2 2" xfId="27358"/>
    <cellStyle name="_Recon to Darrin's 5.11.05 proforma_NIM Summary 6 3" xfId="27359"/>
    <cellStyle name="_Recon to Darrin's 5.11.05 proforma_NIM Summary 6 4" xfId="7841"/>
    <cellStyle name="_Recon to Darrin's 5.11.05 proforma_NIM Summary 7" xfId="1971"/>
    <cellStyle name="_Recon to Darrin's 5.11.05 proforma_NIM Summary 7 2" xfId="5338"/>
    <cellStyle name="_Recon to Darrin's 5.11.05 proforma_NIM Summary 7 2 2" xfId="27360"/>
    <cellStyle name="_Recon to Darrin's 5.11.05 proforma_NIM Summary 7 3" xfId="27361"/>
    <cellStyle name="_Recon to Darrin's 5.11.05 proforma_NIM Summary 7 4" xfId="27362"/>
    <cellStyle name="_Recon to Darrin's 5.11.05 proforma_NIM Summary 7 5" xfId="7842"/>
    <cellStyle name="_Recon to Darrin's 5.11.05 proforma_NIM Summary 8" xfId="1972"/>
    <cellStyle name="_Recon to Darrin's 5.11.05 proforma_NIM Summary 8 2" xfId="5339"/>
    <cellStyle name="_Recon to Darrin's 5.11.05 proforma_NIM Summary 8 2 2" xfId="27363"/>
    <cellStyle name="_Recon to Darrin's 5.11.05 proforma_NIM Summary 8 3" xfId="27364"/>
    <cellStyle name="_Recon to Darrin's 5.11.05 proforma_NIM Summary 8 4" xfId="27365"/>
    <cellStyle name="_Recon to Darrin's 5.11.05 proforma_NIM Summary 8 5" xfId="7843"/>
    <cellStyle name="_Recon to Darrin's 5.11.05 proforma_NIM Summary 9" xfId="1973"/>
    <cellStyle name="_Recon to Darrin's 5.11.05 proforma_NIM Summary 9 2" xfId="5340"/>
    <cellStyle name="_Recon to Darrin's 5.11.05 proforma_NIM Summary 9 2 2" xfId="27366"/>
    <cellStyle name="_Recon to Darrin's 5.11.05 proforma_NIM Summary 9 3" xfId="27367"/>
    <cellStyle name="_Recon to Darrin's 5.11.05 proforma_NIM Summary 9 4" xfId="27368"/>
    <cellStyle name="_Recon to Darrin's 5.11.05 proforma_NIM Summary 9 5" xfId="7844"/>
    <cellStyle name="_Recon to Darrin's 5.11.05 proforma_NIM Summary_DEM-WP(C) ENERG10C--ctn Mid-C_042010 2010GRC" xfId="12978"/>
    <cellStyle name="_Recon to Darrin's 5.11.05 proforma_NIM Summary_DEM-WP(C) ENERG10C--ctn Mid-C_042010 2010GRC 2" xfId="41642"/>
    <cellStyle name="_Recon to Darrin's 5.11.05 proforma_NIM+O&amp;M" xfId="12979"/>
    <cellStyle name="_Recon to Darrin's 5.11.05 proforma_NIM+O&amp;M 2" xfId="12980"/>
    <cellStyle name="_Recon to Darrin's 5.11.05 proforma_NIM+O&amp;M 2 2" xfId="27369"/>
    <cellStyle name="_Recon to Darrin's 5.11.05 proforma_NIM+O&amp;M 2 2 2" xfId="27370"/>
    <cellStyle name="_Recon to Darrin's 5.11.05 proforma_NIM+O&amp;M 2 2 2 2" xfId="27371"/>
    <cellStyle name="_Recon to Darrin's 5.11.05 proforma_NIM+O&amp;M 2 3" xfId="27372"/>
    <cellStyle name="_Recon to Darrin's 5.11.05 proforma_NIM+O&amp;M 2 3 2" xfId="27373"/>
    <cellStyle name="_Recon to Darrin's 5.11.05 proforma_NIM+O&amp;M 2 4" xfId="27374"/>
    <cellStyle name="_Recon to Darrin's 5.11.05 proforma_NIM+O&amp;M 2 4 2" xfId="27375"/>
    <cellStyle name="_Recon to Darrin's 5.11.05 proforma_NIM+O&amp;M 3" xfId="27376"/>
    <cellStyle name="_Recon to Darrin's 5.11.05 proforma_NIM+O&amp;M 3 2" xfId="27377"/>
    <cellStyle name="_Recon to Darrin's 5.11.05 proforma_NIM+O&amp;M 3 2 2" xfId="27378"/>
    <cellStyle name="_Recon to Darrin's 5.11.05 proforma_NIM+O&amp;M 4" xfId="27379"/>
    <cellStyle name="_Recon to Darrin's 5.11.05 proforma_NIM+O&amp;M 4 2" xfId="27380"/>
    <cellStyle name="_Recon to Darrin's 5.11.05 proforma_NIM+O&amp;M 4 2 2" xfId="27381"/>
    <cellStyle name="_Recon to Darrin's 5.11.05 proforma_NIM+O&amp;M 4 3" xfId="27382"/>
    <cellStyle name="_Recon to Darrin's 5.11.05 proforma_NIM+O&amp;M 5" xfId="27383"/>
    <cellStyle name="_Recon to Darrin's 5.11.05 proforma_NIM+O&amp;M 5 2" xfId="27384"/>
    <cellStyle name="_Recon to Darrin's 5.11.05 proforma_NIM+O&amp;M 6" xfId="27385"/>
    <cellStyle name="_Recon to Darrin's 5.11.05 proforma_NIM+O&amp;M 6 2" xfId="27386"/>
    <cellStyle name="_Recon to Darrin's 5.11.05 proforma_NIM+O&amp;M Monthly" xfId="12981"/>
    <cellStyle name="_Recon to Darrin's 5.11.05 proforma_NIM+O&amp;M Monthly 2" xfId="12982"/>
    <cellStyle name="_Recon to Darrin's 5.11.05 proforma_NIM+O&amp;M Monthly 2 2" xfId="27387"/>
    <cellStyle name="_Recon to Darrin's 5.11.05 proforma_NIM+O&amp;M Monthly 2 2 2" xfId="27388"/>
    <cellStyle name="_Recon to Darrin's 5.11.05 proforma_NIM+O&amp;M Monthly 2 2 2 2" xfId="27389"/>
    <cellStyle name="_Recon to Darrin's 5.11.05 proforma_NIM+O&amp;M Monthly 2 3" xfId="27390"/>
    <cellStyle name="_Recon to Darrin's 5.11.05 proforma_NIM+O&amp;M Monthly 2 3 2" xfId="27391"/>
    <cellStyle name="_Recon to Darrin's 5.11.05 proforma_NIM+O&amp;M Monthly 2 4" xfId="27392"/>
    <cellStyle name="_Recon to Darrin's 5.11.05 proforma_NIM+O&amp;M Monthly 2 4 2" xfId="27393"/>
    <cellStyle name="_Recon to Darrin's 5.11.05 proforma_NIM+O&amp;M Monthly 3" xfId="27394"/>
    <cellStyle name="_Recon to Darrin's 5.11.05 proforma_NIM+O&amp;M Monthly 3 2" xfId="27395"/>
    <cellStyle name="_Recon to Darrin's 5.11.05 proforma_NIM+O&amp;M Monthly 3 2 2" xfId="27396"/>
    <cellStyle name="_Recon to Darrin's 5.11.05 proforma_NIM+O&amp;M Monthly 4" xfId="27397"/>
    <cellStyle name="_Recon to Darrin's 5.11.05 proforma_NIM+O&amp;M Monthly 4 2" xfId="27398"/>
    <cellStyle name="_Recon to Darrin's 5.11.05 proforma_NIM+O&amp;M Monthly 4 2 2" xfId="27399"/>
    <cellStyle name="_Recon to Darrin's 5.11.05 proforma_NIM+O&amp;M Monthly 4 3" xfId="27400"/>
    <cellStyle name="_Recon to Darrin's 5.11.05 proforma_NIM+O&amp;M Monthly 5" xfId="27401"/>
    <cellStyle name="_Recon to Darrin's 5.11.05 proforma_NIM+O&amp;M Monthly 5 2" xfId="27402"/>
    <cellStyle name="_Recon to Darrin's 5.11.05 proforma_NIM+O&amp;M Monthly 6" xfId="27403"/>
    <cellStyle name="_Recon to Darrin's 5.11.05 proforma_NIM+O&amp;M Monthly 6 2" xfId="27404"/>
    <cellStyle name="_Recon to Darrin's 5.11.05 proforma_PCA 10 -  Exhibit D Dec 2011" xfId="15210"/>
    <cellStyle name="_Recon to Darrin's 5.11.05 proforma_PCA 10 -  Exhibit D Dec 2011 2" xfId="41643"/>
    <cellStyle name="_Recon to Darrin's 5.11.05 proforma_PCA 10 -  Exhibit D from A Kellogg Jan 2011" xfId="14155"/>
    <cellStyle name="_Recon to Darrin's 5.11.05 proforma_PCA 10 -  Exhibit D from A Kellogg Jan 2011 2" xfId="41644"/>
    <cellStyle name="_Recon to Darrin's 5.11.05 proforma_PCA 10 -  Exhibit D from A Kellogg July 2011" xfId="14156"/>
    <cellStyle name="_Recon to Darrin's 5.11.05 proforma_PCA 10 -  Exhibit D from A Kellogg July 2011 2" xfId="41645"/>
    <cellStyle name="_Recon to Darrin's 5.11.05 proforma_PCA 10 -  Exhibit D from S Free Rcv'd 12-11" xfId="14157"/>
    <cellStyle name="_Recon to Darrin's 5.11.05 proforma_PCA 10 -  Exhibit D from S Free Rcv'd 12-11 2" xfId="41646"/>
    <cellStyle name="_Recon to Darrin's 5.11.05 proforma_PCA 11 -  Exhibit D Jan 2012 fr A Kellogg" xfId="15211"/>
    <cellStyle name="_Recon to Darrin's 5.11.05 proforma_PCA 11 -  Exhibit D Jan 2012 fr A Kellogg 2" xfId="41647"/>
    <cellStyle name="_Recon to Darrin's 5.11.05 proforma_PCA 11 -  Exhibit D Jan 2012 WF" xfId="15212"/>
    <cellStyle name="_Recon to Darrin's 5.11.05 proforma_PCA 11 -  Exhibit D Jan 2012 WF 2" xfId="41648"/>
    <cellStyle name="_Recon to Darrin's 5.11.05 proforma_PCA 7 - Exhibit D update 11_30_08 (2)" xfId="1974"/>
    <cellStyle name="_Recon to Darrin's 5.11.05 proforma_PCA 7 - Exhibit D update 11_30_08 (2) 2" xfId="1975"/>
    <cellStyle name="_Recon to Darrin's 5.11.05 proforma_PCA 7 - Exhibit D update 11_30_08 (2) 2 2" xfId="1976"/>
    <cellStyle name="_Recon to Darrin's 5.11.05 proforma_PCA 7 - Exhibit D update 11_30_08 (2) 2 2 2" xfId="5343"/>
    <cellStyle name="_Recon to Darrin's 5.11.05 proforma_PCA 7 - Exhibit D update 11_30_08 (2) 2 2 2 2" xfId="27405"/>
    <cellStyle name="_Recon to Darrin's 5.11.05 proforma_PCA 7 - Exhibit D update 11_30_08 (2) 2 2 2 2 2" xfId="27406"/>
    <cellStyle name="_Recon to Darrin's 5.11.05 proforma_PCA 7 - Exhibit D update 11_30_08 (2) 2 2 3" xfId="27407"/>
    <cellStyle name="_Recon to Darrin's 5.11.05 proforma_PCA 7 - Exhibit D update 11_30_08 (2) 2 2 3 2" xfId="27408"/>
    <cellStyle name="_Recon to Darrin's 5.11.05 proforma_PCA 7 - Exhibit D update 11_30_08 (2) 2 2 4" xfId="27409"/>
    <cellStyle name="_Recon to Darrin's 5.11.05 proforma_PCA 7 - Exhibit D update 11_30_08 (2) 2 2 4 2" xfId="27410"/>
    <cellStyle name="_Recon to Darrin's 5.11.05 proforma_PCA 7 - Exhibit D update 11_30_08 (2) 2 2 5" xfId="7847"/>
    <cellStyle name="_Recon to Darrin's 5.11.05 proforma_PCA 7 - Exhibit D update 11_30_08 (2) 2 3" xfId="5342"/>
    <cellStyle name="_Recon to Darrin's 5.11.05 proforma_PCA 7 - Exhibit D update 11_30_08 (2) 2 3 2" xfId="27411"/>
    <cellStyle name="_Recon to Darrin's 5.11.05 proforma_PCA 7 - Exhibit D update 11_30_08 (2) 2 3 2 2" xfId="27412"/>
    <cellStyle name="_Recon to Darrin's 5.11.05 proforma_PCA 7 - Exhibit D update 11_30_08 (2) 2 4" xfId="27413"/>
    <cellStyle name="_Recon to Darrin's 5.11.05 proforma_PCA 7 - Exhibit D update 11_30_08 (2) 2 4 2" xfId="27414"/>
    <cellStyle name="_Recon to Darrin's 5.11.05 proforma_PCA 7 - Exhibit D update 11_30_08 (2) 2 4 2 2" xfId="27415"/>
    <cellStyle name="_Recon to Darrin's 5.11.05 proforma_PCA 7 - Exhibit D update 11_30_08 (2) 2 4 3" xfId="27416"/>
    <cellStyle name="_Recon to Darrin's 5.11.05 proforma_PCA 7 - Exhibit D update 11_30_08 (2) 2 5" xfId="27417"/>
    <cellStyle name="_Recon to Darrin's 5.11.05 proforma_PCA 7 - Exhibit D update 11_30_08 (2) 2 5 2" xfId="27418"/>
    <cellStyle name="_Recon to Darrin's 5.11.05 proforma_PCA 7 - Exhibit D update 11_30_08 (2) 2 6" xfId="27419"/>
    <cellStyle name="_Recon to Darrin's 5.11.05 proforma_PCA 7 - Exhibit D update 11_30_08 (2) 2 6 2" xfId="27420"/>
    <cellStyle name="_Recon to Darrin's 5.11.05 proforma_PCA 7 - Exhibit D update 11_30_08 (2) 2 7" xfId="7846"/>
    <cellStyle name="_Recon to Darrin's 5.11.05 proforma_PCA 7 - Exhibit D update 11_30_08 (2) 3" xfId="1977"/>
    <cellStyle name="_Recon to Darrin's 5.11.05 proforma_PCA 7 - Exhibit D update 11_30_08 (2) 3 2" xfId="5344"/>
    <cellStyle name="_Recon to Darrin's 5.11.05 proforma_PCA 7 - Exhibit D update 11_30_08 (2) 3 2 2" xfId="27421"/>
    <cellStyle name="_Recon to Darrin's 5.11.05 proforma_PCA 7 - Exhibit D update 11_30_08 (2) 3 2 2 2" xfId="27422"/>
    <cellStyle name="_Recon to Darrin's 5.11.05 proforma_PCA 7 - Exhibit D update 11_30_08 (2) 3 3" xfId="27423"/>
    <cellStyle name="_Recon to Darrin's 5.11.05 proforma_PCA 7 - Exhibit D update 11_30_08 (2) 3 3 2" xfId="27424"/>
    <cellStyle name="_Recon to Darrin's 5.11.05 proforma_PCA 7 - Exhibit D update 11_30_08 (2) 3 4" xfId="27425"/>
    <cellStyle name="_Recon to Darrin's 5.11.05 proforma_PCA 7 - Exhibit D update 11_30_08 (2) 3 4 2" xfId="27426"/>
    <cellStyle name="_Recon to Darrin's 5.11.05 proforma_PCA 7 - Exhibit D update 11_30_08 (2) 3 5" xfId="7848"/>
    <cellStyle name="_Recon to Darrin's 5.11.05 proforma_PCA 7 - Exhibit D update 11_30_08 (2) 4" xfId="5341"/>
    <cellStyle name="_Recon to Darrin's 5.11.05 proforma_PCA 7 - Exhibit D update 11_30_08 (2) 4 2" xfId="27427"/>
    <cellStyle name="_Recon to Darrin's 5.11.05 proforma_PCA 7 - Exhibit D update 11_30_08 (2) 4 2 2" xfId="27428"/>
    <cellStyle name="_Recon to Darrin's 5.11.05 proforma_PCA 7 - Exhibit D update 11_30_08 (2) 4 3" xfId="27429"/>
    <cellStyle name="_Recon to Darrin's 5.11.05 proforma_PCA 7 - Exhibit D update 11_30_08 (2) 5" xfId="27430"/>
    <cellStyle name="_Recon to Darrin's 5.11.05 proforma_PCA 7 - Exhibit D update 11_30_08 (2) 5 2" xfId="27431"/>
    <cellStyle name="_Recon to Darrin's 5.11.05 proforma_PCA 7 - Exhibit D update 11_30_08 (2) 5 2 2" xfId="27432"/>
    <cellStyle name="_Recon to Darrin's 5.11.05 proforma_PCA 7 - Exhibit D update 11_30_08 (2) 5 3" xfId="27433"/>
    <cellStyle name="_Recon to Darrin's 5.11.05 proforma_PCA 7 - Exhibit D update 11_30_08 (2) 6" xfId="27434"/>
    <cellStyle name="_Recon to Darrin's 5.11.05 proforma_PCA 7 - Exhibit D update 11_30_08 (2) 6 2" xfId="27435"/>
    <cellStyle name="_Recon to Darrin's 5.11.05 proforma_PCA 7 - Exhibit D update 11_30_08 (2) 7" xfId="27436"/>
    <cellStyle name="_Recon to Darrin's 5.11.05 proforma_PCA 7 - Exhibit D update 11_30_08 (2) 7 2" xfId="27437"/>
    <cellStyle name="_Recon to Darrin's 5.11.05 proforma_PCA 7 - Exhibit D update 11_30_08 (2) 8" xfId="7845"/>
    <cellStyle name="_Recon to Darrin's 5.11.05 proforma_PCA 7 - Exhibit D update 11_30_08 (2)_DEM-WP(C) ENERG10C--ctn Mid-C_042010 2010GRC" xfId="12983"/>
    <cellStyle name="_Recon to Darrin's 5.11.05 proforma_PCA 7 - Exhibit D update 11_30_08 (2)_DEM-WP(C) ENERG10C--ctn Mid-C_042010 2010GRC 2" xfId="41649"/>
    <cellStyle name="_Recon to Darrin's 5.11.05 proforma_PCA 7 - Exhibit D update 11_30_08 (2)_NIM Summary" xfId="1978"/>
    <cellStyle name="_Recon to Darrin's 5.11.05 proforma_PCA 7 - Exhibit D update 11_30_08 (2)_NIM Summary 2" xfId="1979"/>
    <cellStyle name="_Recon to Darrin's 5.11.05 proforma_PCA 7 - Exhibit D update 11_30_08 (2)_NIM Summary 2 2" xfId="5346"/>
    <cellStyle name="_Recon to Darrin's 5.11.05 proforma_PCA 7 - Exhibit D update 11_30_08 (2)_NIM Summary 2 2 2" xfId="27438"/>
    <cellStyle name="_Recon to Darrin's 5.11.05 proforma_PCA 7 - Exhibit D update 11_30_08 (2)_NIM Summary 2 2 2 2" xfId="27439"/>
    <cellStyle name="_Recon to Darrin's 5.11.05 proforma_PCA 7 - Exhibit D update 11_30_08 (2)_NIM Summary 2 3" xfId="27440"/>
    <cellStyle name="_Recon to Darrin's 5.11.05 proforma_PCA 7 - Exhibit D update 11_30_08 (2)_NIM Summary 2 3 2" xfId="27441"/>
    <cellStyle name="_Recon to Darrin's 5.11.05 proforma_PCA 7 - Exhibit D update 11_30_08 (2)_NIM Summary 2 4" xfId="27442"/>
    <cellStyle name="_Recon to Darrin's 5.11.05 proforma_PCA 7 - Exhibit D update 11_30_08 (2)_NIM Summary 2 4 2" xfId="27443"/>
    <cellStyle name="_Recon to Darrin's 5.11.05 proforma_PCA 7 - Exhibit D update 11_30_08 (2)_NIM Summary 2 5" xfId="7850"/>
    <cellStyle name="_Recon to Darrin's 5.11.05 proforma_PCA 7 - Exhibit D update 11_30_08 (2)_NIM Summary 3" xfId="5345"/>
    <cellStyle name="_Recon to Darrin's 5.11.05 proforma_PCA 7 - Exhibit D update 11_30_08 (2)_NIM Summary 3 2" xfId="27444"/>
    <cellStyle name="_Recon to Darrin's 5.11.05 proforma_PCA 7 - Exhibit D update 11_30_08 (2)_NIM Summary 3 2 2" xfId="27445"/>
    <cellStyle name="_Recon to Darrin's 5.11.05 proforma_PCA 7 - Exhibit D update 11_30_08 (2)_NIM Summary 3 3" xfId="27446"/>
    <cellStyle name="_Recon to Darrin's 5.11.05 proforma_PCA 7 - Exhibit D update 11_30_08 (2)_NIM Summary 4" xfId="27447"/>
    <cellStyle name="_Recon to Darrin's 5.11.05 proforma_PCA 7 - Exhibit D update 11_30_08 (2)_NIM Summary 4 2" xfId="27448"/>
    <cellStyle name="_Recon to Darrin's 5.11.05 proforma_PCA 7 - Exhibit D update 11_30_08 (2)_NIM Summary 4 2 2" xfId="27449"/>
    <cellStyle name="_Recon to Darrin's 5.11.05 proforma_PCA 7 - Exhibit D update 11_30_08 (2)_NIM Summary 4 3" xfId="27450"/>
    <cellStyle name="_Recon to Darrin's 5.11.05 proforma_PCA 7 - Exhibit D update 11_30_08 (2)_NIM Summary 5" xfId="27451"/>
    <cellStyle name="_Recon to Darrin's 5.11.05 proforma_PCA 7 - Exhibit D update 11_30_08 (2)_NIM Summary 5 2" xfId="27452"/>
    <cellStyle name="_Recon to Darrin's 5.11.05 proforma_PCA 7 - Exhibit D update 11_30_08 (2)_NIM Summary 6" xfId="27453"/>
    <cellStyle name="_Recon to Darrin's 5.11.05 proforma_PCA 7 - Exhibit D update 11_30_08 (2)_NIM Summary 6 2" xfId="27454"/>
    <cellStyle name="_Recon to Darrin's 5.11.05 proforma_PCA 7 - Exhibit D update 11_30_08 (2)_NIM Summary 7" xfId="7849"/>
    <cellStyle name="_Recon to Darrin's 5.11.05 proforma_PCA 7 - Exhibit D update 11_30_08 (2)_NIM Summary_DEM-WP(C) ENERG10C--ctn Mid-C_042010 2010GRC" xfId="12984"/>
    <cellStyle name="_Recon to Darrin's 5.11.05 proforma_PCA 7 - Exhibit D update 11_30_08 (2)_NIM Summary_DEM-WP(C) ENERG10C--ctn Mid-C_042010 2010GRC 2" xfId="41650"/>
    <cellStyle name="_Recon to Darrin's 5.11.05 proforma_PCA 8 - Exhibit D update 12_31_09" xfId="14158"/>
    <cellStyle name="_Recon to Darrin's 5.11.05 proforma_PCA 8 - Exhibit D update 12_31_09 2" xfId="15213"/>
    <cellStyle name="_Recon to Darrin's 5.11.05 proforma_PCA 8 - Exhibit D update 12_31_09 2 2" xfId="41651"/>
    <cellStyle name="_Recon to Darrin's 5.11.05 proforma_PCA 8 - Exhibit D update 12_31_09 3" xfId="41652"/>
    <cellStyle name="_Recon to Darrin's 5.11.05 proforma_PCA 9 -  Exhibit D April 2010" xfId="14159"/>
    <cellStyle name="_Recon to Darrin's 5.11.05 proforma_PCA 9 -  Exhibit D April 2010 (3)" xfId="1980"/>
    <cellStyle name="_Recon to Darrin's 5.11.05 proforma_PCA 9 -  Exhibit D April 2010 (3) 2" xfId="1981"/>
    <cellStyle name="_Recon to Darrin's 5.11.05 proforma_PCA 9 -  Exhibit D April 2010 (3) 2 2" xfId="5348"/>
    <cellStyle name="_Recon to Darrin's 5.11.05 proforma_PCA 9 -  Exhibit D April 2010 (3) 2 2 2" xfId="27455"/>
    <cellStyle name="_Recon to Darrin's 5.11.05 proforma_PCA 9 -  Exhibit D April 2010 (3) 2 2 2 2" xfId="27456"/>
    <cellStyle name="_Recon to Darrin's 5.11.05 proforma_PCA 9 -  Exhibit D April 2010 (3) 2 3" xfId="27457"/>
    <cellStyle name="_Recon to Darrin's 5.11.05 proforma_PCA 9 -  Exhibit D April 2010 (3) 2 3 2" xfId="27458"/>
    <cellStyle name="_Recon to Darrin's 5.11.05 proforma_PCA 9 -  Exhibit D April 2010 (3) 2 4" xfId="27459"/>
    <cellStyle name="_Recon to Darrin's 5.11.05 proforma_PCA 9 -  Exhibit D April 2010 (3) 2 4 2" xfId="27460"/>
    <cellStyle name="_Recon to Darrin's 5.11.05 proforma_PCA 9 -  Exhibit D April 2010 (3) 2 5" xfId="7852"/>
    <cellStyle name="_Recon to Darrin's 5.11.05 proforma_PCA 9 -  Exhibit D April 2010 (3) 3" xfId="5347"/>
    <cellStyle name="_Recon to Darrin's 5.11.05 proforma_PCA 9 -  Exhibit D April 2010 (3) 3 2" xfId="27461"/>
    <cellStyle name="_Recon to Darrin's 5.11.05 proforma_PCA 9 -  Exhibit D April 2010 (3) 3 2 2" xfId="27462"/>
    <cellStyle name="_Recon to Darrin's 5.11.05 proforma_PCA 9 -  Exhibit D April 2010 (3) 3 3" xfId="27463"/>
    <cellStyle name="_Recon to Darrin's 5.11.05 proforma_PCA 9 -  Exhibit D April 2010 (3) 4" xfId="27464"/>
    <cellStyle name="_Recon to Darrin's 5.11.05 proforma_PCA 9 -  Exhibit D April 2010 (3) 4 2" xfId="27465"/>
    <cellStyle name="_Recon to Darrin's 5.11.05 proforma_PCA 9 -  Exhibit D April 2010 (3) 4 2 2" xfId="27466"/>
    <cellStyle name="_Recon to Darrin's 5.11.05 proforma_PCA 9 -  Exhibit D April 2010 (3) 4 3" xfId="27467"/>
    <cellStyle name="_Recon to Darrin's 5.11.05 proforma_PCA 9 -  Exhibit D April 2010 (3) 5" xfId="27468"/>
    <cellStyle name="_Recon to Darrin's 5.11.05 proforma_PCA 9 -  Exhibit D April 2010 (3) 5 2" xfId="27469"/>
    <cellStyle name="_Recon to Darrin's 5.11.05 proforma_PCA 9 -  Exhibit D April 2010 (3) 6" xfId="27470"/>
    <cellStyle name="_Recon to Darrin's 5.11.05 proforma_PCA 9 -  Exhibit D April 2010 (3) 6 2" xfId="27471"/>
    <cellStyle name="_Recon to Darrin's 5.11.05 proforma_PCA 9 -  Exhibit D April 2010 (3) 7" xfId="7851"/>
    <cellStyle name="_Recon to Darrin's 5.11.05 proforma_PCA 9 -  Exhibit D April 2010 (3)_DEM-WP(C) ENERG10C--ctn Mid-C_042010 2010GRC" xfId="12985"/>
    <cellStyle name="_Recon to Darrin's 5.11.05 proforma_PCA 9 -  Exhibit D April 2010 (3)_DEM-WP(C) ENERG10C--ctn Mid-C_042010 2010GRC 2" xfId="41653"/>
    <cellStyle name="_Recon to Darrin's 5.11.05 proforma_PCA 9 -  Exhibit D April 2010 2" xfId="15214"/>
    <cellStyle name="_Recon to Darrin's 5.11.05 proforma_PCA 9 -  Exhibit D April 2010 2 2" xfId="41654"/>
    <cellStyle name="_Recon to Darrin's 5.11.05 proforma_PCA 9 -  Exhibit D April 2010 3" xfId="15215"/>
    <cellStyle name="_Recon to Darrin's 5.11.05 proforma_PCA 9 -  Exhibit D April 2010 3 2" xfId="41655"/>
    <cellStyle name="_Recon to Darrin's 5.11.05 proforma_PCA 9 -  Exhibit D April 2010 4" xfId="15216"/>
    <cellStyle name="_Recon to Darrin's 5.11.05 proforma_PCA 9 -  Exhibit D April 2010 4 2" xfId="41656"/>
    <cellStyle name="_Recon to Darrin's 5.11.05 proforma_PCA 9 -  Exhibit D April 2010 5" xfId="15217"/>
    <cellStyle name="_Recon to Darrin's 5.11.05 proforma_PCA 9 -  Exhibit D April 2010 5 2" xfId="41657"/>
    <cellStyle name="_Recon to Darrin's 5.11.05 proforma_PCA 9 -  Exhibit D April 2010 6" xfId="15218"/>
    <cellStyle name="_Recon to Darrin's 5.11.05 proforma_PCA 9 -  Exhibit D April 2010 6 2" xfId="41658"/>
    <cellStyle name="_Recon to Darrin's 5.11.05 proforma_PCA 9 -  Exhibit D April 2010 7" xfId="41659"/>
    <cellStyle name="_Recon to Darrin's 5.11.05 proforma_PCA 9 -  Exhibit D Feb 2010" xfId="14160"/>
    <cellStyle name="_Recon to Darrin's 5.11.05 proforma_PCA 9 -  Exhibit D Feb 2010 2" xfId="15219"/>
    <cellStyle name="_Recon to Darrin's 5.11.05 proforma_PCA 9 -  Exhibit D Feb 2010 2 2" xfId="41660"/>
    <cellStyle name="_Recon to Darrin's 5.11.05 proforma_PCA 9 -  Exhibit D Feb 2010 3" xfId="41661"/>
    <cellStyle name="_Recon to Darrin's 5.11.05 proforma_PCA 9 -  Exhibit D Feb 2010 v2" xfId="14161"/>
    <cellStyle name="_Recon to Darrin's 5.11.05 proforma_PCA 9 -  Exhibit D Feb 2010 v2 2" xfId="15220"/>
    <cellStyle name="_Recon to Darrin's 5.11.05 proforma_PCA 9 -  Exhibit D Feb 2010 v2 2 2" xfId="41662"/>
    <cellStyle name="_Recon to Darrin's 5.11.05 proforma_PCA 9 -  Exhibit D Feb 2010 v2 3" xfId="41663"/>
    <cellStyle name="_Recon to Darrin's 5.11.05 proforma_PCA 9 -  Exhibit D Feb 2010 WF" xfId="14162"/>
    <cellStyle name="_Recon to Darrin's 5.11.05 proforma_PCA 9 -  Exhibit D Feb 2010 WF 2" xfId="15221"/>
    <cellStyle name="_Recon to Darrin's 5.11.05 proforma_PCA 9 -  Exhibit D Feb 2010 WF 2 2" xfId="41664"/>
    <cellStyle name="_Recon to Darrin's 5.11.05 proforma_PCA 9 -  Exhibit D Feb 2010 WF 3" xfId="41665"/>
    <cellStyle name="_Recon to Darrin's 5.11.05 proforma_PCA 9 -  Exhibit D Jan 2010" xfId="14163"/>
    <cellStyle name="_Recon to Darrin's 5.11.05 proforma_PCA 9 -  Exhibit D Jan 2010 2" xfId="15222"/>
    <cellStyle name="_Recon to Darrin's 5.11.05 proforma_PCA 9 -  Exhibit D Jan 2010 2 2" xfId="41666"/>
    <cellStyle name="_Recon to Darrin's 5.11.05 proforma_PCA 9 -  Exhibit D Jan 2010 3" xfId="41667"/>
    <cellStyle name="_Recon to Darrin's 5.11.05 proforma_PCA 9 -  Exhibit D March 2010 (2)" xfId="14164"/>
    <cellStyle name="_Recon to Darrin's 5.11.05 proforma_PCA 9 -  Exhibit D March 2010 (2) 2" xfId="15223"/>
    <cellStyle name="_Recon to Darrin's 5.11.05 proforma_PCA 9 -  Exhibit D March 2010 (2) 2 2" xfId="41668"/>
    <cellStyle name="_Recon to Darrin's 5.11.05 proforma_PCA 9 -  Exhibit D March 2010 (2) 3" xfId="41669"/>
    <cellStyle name="_Recon to Darrin's 5.11.05 proforma_PCA 9 -  Exhibit D Nov 2010" xfId="14165"/>
    <cellStyle name="_Recon to Darrin's 5.11.05 proforma_PCA 9 -  Exhibit D Nov 2010 2" xfId="15224"/>
    <cellStyle name="_Recon to Darrin's 5.11.05 proforma_PCA 9 -  Exhibit D Nov 2010 2 2" xfId="41670"/>
    <cellStyle name="_Recon to Darrin's 5.11.05 proforma_PCA 9 -  Exhibit D Nov 2010 3" xfId="41671"/>
    <cellStyle name="_Recon to Darrin's 5.11.05 proforma_PCA 9 - Exhibit D at August 2010" xfId="14166"/>
    <cellStyle name="_Recon to Darrin's 5.11.05 proforma_PCA 9 - Exhibit D at August 2010 2" xfId="15225"/>
    <cellStyle name="_Recon to Darrin's 5.11.05 proforma_PCA 9 - Exhibit D at August 2010 2 2" xfId="41672"/>
    <cellStyle name="_Recon to Darrin's 5.11.05 proforma_PCA 9 - Exhibit D at August 2010 3" xfId="41673"/>
    <cellStyle name="_Recon to Darrin's 5.11.05 proforma_PCA 9 - Exhibit D June 2010 GRC" xfId="14167"/>
    <cellStyle name="_Recon to Darrin's 5.11.05 proforma_PCA 9 - Exhibit D June 2010 GRC 2" xfId="15226"/>
    <cellStyle name="_Recon to Darrin's 5.11.05 proforma_PCA 9 - Exhibit D June 2010 GRC 2 2" xfId="41674"/>
    <cellStyle name="_Recon to Darrin's 5.11.05 proforma_PCA 9 - Exhibit D June 2010 GRC 3" xfId="41675"/>
    <cellStyle name="_Recon to Darrin's 5.11.05 proforma_Power Costs - Comparison bx Rbtl-Staff-Jt-PC" xfId="1982"/>
    <cellStyle name="_Recon to Darrin's 5.11.05 proforma_Power Costs - Comparison bx Rbtl-Staff-Jt-PC 2" xfId="1983"/>
    <cellStyle name="_Recon to Darrin's 5.11.05 proforma_Power Costs - Comparison bx Rbtl-Staff-Jt-PC 2 2" xfId="5350"/>
    <cellStyle name="_Recon to Darrin's 5.11.05 proforma_Power Costs - Comparison bx Rbtl-Staff-Jt-PC 2 2 2" xfId="21329"/>
    <cellStyle name="_Recon to Darrin's 5.11.05 proforma_Power Costs - Comparison bx Rbtl-Staff-Jt-PC 2 2 2 2" xfId="27472"/>
    <cellStyle name="_Recon to Darrin's 5.11.05 proforma_Power Costs - Comparison bx Rbtl-Staff-Jt-PC 2 2 3" xfId="7855"/>
    <cellStyle name="_Recon to Darrin's 5.11.05 proforma_Power Costs - Comparison bx Rbtl-Staff-Jt-PC 2 3" xfId="16975"/>
    <cellStyle name="_Recon to Darrin's 5.11.05 proforma_Power Costs - Comparison bx Rbtl-Staff-Jt-PC 2 3 2" xfId="27473"/>
    <cellStyle name="_Recon to Darrin's 5.11.05 proforma_Power Costs - Comparison bx Rbtl-Staff-Jt-PC 2 4" xfId="27474"/>
    <cellStyle name="_Recon to Darrin's 5.11.05 proforma_Power Costs - Comparison bx Rbtl-Staff-Jt-PC 2 4 2" xfId="27475"/>
    <cellStyle name="_Recon to Darrin's 5.11.05 proforma_Power Costs - Comparison bx Rbtl-Staff-Jt-PC 2 5" xfId="7854"/>
    <cellStyle name="_Recon to Darrin's 5.11.05 proforma_Power Costs - Comparison bx Rbtl-Staff-Jt-PC 3" xfId="5349"/>
    <cellStyle name="_Recon to Darrin's 5.11.05 proforma_Power Costs - Comparison bx Rbtl-Staff-Jt-PC 3 2" xfId="21330"/>
    <cellStyle name="_Recon to Darrin's 5.11.05 proforma_Power Costs - Comparison bx Rbtl-Staff-Jt-PC 3 2 2" xfId="27476"/>
    <cellStyle name="_Recon to Darrin's 5.11.05 proforma_Power Costs - Comparison bx Rbtl-Staff-Jt-PC 3 3" xfId="27477"/>
    <cellStyle name="_Recon to Darrin's 5.11.05 proforma_Power Costs - Comparison bx Rbtl-Staff-Jt-PC 3 4" xfId="7856"/>
    <cellStyle name="_Recon to Darrin's 5.11.05 proforma_Power Costs - Comparison bx Rbtl-Staff-Jt-PC 4" xfId="16974"/>
    <cellStyle name="_Recon to Darrin's 5.11.05 proforma_Power Costs - Comparison bx Rbtl-Staff-Jt-PC 4 2" xfId="27478"/>
    <cellStyle name="_Recon to Darrin's 5.11.05 proforma_Power Costs - Comparison bx Rbtl-Staff-Jt-PC 4 2 2" xfId="27479"/>
    <cellStyle name="_Recon to Darrin's 5.11.05 proforma_Power Costs - Comparison bx Rbtl-Staff-Jt-PC 4 3" xfId="27480"/>
    <cellStyle name="_Recon to Darrin's 5.11.05 proforma_Power Costs - Comparison bx Rbtl-Staff-Jt-PC 5" xfId="27481"/>
    <cellStyle name="_Recon to Darrin's 5.11.05 proforma_Power Costs - Comparison bx Rbtl-Staff-Jt-PC 5 2" xfId="27482"/>
    <cellStyle name="_Recon to Darrin's 5.11.05 proforma_Power Costs - Comparison bx Rbtl-Staff-Jt-PC 6" xfId="27483"/>
    <cellStyle name="_Recon to Darrin's 5.11.05 proforma_Power Costs - Comparison bx Rbtl-Staff-Jt-PC 6 2" xfId="27484"/>
    <cellStyle name="_Recon to Darrin's 5.11.05 proforma_Power Costs - Comparison bx Rbtl-Staff-Jt-PC 7" xfId="7853"/>
    <cellStyle name="_Recon to Darrin's 5.11.05 proforma_Power Costs - Comparison bx Rbtl-Staff-Jt-PC_Adj Bench DR 3 for Initial Briefs (Electric)" xfId="1984"/>
    <cellStyle name="_Recon to Darrin's 5.11.05 proforma_Power Costs - Comparison bx Rbtl-Staff-Jt-PC_Adj Bench DR 3 for Initial Briefs (Electric) 2" xfId="1985"/>
    <cellStyle name="_Recon to Darrin's 5.11.05 proforma_Power Costs - Comparison bx Rbtl-Staff-Jt-PC_Adj Bench DR 3 for Initial Briefs (Electric) 2 2" xfId="5352"/>
    <cellStyle name="_Recon to Darrin's 5.11.05 proforma_Power Costs - Comparison bx Rbtl-Staff-Jt-PC_Adj Bench DR 3 for Initial Briefs (Electric) 2 2 2" xfId="21331"/>
    <cellStyle name="_Recon to Darrin's 5.11.05 proforma_Power Costs - Comparison bx Rbtl-Staff-Jt-PC_Adj Bench DR 3 for Initial Briefs (Electric) 2 2 2 2" xfId="27485"/>
    <cellStyle name="_Recon to Darrin's 5.11.05 proforma_Power Costs - Comparison bx Rbtl-Staff-Jt-PC_Adj Bench DR 3 for Initial Briefs (Electric) 2 2 3" xfId="7859"/>
    <cellStyle name="_Recon to Darrin's 5.11.05 proforma_Power Costs - Comparison bx Rbtl-Staff-Jt-PC_Adj Bench DR 3 for Initial Briefs (Electric) 2 3" xfId="16977"/>
    <cellStyle name="_Recon to Darrin's 5.11.05 proforma_Power Costs - Comparison bx Rbtl-Staff-Jt-PC_Adj Bench DR 3 for Initial Briefs (Electric) 2 3 2" xfId="27486"/>
    <cellStyle name="_Recon to Darrin's 5.11.05 proforma_Power Costs - Comparison bx Rbtl-Staff-Jt-PC_Adj Bench DR 3 for Initial Briefs (Electric) 2 4" xfId="27487"/>
    <cellStyle name="_Recon to Darrin's 5.11.05 proforma_Power Costs - Comparison bx Rbtl-Staff-Jt-PC_Adj Bench DR 3 for Initial Briefs (Electric) 2 4 2" xfId="27488"/>
    <cellStyle name="_Recon to Darrin's 5.11.05 proforma_Power Costs - Comparison bx Rbtl-Staff-Jt-PC_Adj Bench DR 3 for Initial Briefs (Electric) 2 5" xfId="7858"/>
    <cellStyle name="_Recon to Darrin's 5.11.05 proforma_Power Costs - Comparison bx Rbtl-Staff-Jt-PC_Adj Bench DR 3 for Initial Briefs (Electric) 3" xfId="5351"/>
    <cellStyle name="_Recon to Darrin's 5.11.05 proforma_Power Costs - Comparison bx Rbtl-Staff-Jt-PC_Adj Bench DR 3 for Initial Briefs (Electric) 3 2" xfId="21332"/>
    <cellStyle name="_Recon to Darrin's 5.11.05 proforma_Power Costs - Comparison bx Rbtl-Staff-Jt-PC_Adj Bench DR 3 for Initial Briefs (Electric) 3 2 2" xfId="27489"/>
    <cellStyle name="_Recon to Darrin's 5.11.05 proforma_Power Costs - Comparison bx Rbtl-Staff-Jt-PC_Adj Bench DR 3 for Initial Briefs (Electric) 3 3" xfId="27490"/>
    <cellStyle name="_Recon to Darrin's 5.11.05 proforma_Power Costs - Comparison bx Rbtl-Staff-Jt-PC_Adj Bench DR 3 for Initial Briefs (Electric) 3 4" xfId="7860"/>
    <cellStyle name="_Recon to Darrin's 5.11.05 proforma_Power Costs - Comparison bx Rbtl-Staff-Jt-PC_Adj Bench DR 3 for Initial Briefs (Electric) 4" xfId="16976"/>
    <cellStyle name="_Recon to Darrin's 5.11.05 proforma_Power Costs - Comparison bx Rbtl-Staff-Jt-PC_Adj Bench DR 3 for Initial Briefs (Electric) 4 2" xfId="27491"/>
    <cellStyle name="_Recon to Darrin's 5.11.05 proforma_Power Costs - Comparison bx Rbtl-Staff-Jt-PC_Adj Bench DR 3 for Initial Briefs (Electric) 4 2 2" xfId="27492"/>
    <cellStyle name="_Recon to Darrin's 5.11.05 proforma_Power Costs - Comparison bx Rbtl-Staff-Jt-PC_Adj Bench DR 3 for Initial Briefs (Electric) 4 3" xfId="27493"/>
    <cellStyle name="_Recon to Darrin's 5.11.05 proforma_Power Costs - Comparison bx Rbtl-Staff-Jt-PC_Adj Bench DR 3 for Initial Briefs (Electric) 5" xfId="27494"/>
    <cellStyle name="_Recon to Darrin's 5.11.05 proforma_Power Costs - Comparison bx Rbtl-Staff-Jt-PC_Adj Bench DR 3 for Initial Briefs (Electric) 5 2" xfId="27495"/>
    <cellStyle name="_Recon to Darrin's 5.11.05 proforma_Power Costs - Comparison bx Rbtl-Staff-Jt-PC_Adj Bench DR 3 for Initial Briefs (Electric) 6" xfId="27496"/>
    <cellStyle name="_Recon to Darrin's 5.11.05 proforma_Power Costs - Comparison bx Rbtl-Staff-Jt-PC_Adj Bench DR 3 for Initial Briefs (Electric) 6 2" xfId="27497"/>
    <cellStyle name="_Recon to Darrin's 5.11.05 proforma_Power Costs - Comparison bx Rbtl-Staff-Jt-PC_Adj Bench DR 3 for Initial Briefs (Electric) 7" xfId="7857"/>
    <cellStyle name="_Recon to Darrin's 5.11.05 proforma_Power Costs - Comparison bx Rbtl-Staff-Jt-PC_Adj Bench DR 3 for Initial Briefs (Electric)_DEM-WP(C) ENERG10C--ctn Mid-C_042010 2010GRC" xfId="12986"/>
    <cellStyle name="_Recon to Darrin's 5.11.05 proforma_Power Costs - Comparison bx Rbtl-Staff-Jt-PC_Adj Bench DR 3 for Initial Briefs (Electric)_DEM-WP(C) ENERG10C--ctn Mid-C_042010 2010GRC 2" xfId="41676"/>
    <cellStyle name="_Recon to Darrin's 5.11.05 proforma_Power Costs - Comparison bx Rbtl-Staff-Jt-PC_DEM-WP(C) ENERG10C--ctn Mid-C_042010 2010GRC" xfId="12987"/>
    <cellStyle name="_Recon to Darrin's 5.11.05 proforma_Power Costs - Comparison bx Rbtl-Staff-Jt-PC_DEM-WP(C) ENERG10C--ctn Mid-C_042010 2010GRC 2" xfId="41677"/>
    <cellStyle name="_Recon to Darrin's 5.11.05 proforma_Power Costs - Comparison bx Rbtl-Staff-Jt-PC_Electric Rev Req Model (2009 GRC) Rebuttal" xfId="1986"/>
    <cellStyle name="_Recon to Darrin's 5.11.05 proforma_Power Costs - Comparison bx Rbtl-Staff-Jt-PC_Electric Rev Req Model (2009 GRC) Rebuttal 2" xfId="5353"/>
    <cellStyle name="_Recon to Darrin's 5.11.05 proforma_Power Costs - Comparison bx Rbtl-Staff-Jt-PC_Electric Rev Req Model (2009 GRC) Rebuttal 2 2" xfId="7863"/>
    <cellStyle name="_Recon to Darrin's 5.11.05 proforma_Power Costs - Comparison bx Rbtl-Staff-Jt-PC_Electric Rev Req Model (2009 GRC) Rebuttal 2 2 2" xfId="21333"/>
    <cellStyle name="_Recon to Darrin's 5.11.05 proforma_Power Costs - Comparison bx Rbtl-Staff-Jt-PC_Electric Rev Req Model (2009 GRC) Rebuttal 2 3" xfId="18650"/>
    <cellStyle name="_Recon to Darrin's 5.11.05 proforma_Power Costs - Comparison bx Rbtl-Staff-Jt-PC_Electric Rev Req Model (2009 GRC) Rebuttal 2 4" xfId="7862"/>
    <cellStyle name="_Recon to Darrin's 5.11.05 proforma_Power Costs - Comparison bx Rbtl-Staff-Jt-PC_Electric Rev Req Model (2009 GRC) Rebuttal 3" xfId="7864"/>
    <cellStyle name="_Recon to Darrin's 5.11.05 proforma_Power Costs - Comparison bx Rbtl-Staff-Jt-PC_Electric Rev Req Model (2009 GRC) Rebuttal 3 2" xfId="21334"/>
    <cellStyle name="_Recon to Darrin's 5.11.05 proforma_Power Costs - Comparison bx Rbtl-Staff-Jt-PC_Electric Rev Req Model (2009 GRC) Rebuttal 4" xfId="16978"/>
    <cellStyle name="_Recon to Darrin's 5.11.05 proforma_Power Costs - Comparison bx Rbtl-Staff-Jt-PC_Electric Rev Req Model (2009 GRC) Rebuttal 5" xfId="7861"/>
    <cellStyle name="_Recon to Darrin's 5.11.05 proforma_Power Costs - Comparison bx Rbtl-Staff-Jt-PC_Electric Rev Req Model (2009 GRC) Rebuttal REmoval of New  WH Solar AdjustMI" xfId="1987"/>
    <cellStyle name="_Recon to Darrin's 5.11.05 proforma_Power Costs - Comparison bx Rbtl-Staff-Jt-PC_Electric Rev Req Model (2009 GRC) Rebuttal REmoval of New  WH Solar AdjustMI 2" xfId="1988"/>
    <cellStyle name="_Recon to Darrin's 5.11.05 proforma_Power Costs - Comparison bx Rbtl-Staff-Jt-PC_Electric Rev Req Model (2009 GRC) Rebuttal REmoval of New  WH Solar AdjustMI 2 2" xfId="5355"/>
    <cellStyle name="_Recon to Darrin's 5.11.05 proforma_Power Costs - Comparison bx Rbtl-Staff-Jt-PC_Electric Rev Req Model (2009 GRC) Rebuttal REmoval of New  WH Solar AdjustMI 2 2 2" xfId="21335"/>
    <cellStyle name="_Recon to Darrin's 5.11.05 proforma_Power Costs - Comparison bx Rbtl-Staff-Jt-PC_Electric Rev Req Model (2009 GRC) Rebuttal REmoval of New  WH Solar AdjustMI 2 2 2 2" xfId="27498"/>
    <cellStyle name="_Recon to Darrin's 5.11.05 proforma_Power Costs - Comparison bx Rbtl-Staff-Jt-PC_Electric Rev Req Model (2009 GRC) Rebuttal REmoval of New  WH Solar AdjustMI 2 2 3" xfId="7867"/>
    <cellStyle name="_Recon to Darrin's 5.11.05 proforma_Power Costs - Comparison bx Rbtl-Staff-Jt-PC_Electric Rev Req Model (2009 GRC) Rebuttal REmoval of New  WH Solar AdjustMI 2 3" xfId="16980"/>
    <cellStyle name="_Recon to Darrin's 5.11.05 proforma_Power Costs - Comparison bx Rbtl-Staff-Jt-PC_Electric Rev Req Model (2009 GRC) Rebuttal REmoval of New  WH Solar AdjustMI 2 3 2" xfId="27499"/>
    <cellStyle name="_Recon to Darrin's 5.11.05 proforma_Power Costs - Comparison bx Rbtl-Staff-Jt-PC_Electric Rev Req Model (2009 GRC) Rebuttal REmoval of New  WH Solar AdjustMI 2 4" xfId="27500"/>
    <cellStyle name="_Recon to Darrin's 5.11.05 proforma_Power Costs - Comparison bx Rbtl-Staff-Jt-PC_Electric Rev Req Model (2009 GRC) Rebuttal REmoval of New  WH Solar AdjustMI 2 4 2" xfId="27501"/>
    <cellStyle name="_Recon to Darrin's 5.11.05 proforma_Power Costs - Comparison bx Rbtl-Staff-Jt-PC_Electric Rev Req Model (2009 GRC) Rebuttal REmoval of New  WH Solar AdjustMI 2 5" xfId="7866"/>
    <cellStyle name="_Recon to Darrin's 5.11.05 proforma_Power Costs - Comparison bx Rbtl-Staff-Jt-PC_Electric Rev Req Model (2009 GRC) Rebuttal REmoval of New  WH Solar AdjustMI 3" xfId="5354"/>
    <cellStyle name="_Recon to Darrin's 5.11.05 proforma_Power Costs - Comparison bx Rbtl-Staff-Jt-PC_Electric Rev Req Model (2009 GRC) Rebuttal REmoval of New  WH Solar AdjustMI 3 2" xfId="21336"/>
    <cellStyle name="_Recon to Darrin's 5.11.05 proforma_Power Costs - Comparison bx Rbtl-Staff-Jt-PC_Electric Rev Req Model (2009 GRC) Rebuttal REmoval of New  WH Solar AdjustMI 3 2 2" xfId="27502"/>
    <cellStyle name="_Recon to Darrin's 5.11.05 proforma_Power Costs - Comparison bx Rbtl-Staff-Jt-PC_Electric Rev Req Model (2009 GRC) Rebuttal REmoval of New  WH Solar AdjustMI 3 3" xfId="27503"/>
    <cellStyle name="_Recon to Darrin's 5.11.05 proforma_Power Costs - Comparison bx Rbtl-Staff-Jt-PC_Electric Rev Req Model (2009 GRC) Rebuttal REmoval of New  WH Solar AdjustMI 3 4" xfId="7868"/>
    <cellStyle name="_Recon to Darrin's 5.11.05 proforma_Power Costs - Comparison bx Rbtl-Staff-Jt-PC_Electric Rev Req Model (2009 GRC) Rebuttal REmoval of New  WH Solar AdjustMI 4" xfId="16979"/>
    <cellStyle name="_Recon to Darrin's 5.11.05 proforma_Power Costs - Comparison bx Rbtl-Staff-Jt-PC_Electric Rev Req Model (2009 GRC) Rebuttal REmoval of New  WH Solar AdjustMI 4 2" xfId="27504"/>
    <cellStyle name="_Recon to Darrin's 5.11.05 proforma_Power Costs - Comparison bx Rbtl-Staff-Jt-PC_Electric Rev Req Model (2009 GRC) Rebuttal REmoval of New  WH Solar AdjustMI 4 2 2" xfId="27505"/>
    <cellStyle name="_Recon to Darrin's 5.11.05 proforma_Power Costs - Comparison bx Rbtl-Staff-Jt-PC_Electric Rev Req Model (2009 GRC) Rebuttal REmoval of New  WH Solar AdjustMI 4 3" xfId="27506"/>
    <cellStyle name="_Recon to Darrin's 5.11.05 proforma_Power Costs - Comparison bx Rbtl-Staff-Jt-PC_Electric Rev Req Model (2009 GRC) Rebuttal REmoval of New  WH Solar AdjustMI 5" xfId="27507"/>
    <cellStyle name="_Recon to Darrin's 5.11.05 proforma_Power Costs - Comparison bx Rbtl-Staff-Jt-PC_Electric Rev Req Model (2009 GRC) Rebuttal REmoval of New  WH Solar AdjustMI 5 2" xfId="27508"/>
    <cellStyle name="_Recon to Darrin's 5.11.05 proforma_Power Costs - Comparison bx Rbtl-Staff-Jt-PC_Electric Rev Req Model (2009 GRC) Rebuttal REmoval of New  WH Solar AdjustMI 6" xfId="27509"/>
    <cellStyle name="_Recon to Darrin's 5.11.05 proforma_Power Costs - Comparison bx Rbtl-Staff-Jt-PC_Electric Rev Req Model (2009 GRC) Rebuttal REmoval of New  WH Solar AdjustMI 6 2" xfId="27510"/>
    <cellStyle name="_Recon to Darrin's 5.11.05 proforma_Power Costs - Comparison bx Rbtl-Staff-Jt-PC_Electric Rev Req Model (2009 GRC) Rebuttal REmoval of New  WH Solar AdjustMI 7" xfId="7865"/>
    <cellStyle name="_Recon to Darrin's 5.11.05 proforma_Power Costs - Comparison bx Rbtl-Staff-Jt-PC_Electric Rev Req Model (2009 GRC) Rebuttal REmoval of New  WH Solar AdjustMI_DEM-WP(C) ENERG10C--ctn Mid-C_042010 2010GRC" xfId="12988"/>
    <cellStyle name="_Recon to Darrin's 5.11.05 proforma_Power Costs - Comparison bx Rbtl-Staff-Jt-PC_Electric Rev Req Model (2009 GRC) Rebuttal REmoval of New  WH Solar AdjustMI_DEM-WP(C) ENERG10C--ctn Mid-C_042010 2010GRC 2" xfId="41678"/>
    <cellStyle name="_Recon to Darrin's 5.11.05 proforma_Power Costs - Comparison bx Rbtl-Staff-Jt-PC_Electric Rev Req Model (2009 GRC) Revised 01-18-2010" xfId="1989"/>
    <cellStyle name="_Recon to Darrin's 5.11.05 proforma_Power Costs - Comparison bx Rbtl-Staff-Jt-PC_Electric Rev Req Model (2009 GRC) Revised 01-18-2010 2" xfId="1990"/>
    <cellStyle name="_Recon to Darrin's 5.11.05 proforma_Power Costs - Comparison bx Rbtl-Staff-Jt-PC_Electric Rev Req Model (2009 GRC) Revised 01-18-2010 2 2" xfId="5357"/>
    <cellStyle name="_Recon to Darrin's 5.11.05 proforma_Power Costs - Comparison bx Rbtl-Staff-Jt-PC_Electric Rev Req Model (2009 GRC) Revised 01-18-2010 2 2 2" xfId="21337"/>
    <cellStyle name="_Recon to Darrin's 5.11.05 proforma_Power Costs - Comparison bx Rbtl-Staff-Jt-PC_Electric Rev Req Model (2009 GRC) Revised 01-18-2010 2 2 2 2" xfId="27511"/>
    <cellStyle name="_Recon to Darrin's 5.11.05 proforma_Power Costs - Comparison bx Rbtl-Staff-Jt-PC_Electric Rev Req Model (2009 GRC) Revised 01-18-2010 2 2 3" xfId="7871"/>
    <cellStyle name="_Recon to Darrin's 5.11.05 proforma_Power Costs - Comparison bx Rbtl-Staff-Jt-PC_Electric Rev Req Model (2009 GRC) Revised 01-18-2010 2 3" xfId="16982"/>
    <cellStyle name="_Recon to Darrin's 5.11.05 proforma_Power Costs - Comparison bx Rbtl-Staff-Jt-PC_Electric Rev Req Model (2009 GRC) Revised 01-18-2010 2 3 2" xfId="27512"/>
    <cellStyle name="_Recon to Darrin's 5.11.05 proforma_Power Costs - Comparison bx Rbtl-Staff-Jt-PC_Electric Rev Req Model (2009 GRC) Revised 01-18-2010 2 4" xfId="27513"/>
    <cellStyle name="_Recon to Darrin's 5.11.05 proforma_Power Costs - Comparison bx Rbtl-Staff-Jt-PC_Electric Rev Req Model (2009 GRC) Revised 01-18-2010 2 4 2" xfId="27514"/>
    <cellStyle name="_Recon to Darrin's 5.11.05 proforma_Power Costs - Comparison bx Rbtl-Staff-Jt-PC_Electric Rev Req Model (2009 GRC) Revised 01-18-2010 2 5" xfId="7870"/>
    <cellStyle name="_Recon to Darrin's 5.11.05 proforma_Power Costs - Comparison bx Rbtl-Staff-Jt-PC_Electric Rev Req Model (2009 GRC) Revised 01-18-2010 3" xfId="5356"/>
    <cellStyle name="_Recon to Darrin's 5.11.05 proforma_Power Costs - Comparison bx Rbtl-Staff-Jt-PC_Electric Rev Req Model (2009 GRC) Revised 01-18-2010 3 2" xfId="21338"/>
    <cellStyle name="_Recon to Darrin's 5.11.05 proforma_Power Costs - Comparison bx Rbtl-Staff-Jt-PC_Electric Rev Req Model (2009 GRC) Revised 01-18-2010 3 2 2" xfId="27515"/>
    <cellStyle name="_Recon to Darrin's 5.11.05 proforma_Power Costs - Comparison bx Rbtl-Staff-Jt-PC_Electric Rev Req Model (2009 GRC) Revised 01-18-2010 3 3" xfId="27516"/>
    <cellStyle name="_Recon to Darrin's 5.11.05 proforma_Power Costs - Comparison bx Rbtl-Staff-Jt-PC_Electric Rev Req Model (2009 GRC) Revised 01-18-2010 3 4" xfId="7872"/>
    <cellStyle name="_Recon to Darrin's 5.11.05 proforma_Power Costs - Comparison bx Rbtl-Staff-Jt-PC_Electric Rev Req Model (2009 GRC) Revised 01-18-2010 4" xfId="16981"/>
    <cellStyle name="_Recon to Darrin's 5.11.05 proforma_Power Costs - Comparison bx Rbtl-Staff-Jt-PC_Electric Rev Req Model (2009 GRC) Revised 01-18-2010 4 2" xfId="27517"/>
    <cellStyle name="_Recon to Darrin's 5.11.05 proforma_Power Costs - Comparison bx Rbtl-Staff-Jt-PC_Electric Rev Req Model (2009 GRC) Revised 01-18-2010 4 2 2" xfId="27518"/>
    <cellStyle name="_Recon to Darrin's 5.11.05 proforma_Power Costs - Comparison bx Rbtl-Staff-Jt-PC_Electric Rev Req Model (2009 GRC) Revised 01-18-2010 4 3" xfId="27519"/>
    <cellStyle name="_Recon to Darrin's 5.11.05 proforma_Power Costs - Comparison bx Rbtl-Staff-Jt-PC_Electric Rev Req Model (2009 GRC) Revised 01-18-2010 5" xfId="27520"/>
    <cellStyle name="_Recon to Darrin's 5.11.05 proforma_Power Costs - Comparison bx Rbtl-Staff-Jt-PC_Electric Rev Req Model (2009 GRC) Revised 01-18-2010 5 2" xfId="27521"/>
    <cellStyle name="_Recon to Darrin's 5.11.05 proforma_Power Costs - Comparison bx Rbtl-Staff-Jt-PC_Electric Rev Req Model (2009 GRC) Revised 01-18-2010 6" xfId="27522"/>
    <cellStyle name="_Recon to Darrin's 5.11.05 proforma_Power Costs - Comparison bx Rbtl-Staff-Jt-PC_Electric Rev Req Model (2009 GRC) Revised 01-18-2010 6 2" xfId="27523"/>
    <cellStyle name="_Recon to Darrin's 5.11.05 proforma_Power Costs - Comparison bx Rbtl-Staff-Jt-PC_Electric Rev Req Model (2009 GRC) Revised 01-18-2010 7" xfId="7869"/>
    <cellStyle name="_Recon to Darrin's 5.11.05 proforma_Power Costs - Comparison bx Rbtl-Staff-Jt-PC_Electric Rev Req Model (2009 GRC) Revised 01-18-2010_DEM-WP(C) ENERG10C--ctn Mid-C_042010 2010GRC" xfId="12989"/>
    <cellStyle name="_Recon to Darrin's 5.11.05 proforma_Power Costs - Comparison bx Rbtl-Staff-Jt-PC_Electric Rev Req Model (2009 GRC) Revised 01-18-2010_DEM-WP(C) ENERG10C--ctn Mid-C_042010 2010GRC 2" xfId="41679"/>
    <cellStyle name="_Recon to Darrin's 5.11.05 proforma_Power Costs - Comparison bx Rbtl-Staff-Jt-PC_Final Order Electric EXHIBIT A-1" xfId="1991"/>
    <cellStyle name="_Recon to Darrin's 5.11.05 proforma_Power Costs - Comparison bx Rbtl-Staff-Jt-PC_Final Order Electric EXHIBIT A-1 2" xfId="5358"/>
    <cellStyle name="_Recon to Darrin's 5.11.05 proforma_Power Costs - Comparison bx Rbtl-Staff-Jt-PC_Final Order Electric EXHIBIT A-1 2 2" xfId="7875"/>
    <cellStyle name="_Recon to Darrin's 5.11.05 proforma_Power Costs - Comparison bx Rbtl-Staff-Jt-PC_Final Order Electric EXHIBIT A-1 2 2 2" xfId="21339"/>
    <cellStyle name="_Recon to Darrin's 5.11.05 proforma_Power Costs - Comparison bx Rbtl-Staff-Jt-PC_Final Order Electric EXHIBIT A-1 2 3" xfId="18651"/>
    <cellStyle name="_Recon to Darrin's 5.11.05 proforma_Power Costs - Comparison bx Rbtl-Staff-Jt-PC_Final Order Electric EXHIBIT A-1 2 4" xfId="7874"/>
    <cellStyle name="_Recon to Darrin's 5.11.05 proforma_Power Costs - Comparison bx Rbtl-Staff-Jt-PC_Final Order Electric EXHIBIT A-1 3" xfId="7876"/>
    <cellStyle name="_Recon to Darrin's 5.11.05 proforma_Power Costs - Comparison bx Rbtl-Staff-Jt-PC_Final Order Electric EXHIBIT A-1 3 2" xfId="21340"/>
    <cellStyle name="_Recon to Darrin's 5.11.05 proforma_Power Costs - Comparison bx Rbtl-Staff-Jt-PC_Final Order Electric EXHIBIT A-1 3 2 2" xfId="27524"/>
    <cellStyle name="_Recon to Darrin's 5.11.05 proforma_Power Costs - Comparison bx Rbtl-Staff-Jt-PC_Final Order Electric EXHIBIT A-1 3 3" xfId="27525"/>
    <cellStyle name="_Recon to Darrin's 5.11.05 proforma_Power Costs - Comparison bx Rbtl-Staff-Jt-PC_Final Order Electric EXHIBIT A-1 4" xfId="16983"/>
    <cellStyle name="_Recon to Darrin's 5.11.05 proforma_Power Costs - Comparison bx Rbtl-Staff-Jt-PC_Final Order Electric EXHIBIT A-1 4 2" xfId="27526"/>
    <cellStyle name="_Recon to Darrin's 5.11.05 proforma_Power Costs - Comparison bx Rbtl-Staff-Jt-PC_Final Order Electric EXHIBIT A-1 5" xfId="27527"/>
    <cellStyle name="_Recon to Darrin's 5.11.05 proforma_Power Costs - Comparison bx Rbtl-Staff-Jt-PC_Final Order Electric EXHIBIT A-1 6" xfId="27528"/>
    <cellStyle name="_Recon to Darrin's 5.11.05 proforma_Power Costs - Comparison bx Rbtl-Staff-Jt-PC_Final Order Electric EXHIBIT A-1 7" xfId="7873"/>
    <cellStyle name="_Recon to Darrin's 5.11.05 proforma_Production Adj 4.37" xfId="7877"/>
    <cellStyle name="_Recon to Darrin's 5.11.05 proforma_Production Adj 4.37 2" xfId="7878"/>
    <cellStyle name="_Recon to Darrin's 5.11.05 proforma_Production Adj 4.37 2 2" xfId="7879"/>
    <cellStyle name="_Recon to Darrin's 5.11.05 proforma_Production Adj 4.37 2 2 2" xfId="21341"/>
    <cellStyle name="_Recon to Darrin's 5.11.05 proforma_Production Adj 4.37 2 3" xfId="18653"/>
    <cellStyle name="_Recon to Darrin's 5.11.05 proforma_Production Adj 4.37 3" xfId="7880"/>
    <cellStyle name="_Recon to Darrin's 5.11.05 proforma_Production Adj 4.37 3 2" xfId="21342"/>
    <cellStyle name="_Recon to Darrin's 5.11.05 proforma_Production Adj 4.37 4" xfId="18652"/>
    <cellStyle name="_Recon to Darrin's 5.11.05 proforma_Purchased Power Adj 4.03" xfId="7881"/>
    <cellStyle name="_Recon to Darrin's 5.11.05 proforma_Purchased Power Adj 4.03 2" xfId="7882"/>
    <cellStyle name="_Recon to Darrin's 5.11.05 proforma_Purchased Power Adj 4.03 2 2" xfId="7883"/>
    <cellStyle name="_Recon to Darrin's 5.11.05 proforma_Purchased Power Adj 4.03 2 2 2" xfId="21343"/>
    <cellStyle name="_Recon to Darrin's 5.11.05 proforma_Purchased Power Adj 4.03 2 3" xfId="18655"/>
    <cellStyle name="_Recon to Darrin's 5.11.05 proforma_Purchased Power Adj 4.03 3" xfId="7884"/>
    <cellStyle name="_Recon to Darrin's 5.11.05 proforma_Purchased Power Adj 4.03 3 2" xfId="21344"/>
    <cellStyle name="_Recon to Darrin's 5.11.05 proforma_Purchased Power Adj 4.03 4" xfId="18654"/>
    <cellStyle name="_Recon to Darrin's 5.11.05 proforma_Rebuttal Power Costs" xfId="1992"/>
    <cellStyle name="_Recon to Darrin's 5.11.05 proforma_Rebuttal Power Costs 2" xfId="1993"/>
    <cellStyle name="_Recon to Darrin's 5.11.05 proforma_Rebuttal Power Costs 2 2" xfId="5360"/>
    <cellStyle name="_Recon to Darrin's 5.11.05 proforma_Rebuttal Power Costs 2 2 2" xfId="21345"/>
    <cellStyle name="_Recon to Darrin's 5.11.05 proforma_Rebuttal Power Costs 2 2 2 2" xfId="27529"/>
    <cellStyle name="_Recon to Darrin's 5.11.05 proforma_Rebuttal Power Costs 2 2 3" xfId="7887"/>
    <cellStyle name="_Recon to Darrin's 5.11.05 proforma_Rebuttal Power Costs 2 3" xfId="16985"/>
    <cellStyle name="_Recon to Darrin's 5.11.05 proforma_Rebuttal Power Costs 2 3 2" xfId="27530"/>
    <cellStyle name="_Recon to Darrin's 5.11.05 proforma_Rebuttal Power Costs 2 4" xfId="27531"/>
    <cellStyle name="_Recon to Darrin's 5.11.05 proforma_Rebuttal Power Costs 2 4 2" xfId="27532"/>
    <cellStyle name="_Recon to Darrin's 5.11.05 proforma_Rebuttal Power Costs 2 5" xfId="7886"/>
    <cellStyle name="_Recon to Darrin's 5.11.05 proforma_Rebuttal Power Costs 3" xfId="5359"/>
    <cellStyle name="_Recon to Darrin's 5.11.05 proforma_Rebuttal Power Costs 3 2" xfId="21346"/>
    <cellStyle name="_Recon to Darrin's 5.11.05 proforma_Rebuttal Power Costs 3 2 2" xfId="27533"/>
    <cellStyle name="_Recon to Darrin's 5.11.05 proforma_Rebuttal Power Costs 3 3" xfId="27534"/>
    <cellStyle name="_Recon to Darrin's 5.11.05 proforma_Rebuttal Power Costs 3 4" xfId="7888"/>
    <cellStyle name="_Recon to Darrin's 5.11.05 proforma_Rebuttal Power Costs 4" xfId="16984"/>
    <cellStyle name="_Recon to Darrin's 5.11.05 proforma_Rebuttal Power Costs 4 2" xfId="27535"/>
    <cellStyle name="_Recon to Darrin's 5.11.05 proforma_Rebuttal Power Costs 4 2 2" xfId="27536"/>
    <cellStyle name="_Recon to Darrin's 5.11.05 proforma_Rebuttal Power Costs 4 3" xfId="27537"/>
    <cellStyle name="_Recon to Darrin's 5.11.05 proforma_Rebuttal Power Costs 5" xfId="27538"/>
    <cellStyle name="_Recon to Darrin's 5.11.05 proforma_Rebuttal Power Costs 5 2" xfId="27539"/>
    <cellStyle name="_Recon to Darrin's 5.11.05 proforma_Rebuttal Power Costs 6" xfId="27540"/>
    <cellStyle name="_Recon to Darrin's 5.11.05 proforma_Rebuttal Power Costs 6 2" xfId="27541"/>
    <cellStyle name="_Recon to Darrin's 5.11.05 proforma_Rebuttal Power Costs 7" xfId="7885"/>
    <cellStyle name="_Recon to Darrin's 5.11.05 proforma_Rebuttal Power Costs_Adj Bench DR 3 for Initial Briefs (Electric)" xfId="1994"/>
    <cellStyle name="_Recon to Darrin's 5.11.05 proforma_Rebuttal Power Costs_Adj Bench DR 3 for Initial Briefs (Electric) 2" xfId="1995"/>
    <cellStyle name="_Recon to Darrin's 5.11.05 proforma_Rebuttal Power Costs_Adj Bench DR 3 for Initial Briefs (Electric) 2 2" xfId="5362"/>
    <cellStyle name="_Recon to Darrin's 5.11.05 proforma_Rebuttal Power Costs_Adj Bench DR 3 for Initial Briefs (Electric) 2 2 2" xfId="21347"/>
    <cellStyle name="_Recon to Darrin's 5.11.05 proforma_Rebuttal Power Costs_Adj Bench DR 3 for Initial Briefs (Electric) 2 2 2 2" xfId="27542"/>
    <cellStyle name="_Recon to Darrin's 5.11.05 proforma_Rebuttal Power Costs_Adj Bench DR 3 for Initial Briefs (Electric) 2 2 3" xfId="7891"/>
    <cellStyle name="_Recon to Darrin's 5.11.05 proforma_Rebuttal Power Costs_Adj Bench DR 3 for Initial Briefs (Electric) 2 3" xfId="16987"/>
    <cellStyle name="_Recon to Darrin's 5.11.05 proforma_Rebuttal Power Costs_Adj Bench DR 3 for Initial Briefs (Electric) 2 3 2" xfId="27543"/>
    <cellStyle name="_Recon to Darrin's 5.11.05 proforma_Rebuttal Power Costs_Adj Bench DR 3 for Initial Briefs (Electric) 2 4" xfId="27544"/>
    <cellStyle name="_Recon to Darrin's 5.11.05 proforma_Rebuttal Power Costs_Adj Bench DR 3 for Initial Briefs (Electric) 2 4 2" xfId="27545"/>
    <cellStyle name="_Recon to Darrin's 5.11.05 proforma_Rebuttal Power Costs_Adj Bench DR 3 for Initial Briefs (Electric) 2 5" xfId="7890"/>
    <cellStyle name="_Recon to Darrin's 5.11.05 proforma_Rebuttal Power Costs_Adj Bench DR 3 for Initial Briefs (Electric) 3" xfId="5361"/>
    <cellStyle name="_Recon to Darrin's 5.11.05 proforma_Rebuttal Power Costs_Adj Bench DR 3 for Initial Briefs (Electric) 3 2" xfId="21348"/>
    <cellStyle name="_Recon to Darrin's 5.11.05 proforma_Rebuttal Power Costs_Adj Bench DR 3 for Initial Briefs (Electric) 3 2 2" xfId="27546"/>
    <cellStyle name="_Recon to Darrin's 5.11.05 proforma_Rebuttal Power Costs_Adj Bench DR 3 for Initial Briefs (Electric) 3 3" xfId="27547"/>
    <cellStyle name="_Recon to Darrin's 5.11.05 proforma_Rebuttal Power Costs_Adj Bench DR 3 for Initial Briefs (Electric) 3 4" xfId="7892"/>
    <cellStyle name="_Recon to Darrin's 5.11.05 proforma_Rebuttal Power Costs_Adj Bench DR 3 for Initial Briefs (Electric) 4" xfId="16986"/>
    <cellStyle name="_Recon to Darrin's 5.11.05 proforma_Rebuttal Power Costs_Adj Bench DR 3 for Initial Briefs (Electric) 4 2" xfId="27548"/>
    <cellStyle name="_Recon to Darrin's 5.11.05 proforma_Rebuttal Power Costs_Adj Bench DR 3 for Initial Briefs (Electric) 4 2 2" xfId="27549"/>
    <cellStyle name="_Recon to Darrin's 5.11.05 proforma_Rebuttal Power Costs_Adj Bench DR 3 for Initial Briefs (Electric) 4 3" xfId="27550"/>
    <cellStyle name="_Recon to Darrin's 5.11.05 proforma_Rebuttal Power Costs_Adj Bench DR 3 for Initial Briefs (Electric) 5" xfId="27551"/>
    <cellStyle name="_Recon to Darrin's 5.11.05 proforma_Rebuttal Power Costs_Adj Bench DR 3 for Initial Briefs (Electric) 5 2" xfId="27552"/>
    <cellStyle name="_Recon to Darrin's 5.11.05 proforma_Rebuttal Power Costs_Adj Bench DR 3 for Initial Briefs (Electric) 6" xfId="27553"/>
    <cellStyle name="_Recon to Darrin's 5.11.05 proforma_Rebuttal Power Costs_Adj Bench DR 3 for Initial Briefs (Electric) 6 2" xfId="27554"/>
    <cellStyle name="_Recon to Darrin's 5.11.05 proforma_Rebuttal Power Costs_Adj Bench DR 3 for Initial Briefs (Electric) 7" xfId="7889"/>
    <cellStyle name="_Recon to Darrin's 5.11.05 proforma_Rebuttal Power Costs_Adj Bench DR 3 for Initial Briefs (Electric)_DEM-WP(C) ENERG10C--ctn Mid-C_042010 2010GRC" xfId="12990"/>
    <cellStyle name="_Recon to Darrin's 5.11.05 proforma_Rebuttal Power Costs_Adj Bench DR 3 for Initial Briefs (Electric)_DEM-WP(C) ENERG10C--ctn Mid-C_042010 2010GRC 2" xfId="41680"/>
    <cellStyle name="_Recon to Darrin's 5.11.05 proforma_Rebuttal Power Costs_DEM-WP(C) ENERG10C--ctn Mid-C_042010 2010GRC" xfId="12991"/>
    <cellStyle name="_Recon to Darrin's 5.11.05 proforma_Rebuttal Power Costs_DEM-WP(C) ENERG10C--ctn Mid-C_042010 2010GRC 2" xfId="41681"/>
    <cellStyle name="_Recon to Darrin's 5.11.05 proforma_Rebuttal Power Costs_Electric Rev Req Model (2009 GRC) Rebuttal" xfId="1996"/>
    <cellStyle name="_Recon to Darrin's 5.11.05 proforma_Rebuttal Power Costs_Electric Rev Req Model (2009 GRC) Rebuttal 2" xfId="5363"/>
    <cellStyle name="_Recon to Darrin's 5.11.05 proforma_Rebuttal Power Costs_Electric Rev Req Model (2009 GRC) Rebuttal 2 2" xfId="7895"/>
    <cellStyle name="_Recon to Darrin's 5.11.05 proforma_Rebuttal Power Costs_Electric Rev Req Model (2009 GRC) Rebuttal 2 2 2" xfId="21349"/>
    <cellStyle name="_Recon to Darrin's 5.11.05 proforma_Rebuttal Power Costs_Electric Rev Req Model (2009 GRC) Rebuttal 2 3" xfId="18656"/>
    <cellStyle name="_Recon to Darrin's 5.11.05 proforma_Rebuttal Power Costs_Electric Rev Req Model (2009 GRC) Rebuttal 2 4" xfId="7894"/>
    <cellStyle name="_Recon to Darrin's 5.11.05 proforma_Rebuttal Power Costs_Electric Rev Req Model (2009 GRC) Rebuttal 3" xfId="7896"/>
    <cellStyle name="_Recon to Darrin's 5.11.05 proforma_Rebuttal Power Costs_Electric Rev Req Model (2009 GRC) Rebuttal 3 2" xfId="21350"/>
    <cellStyle name="_Recon to Darrin's 5.11.05 proforma_Rebuttal Power Costs_Electric Rev Req Model (2009 GRC) Rebuttal 4" xfId="16988"/>
    <cellStyle name="_Recon to Darrin's 5.11.05 proforma_Rebuttal Power Costs_Electric Rev Req Model (2009 GRC) Rebuttal 5" xfId="7893"/>
    <cellStyle name="_Recon to Darrin's 5.11.05 proforma_Rebuttal Power Costs_Electric Rev Req Model (2009 GRC) Rebuttal REmoval of New  WH Solar AdjustMI" xfId="1997"/>
    <cellStyle name="_Recon to Darrin's 5.11.05 proforma_Rebuttal Power Costs_Electric Rev Req Model (2009 GRC) Rebuttal REmoval of New  WH Solar AdjustMI 2" xfId="1998"/>
    <cellStyle name="_Recon to Darrin's 5.11.05 proforma_Rebuttal Power Costs_Electric Rev Req Model (2009 GRC) Rebuttal REmoval of New  WH Solar AdjustMI 2 2" xfId="5365"/>
    <cellStyle name="_Recon to Darrin's 5.11.05 proforma_Rebuttal Power Costs_Electric Rev Req Model (2009 GRC) Rebuttal REmoval of New  WH Solar AdjustMI 2 2 2" xfId="21351"/>
    <cellStyle name="_Recon to Darrin's 5.11.05 proforma_Rebuttal Power Costs_Electric Rev Req Model (2009 GRC) Rebuttal REmoval of New  WH Solar AdjustMI 2 2 2 2" xfId="27555"/>
    <cellStyle name="_Recon to Darrin's 5.11.05 proforma_Rebuttal Power Costs_Electric Rev Req Model (2009 GRC) Rebuttal REmoval of New  WH Solar AdjustMI 2 2 3" xfId="7899"/>
    <cellStyle name="_Recon to Darrin's 5.11.05 proforma_Rebuttal Power Costs_Electric Rev Req Model (2009 GRC) Rebuttal REmoval of New  WH Solar AdjustMI 2 3" xfId="16990"/>
    <cellStyle name="_Recon to Darrin's 5.11.05 proforma_Rebuttal Power Costs_Electric Rev Req Model (2009 GRC) Rebuttal REmoval of New  WH Solar AdjustMI 2 3 2" xfId="27556"/>
    <cellStyle name="_Recon to Darrin's 5.11.05 proforma_Rebuttal Power Costs_Electric Rev Req Model (2009 GRC) Rebuttal REmoval of New  WH Solar AdjustMI 2 4" xfId="27557"/>
    <cellStyle name="_Recon to Darrin's 5.11.05 proforma_Rebuttal Power Costs_Electric Rev Req Model (2009 GRC) Rebuttal REmoval of New  WH Solar AdjustMI 2 4 2" xfId="27558"/>
    <cellStyle name="_Recon to Darrin's 5.11.05 proforma_Rebuttal Power Costs_Electric Rev Req Model (2009 GRC) Rebuttal REmoval of New  WH Solar AdjustMI 2 5" xfId="7898"/>
    <cellStyle name="_Recon to Darrin's 5.11.05 proforma_Rebuttal Power Costs_Electric Rev Req Model (2009 GRC) Rebuttal REmoval of New  WH Solar AdjustMI 3" xfId="5364"/>
    <cellStyle name="_Recon to Darrin's 5.11.05 proforma_Rebuttal Power Costs_Electric Rev Req Model (2009 GRC) Rebuttal REmoval of New  WH Solar AdjustMI 3 2" xfId="21352"/>
    <cellStyle name="_Recon to Darrin's 5.11.05 proforma_Rebuttal Power Costs_Electric Rev Req Model (2009 GRC) Rebuttal REmoval of New  WH Solar AdjustMI 3 2 2" xfId="27559"/>
    <cellStyle name="_Recon to Darrin's 5.11.05 proforma_Rebuttal Power Costs_Electric Rev Req Model (2009 GRC) Rebuttal REmoval of New  WH Solar AdjustMI 3 3" xfId="27560"/>
    <cellStyle name="_Recon to Darrin's 5.11.05 proforma_Rebuttal Power Costs_Electric Rev Req Model (2009 GRC) Rebuttal REmoval of New  WH Solar AdjustMI 3 4" xfId="7900"/>
    <cellStyle name="_Recon to Darrin's 5.11.05 proforma_Rebuttal Power Costs_Electric Rev Req Model (2009 GRC) Rebuttal REmoval of New  WH Solar AdjustMI 4" xfId="16989"/>
    <cellStyle name="_Recon to Darrin's 5.11.05 proforma_Rebuttal Power Costs_Electric Rev Req Model (2009 GRC) Rebuttal REmoval of New  WH Solar AdjustMI 4 2" xfId="27561"/>
    <cellStyle name="_Recon to Darrin's 5.11.05 proforma_Rebuttal Power Costs_Electric Rev Req Model (2009 GRC) Rebuttal REmoval of New  WH Solar AdjustMI 4 2 2" xfId="27562"/>
    <cellStyle name="_Recon to Darrin's 5.11.05 proforma_Rebuttal Power Costs_Electric Rev Req Model (2009 GRC) Rebuttal REmoval of New  WH Solar AdjustMI 4 3" xfId="27563"/>
    <cellStyle name="_Recon to Darrin's 5.11.05 proforma_Rebuttal Power Costs_Electric Rev Req Model (2009 GRC) Rebuttal REmoval of New  WH Solar AdjustMI 5" xfId="27564"/>
    <cellStyle name="_Recon to Darrin's 5.11.05 proforma_Rebuttal Power Costs_Electric Rev Req Model (2009 GRC) Rebuttal REmoval of New  WH Solar AdjustMI 5 2" xfId="27565"/>
    <cellStyle name="_Recon to Darrin's 5.11.05 proforma_Rebuttal Power Costs_Electric Rev Req Model (2009 GRC) Rebuttal REmoval of New  WH Solar AdjustMI 6" xfId="27566"/>
    <cellStyle name="_Recon to Darrin's 5.11.05 proforma_Rebuttal Power Costs_Electric Rev Req Model (2009 GRC) Rebuttal REmoval of New  WH Solar AdjustMI 6 2" xfId="27567"/>
    <cellStyle name="_Recon to Darrin's 5.11.05 proforma_Rebuttal Power Costs_Electric Rev Req Model (2009 GRC) Rebuttal REmoval of New  WH Solar AdjustMI 7" xfId="7897"/>
    <cellStyle name="_Recon to Darrin's 5.11.05 proforma_Rebuttal Power Costs_Electric Rev Req Model (2009 GRC) Rebuttal REmoval of New  WH Solar AdjustMI_DEM-WP(C) ENERG10C--ctn Mid-C_042010 2010GRC" xfId="12992"/>
    <cellStyle name="_Recon to Darrin's 5.11.05 proforma_Rebuttal Power Costs_Electric Rev Req Model (2009 GRC) Rebuttal REmoval of New  WH Solar AdjustMI_DEM-WP(C) ENERG10C--ctn Mid-C_042010 2010GRC 2" xfId="41682"/>
    <cellStyle name="_Recon to Darrin's 5.11.05 proforma_Rebuttal Power Costs_Electric Rev Req Model (2009 GRC) Revised 01-18-2010" xfId="1999"/>
    <cellStyle name="_Recon to Darrin's 5.11.05 proforma_Rebuttal Power Costs_Electric Rev Req Model (2009 GRC) Revised 01-18-2010 2" xfId="2000"/>
    <cellStyle name="_Recon to Darrin's 5.11.05 proforma_Rebuttal Power Costs_Electric Rev Req Model (2009 GRC) Revised 01-18-2010 2 2" xfId="5367"/>
    <cellStyle name="_Recon to Darrin's 5.11.05 proforma_Rebuttal Power Costs_Electric Rev Req Model (2009 GRC) Revised 01-18-2010 2 2 2" xfId="21353"/>
    <cellStyle name="_Recon to Darrin's 5.11.05 proforma_Rebuttal Power Costs_Electric Rev Req Model (2009 GRC) Revised 01-18-2010 2 2 2 2" xfId="27568"/>
    <cellStyle name="_Recon to Darrin's 5.11.05 proforma_Rebuttal Power Costs_Electric Rev Req Model (2009 GRC) Revised 01-18-2010 2 2 3" xfId="7903"/>
    <cellStyle name="_Recon to Darrin's 5.11.05 proforma_Rebuttal Power Costs_Electric Rev Req Model (2009 GRC) Revised 01-18-2010 2 3" xfId="16992"/>
    <cellStyle name="_Recon to Darrin's 5.11.05 proforma_Rebuttal Power Costs_Electric Rev Req Model (2009 GRC) Revised 01-18-2010 2 3 2" xfId="27569"/>
    <cellStyle name="_Recon to Darrin's 5.11.05 proforma_Rebuttal Power Costs_Electric Rev Req Model (2009 GRC) Revised 01-18-2010 2 4" xfId="27570"/>
    <cellStyle name="_Recon to Darrin's 5.11.05 proforma_Rebuttal Power Costs_Electric Rev Req Model (2009 GRC) Revised 01-18-2010 2 4 2" xfId="27571"/>
    <cellStyle name="_Recon to Darrin's 5.11.05 proforma_Rebuttal Power Costs_Electric Rev Req Model (2009 GRC) Revised 01-18-2010 2 5" xfId="7902"/>
    <cellStyle name="_Recon to Darrin's 5.11.05 proforma_Rebuttal Power Costs_Electric Rev Req Model (2009 GRC) Revised 01-18-2010 3" xfId="5366"/>
    <cellStyle name="_Recon to Darrin's 5.11.05 proforma_Rebuttal Power Costs_Electric Rev Req Model (2009 GRC) Revised 01-18-2010 3 2" xfId="21354"/>
    <cellStyle name="_Recon to Darrin's 5.11.05 proforma_Rebuttal Power Costs_Electric Rev Req Model (2009 GRC) Revised 01-18-2010 3 2 2" xfId="27572"/>
    <cellStyle name="_Recon to Darrin's 5.11.05 proforma_Rebuttal Power Costs_Electric Rev Req Model (2009 GRC) Revised 01-18-2010 3 3" xfId="27573"/>
    <cellStyle name="_Recon to Darrin's 5.11.05 proforma_Rebuttal Power Costs_Electric Rev Req Model (2009 GRC) Revised 01-18-2010 3 4" xfId="7904"/>
    <cellStyle name="_Recon to Darrin's 5.11.05 proforma_Rebuttal Power Costs_Electric Rev Req Model (2009 GRC) Revised 01-18-2010 4" xfId="16991"/>
    <cellStyle name="_Recon to Darrin's 5.11.05 proforma_Rebuttal Power Costs_Electric Rev Req Model (2009 GRC) Revised 01-18-2010 4 2" xfId="27574"/>
    <cellStyle name="_Recon to Darrin's 5.11.05 proforma_Rebuttal Power Costs_Electric Rev Req Model (2009 GRC) Revised 01-18-2010 4 2 2" xfId="27575"/>
    <cellStyle name="_Recon to Darrin's 5.11.05 proforma_Rebuttal Power Costs_Electric Rev Req Model (2009 GRC) Revised 01-18-2010 4 3" xfId="27576"/>
    <cellStyle name="_Recon to Darrin's 5.11.05 proforma_Rebuttal Power Costs_Electric Rev Req Model (2009 GRC) Revised 01-18-2010 5" xfId="27577"/>
    <cellStyle name="_Recon to Darrin's 5.11.05 proforma_Rebuttal Power Costs_Electric Rev Req Model (2009 GRC) Revised 01-18-2010 5 2" xfId="27578"/>
    <cellStyle name="_Recon to Darrin's 5.11.05 proforma_Rebuttal Power Costs_Electric Rev Req Model (2009 GRC) Revised 01-18-2010 6" xfId="27579"/>
    <cellStyle name="_Recon to Darrin's 5.11.05 proforma_Rebuttal Power Costs_Electric Rev Req Model (2009 GRC) Revised 01-18-2010 6 2" xfId="27580"/>
    <cellStyle name="_Recon to Darrin's 5.11.05 proforma_Rebuttal Power Costs_Electric Rev Req Model (2009 GRC) Revised 01-18-2010 7" xfId="7901"/>
    <cellStyle name="_Recon to Darrin's 5.11.05 proforma_Rebuttal Power Costs_Electric Rev Req Model (2009 GRC) Revised 01-18-2010_DEM-WP(C) ENERG10C--ctn Mid-C_042010 2010GRC" xfId="12993"/>
    <cellStyle name="_Recon to Darrin's 5.11.05 proforma_Rebuttal Power Costs_Electric Rev Req Model (2009 GRC) Revised 01-18-2010_DEM-WP(C) ENERG10C--ctn Mid-C_042010 2010GRC 2" xfId="41683"/>
    <cellStyle name="_Recon to Darrin's 5.11.05 proforma_Rebuttal Power Costs_Final Order Electric EXHIBIT A-1" xfId="2001"/>
    <cellStyle name="_Recon to Darrin's 5.11.05 proforma_Rebuttal Power Costs_Final Order Electric EXHIBIT A-1 2" xfId="5368"/>
    <cellStyle name="_Recon to Darrin's 5.11.05 proforma_Rebuttal Power Costs_Final Order Electric EXHIBIT A-1 2 2" xfId="7907"/>
    <cellStyle name="_Recon to Darrin's 5.11.05 proforma_Rebuttal Power Costs_Final Order Electric EXHIBIT A-1 2 2 2" xfId="21355"/>
    <cellStyle name="_Recon to Darrin's 5.11.05 proforma_Rebuttal Power Costs_Final Order Electric EXHIBIT A-1 2 3" xfId="18657"/>
    <cellStyle name="_Recon to Darrin's 5.11.05 proforma_Rebuttal Power Costs_Final Order Electric EXHIBIT A-1 2 4" xfId="7906"/>
    <cellStyle name="_Recon to Darrin's 5.11.05 proforma_Rebuttal Power Costs_Final Order Electric EXHIBIT A-1 3" xfId="7908"/>
    <cellStyle name="_Recon to Darrin's 5.11.05 proforma_Rebuttal Power Costs_Final Order Electric EXHIBIT A-1 3 2" xfId="21356"/>
    <cellStyle name="_Recon to Darrin's 5.11.05 proforma_Rebuttal Power Costs_Final Order Electric EXHIBIT A-1 3 2 2" xfId="27581"/>
    <cellStyle name="_Recon to Darrin's 5.11.05 proforma_Rebuttal Power Costs_Final Order Electric EXHIBIT A-1 3 3" xfId="27582"/>
    <cellStyle name="_Recon to Darrin's 5.11.05 proforma_Rebuttal Power Costs_Final Order Electric EXHIBIT A-1 4" xfId="16993"/>
    <cellStyle name="_Recon to Darrin's 5.11.05 proforma_Rebuttal Power Costs_Final Order Electric EXHIBIT A-1 4 2" xfId="27583"/>
    <cellStyle name="_Recon to Darrin's 5.11.05 proforma_Rebuttal Power Costs_Final Order Electric EXHIBIT A-1 5" xfId="27584"/>
    <cellStyle name="_Recon to Darrin's 5.11.05 proforma_Rebuttal Power Costs_Final Order Electric EXHIBIT A-1 6" xfId="27585"/>
    <cellStyle name="_Recon to Darrin's 5.11.05 proforma_Rebuttal Power Costs_Final Order Electric EXHIBIT A-1 7" xfId="7905"/>
    <cellStyle name="_Recon to Darrin's 5.11.05 proforma_ROR &amp; CONV FACTOR" xfId="7909"/>
    <cellStyle name="_Recon to Darrin's 5.11.05 proforma_ROR &amp; CONV FACTOR 2" xfId="7910"/>
    <cellStyle name="_Recon to Darrin's 5.11.05 proforma_ROR &amp; CONV FACTOR 2 2" xfId="7911"/>
    <cellStyle name="_Recon to Darrin's 5.11.05 proforma_ROR &amp; CONV FACTOR 2 2 2" xfId="21357"/>
    <cellStyle name="_Recon to Darrin's 5.11.05 proforma_ROR &amp; CONV FACTOR 2 3" xfId="18659"/>
    <cellStyle name="_Recon to Darrin's 5.11.05 proforma_ROR &amp; CONV FACTOR 3" xfId="7912"/>
    <cellStyle name="_Recon to Darrin's 5.11.05 proforma_ROR &amp; CONV FACTOR 3 2" xfId="21358"/>
    <cellStyle name="_Recon to Darrin's 5.11.05 proforma_ROR &amp; CONV FACTOR 4" xfId="18658"/>
    <cellStyle name="_Recon to Darrin's 5.11.05 proforma_ROR 5.02" xfId="7913"/>
    <cellStyle name="_Recon to Darrin's 5.11.05 proforma_ROR 5.02 2" xfId="7914"/>
    <cellStyle name="_Recon to Darrin's 5.11.05 proforma_ROR 5.02 2 2" xfId="7915"/>
    <cellStyle name="_Recon to Darrin's 5.11.05 proforma_ROR 5.02 2 2 2" xfId="21359"/>
    <cellStyle name="_Recon to Darrin's 5.11.05 proforma_ROR 5.02 2 3" xfId="18661"/>
    <cellStyle name="_Recon to Darrin's 5.11.05 proforma_ROR 5.02 3" xfId="7916"/>
    <cellStyle name="_Recon to Darrin's 5.11.05 proforma_ROR 5.02 3 2" xfId="21360"/>
    <cellStyle name="_Recon to Darrin's 5.11.05 proforma_ROR 5.02 4" xfId="18660"/>
    <cellStyle name="_Recon to Darrin's 5.11.05 proforma_Transmission Workbook for May BOD" xfId="2002"/>
    <cellStyle name="_Recon to Darrin's 5.11.05 proforma_Transmission Workbook for May BOD 2" xfId="2003"/>
    <cellStyle name="_Recon to Darrin's 5.11.05 proforma_Transmission Workbook for May BOD 2 2" xfId="5370"/>
    <cellStyle name="_Recon to Darrin's 5.11.05 proforma_Transmission Workbook for May BOD 2 2 2" xfId="27586"/>
    <cellStyle name="_Recon to Darrin's 5.11.05 proforma_Transmission Workbook for May BOD 2 2 2 2" xfId="27587"/>
    <cellStyle name="_Recon to Darrin's 5.11.05 proforma_Transmission Workbook for May BOD 2 3" xfId="27588"/>
    <cellStyle name="_Recon to Darrin's 5.11.05 proforma_Transmission Workbook for May BOD 2 3 2" xfId="27589"/>
    <cellStyle name="_Recon to Darrin's 5.11.05 proforma_Transmission Workbook for May BOD 2 4" xfId="27590"/>
    <cellStyle name="_Recon to Darrin's 5.11.05 proforma_Transmission Workbook for May BOD 2 4 2" xfId="27591"/>
    <cellStyle name="_Recon to Darrin's 5.11.05 proforma_Transmission Workbook for May BOD 2 5" xfId="7918"/>
    <cellStyle name="_Recon to Darrin's 5.11.05 proforma_Transmission Workbook for May BOD 3" xfId="5369"/>
    <cellStyle name="_Recon to Darrin's 5.11.05 proforma_Transmission Workbook for May BOD 3 2" xfId="27592"/>
    <cellStyle name="_Recon to Darrin's 5.11.05 proforma_Transmission Workbook for May BOD 3 2 2" xfId="27593"/>
    <cellStyle name="_Recon to Darrin's 5.11.05 proforma_Transmission Workbook for May BOD 3 3" xfId="27594"/>
    <cellStyle name="_Recon to Darrin's 5.11.05 proforma_Transmission Workbook for May BOD 4" xfId="27595"/>
    <cellStyle name="_Recon to Darrin's 5.11.05 proforma_Transmission Workbook for May BOD 4 2" xfId="27596"/>
    <cellStyle name="_Recon to Darrin's 5.11.05 proforma_Transmission Workbook for May BOD 4 2 2" xfId="27597"/>
    <cellStyle name="_Recon to Darrin's 5.11.05 proforma_Transmission Workbook for May BOD 4 3" xfId="27598"/>
    <cellStyle name="_Recon to Darrin's 5.11.05 proforma_Transmission Workbook for May BOD 5" xfId="27599"/>
    <cellStyle name="_Recon to Darrin's 5.11.05 proforma_Transmission Workbook for May BOD 5 2" xfId="27600"/>
    <cellStyle name="_Recon to Darrin's 5.11.05 proforma_Transmission Workbook for May BOD 6" xfId="27601"/>
    <cellStyle name="_Recon to Darrin's 5.11.05 proforma_Transmission Workbook for May BOD 6 2" xfId="27602"/>
    <cellStyle name="_Recon to Darrin's 5.11.05 proforma_Transmission Workbook for May BOD 7" xfId="7917"/>
    <cellStyle name="_Recon to Darrin's 5.11.05 proforma_Transmission Workbook for May BOD_DEM-WP(C) ENERG10C--ctn Mid-C_042010 2010GRC" xfId="12994"/>
    <cellStyle name="_Recon to Darrin's 5.11.05 proforma_Transmission Workbook for May BOD_DEM-WP(C) ENERG10C--ctn Mid-C_042010 2010GRC 2" xfId="41684"/>
    <cellStyle name="_Recon to Darrin's 5.11.05 proforma_Wind Integration 10GRC" xfId="2004"/>
    <cellStyle name="_Recon to Darrin's 5.11.05 proforma_Wind Integration 10GRC 2" xfId="2005"/>
    <cellStyle name="_Recon to Darrin's 5.11.05 proforma_Wind Integration 10GRC 2 2" xfId="5372"/>
    <cellStyle name="_Recon to Darrin's 5.11.05 proforma_Wind Integration 10GRC 2 2 2" xfId="27603"/>
    <cellStyle name="_Recon to Darrin's 5.11.05 proforma_Wind Integration 10GRC 2 2 2 2" xfId="27604"/>
    <cellStyle name="_Recon to Darrin's 5.11.05 proforma_Wind Integration 10GRC 2 3" xfId="27605"/>
    <cellStyle name="_Recon to Darrin's 5.11.05 proforma_Wind Integration 10GRC 2 3 2" xfId="27606"/>
    <cellStyle name="_Recon to Darrin's 5.11.05 proforma_Wind Integration 10GRC 2 4" xfId="27607"/>
    <cellStyle name="_Recon to Darrin's 5.11.05 proforma_Wind Integration 10GRC 2 4 2" xfId="27608"/>
    <cellStyle name="_Recon to Darrin's 5.11.05 proforma_Wind Integration 10GRC 2 5" xfId="7920"/>
    <cellStyle name="_Recon to Darrin's 5.11.05 proforma_Wind Integration 10GRC 3" xfId="5371"/>
    <cellStyle name="_Recon to Darrin's 5.11.05 proforma_Wind Integration 10GRC 3 2" xfId="27609"/>
    <cellStyle name="_Recon to Darrin's 5.11.05 proforma_Wind Integration 10GRC 3 2 2" xfId="27610"/>
    <cellStyle name="_Recon to Darrin's 5.11.05 proforma_Wind Integration 10GRC 3 3" xfId="27611"/>
    <cellStyle name="_Recon to Darrin's 5.11.05 proforma_Wind Integration 10GRC 4" xfId="27612"/>
    <cellStyle name="_Recon to Darrin's 5.11.05 proforma_Wind Integration 10GRC 4 2" xfId="27613"/>
    <cellStyle name="_Recon to Darrin's 5.11.05 proforma_Wind Integration 10GRC 4 2 2" xfId="27614"/>
    <cellStyle name="_Recon to Darrin's 5.11.05 proforma_Wind Integration 10GRC 4 3" xfId="27615"/>
    <cellStyle name="_Recon to Darrin's 5.11.05 proforma_Wind Integration 10GRC 5" xfId="27616"/>
    <cellStyle name="_Recon to Darrin's 5.11.05 proforma_Wind Integration 10GRC 5 2" xfId="27617"/>
    <cellStyle name="_Recon to Darrin's 5.11.05 proforma_Wind Integration 10GRC 6" xfId="27618"/>
    <cellStyle name="_Recon to Darrin's 5.11.05 proforma_Wind Integration 10GRC 6 2" xfId="27619"/>
    <cellStyle name="_Recon to Darrin's 5.11.05 proforma_Wind Integration 10GRC 7" xfId="7919"/>
    <cellStyle name="_Recon to Darrin's 5.11.05 proforma_Wind Integration 10GRC_DEM-WP(C) ENERG10C--ctn Mid-C_042010 2010GRC" xfId="12995"/>
    <cellStyle name="_Recon to Darrin's 5.11.05 proforma_Wind Integration 10GRC_DEM-WP(C) ENERG10C--ctn Mid-C_042010 2010GRC 2" xfId="41685"/>
    <cellStyle name="_Revenue" xfId="7921"/>
    <cellStyle name="_Revenue 2" xfId="17814"/>
    <cellStyle name="_Revenue_Data" xfId="7922"/>
    <cellStyle name="_Revenue_Data 2" xfId="17815"/>
    <cellStyle name="_Revenue_Data_1" xfId="7923"/>
    <cellStyle name="_Revenue_Data_1 2" xfId="17816"/>
    <cellStyle name="_Revenue_Data_Pro Forma Rev 09 GRC" xfId="7924"/>
    <cellStyle name="_Revenue_Data_Pro Forma Rev 09 GRC 2" xfId="17817"/>
    <cellStyle name="_Revenue_Data_Pro Forma Rev 2010 GRC" xfId="7925"/>
    <cellStyle name="_Revenue_Data_Pro Forma Rev 2010 GRC 2" xfId="17818"/>
    <cellStyle name="_Revenue_Data_Pro Forma Rev 2010 GRC_Preliminary" xfId="7926"/>
    <cellStyle name="_Revenue_Data_Pro Forma Rev 2010 GRC_Preliminary 2" xfId="17819"/>
    <cellStyle name="_Revenue_Data_Revenue (Feb 09 - Jan 10)" xfId="7927"/>
    <cellStyle name="_Revenue_Data_Revenue (Feb 09 - Jan 10) 2" xfId="17820"/>
    <cellStyle name="_Revenue_Data_Revenue (Jan 09 - Dec 09)" xfId="7928"/>
    <cellStyle name="_Revenue_Data_Revenue (Jan 09 - Dec 09) 2" xfId="17821"/>
    <cellStyle name="_Revenue_Data_Revenue (Mar 09 - Feb 10)" xfId="7929"/>
    <cellStyle name="_Revenue_Data_Revenue (Mar 09 - Feb 10) 2" xfId="17822"/>
    <cellStyle name="_Revenue_Data_Volume Exhibit (Jan09 - Dec09)" xfId="7930"/>
    <cellStyle name="_Revenue_Data_Volume Exhibit (Jan09 - Dec09) 2" xfId="17823"/>
    <cellStyle name="_Revenue_Mins" xfId="7931"/>
    <cellStyle name="_Revenue_Mins 2" xfId="17824"/>
    <cellStyle name="_Revenue_Pro Forma Rev 07 GRC" xfId="7932"/>
    <cellStyle name="_Revenue_Pro Forma Rev 07 GRC 2" xfId="17825"/>
    <cellStyle name="_Revenue_Pro Forma Rev 08 GRC" xfId="7933"/>
    <cellStyle name="_Revenue_Pro Forma Rev 08 GRC 2" xfId="17826"/>
    <cellStyle name="_Revenue_Pro Forma Rev 09 GRC" xfId="7934"/>
    <cellStyle name="_Revenue_Pro Forma Rev 09 GRC 2" xfId="17827"/>
    <cellStyle name="_Revenue_Pro Forma Rev 2010 GRC" xfId="7935"/>
    <cellStyle name="_Revenue_Pro Forma Rev 2010 GRC 2" xfId="17828"/>
    <cellStyle name="_Revenue_Pro Forma Rev 2010 GRC_Preliminary" xfId="7936"/>
    <cellStyle name="_Revenue_Pro Forma Rev 2010 GRC_Preliminary 2" xfId="17829"/>
    <cellStyle name="_Revenue_Revenue (Feb 09 - Jan 10)" xfId="7937"/>
    <cellStyle name="_Revenue_Revenue (Feb 09 - Jan 10) 2" xfId="17830"/>
    <cellStyle name="_Revenue_Revenue (Jan 09 - Dec 09)" xfId="7938"/>
    <cellStyle name="_Revenue_Revenue (Jan 09 - Dec 09) 2" xfId="17831"/>
    <cellStyle name="_Revenue_Revenue (Mar 09 - Feb 10)" xfId="7939"/>
    <cellStyle name="_Revenue_Revenue (Mar 09 - Feb 10) 2" xfId="17832"/>
    <cellStyle name="_Revenue_Sheet2" xfId="7940"/>
    <cellStyle name="_Revenue_Sheet2 2" xfId="17833"/>
    <cellStyle name="_Revenue_Therms Data" xfId="7941"/>
    <cellStyle name="_Revenue_Therms Data 2" xfId="17834"/>
    <cellStyle name="_Revenue_Therms Data Rerun" xfId="7942"/>
    <cellStyle name="_Revenue_Therms Data Rerun 2" xfId="17835"/>
    <cellStyle name="_Revenue_Volume Exhibit (Jan09 - Dec09)" xfId="7943"/>
    <cellStyle name="_Revenue_Volume Exhibit (Jan09 - Dec09) 2" xfId="17836"/>
    <cellStyle name="_x0013__Scenario 1 REC vs PTC Offset" xfId="15227"/>
    <cellStyle name="_x0013__Scenario 1 REC vs PTC Offset 2" xfId="27620"/>
    <cellStyle name="_x0013__Scenario 3" xfId="15228"/>
    <cellStyle name="_x0013__Scenario 3 2" xfId="27621"/>
    <cellStyle name="_Sumas Proforma - 11-09-07" xfId="2006"/>
    <cellStyle name="_Sumas Proforma - 11-09-07 2" xfId="16994"/>
    <cellStyle name="_Sumas Proforma - 11-09-07 2 2" xfId="27622"/>
    <cellStyle name="_Sumas Proforma - 11-09-07 2 2 2" xfId="27623"/>
    <cellStyle name="_Sumas Proforma - 11-09-07 2 3" xfId="27624"/>
    <cellStyle name="_Sumas Proforma - 11-09-07 3" xfId="27625"/>
    <cellStyle name="_Sumas Proforma - 11-09-07 3 2" xfId="27626"/>
    <cellStyle name="_Sumas Proforma - 11-09-07 4" xfId="27627"/>
    <cellStyle name="_Sumas Proforma - 11-09-07 4 2" xfId="27628"/>
    <cellStyle name="_Sumas Proforma - 11-09-07 5" xfId="7944"/>
    <cellStyle name="_Sumas Property Taxes v1" xfId="2007"/>
    <cellStyle name="_Sumas Property Taxes v1 2" xfId="16995"/>
    <cellStyle name="_Sumas Property Taxes v1 2 2" xfId="27629"/>
    <cellStyle name="_Sumas Property Taxes v1 2 2 2" xfId="27630"/>
    <cellStyle name="_Sumas Property Taxes v1 2 3" xfId="27631"/>
    <cellStyle name="_Sumas Property Taxes v1 3" xfId="27632"/>
    <cellStyle name="_Sumas Property Taxes v1 3 2" xfId="27633"/>
    <cellStyle name="_Sumas Property Taxes v1 4" xfId="27634"/>
    <cellStyle name="_Sumas Property Taxes v1 4 2" xfId="27635"/>
    <cellStyle name="_Sumas Property Taxes v1 5" xfId="7945"/>
    <cellStyle name="_Tenaska Comparison" xfId="2008"/>
    <cellStyle name="_Tenaska Comparison 10" xfId="27636"/>
    <cellStyle name="_Tenaska Comparison 10 2" xfId="27637"/>
    <cellStyle name="_Tenaska Comparison 10 2 2" xfId="27638"/>
    <cellStyle name="_Tenaska Comparison 10 2 2 2" xfId="27639"/>
    <cellStyle name="_Tenaska Comparison 10 2 3" xfId="27640"/>
    <cellStyle name="_Tenaska Comparison 10 3" xfId="27641"/>
    <cellStyle name="_Tenaska Comparison 10 3 2" xfId="27642"/>
    <cellStyle name="_Tenaska Comparison 10 4" xfId="27643"/>
    <cellStyle name="_Tenaska Comparison 11" xfId="27644"/>
    <cellStyle name="_Tenaska Comparison 11 2" xfId="27645"/>
    <cellStyle name="_Tenaska Comparison 12" xfId="27646"/>
    <cellStyle name="_Tenaska Comparison 12 2" xfId="27647"/>
    <cellStyle name="_Tenaska Comparison 13" xfId="27648"/>
    <cellStyle name="_Tenaska Comparison 13 2" xfId="27649"/>
    <cellStyle name="_Tenaska Comparison 13 3" xfId="27650"/>
    <cellStyle name="_Tenaska Comparison 14" xfId="7946"/>
    <cellStyle name="_Tenaska Comparison 2" xfId="2009"/>
    <cellStyle name="_Tenaska Comparison 2 2" xfId="2010"/>
    <cellStyle name="_Tenaska Comparison 2 2 2" xfId="5374"/>
    <cellStyle name="_Tenaska Comparison 2 2 2 2" xfId="21361"/>
    <cellStyle name="_Tenaska Comparison 2 2 2 2 2" xfId="27651"/>
    <cellStyle name="_Tenaska Comparison 2 2 2 3" xfId="7949"/>
    <cellStyle name="_Tenaska Comparison 2 2 3" xfId="16997"/>
    <cellStyle name="_Tenaska Comparison 2 2 3 2" xfId="27652"/>
    <cellStyle name="_Tenaska Comparison 2 2 4" xfId="27653"/>
    <cellStyle name="_Tenaska Comparison 2 2 4 2" xfId="27654"/>
    <cellStyle name="_Tenaska Comparison 2 2 5" xfId="7948"/>
    <cellStyle name="_Tenaska Comparison 2 3" xfId="5373"/>
    <cellStyle name="_Tenaska Comparison 2 3 2" xfId="21362"/>
    <cellStyle name="_Tenaska Comparison 2 3 2 2" xfId="27655"/>
    <cellStyle name="_Tenaska Comparison 2 3 3" xfId="27656"/>
    <cellStyle name="_Tenaska Comparison 2 3 4" xfId="7950"/>
    <cellStyle name="_Tenaska Comparison 2 4" xfId="16996"/>
    <cellStyle name="_Tenaska Comparison 2 4 2" xfId="27657"/>
    <cellStyle name="_Tenaska Comparison 2 4 2 2" xfId="27658"/>
    <cellStyle name="_Tenaska Comparison 2 4 3" xfId="27659"/>
    <cellStyle name="_Tenaska Comparison 2 5" xfId="27660"/>
    <cellStyle name="_Tenaska Comparison 2 5 2" xfId="27661"/>
    <cellStyle name="_Tenaska Comparison 2 6" xfId="27662"/>
    <cellStyle name="_Tenaska Comparison 2 6 2" xfId="27663"/>
    <cellStyle name="_Tenaska Comparison 2 7" xfId="7947"/>
    <cellStyle name="_Tenaska Comparison 3" xfId="2011"/>
    <cellStyle name="_Tenaska Comparison 3 2" xfId="5375"/>
    <cellStyle name="_Tenaska Comparison 3 2 2" xfId="21363"/>
    <cellStyle name="_Tenaska Comparison 3 2 2 2" xfId="27664"/>
    <cellStyle name="_Tenaska Comparison 3 2 3" xfId="27665"/>
    <cellStyle name="_Tenaska Comparison 3 2 4" xfId="7952"/>
    <cellStyle name="_Tenaska Comparison 3 3" xfId="16998"/>
    <cellStyle name="_Tenaska Comparison 3 3 2" xfId="27666"/>
    <cellStyle name="_Tenaska Comparison 3 3 2 2" xfId="27667"/>
    <cellStyle name="_Tenaska Comparison 3 3 3" xfId="27668"/>
    <cellStyle name="_Tenaska Comparison 3 4" xfId="27669"/>
    <cellStyle name="_Tenaska Comparison 3 4 2" xfId="27670"/>
    <cellStyle name="_Tenaska Comparison 3 5" xfId="27671"/>
    <cellStyle name="_Tenaska Comparison 3 5 2" xfId="27672"/>
    <cellStyle name="_Tenaska Comparison 3 6" xfId="7951"/>
    <cellStyle name="_Tenaska Comparison 4" xfId="2012"/>
    <cellStyle name="_Tenaska Comparison 4 2" xfId="2013"/>
    <cellStyle name="_Tenaska Comparison 4 2 2" xfId="5377"/>
    <cellStyle name="_Tenaska Comparison 4 2 2 2" xfId="27673"/>
    <cellStyle name="_Tenaska Comparison 4 2 2 2 2" xfId="27674"/>
    <cellStyle name="_Tenaska Comparison 4 2 3" xfId="27675"/>
    <cellStyle name="_Tenaska Comparison 4 2 3 2" xfId="27676"/>
    <cellStyle name="_Tenaska Comparison 4 2 4" xfId="27677"/>
    <cellStyle name="_Tenaska Comparison 4 2 4 2" xfId="27678"/>
    <cellStyle name="_Tenaska Comparison 4 2 5" xfId="7954"/>
    <cellStyle name="_Tenaska Comparison 4 3" xfId="5376"/>
    <cellStyle name="_Tenaska Comparison 4 3 2" xfId="27679"/>
    <cellStyle name="_Tenaska Comparison 4 3 2 2" xfId="27680"/>
    <cellStyle name="_Tenaska Comparison 4 3 3" xfId="27681"/>
    <cellStyle name="_Tenaska Comparison 4 4" xfId="27682"/>
    <cellStyle name="_Tenaska Comparison 4 4 2" xfId="27683"/>
    <cellStyle name="_Tenaska Comparison 4 4 2 2" xfId="27684"/>
    <cellStyle name="_Tenaska Comparison 4 4 3" xfId="27685"/>
    <cellStyle name="_Tenaska Comparison 4 5" xfId="27686"/>
    <cellStyle name="_Tenaska Comparison 4 5 2" xfId="27687"/>
    <cellStyle name="_Tenaska Comparison 4 6" xfId="27688"/>
    <cellStyle name="_Tenaska Comparison 4 6 2" xfId="27689"/>
    <cellStyle name="_Tenaska Comparison 4 7" xfId="7953"/>
    <cellStyle name="_Tenaska Comparison 5" xfId="12996"/>
    <cellStyle name="_Tenaska Comparison 5 2" xfId="12997"/>
    <cellStyle name="_Tenaska Comparison 5 2 2" xfId="27690"/>
    <cellStyle name="_Tenaska Comparison 5 2 2 2" xfId="27691"/>
    <cellStyle name="_Tenaska Comparison 5 2 2 2 2" xfId="27692"/>
    <cellStyle name="_Tenaska Comparison 5 2 3" xfId="27693"/>
    <cellStyle name="_Tenaska Comparison 5 2 3 2" xfId="27694"/>
    <cellStyle name="_Tenaska Comparison 5 2 4" xfId="27695"/>
    <cellStyle name="_Tenaska Comparison 5 2 4 2" xfId="27696"/>
    <cellStyle name="_Tenaska Comparison 5 2 5" xfId="27697"/>
    <cellStyle name="_Tenaska Comparison 5 3" xfId="27698"/>
    <cellStyle name="_Tenaska Comparison 5 3 2" xfId="27699"/>
    <cellStyle name="_Tenaska Comparison 5 3 2 2" xfId="27700"/>
    <cellStyle name="_Tenaska Comparison 5 3 3" xfId="27701"/>
    <cellStyle name="_Tenaska Comparison 5 4" xfId="27702"/>
    <cellStyle name="_Tenaska Comparison 5 4 2" xfId="27703"/>
    <cellStyle name="_Tenaska Comparison 5 4 2 2" xfId="27704"/>
    <cellStyle name="_Tenaska Comparison 5 4 3" xfId="27705"/>
    <cellStyle name="_Tenaska Comparison 5 5" xfId="27706"/>
    <cellStyle name="_Tenaska Comparison 5 5 2" xfId="27707"/>
    <cellStyle name="_Tenaska Comparison 5 6" xfId="27708"/>
    <cellStyle name="_Tenaska Comparison 5 6 2" xfId="27709"/>
    <cellStyle name="_Tenaska Comparison 6" xfId="12998"/>
    <cellStyle name="_Tenaska Comparison 6 2" xfId="27710"/>
    <cellStyle name="_Tenaska Comparison 6 2 2" xfId="27711"/>
    <cellStyle name="_Tenaska Comparison 6 2 2 2" xfId="27712"/>
    <cellStyle name="_Tenaska Comparison 6 2 2 2 2" xfId="27713"/>
    <cellStyle name="_Tenaska Comparison 6 2 3" xfId="27714"/>
    <cellStyle name="_Tenaska Comparison 6 2 3 2" xfId="27715"/>
    <cellStyle name="_Tenaska Comparison 6 2 4" xfId="27716"/>
    <cellStyle name="_Tenaska Comparison 6 2 4 2" xfId="27717"/>
    <cellStyle name="_Tenaska Comparison 6 2 5" xfId="27718"/>
    <cellStyle name="_Tenaska Comparison 6 3" xfId="27719"/>
    <cellStyle name="_Tenaska Comparison 6 3 2" xfId="27720"/>
    <cellStyle name="_Tenaska Comparison 6 3 2 2" xfId="27721"/>
    <cellStyle name="_Tenaska Comparison 6 4" xfId="27722"/>
    <cellStyle name="_Tenaska Comparison 6 4 2" xfId="27723"/>
    <cellStyle name="_Tenaska Comparison 6 5" xfId="27724"/>
    <cellStyle name="_Tenaska Comparison 6 5 2" xfId="27725"/>
    <cellStyle name="_Tenaska Comparison 7" xfId="12999"/>
    <cellStyle name="_Tenaska Comparison 7 2" xfId="13000"/>
    <cellStyle name="_Tenaska Comparison 7 2 2" xfId="27726"/>
    <cellStyle name="_Tenaska Comparison 7 2 2 2" xfId="27727"/>
    <cellStyle name="_Tenaska Comparison 7 3" xfId="27728"/>
    <cellStyle name="_Tenaska Comparison 7 3 2" xfId="27729"/>
    <cellStyle name="_Tenaska Comparison 7 4" xfId="27730"/>
    <cellStyle name="_Tenaska Comparison 7 4 2" xfId="27731"/>
    <cellStyle name="_Tenaska Comparison 8" xfId="13001"/>
    <cellStyle name="_Tenaska Comparison 8 2" xfId="13002"/>
    <cellStyle name="_Tenaska Comparison 8 2 2" xfId="27732"/>
    <cellStyle name="_Tenaska Comparison 8 3" xfId="41686"/>
    <cellStyle name="_Tenaska Comparison 9" xfId="27733"/>
    <cellStyle name="_Tenaska Comparison 9 2" xfId="27734"/>
    <cellStyle name="_Tenaska Comparison 9 2 2" xfId="27735"/>
    <cellStyle name="_Tenaska Comparison 9 3" xfId="27736"/>
    <cellStyle name="_Tenaska Comparison_(C) WHE Proforma with ITC cash grant 10 Yr Amort_for deferral_102809" xfId="2014"/>
    <cellStyle name="_Tenaska Comparison_(C) WHE Proforma with ITC cash grant 10 Yr Amort_for deferral_102809 2" xfId="2015"/>
    <cellStyle name="_Tenaska Comparison_(C) WHE Proforma with ITC cash grant 10 Yr Amort_for deferral_102809 2 2" xfId="5379"/>
    <cellStyle name="_Tenaska Comparison_(C) WHE Proforma with ITC cash grant 10 Yr Amort_for deferral_102809 2 2 2" xfId="21364"/>
    <cellStyle name="_Tenaska Comparison_(C) WHE Proforma with ITC cash grant 10 Yr Amort_for deferral_102809 2 2 2 2" xfId="27737"/>
    <cellStyle name="_Tenaska Comparison_(C) WHE Proforma with ITC cash grant 10 Yr Amort_for deferral_102809 2 2 3" xfId="7957"/>
    <cellStyle name="_Tenaska Comparison_(C) WHE Proforma with ITC cash grant 10 Yr Amort_for deferral_102809 2 3" xfId="17000"/>
    <cellStyle name="_Tenaska Comparison_(C) WHE Proforma with ITC cash grant 10 Yr Amort_for deferral_102809 2 3 2" xfId="27738"/>
    <cellStyle name="_Tenaska Comparison_(C) WHE Proforma with ITC cash grant 10 Yr Amort_for deferral_102809 2 4" xfId="27739"/>
    <cellStyle name="_Tenaska Comparison_(C) WHE Proforma with ITC cash grant 10 Yr Amort_for deferral_102809 2 4 2" xfId="27740"/>
    <cellStyle name="_Tenaska Comparison_(C) WHE Proforma with ITC cash grant 10 Yr Amort_for deferral_102809 2 5" xfId="7956"/>
    <cellStyle name="_Tenaska Comparison_(C) WHE Proforma with ITC cash grant 10 Yr Amort_for deferral_102809 3" xfId="5378"/>
    <cellStyle name="_Tenaska Comparison_(C) WHE Proforma with ITC cash grant 10 Yr Amort_for deferral_102809 3 2" xfId="21365"/>
    <cellStyle name="_Tenaska Comparison_(C) WHE Proforma with ITC cash grant 10 Yr Amort_for deferral_102809 3 2 2" xfId="27741"/>
    <cellStyle name="_Tenaska Comparison_(C) WHE Proforma with ITC cash grant 10 Yr Amort_for deferral_102809 3 3" xfId="27742"/>
    <cellStyle name="_Tenaska Comparison_(C) WHE Proforma with ITC cash grant 10 Yr Amort_for deferral_102809 3 4" xfId="7958"/>
    <cellStyle name="_Tenaska Comparison_(C) WHE Proforma with ITC cash grant 10 Yr Amort_for deferral_102809 4" xfId="16999"/>
    <cellStyle name="_Tenaska Comparison_(C) WHE Proforma with ITC cash grant 10 Yr Amort_for deferral_102809 4 2" xfId="27743"/>
    <cellStyle name="_Tenaska Comparison_(C) WHE Proforma with ITC cash grant 10 Yr Amort_for deferral_102809 4 2 2" xfId="27744"/>
    <cellStyle name="_Tenaska Comparison_(C) WHE Proforma with ITC cash grant 10 Yr Amort_for deferral_102809 4 3" xfId="27745"/>
    <cellStyle name="_Tenaska Comparison_(C) WHE Proforma with ITC cash grant 10 Yr Amort_for deferral_102809 5" xfId="27746"/>
    <cellStyle name="_Tenaska Comparison_(C) WHE Proforma with ITC cash grant 10 Yr Amort_for deferral_102809 5 2" xfId="27747"/>
    <cellStyle name="_Tenaska Comparison_(C) WHE Proforma with ITC cash grant 10 Yr Amort_for deferral_102809 6" xfId="27748"/>
    <cellStyle name="_Tenaska Comparison_(C) WHE Proforma with ITC cash grant 10 Yr Amort_for deferral_102809 6 2" xfId="27749"/>
    <cellStyle name="_Tenaska Comparison_(C) WHE Proforma with ITC cash grant 10 Yr Amort_for deferral_102809 7" xfId="7955"/>
    <cellStyle name="_Tenaska Comparison_(C) WHE Proforma with ITC cash grant 10 Yr Amort_for deferral_102809_16.07E Wild Horse Wind Expansionwrkingfile" xfId="2016"/>
    <cellStyle name="_Tenaska Comparison_(C) WHE Proforma with ITC cash grant 10 Yr Amort_for deferral_102809_16.07E Wild Horse Wind Expansionwrkingfile 2" xfId="2017"/>
    <cellStyle name="_Tenaska Comparison_(C) WHE Proforma with ITC cash grant 10 Yr Amort_for deferral_102809_16.07E Wild Horse Wind Expansionwrkingfile 2 2" xfId="5381"/>
    <cellStyle name="_Tenaska Comparison_(C) WHE Proforma with ITC cash grant 10 Yr Amort_for deferral_102809_16.07E Wild Horse Wind Expansionwrkingfile 2 2 2" xfId="21366"/>
    <cellStyle name="_Tenaska Comparison_(C) WHE Proforma with ITC cash grant 10 Yr Amort_for deferral_102809_16.07E Wild Horse Wind Expansionwrkingfile 2 2 2 2" xfId="27750"/>
    <cellStyle name="_Tenaska Comparison_(C) WHE Proforma with ITC cash grant 10 Yr Amort_for deferral_102809_16.07E Wild Horse Wind Expansionwrkingfile 2 2 3" xfId="7961"/>
    <cellStyle name="_Tenaska Comparison_(C) WHE Proforma with ITC cash grant 10 Yr Amort_for deferral_102809_16.07E Wild Horse Wind Expansionwrkingfile 2 3" xfId="17002"/>
    <cellStyle name="_Tenaska Comparison_(C) WHE Proforma with ITC cash grant 10 Yr Amort_for deferral_102809_16.07E Wild Horse Wind Expansionwrkingfile 2 3 2" xfId="27751"/>
    <cellStyle name="_Tenaska Comparison_(C) WHE Proforma with ITC cash grant 10 Yr Amort_for deferral_102809_16.07E Wild Horse Wind Expansionwrkingfile 2 4" xfId="27752"/>
    <cellStyle name="_Tenaska Comparison_(C) WHE Proforma with ITC cash grant 10 Yr Amort_for deferral_102809_16.07E Wild Horse Wind Expansionwrkingfile 2 4 2" xfId="27753"/>
    <cellStyle name="_Tenaska Comparison_(C) WHE Proforma with ITC cash grant 10 Yr Amort_for deferral_102809_16.07E Wild Horse Wind Expansionwrkingfile 2 5" xfId="7960"/>
    <cellStyle name="_Tenaska Comparison_(C) WHE Proforma with ITC cash grant 10 Yr Amort_for deferral_102809_16.07E Wild Horse Wind Expansionwrkingfile 3" xfId="5380"/>
    <cellStyle name="_Tenaska Comparison_(C) WHE Proforma with ITC cash grant 10 Yr Amort_for deferral_102809_16.07E Wild Horse Wind Expansionwrkingfile 3 2" xfId="21367"/>
    <cellStyle name="_Tenaska Comparison_(C) WHE Proforma with ITC cash grant 10 Yr Amort_for deferral_102809_16.07E Wild Horse Wind Expansionwrkingfile 3 2 2" xfId="27754"/>
    <cellStyle name="_Tenaska Comparison_(C) WHE Proforma with ITC cash grant 10 Yr Amort_for deferral_102809_16.07E Wild Horse Wind Expansionwrkingfile 3 3" xfId="27755"/>
    <cellStyle name="_Tenaska Comparison_(C) WHE Proforma with ITC cash grant 10 Yr Amort_for deferral_102809_16.07E Wild Horse Wind Expansionwrkingfile 3 4" xfId="7962"/>
    <cellStyle name="_Tenaska Comparison_(C) WHE Proforma with ITC cash grant 10 Yr Amort_for deferral_102809_16.07E Wild Horse Wind Expansionwrkingfile 4" xfId="17001"/>
    <cellStyle name="_Tenaska Comparison_(C) WHE Proforma with ITC cash grant 10 Yr Amort_for deferral_102809_16.07E Wild Horse Wind Expansionwrkingfile 4 2" xfId="27756"/>
    <cellStyle name="_Tenaska Comparison_(C) WHE Proforma with ITC cash grant 10 Yr Amort_for deferral_102809_16.07E Wild Horse Wind Expansionwrkingfile 4 2 2" xfId="27757"/>
    <cellStyle name="_Tenaska Comparison_(C) WHE Proforma with ITC cash grant 10 Yr Amort_for deferral_102809_16.07E Wild Horse Wind Expansionwrkingfile 4 3" xfId="27758"/>
    <cellStyle name="_Tenaska Comparison_(C) WHE Proforma with ITC cash grant 10 Yr Amort_for deferral_102809_16.07E Wild Horse Wind Expansionwrkingfile 5" xfId="27759"/>
    <cellStyle name="_Tenaska Comparison_(C) WHE Proforma with ITC cash grant 10 Yr Amort_for deferral_102809_16.07E Wild Horse Wind Expansionwrkingfile 5 2" xfId="27760"/>
    <cellStyle name="_Tenaska Comparison_(C) WHE Proforma with ITC cash grant 10 Yr Amort_for deferral_102809_16.07E Wild Horse Wind Expansionwrkingfile 6" xfId="27761"/>
    <cellStyle name="_Tenaska Comparison_(C) WHE Proforma with ITC cash grant 10 Yr Amort_for deferral_102809_16.07E Wild Horse Wind Expansionwrkingfile 6 2" xfId="27762"/>
    <cellStyle name="_Tenaska Comparison_(C) WHE Proforma with ITC cash grant 10 Yr Amort_for deferral_102809_16.07E Wild Horse Wind Expansionwrkingfile 7" xfId="7959"/>
    <cellStyle name="_Tenaska Comparison_(C) WHE Proforma with ITC cash grant 10 Yr Amort_for deferral_102809_16.07E Wild Horse Wind Expansionwrkingfile SF" xfId="2018"/>
    <cellStyle name="_Tenaska Comparison_(C) WHE Proforma with ITC cash grant 10 Yr Amort_for deferral_102809_16.07E Wild Horse Wind Expansionwrkingfile SF 2" xfId="2019"/>
    <cellStyle name="_Tenaska Comparison_(C) WHE Proforma with ITC cash grant 10 Yr Amort_for deferral_102809_16.07E Wild Horse Wind Expansionwrkingfile SF 2 2" xfId="5383"/>
    <cellStyle name="_Tenaska Comparison_(C) WHE Proforma with ITC cash grant 10 Yr Amort_for deferral_102809_16.07E Wild Horse Wind Expansionwrkingfile SF 2 2 2" xfId="21368"/>
    <cellStyle name="_Tenaska Comparison_(C) WHE Proforma with ITC cash grant 10 Yr Amort_for deferral_102809_16.07E Wild Horse Wind Expansionwrkingfile SF 2 2 2 2" xfId="27763"/>
    <cellStyle name="_Tenaska Comparison_(C) WHE Proforma with ITC cash grant 10 Yr Amort_for deferral_102809_16.07E Wild Horse Wind Expansionwrkingfile SF 2 2 3" xfId="7965"/>
    <cellStyle name="_Tenaska Comparison_(C) WHE Proforma with ITC cash grant 10 Yr Amort_for deferral_102809_16.07E Wild Horse Wind Expansionwrkingfile SF 2 3" xfId="17004"/>
    <cellStyle name="_Tenaska Comparison_(C) WHE Proforma with ITC cash grant 10 Yr Amort_for deferral_102809_16.07E Wild Horse Wind Expansionwrkingfile SF 2 3 2" xfId="27764"/>
    <cellStyle name="_Tenaska Comparison_(C) WHE Proforma with ITC cash grant 10 Yr Amort_for deferral_102809_16.07E Wild Horse Wind Expansionwrkingfile SF 2 4" xfId="27765"/>
    <cellStyle name="_Tenaska Comparison_(C) WHE Proforma with ITC cash grant 10 Yr Amort_for deferral_102809_16.07E Wild Horse Wind Expansionwrkingfile SF 2 4 2" xfId="27766"/>
    <cellStyle name="_Tenaska Comparison_(C) WHE Proforma with ITC cash grant 10 Yr Amort_for deferral_102809_16.07E Wild Horse Wind Expansionwrkingfile SF 2 5" xfId="7964"/>
    <cellStyle name="_Tenaska Comparison_(C) WHE Proforma with ITC cash grant 10 Yr Amort_for deferral_102809_16.07E Wild Horse Wind Expansionwrkingfile SF 3" xfId="5382"/>
    <cellStyle name="_Tenaska Comparison_(C) WHE Proforma with ITC cash grant 10 Yr Amort_for deferral_102809_16.07E Wild Horse Wind Expansionwrkingfile SF 3 2" xfId="21369"/>
    <cellStyle name="_Tenaska Comparison_(C) WHE Proforma with ITC cash grant 10 Yr Amort_for deferral_102809_16.07E Wild Horse Wind Expansionwrkingfile SF 3 2 2" xfId="27767"/>
    <cellStyle name="_Tenaska Comparison_(C) WHE Proforma with ITC cash grant 10 Yr Amort_for deferral_102809_16.07E Wild Horse Wind Expansionwrkingfile SF 3 3" xfId="27768"/>
    <cellStyle name="_Tenaska Comparison_(C) WHE Proforma with ITC cash grant 10 Yr Amort_for deferral_102809_16.07E Wild Horse Wind Expansionwrkingfile SF 3 4" xfId="7966"/>
    <cellStyle name="_Tenaska Comparison_(C) WHE Proforma with ITC cash grant 10 Yr Amort_for deferral_102809_16.07E Wild Horse Wind Expansionwrkingfile SF 4" xfId="17003"/>
    <cellStyle name="_Tenaska Comparison_(C) WHE Proforma with ITC cash grant 10 Yr Amort_for deferral_102809_16.07E Wild Horse Wind Expansionwrkingfile SF 4 2" xfId="27769"/>
    <cellStyle name="_Tenaska Comparison_(C) WHE Proforma with ITC cash grant 10 Yr Amort_for deferral_102809_16.07E Wild Horse Wind Expansionwrkingfile SF 4 2 2" xfId="27770"/>
    <cellStyle name="_Tenaska Comparison_(C) WHE Proforma with ITC cash grant 10 Yr Amort_for deferral_102809_16.07E Wild Horse Wind Expansionwrkingfile SF 4 3" xfId="27771"/>
    <cellStyle name="_Tenaska Comparison_(C) WHE Proforma with ITC cash grant 10 Yr Amort_for deferral_102809_16.07E Wild Horse Wind Expansionwrkingfile SF 5" xfId="27772"/>
    <cellStyle name="_Tenaska Comparison_(C) WHE Proforma with ITC cash grant 10 Yr Amort_for deferral_102809_16.07E Wild Horse Wind Expansionwrkingfile SF 5 2" xfId="27773"/>
    <cellStyle name="_Tenaska Comparison_(C) WHE Proforma with ITC cash grant 10 Yr Amort_for deferral_102809_16.07E Wild Horse Wind Expansionwrkingfile SF 6" xfId="27774"/>
    <cellStyle name="_Tenaska Comparison_(C) WHE Proforma with ITC cash grant 10 Yr Amort_for deferral_102809_16.07E Wild Horse Wind Expansionwrkingfile SF 6 2" xfId="27775"/>
    <cellStyle name="_Tenaska Comparison_(C) WHE Proforma with ITC cash grant 10 Yr Amort_for deferral_102809_16.07E Wild Horse Wind Expansionwrkingfile SF 7" xfId="7963"/>
    <cellStyle name="_Tenaska Comparison_(C) WHE Proforma with ITC cash grant 10 Yr Amort_for deferral_102809_16.07E Wild Horse Wind Expansionwrkingfile SF_DEM-WP(C) ENERG10C--ctn Mid-C_042010 2010GRC" xfId="13003"/>
    <cellStyle name="_Tenaska Comparison_(C) WHE Proforma with ITC cash grant 10 Yr Amort_for deferral_102809_16.07E Wild Horse Wind Expansionwrkingfile SF_DEM-WP(C) ENERG10C--ctn Mid-C_042010 2010GRC 2" xfId="41687"/>
    <cellStyle name="_Tenaska Comparison_(C) WHE Proforma with ITC cash grant 10 Yr Amort_for deferral_102809_16.07E Wild Horse Wind Expansionwrkingfile_DEM-WP(C) ENERG10C--ctn Mid-C_042010 2010GRC" xfId="13004"/>
    <cellStyle name="_Tenaska Comparison_(C) WHE Proforma with ITC cash grant 10 Yr Amort_for deferral_102809_16.07E Wild Horse Wind Expansionwrkingfile_DEM-WP(C) ENERG10C--ctn Mid-C_042010 2010GRC 2" xfId="41688"/>
    <cellStyle name="_Tenaska Comparison_(C) WHE Proforma with ITC cash grant 10 Yr Amort_for deferral_102809_16.37E Wild Horse Expansion DeferralRevwrkingfile SF" xfId="2020"/>
    <cellStyle name="_Tenaska Comparison_(C) WHE Proforma with ITC cash grant 10 Yr Amort_for deferral_102809_16.37E Wild Horse Expansion DeferralRevwrkingfile SF 2" xfId="2021"/>
    <cellStyle name="_Tenaska Comparison_(C) WHE Proforma with ITC cash grant 10 Yr Amort_for deferral_102809_16.37E Wild Horse Expansion DeferralRevwrkingfile SF 2 2" xfId="5385"/>
    <cellStyle name="_Tenaska Comparison_(C) WHE Proforma with ITC cash grant 10 Yr Amort_for deferral_102809_16.37E Wild Horse Expansion DeferralRevwrkingfile SF 2 2 2" xfId="21370"/>
    <cellStyle name="_Tenaska Comparison_(C) WHE Proforma with ITC cash grant 10 Yr Amort_for deferral_102809_16.37E Wild Horse Expansion DeferralRevwrkingfile SF 2 2 2 2" xfId="27776"/>
    <cellStyle name="_Tenaska Comparison_(C) WHE Proforma with ITC cash grant 10 Yr Amort_for deferral_102809_16.37E Wild Horse Expansion DeferralRevwrkingfile SF 2 2 3" xfId="7969"/>
    <cellStyle name="_Tenaska Comparison_(C) WHE Proforma with ITC cash grant 10 Yr Amort_for deferral_102809_16.37E Wild Horse Expansion DeferralRevwrkingfile SF 2 3" xfId="17006"/>
    <cellStyle name="_Tenaska Comparison_(C) WHE Proforma with ITC cash grant 10 Yr Amort_for deferral_102809_16.37E Wild Horse Expansion DeferralRevwrkingfile SF 2 3 2" xfId="27777"/>
    <cellStyle name="_Tenaska Comparison_(C) WHE Proforma with ITC cash grant 10 Yr Amort_for deferral_102809_16.37E Wild Horse Expansion DeferralRevwrkingfile SF 2 4" xfId="27778"/>
    <cellStyle name="_Tenaska Comparison_(C) WHE Proforma with ITC cash grant 10 Yr Amort_for deferral_102809_16.37E Wild Horse Expansion DeferralRevwrkingfile SF 2 4 2" xfId="27779"/>
    <cellStyle name="_Tenaska Comparison_(C) WHE Proforma with ITC cash grant 10 Yr Amort_for deferral_102809_16.37E Wild Horse Expansion DeferralRevwrkingfile SF 2 5" xfId="7968"/>
    <cellStyle name="_Tenaska Comparison_(C) WHE Proforma with ITC cash grant 10 Yr Amort_for deferral_102809_16.37E Wild Horse Expansion DeferralRevwrkingfile SF 3" xfId="5384"/>
    <cellStyle name="_Tenaska Comparison_(C) WHE Proforma with ITC cash grant 10 Yr Amort_for deferral_102809_16.37E Wild Horse Expansion DeferralRevwrkingfile SF 3 2" xfId="21371"/>
    <cellStyle name="_Tenaska Comparison_(C) WHE Proforma with ITC cash grant 10 Yr Amort_for deferral_102809_16.37E Wild Horse Expansion DeferralRevwrkingfile SF 3 2 2" xfId="27780"/>
    <cellStyle name="_Tenaska Comparison_(C) WHE Proforma with ITC cash grant 10 Yr Amort_for deferral_102809_16.37E Wild Horse Expansion DeferralRevwrkingfile SF 3 3" xfId="27781"/>
    <cellStyle name="_Tenaska Comparison_(C) WHE Proforma with ITC cash grant 10 Yr Amort_for deferral_102809_16.37E Wild Horse Expansion DeferralRevwrkingfile SF 3 4" xfId="7970"/>
    <cellStyle name="_Tenaska Comparison_(C) WHE Proforma with ITC cash grant 10 Yr Amort_for deferral_102809_16.37E Wild Horse Expansion DeferralRevwrkingfile SF 4" xfId="17005"/>
    <cellStyle name="_Tenaska Comparison_(C) WHE Proforma with ITC cash grant 10 Yr Amort_for deferral_102809_16.37E Wild Horse Expansion DeferralRevwrkingfile SF 4 2" xfId="27782"/>
    <cellStyle name="_Tenaska Comparison_(C) WHE Proforma with ITC cash grant 10 Yr Amort_for deferral_102809_16.37E Wild Horse Expansion DeferralRevwrkingfile SF 4 2 2" xfId="27783"/>
    <cellStyle name="_Tenaska Comparison_(C) WHE Proforma with ITC cash grant 10 Yr Amort_for deferral_102809_16.37E Wild Horse Expansion DeferralRevwrkingfile SF 4 3" xfId="27784"/>
    <cellStyle name="_Tenaska Comparison_(C) WHE Proforma with ITC cash grant 10 Yr Amort_for deferral_102809_16.37E Wild Horse Expansion DeferralRevwrkingfile SF 5" xfId="27785"/>
    <cellStyle name="_Tenaska Comparison_(C) WHE Proforma with ITC cash grant 10 Yr Amort_for deferral_102809_16.37E Wild Horse Expansion DeferralRevwrkingfile SF 5 2" xfId="27786"/>
    <cellStyle name="_Tenaska Comparison_(C) WHE Proforma with ITC cash grant 10 Yr Amort_for deferral_102809_16.37E Wild Horse Expansion DeferralRevwrkingfile SF 6" xfId="27787"/>
    <cellStyle name="_Tenaska Comparison_(C) WHE Proforma with ITC cash grant 10 Yr Amort_for deferral_102809_16.37E Wild Horse Expansion DeferralRevwrkingfile SF 6 2" xfId="27788"/>
    <cellStyle name="_Tenaska Comparison_(C) WHE Proforma with ITC cash grant 10 Yr Amort_for deferral_102809_16.37E Wild Horse Expansion DeferralRevwrkingfile SF 7" xfId="7967"/>
    <cellStyle name="_Tenaska Comparison_(C) WHE Proforma with ITC cash grant 10 Yr Amort_for deferral_102809_16.37E Wild Horse Expansion DeferralRevwrkingfile SF_DEM-WP(C) ENERG10C--ctn Mid-C_042010 2010GRC" xfId="13005"/>
    <cellStyle name="_Tenaska Comparison_(C) WHE Proforma with ITC cash grant 10 Yr Amort_for deferral_102809_16.37E Wild Horse Expansion DeferralRevwrkingfile SF_DEM-WP(C) ENERG10C--ctn Mid-C_042010 2010GRC 2" xfId="41689"/>
    <cellStyle name="_Tenaska Comparison_(C) WHE Proforma with ITC cash grant 10 Yr Amort_for deferral_102809_DEM-WP(C) ENERG10C--ctn Mid-C_042010 2010GRC" xfId="13006"/>
    <cellStyle name="_Tenaska Comparison_(C) WHE Proforma with ITC cash grant 10 Yr Amort_for deferral_102809_DEM-WP(C) ENERG10C--ctn Mid-C_042010 2010GRC 2" xfId="41690"/>
    <cellStyle name="_Tenaska Comparison_(C) WHE Proforma with ITC cash grant 10 Yr Amort_for rebuttal_120709" xfId="2022"/>
    <cellStyle name="_Tenaska Comparison_(C) WHE Proforma with ITC cash grant 10 Yr Amort_for rebuttal_120709 2" xfId="2023"/>
    <cellStyle name="_Tenaska Comparison_(C) WHE Proforma with ITC cash grant 10 Yr Amort_for rebuttal_120709 2 2" xfId="5386"/>
    <cellStyle name="_Tenaska Comparison_(C) WHE Proforma with ITC cash grant 10 Yr Amort_for rebuttal_120709 2 2 2" xfId="21372"/>
    <cellStyle name="_Tenaska Comparison_(C) WHE Proforma with ITC cash grant 10 Yr Amort_for rebuttal_120709 2 2 2 2" xfId="27789"/>
    <cellStyle name="_Tenaska Comparison_(C) WHE Proforma with ITC cash grant 10 Yr Amort_for rebuttal_120709 2 2 3" xfId="7973"/>
    <cellStyle name="_Tenaska Comparison_(C) WHE Proforma with ITC cash grant 10 Yr Amort_for rebuttal_120709 2 3" xfId="17008"/>
    <cellStyle name="_Tenaska Comparison_(C) WHE Proforma with ITC cash grant 10 Yr Amort_for rebuttal_120709 2 3 2" xfId="27790"/>
    <cellStyle name="_Tenaska Comparison_(C) WHE Proforma with ITC cash grant 10 Yr Amort_for rebuttal_120709 2 4" xfId="27791"/>
    <cellStyle name="_Tenaska Comparison_(C) WHE Proforma with ITC cash grant 10 Yr Amort_for rebuttal_120709 2 4 2" xfId="27792"/>
    <cellStyle name="_Tenaska Comparison_(C) WHE Proforma with ITC cash grant 10 Yr Amort_for rebuttal_120709 2 5" xfId="7972"/>
    <cellStyle name="_Tenaska Comparison_(C) WHE Proforma with ITC cash grant 10 Yr Amort_for rebuttal_120709 3" xfId="7974"/>
    <cellStyle name="_Tenaska Comparison_(C) WHE Proforma with ITC cash grant 10 Yr Amort_for rebuttal_120709 3 2" xfId="21373"/>
    <cellStyle name="_Tenaska Comparison_(C) WHE Proforma with ITC cash grant 10 Yr Amort_for rebuttal_120709 3 2 2" xfId="27793"/>
    <cellStyle name="_Tenaska Comparison_(C) WHE Proforma with ITC cash grant 10 Yr Amort_for rebuttal_120709 3 3" xfId="27794"/>
    <cellStyle name="_Tenaska Comparison_(C) WHE Proforma with ITC cash grant 10 Yr Amort_for rebuttal_120709 4" xfId="17007"/>
    <cellStyle name="_Tenaska Comparison_(C) WHE Proforma with ITC cash grant 10 Yr Amort_for rebuttal_120709 4 2" xfId="27795"/>
    <cellStyle name="_Tenaska Comparison_(C) WHE Proforma with ITC cash grant 10 Yr Amort_for rebuttal_120709 4 2 2" xfId="27796"/>
    <cellStyle name="_Tenaska Comparison_(C) WHE Proforma with ITC cash grant 10 Yr Amort_for rebuttal_120709 4 3" xfId="27797"/>
    <cellStyle name="_Tenaska Comparison_(C) WHE Proforma with ITC cash grant 10 Yr Amort_for rebuttal_120709 5" xfId="27798"/>
    <cellStyle name="_Tenaska Comparison_(C) WHE Proforma with ITC cash grant 10 Yr Amort_for rebuttal_120709 5 2" xfId="27799"/>
    <cellStyle name="_Tenaska Comparison_(C) WHE Proforma with ITC cash grant 10 Yr Amort_for rebuttal_120709 6" xfId="27800"/>
    <cellStyle name="_Tenaska Comparison_(C) WHE Proforma with ITC cash grant 10 Yr Amort_for rebuttal_120709 6 2" xfId="27801"/>
    <cellStyle name="_Tenaska Comparison_(C) WHE Proforma with ITC cash grant 10 Yr Amort_for rebuttal_120709 7" xfId="7971"/>
    <cellStyle name="_Tenaska Comparison_(C) WHE Proforma with ITC cash grant 10 Yr Amort_for rebuttal_120709_DEM-WP(C) ENERG10C--ctn Mid-C_042010 2010GRC" xfId="13007"/>
    <cellStyle name="_Tenaska Comparison_(C) WHE Proforma with ITC cash grant 10 Yr Amort_for rebuttal_120709_DEM-WP(C) ENERG10C--ctn Mid-C_042010 2010GRC 2" xfId="41691"/>
    <cellStyle name="_Tenaska Comparison_04.07E Wild Horse Wind Expansion" xfId="2024"/>
    <cellStyle name="_Tenaska Comparison_04.07E Wild Horse Wind Expansion 2" xfId="2025"/>
    <cellStyle name="_Tenaska Comparison_04.07E Wild Horse Wind Expansion 2 2" xfId="5388"/>
    <cellStyle name="_Tenaska Comparison_04.07E Wild Horse Wind Expansion 2 2 2" xfId="21374"/>
    <cellStyle name="_Tenaska Comparison_04.07E Wild Horse Wind Expansion 2 2 2 2" xfId="27802"/>
    <cellStyle name="_Tenaska Comparison_04.07E Wild Horse Wind Expansion 2 2 3" xfId="7977"/>
    <cellStyle name="_Tenaska Comparison_04.07E Wild Horse Wind Expansion 2 3" xfId="17010"/>
    <cellStyle name="_Tenaska Comparison_04.07E Wild Horse Wind Expansion 2 3 2" xfId="27803"/>
    <cellStyle name="_Tenaska Comparison_04.07E Wild Horse Wind Expansion 2 4" xfId="27804"/>
    <cellStyle name="_Tenaska Comparison_04.07E Wild Horse Wind Expansion 2 4 2" xfId="27805"/>
    <cellStyle name="_Tenaska Comparison_04.07E Wild Horse Wind Expansion 2 5" xfId="7976"/>
    <cellStyle name="_Tenaska Comparison_04.07E Wild Horse Wind Expansion 3" xfId="5387"/>
    <cellStyle name="_Tenaska Comparison_04.07E Wild Horse Wind Expansion 3 2" xfId="21375"/>
    <cellStyle name="_Tenaska Comparison_04.07E Wild Horse Wind Expansion 3 2 2" xfId="27806"/>
    <cellStyle name="_Tenaska Comparison_04.07E Wild Horse Wind Expansion 3 3" xfId="27807"/>
    <cellStyle name="_Tenaska Comparison_04.07E Wild Horse Wind Expansion 3 4" xfId="7978"/>
    <cellStyle name="_Tenaska Comparison_04.07E Wild Horse Wind Expansion 4" xfId="17009"/>
    <cellStyle name="_Tenaska Comparison_04.07E Wild Horse Wind Expansion 4 2" xfId="27808"/>
    <cellStyle name="_Tenaska Comparison_04.07E Wild Horse Wind Expansion 4 2 2" xfId="27809"/>
    <cellStyle name="_Tenaska Comparison_04.07E Wild Horse Wind Expansion 4 3" xfId="27810"/>
    <cellStyle name="_Tenaska Comparison_04.07E Wild Horse Wind Expansion 5" xfId="27811"/>
    <cellStyle name="_Tenaska Comparison_04.07E Wild Horse Wind Expansion 5 2" xfId="27812"/>
    <cellStyle name="_Tenaska Comparison_04.07E Wild Horse Wind Expansion 6" xfId="27813"/>
    <cellStyle name="_Tenaska Comparison_04.07E Wild Horse Wind Expansion 6 2" xfId="27814"/>
    <cellStyle name="_Tenaska Comparison_04.07E Wild Horse Wind Expansion 7" xfId="7975"/>
    <cellStyle name="_Tenaska Comparison_04.07E Wild Horse Wind Expansion_16.07E Wild Horse Wind Expansionwrkingfile" xfId="2026"/>
    <cellStyle name="_Tenaska Comparison_04.07E Wild Horse Wind Expansion_16.07E Wild Horse Wind Expansionwrkingfile 2" xfId="2027"/>
    <cellStyle name="_Tenaska Comparison_04.07E Wild Horse Wind Expansion_16.07E Wild Horse Wind Expansionwrkingfile 2 2" xfId="5390"/>
    <cellStyle name="_Tenaska Comparison_04.07E Wild Horse Wind Expansion_16.07E Wild Horse Wind Expansionwrkingfile 2 2 2" xfId="21376"/>
    <cellStyle name="_Tenaska Comparison_04.07E Wild Horse Wind Expansion_16.07E Wild Horse Wind Expansionwrkingfile 2 2 2 2" xfId="27815"/>
    <cellStyle name="_Tenaska Comparison_04.07E Wild Horse Wind Expansion_16.07E Wild Horse Wind Expansionwrkingfile 2 2 3" xfId="7981"/>
    <cellStyle name="_Tenaska Comparison_04.07E Wild Horse Wind Expansion_16.07E Wild Horse Wind Expansionwrkingfile 2 3" xfId="17012"/>
    <cellStyle name="_Tenaska Comparison_04.07E Wild Horse Wind Expansion_16.07E Wild Horse Wind Expansionwrkingfile 2 3 2" xfId="27816"/>
    <cellStyle name="_Tenaska Comparison_04.07E Wild Horse Wind Expansion_16.07E Wild Horse Wind Expansionwrkingfile 2 4" xfId="27817"/>
    <cellStyle name="_Tenaska Comparison_04.07E Wild Horse Wind Expansion_16.07E Wild Horse Wind Expansionwrkingfile 2 4 2" xfId="27818"/>
    <cellStyle name="_Tenaska Comparison_04.07E Wild Horse Wind Expansion_16.07E Wild Horse Wind Expansionwrkingfile 2 5" xfId="7980"/>
    <cellStyle name="_Tenaska Comparison_04.07E Wild Horse Wind Expansion_16.07E Wild Horse Wind Expansionwrkingfile 3" xfId="5389"/>
    <cellStyle name="_Tenaska Comparison_04.07E Wild Horse Wind Expansion_16.07E Wild Horse Wind Expansionwrkingfile 3 2" xfId="21377"/>
    <cellStyle name="_Tenaska Comparison_04.07E Wild Horse Wind Expansion_16.07E Wild Horse Wind Expansionwrkingfile 3 2 2" xfId="27819"/>
    <cellStyle name="_Tenaska Comparison_04.07E Wild Horse Wind Expansion_16.07E Wild Horse Wind Expansionwrkingfile 3 3" xfId="27820"/>
    <cellStyle name="_Tenaska Comparison_04.07E Wild Horse Wind Expansion_16.07E Wild Horse Wind Expansionwrkingfile 3 4" xfId="7982"/>
    <cellStyle name="_Tenaska Comparison_04.07E Wild Horse Wind Expansion_16.07E Wild Horse Wind Expansionwrkingfile 4" xfId="17011"/>
    <cellStyle name="_Tenaska Comparison_04.07E Wild Horse Wind Expansion_16.07E Wild Horse Wind Expansionwrkingfile 4 2" xfId="27821"/>
    <cellStyle name="_Tenaska Comparison_04.07E Wild Horse Wind Expansion_16.07E Wild Horse Wind Expansionwrkingfile 4 2 2" xfId="27822"/>
    <cellStyle name="_Tenaska Comparison_04.07E Wild Horse Wind Expansion_16.07E Wild Horse Wind Expansionwrkingfile 4 3" xfId="27823"/>
    <cellStyle name="_Tenaska Comparison_04.07E Wild Horse Wind Expansion_16.07E Wild Horse Wind Expansionwrkingfile 5" xfId="27824"/>
    <cellStyle name="_Tenaska Comparison_04.07E Wild Horse Wind Expansion_16.07E Wild Horse Wind Expansionwrkingfile 5 2" xfId="27825"/>
    <cellStyle name="_Tenaska Comparison_04.07E Wild Horse Wind Expansion_16.07E Wild Horse Wind Expansionwrkingfile 6" xfId="27826"/>
    <cellStyle name="_Tenaska Comparison_04.07E Wild Horse Wind Expansion_16.07E Wild Horse Wind Expansionwrkingfile 6 2" xfId="27827"/>
    <cellStyle name="_Tenaska Comparison_04.07E Wild Horse Wind Expansion_16.07E Wild Horse Wind Expansionwrkingfile 7" xfId="7979"/>
    <cellStyle name="_Tenaska Comparison_04.07E Wild Horse Wind Expansion_16.07E Wild Horse Wind Expansionwrkingfile SF" xfId="2028"/>
    <cellStyle name="_Tenaska Comparison_04.07E Wild Horse Wind Expansion_16.07E Wild Horse Wind Expansionwrkingfile SF 2" xfId="2029"/>
    <cellStyle name="_Tenaska Comparison_04.07E Wild Horse Wind Expansion_16.07E Wild Horse Wind Expansionwrkingfile SF 2 2" xfId="5392"/>
    <cellStyle name="_Tenaska Comparison_04.07E Wild Horse Wind Expansion_16.07E Wild Horse Wind Expansionwrkingfile SF 2 2 2" xfId="21378"/>
    <cellStyle name="_Tenaska Comparison_04.07E Wild Horse Wind Expansion_16.07E Wild Horse Wind Expansionwrkingfile SF 2 2 2 2" xfId="27828"/>
    <cellStyle name="_Tenaska Comparison_04.07E Wild Horse Wind Expansion_16.07E Wild Horse Wind Expansionwrkingfile SF 2 2 3" xfId="7985"/>
    <cellStyle name="_Tenaska Comparison_04.07E Wild Horse Wind Expansion_16.07E Wild Horse Wind Expansionwrkingfile SF 2 3" xfId="17014"/>
    <cellStyle name="_Tenaska Comparison_04.07E Wild Horse Wind Expansion_16.07E Wild Horse Wind Expansionwrkingfile SF 2 3 2" xfId="27829"/>
    <cellStyle name="_Tenaska Comparison_04.07E Wild Horse Wind Expansion_16.07E Wild Horse Wind Expansionwrkingfile SF 2 4" xfId="27830"/>
    <cellStyle name="_Tenaska Comparison_04.07E Wild Horse Wind Expansion_16.07E Wild Horse Wind Expansionwrkingfile SF 2 4 2" xfId="27831"/>
    <cellStyle name="_Tenaska Comparison_04.07E Wild Horse Wind Expansion_16.07E Wild Horse Wind Expansionwrkingfile SF 2 5" xfId="7984"/>
    <cellStyle name="_Tenaska Comparison_04.07E Wild Horse Wind Expansion_16.07E Wild Horse Wind Expansionwrkingfile SF 3" xfId="5391"/>
    <cellStyle name="_Tenaska Comparison_04.07E Wild Horse Wind Expansion_16.07E Wild Horse Wind Expansionwrkingfile SF 3 2" xfId="21379"/>
    <cellStyle name="_Tenaska Comparison_04.07E Wild Horse Wind Expansion_16.07E Wild Horse Wind Expansionwrkingfile SF 3 2 2" xfId="27832"/>
    <cellStyle name="_Tenaska Comparison_04.07E Wild Horse Wind Expansion_16.07E Wild Horse Wind Expansionwrkingfile SF 3 3" xfId="27833"/>
    <cellStyle name="_Tenaska Comparison_04.07E Wild Horse Wind Expansion_16.07E Wild Horse Wind Expansionwrkingfile SF 3 4" xfId="7986"/>
    <cellStyle name="_Tenaska Comparison_04.07E Wild Horse Wind Expansion_16.07E Wild Horse Wind Expansionwrkingfile SF 4" xfId="17013"/>
    <cellStyle name="_Tenaska Comparison_04.07E Wild Horse Wind Expansion_16.07E Wild Horse Wind Expansionwrkingfile SF 4 2" xfId="27834"/>
    <cellStyle name="_Tenaska Comparison_04.07E Wild Horse Wind Expansion_16.07E Wild Horse Wind Expansionwrkingfile SF 4 2 2" xfId="27835"/>
    <cellStyle name="_Tenaska Comparison_04.07E Wild Horse Wind Expansion_16.07E Wild Horse Wind Expansionwrkingfile SF 4 3" xfId="27836"/>
    <cellStyle name="_Tenaska Comparison_04.07E Wild Horse Wind Expansion_16.07E Wild Horse Wind Expansionwrkingfile SF 5" xfId="27837"/>
    <cellStyle name="_Tenaska Comparison_04.07E Wild Horse Wind Expansion_16.07E Wild Horse Wind Expansionwrkingfile SF 5 2" xfId="27838"/>
    <cellStyle name="_Tenaska Comparison_04.07E Wild Horse Wind Expansion_16.07E Wild Horse Wind Expansionwrkingfile SF 6" xfId="27839"/>
    <cellStyle name="_Tenaska Comparison_04.07E Wild Horse Wind Expansion_16.07E Wild Horse Wind Expansionwrkingfile SF 6 2" xfId="27840"/>
    <cellStyle name="_Tenaska Comparison_04.07E Wild Horse Wind Expansion_16.07E Wild Horse Wind Expansionwrkingfile SF 7" xfId="7983"/>
    <cellStyle name="_Tenaska Comparison_04.07E Wild Horse Wind Expansion_16.07E Wild Horse Wind Expansionwrkingfile SF_DEM-WP(C) ENERG10C--ctn Mid-C_042010 2010GRC" xfId="13008"/>
    <cellStyle name="_Tenaska Comparison_04.07E Wild Horse Wind Expansion_16.07E Wild Horse Wind Expansionwrkingfile SF_DEM-WP(C) ENERG10C--ctn Mid-C_042010 2010GRC 2" xfId="41692"/>
    <cellStyle name="_Tenaska Comparison_04.07E Wild Horse Wind Expansion_16.07E Wild Horse Wind Expansionwrkingfile_DEM-WP(C) ENERG10C--ctn Mid-C_042010 2010GRC" xfId="13009"/>
    <cellStyle name="_Tenaska Comparison_04.07E Wild Horse Wind Expansion_16.07E Wild Horse Wind Expansionwrkingfile_DEM-WP(C) ENERG10C--ctn Mid-C_042010 2010GRC 2" xfId="41693"/>
    <cellStyle name="_Tenaska Comparison_04.07E Wild Horse Wind Expansion_16.37E Wild Horse Expansion DeferralRevwrkingfile SF" xfId="2030"/>
    <cellStyle name="_Tenaska Comparison_04.07E Wild Horse Wind Expansion_16.37E Wild Horse Expansion DeferralRevwrkingfile SF 2" xfId="2031"/>
    <cellStyle name="_Tenaska Comparison_04.07E Wild Horse Wind Expansion_16.37E Wild Horse Expansion DeferralRevwrkingfile SF 2 2" xfId="5394"/>
    <cellStyle name="_Tenaska Comparison_04.07E Wild Horse Wind Expansion_16.37E Wild Horse Expansion DeferralRevwrkingfile SF 2 2 2" xfId="21380"/>
    <cellStyle name="_Tenaska Comparison_04.07E Wild Horse Wind Expansion_16.37E Wild Horse Expansion DeferralRevwrkingfile SF 2 2 2 2" xfId="27841"/>
    <cellStyle name="_Tenaska Comparison_04.07E Wild Horse Wind Expansion_16.37E Wild Horse Expansion DeferralRevwrkingfile SF 2 2 3" xfId="7989"/>
    <cellStyle name="_Tenaska Comparison_04.07E Wild Horse Wind Expansion_16.37E Wild Horse Expansion DeferralRevwrkingfile SF 2 3" xfId="17016"/>
    <cellStyle name="_Tenaska Comparison_04.07E Wild Horse Wind Expansion_16.37E Wild Horse Expansion DeferralRevwrkingfile SF 2 3 2" xfId="27842"/>
    <cellStyle name="_Tenaska Comparison_04.07E Wild Horse Wind Expansion_16.37E Wild Horse Expansion DeferralRevwrkingfile SF 2 4" xfId="27843"/>
    <cellStyle name="_Tenaska Comparison_04.07E Wild Horse Wind Expansion_16.37E Wild Horse Expansion DeferralRevwrkingfile SF 2 4 2" xfId="27844"/>
    <cellStyle name="_Tenaska Comparison_04.07E Wild Horse Wind Expansion_16.37E Wild Horse Expansion DeferralRevwrkingfile SF 2 5" xfId="7988"/>
    <cellStyle name="_Tenaska Comparison_04.07E Wild Horse Wind Expansion_16.37E Wild Horse Expansion DeferralRevwrkingfile SF 3" xfId="5393"/>
    <cellStyle name="_Tenaska Comparison_04.07E Wild Horse Wind Expansion_16.37E Wild Horse Expansion DeferralRevwrkingfile SF 3 2" xfId="21381"/>
    <cellStyle name="_Tenaska Comparison_04.07E Wild Horse Wind Expansion_16.37E Wild Horse Expansion DeferralRevwrkingfile SF 3 2 2" xfId="27845"/>
    <cellStyle name="_Tenaska Comparison_04.07E Wild Horse Wind Expansion_16.37E Wild Horse Expansion DeferralRevwrkingfile SF 3 3" xfId="27846"/>
    <cellStyle name="_Tenaska Comparison_04.07E Wild Horse Wind Expansion_16.37E Wild Horse Expansion DeferralRevwrkingfile SF 3 4" xfId="7990"/>
    <cellStyle name="_Tenaska Comparison_04.07E Wild Horse Wind Expansion_16.37E Wild Horse Expansion DeferralRevwrkingfile SF 4" xfId="17015"/>
    <cellStyle name="_Tenaska Comparison_04.07E Wild Horse Wind Expansion_16.37E Wild Horse Expansion DeferralRevwrkingfile SF 4 2" xfId="27847"/>
    <cellStyle name="_Tenaska Comparison_04.07E Wild Horse Wind Expansion_16.37E Wild Horse Expansion DeferralRevwrkingfile SF 4 2 2" xfId="27848"/>
    <cellStyle name="_Tenaska Comparison_04.07E Wild Horse Wind Expansion_16.37E Wild Horse Expansion DeferralRevwrkingfile SF 4 3" xfId="27849"/>
    <cellStyle name="_Tenaska Comparison_04.07E Wild Horse Wind Expansion_16.37E Wild Horse Expansion DeferralRevwrkingfile SF 5" xfId="27850"/>
    <cellStyle name="_Tenaska Comparison_04.07E Wild Horse Wind Expansion_16.37E Wild Horse Expansion DeferralRevwrkingfile SF 5 2" xfId="27851"/>
    <cellStyle name="_Tenaska Comparison_04.07E Wild Horse Wind Expansion_16.37E Wild Horse Expansion DeferralRevwrkingfile SF 6" xfId="27852"/>
    <cellStyle name="_Tenaska Comparison_04.07E Wild Horse Wind Expansion_16.37E Wild Horse Expansion DeferralRevwrkingfile SF 6 2" xfId="27853"/>
    <cellStyle name="_Tenaska Comparison_04.07E Wild Horse Wind Expansion_16.37E Wild Horse Expansion DeferralRevwrkingfile SF 7" xfId="7987"/>
    <cellStyle name="_Tenaska Comparison_04.07E Wild Horse Wind Expansion_16.37E Wild Horse Expansion DeferralRevwrkingfile SF_DEM-WP(C) ENERG10C--ctn Mid-C_042010 2010GRC" xfId="13010"/>
    <cellStyle name="_Tenaska Comparison_04.07E Wild Horse Wind Expansion_16.37E Wild Horse Expansion DeferralRevwrkingfile SF_DEM-WP(C) ENERG10C--ctn Mid-C_042010 2010GRC 2" xfId="41694"/>
    <cellStyle name="_Tenaska Comparison_04.07E Wild Horse Wind Expansion_DEM-WP(C) ENERG10C--ctn Mid-C_042010 2010GRC" xfId="13011"/>
    <cellStyle name="_Tenaska Comparison_04.07E Wild Horse Wind Expansion_DEM-WP(C) ENERG10C--ctn Mid-C_042010 2010GRC 2" xfId="41695"/>
    <cellStyle name="_Tenaska Comparison_16.07E Wild Horse Wind Expansionwrkingfile" xfId="2032"/>
    <cellStyle name="_Tenaska Comparison_16.07E Wild Horse Wind Expansionwrkingfile 2" xfId="2033"/>
    <cellStyle name="_Tenaska Comparison_16.07E Wild Horse Wind Expansionwrkingfile 2 2" xfId="5396"/>
    <cellStyle name="_Tenaska Comparison_16.07E Wild Horse Wind Expansionwrkingfile 2 2 2" xfId="21382"/>
    <cellStyle name="_Tenaska Comparison_16.07E Wild Horse Wind Expansionwrkingfile 2 2 2 2" xfId="27854"/>
    <cellStyle name="_Tenaska Comparison_16.07E Wild Horse Wind Expansionwrkingfile 2 2 3" xfId="7993"/>
    <cellStyle name="_Tenaska Comparison_16.07E Wild Horse Wind Expansionwrkingfile 2 3" xfId="17018"/>
    <cellStyle name="_Tenaska Comparison_16.07E Wild Horse Wind Expansionwrkingfile 2 3 2" xfId="27855"/>
    <cellStyle name="_Tenaska Comparison_16.07E Wild Horse Wind Expansionwrkingfile 2 4" xfId="27856"/>
    <cellStyle name="_Tenaska Comparison_16.07E Wild Horse Wind Expansionwrkingfile 2 4 2" xfId="27857"/>
    <cellStyle name="_Tenaska Comparison_16.07E Wild Horse Wind Expansionwrkingfile 2 5" xfId="7992"/>
    <cellStyle name="_Tenaska Comparison_16.07E Wild Horse Wind Expansionwrkingfile 3" xfId="5395"/>
    <cellStyle name="_Tenaska Comparison_16.07E Wild Horse Wind Expansionwrkingfile 3 2" xfId="21383"/>
    <cellStyle name="_Tenaska Comparison_16.07E Wild Horse Wind Expansionwrkingfile 3 2 2" xfId="27858"/>
    <cellStyle name="_Tenaska Comparison_16.07E Wild Horse Wind Expansionwrkingfile 3 3" xfId="27859"/>
    <cellStyle name="_Tenaska Comparison_16.07E Wild Horse Wind Expansionwrkingfile 3 4" xfId="7994"/>
    <cellStyle name="_Tenaska Comparison_16.07E Wild Horse Wind Expansionwrkingfile 4" xfId="17017"/>
    <cellStyle name="_Tenaska Comparison_16.07E Wild Horse Wind Expansionwrkingfile 4 2" xfId="27860"/>
    <cellStyle name="_Tenaska Comparison_16.07E Wild Horse Wind Expansionwrkingfile 4 2 2" xfId="27861"/>
    <cellStyle name="_Tenaska Comparison_16.07E Wild Horse Wind Expansionwrkingfile 4 3" xfId="27862"/>
    <cellStyle name="_Tenaska Comparison_16.07E Wild Horse Wind Expansionwrkingfile 5" xfId="27863"/>
    <cellStyle name="_Tenaska Comparison_16.07E Wild Horse Wind Expansionwrkingfile 5 2" xfId="27864"/>
    <cellStyle name="_Tenaska Comparison_16.07E Wild Horse Wind Expansionwrkingfile 6" xfId="27865"/>
    <cellStyle name="_Tenaska Comparison_16.07E Wild Horse Wind Expansionwrkingfile 6 2" xfId="27866"/>
    <cellStyle name="_Tenaska Comparison_16.07E Wild Horse Wind Expansionwrkingfile 7" xfId="7991"/>
    <cellStyle name="_Tenaska Comparison_16.07E Wild Horse Wind Expansionwrkingfile SF" xfId="2034"/>
    <cellStyle name="_Tenaska Comparison_16.07E Wild Horse Wind Expansionwrkingfile SF 2" xfId="2035"/>
    <cellStyle name="_Tenaska Comparison_16.07E Wild Horse Wind Expansionwrkingfile SF 2 2" xfId="5398"/>
    <cellStyle name="_Tenaska Comparison_16.07E Wild Horse Wind Expansionwrkingfile SF 2 2 2" xfId="21384"/>
    <cellStyle name="_Tenaska Comparison_16.07E Wild Horse Wind Expansionwrkingfile SF 2 2 2 2" xfId="27867"/>
    <cellStyle name="_Tenaska Comparison_16.07E Wild Horse Wind Expansionwrkingfile SF 2 2 3" xfId="7997"/>
    <cellStyle name="_Tenaska Comparison_16.07E Wild Horse Wind Expansionwrkingfile SF 2 3" xfId="17020"/>
    <cellStyle name="_Tenaska Comparison_16.07E Wild Horse Wind Expansionwrkingfile SF 2 3 2" xfId="27868"/>
    <cellStyle name="_Tenaska Comparison_16.07E Wild Horse Wind Expansionwrkingfile SF 2 4" xfId="27869"/>
    <cellStyle name="_Tenaska Comparison_16.07E Wild Horse Wind Expansionwrkingfile SF 2 4 2" xfId="27870"/>
    <cellStyle name="_Tenaska Comparison_16.07E Wild Horse Wind Expansionwrkingfile SF 2 5" xfId="7996"/>
    <cellStyle name="_Tenaska Comparison_16.07E Wild Horse Wind Expansionwrkingfile SF 3" xfId="5397"/>
    <cellStyle name="_Tenaska Comparison_16.07E Wild Horse Wind Expansionwrkingfile SF 3 2" xfId="21385"/>
    <cellStyle name="_Tenaska Comparison_16.07E Wild Horse Wind Expansionwrkingfile SF 3 2 2" xfId="27871"/>
    <cellStyle name="_Tenaska Comparison_16.07E Wild Horse Wind Expansionwrkingfile SF 3 3" xfId="27872"/>
    <cellStyle name="_Tenaska Comparison_16.07E Wild Horse Wind Expansionwrkingfile SF 3 4" xfId="7998"/>
    <cellStyle name="_Tenaska Comparison_16.07E Wild Horse Wind Expansionwrkingfile SF 4" xfId="17019"/>
    <cellStyle name="_Tenaska Comparison_16.07E Wild Horse Wind Expansionwrkingfile SF 4 2" xfId="27873"/>
    <cellStyle name="_Tenaska Comparison_16.07E Wild Horse Wind Expansionwrkingfile SF 4 2 2" xfId="27874"/>
    <cellStyle name="_Tenaska Comparison_16.07E Wild Horse Wind Expansionwrkingfile SF 4 3" xfId="27875"/>
    <cellStyle name="_Tenaska Comparison_16.07E Wild Horse Wind Expansionwrkingfile SF 5" xfId="27876"/>
    <cellStyle name="_Tenaska Comparison_16.07E Wild Horse Wind Expansionwrkingfile SF 5 2" xfId="27877"/>
    <cellStyle name="_Tenaska Comparison_16.07E Wild Horse Wind Expansionwrkingfile SF 6" xfId="27878"/>
    <cellStyle name="_Tenaska Comparison_16.07E Wild Horse Wind Expansionwrkingfile SF 6 2" xfId="27879"/>
    <cellStyle name="_Tenaska Comparison_16.07E Wild Horse Wind Expansionwrkingfile SF 7" xfId="7995"/>
    <cellStyle name="_Tenaska Comparison_16.07E Wild Horse Wind Expansionwrkingfile SF_DEM-WP(C) ENERG10C--ctn Mid-C_042010 2010GRC" xfId="13012"/>
    <cellStyle name="_Tenaska Comparison_16.07E Wild Horse Wind Expansionwrkingfile SF_DEM-WP(C) ENERG10C--ctn Mid-C_042010 2010GRC 2" xfId="41696"/>
    <cellStyle name="_Tenaska Comparison_16.07E Wild Horse Wind Expansionwrkingfile_DEM-WP(C) ENERG10C--ctn Mid-C_042010 2010GRC" xfId="13013"/>
    <cellStyle name="_Tenaska Comparison_16.07E Wild Horse Wind Expansionwrkingfile_DEM-WP(C) ENERG10C--ctn Mid-C_042010 2010GRC 2" xfId="41697"/>
    <cellStyle name="_Tenaska Comparison_16.37E Wild Horse Expansion DeferralRevwrkingfile SF" xfId="2036"/>
    <cellStyle name="_Tenaska Comparison_16.37E Wild Horse Expansion DeferralRevwrkingfile SF 2" xfId="2037"/>
    <cellStyle name="_Tenaska Comparison_16.37E Wild Horse Expansion DeferralRevwrkingfile SF 2 2" xfId="5400"/>
    <cellStyle name="_Tenaska Comparison_16.37E Wild Horse Expansion DeferralRevwrkingfile SF 2 2 2" xfId="21386"/>
    <cellStyle name="_Tenaska Comparison_16.37E Wild Horse Expansion DeferralRevwrkingfile SF 2 2 2 2" xfId="27880"/>
    <cellStyle name="_Tenaska Comparison_16.37E Wild Horse Expansion DeferralRevwrkingfile SF 2 2 3" xfId="8001"/>
    <cellStyle name="_Tenaska Comparison_16.37E Wild Horse Expansion DeferralRevwrkingfile SF 2 3" xfId="17022"/>
    <cellStyle name="_Tenaska Comparison_16.37E Wild Horse Expansion DeferralRevwrkingfile SF 2 3 2" xfId="27881"/>
    <cellStyle name="_Tenaska Comparison_16.37E Wild Horse Expansion DeferralRevwrkingfile SF 2 4" xfId="27882"/>
    <cellStyle name="_Tenaska Comparison_16.37E Wild Horse Expansion DeferralRevwrkingfile SF 2 4 2" xfId="27883"/>
    <cellStyle name="_Tenaska Comparison_16.37E Wild Horse Expansion DeferralRevwrkingfile SF 2 5" xfId="8000"/>
    <cellStyle name="_Tenaska Comparison_16.37E Wild Horse Expansion DeferralRevwrkingfile SF 3" xfId="5399"/>
    <cellStyle name="_Tenaska Comparison_16.37E Wild Horse Expansion DeferralRevwrkingfile SF 3 2" xfId="21387"/>
    <cellStyle name="_Tenaska Comparison_16.37E Wild Horse Expansion DeferralRevwrkingfile SF 3 2 2" xfId="27884"/>
    <cellStyle name="_Tenaska Comparison_16.37E Wild Horse Expansion DeferralRevwrkingfile SF 3 3" xfId="27885"/>
    <cellStyle name="_Tenaska Comparison_16.37E Wild Horse Expansion DeferralRevwrkingfile SF 3 4" xfId="8002"/>
    <cellStyle name="_Tenaska Comparison_16.37E Wild Horse Expansion DeferralRevwrkingfile SF 4" xfId="17021"/>
    <cellStyle name="_Tenaska Comparison_16.37E Wild Horse Expansion DeferralRevwrkingfile SF 4 2" xfId="27886"/>
    <cellStyle name="_Tenaska Comparison_16.37E Wild Horse Expansion DeferralRevwrkingfile SF 4 2 2" xfId="27887"/>
    <cellStyle name="_Tenaska Comparison_16.37E Wild Horse Expansion DeferralRevwrkingfile SF 4 3" xfId="27888"/>
    <cellStyle name="_Tenaska Comparison_16.37E Wild Horse Expansion DeferralRevwrkingfile SF 5" xfId="27889"/>
    <cellStyle name="_Tenaska Comparison_16.37E Wild Horse Expansion DeferralRevwrkingfile SF 5 2" xfId="27890"/>
    <cellStyle name="_Tenaska Comparison_16.37E Wild Horse Expansion DeferralRevwrkingfile SF 6" xfId="27891"/>
    <cellStyle name="_Tenaska Comparison_16.37E Wild Horse Expansion DeferralRevwrkingfile SF 6 2" xfId="27892"/>
    <cellStyle name="_Tenaska Comparison_16.37E Wild Horse Expansion DeferralRevwrkingfile SF 7" xfId="7999"/>
    <cellStyle name="_Tenaska Comparison_16.37E Wild Horse Expansion DeferralRevwrkingfile SF_DEM-WP(C) ENERG10C--ctn Mid-C_042010 2010GRC" xfId="13014"/>
    <cellStyle name="_Tenaska Comparison_16.37E Wild Horse Expansion DeferralRevwrkingfile SF_DEM-WP(C) ENERG10C--ctn Mid-C_042010 2010GRC 2" xfId="41698"/>
    <cellStyle name="_Tenaska Comparison_2009 Compliance Filing PCA Exhibits for GRC" xfId="14168"/>
    <cellStyle name="_Tenaska Comparison_2009 Compliance Filing PCA Exhibits for GRC 2" xfId="15229"/>
    <cellStyle name="_Tenaska Comparison_2009 Compliance Filing PCA Exhibits for GRC 2 2" xfId="41699"/>
    <cellStyle name="_Tenaska Comparison_2009 Compliance Filing PCA Exhibits for GRC 3" xfId="41700"/>
    <cellStyle name="_Tenaska Comparison_2009 GRC Compl Filing - Exhibit D" xfId="2038"/>
    <cellStyle name="_Tenaska Comparison_2009 GRC Compl Filing - Exhibit D 2" xfId="2039"/>
    <cellStyle name="_Tenaska Comparison_2009 GRC Compl Filing - Exhibit D 2 2" xfId="5402"/>
    <cellStyle name="_Tenaska Comparison_2009 GRC Compl Filing - Exhibit D 2 2 2" xfId="27893"/>
    <cellStyle name="_Tenaska Comparison_2009 GRC Compl Filing - Exhibit D 2 2 2 2" xfId="27894"/>
    <cellStyle name="_Tenaska Comparison_2009 GRC Compl Filing - Exhibit D 2 3" xfId="27895"/>
    <cellStyle name="_Tenaska Comparison_2009 GRC Compl Filing - Exhibit D 2 3 2" xfId="27896"/>
    <cellStyle name="_Tenaska Comparison_2009 GRC Compl Filing - Exhibit D 2 4" xfId="27897"/>
    <cellStyle name="_Tenaska Comparison_2009 GRC Compl Filing - Exhibit D 2 4 2" xfId="27898"/>
    <cellStyle name="_Tenaska Comparison_2009 GRC Compl Filing - Exhibit D 2 5" xfId="8004"/>
    <cellStyle name="_Tenaska Comparison_2009 GRC Compl Filing - Exhibit D 3" xfId="5401"/>
    <cellStyle name="_Tenaska Comparison_2009 GRC Compl Filing - Exhibit D 3 2" xfId="27899"/>
    <cellStyle name="_Tenaska Comparison_2009 GRC Compl Filing - Exhibit D 3 2 2" xfId="27900"/>
    <cellStyle name="_Tenaska Comparison_2009 GRC Compl Filing - Exhibit D 3 3" xfId="27901"/>
    <cellStyle name="_Tenaska Comparison_2009 GRC Compl Filing - Exhibit D 4" xfId="27902"/>
    <cellStyle name="_Tenaska Comparison_2009 GRC Compl Filing - Exhibit D 4 2" xfId="27903"/>
    <cellStyle name="_Tenaska Comparison_2009 GRC Compl Filing - Exhibit D 4 2 2" xfId="27904"/>
    <cellStyle name="_Tenaska Comparison_2009 GRC Compl Filing - Exhibit D 4 3" xfId="27905"/>
    <cellStyle name="_Tenaska Comparison_2009 GRC Compl Filing - Exhibit D 5" xfId="27906"/>
    <cellStyle name="_Tenaska Comparison_2009 GRC Compl Filing - Exhibit D 5 2" xfId="27907"/>
    <cellStyle name="_Tenaska Comparison_2009 GRC Compl Filing - Exhibit D 6" xfId="27908"/>
    <cellStyle name="_Tenaska Comparison_2009 GRC Compl Filing - Exhibit D 6 2" xfId="27909"/>
    <cellStyle name="_Tenaska Comparison_2009 GRC Compl Filing - Exhibit D 7" xfId="8003"/>
    <cellStyle name="_Tenaska Comparison_2009 GRC Compl Filing - Exhibit D_DEM-WP(C) ENERG10C--ctn Mid-C_042010 2010GRC" xfId="13015"/>
    <cellStyle name="_Tenaska Comparison_2009 GRC Compl Filing - Exhibit D_DEM-WP(C) ENERG10C--ctn Mid-C_042010 2010GRC 2" xfId="41701"/>
    <cellStyle name="_Tenaska Comparison_3.01 Income Statement" xfId="14169"/>
    <cellStyle name="_Tenaska Comparison_4 31 Regulatory Assets and Liabilities  7 06- Exhibit D" xfId="2040"/>
    <cellStyle name="_Tenaska Comparison_4 31 Regulatory Assets and Liabilities  7 06- Exhibit D 2" xfId="2041"/>
    <cellStyle name="_Tenaska Comparison_4 31 Regulatory Assets and Liabilities  7 06- Exhibit D 2 2" xfId="5404"/>
    <cellStyle name="_Tenaska Comparison_4 31 Regulatory Assets and Liabilities  7 06- Exhibit D 2 2 2" xfId="21388"/>
    <cellStyle name="_Tenaska Comparison_4 31 Regulatory Assets and Liabilities  7 06- Exhibit D 2 2 2 2" xfId="27910"/>
    <cellStyle name="_Tenaska Comparison_4 31 Regulatory Assets and Liabilities  7 06- Exhibit D 2 2 3" xfId="27911"/>
    <cellStyle name="_Tenaska Comparison_4 31 Regulatory Assets and Liabilities  7 06- Exhibit D 2 2 4" xfId="8007"/>
    <cellStyle name="_Tenaska Comparison_4 31 Regulatory Assets and Liabilities  7 06- Exhibit D 2 3" xfId="17024"/>
    <cellStyle name="_Tenaska Comparison_4 31 Regulatory Assets and Liabilities  7 06- Exhibit D 2 3 2" xfId="27912"/>
    <cellStyle name="_Tenaska Comparison_4 31 Regulatory Assets and Liabilities  7 06- Exhibit D 2 3 2 2" xfId="27913"/>
    <cellStyle name="_Tenaska Comparison_4 31 Regulatory Assets and Liabilities  7 06- Exhibit D 2 3 3" xfId="27914"/>
    <cellStyle name="_Tenaska Comparison_4 31 Regulatory Assets and Liabilities  7 06- Exhibit D 2 4" xfId="27915"/>
    <cellStyle name="_Tenaska Comparison_4 31 Regulatory Assets and Liabilities  7 06- Exhibit D 2 4 2" xfId="27916"/>
    <cellStyle name="_Tenaska Comparison_4 31 Regulatory Assets and Liabilities  7 06- Exhibit D 2 5" xfId="27917"/>
    <cellStyle name="_Tenaska Comparison_4 31 Regulatory Assets and Liabilities  7 06- Exhibit D 2 5 2" xfId="27918"/>
    <cellStyle name="_Tenaska Comparison_4 31 Regulatory Assets and Liabilities  7 06- Exhibit D 2 6" xfId="8006"/>
    <cellStyle name="_Tenaska Comparison_4 31 Regulatory Assets and Liabilities  7 06- Exhibit D 3" xfId="5403"/>
    <cellStyle name="_Tenaska Comparison_4 31 Regulatory Assets and Liabilities  7 06- Exhibit D 3 2" xfId="21389"/>
    <cellStyle name="_Tenaska Comparison_4 31 Regulatory Assets and Liabilities  7 06- Exhibit D 3 2 2" xfId="27919"/>
    <cellStyle name="_Tenaska Comparison_4 31 Regulatory Assets and Liabilities  7 06- Exhibit D 3 3" xfId="27920"/>
    <cellStyle name="_Tenaska Comparison_4 31 Regulatory Assets and Liabilities  7 06- Exhibit D 3 4" xfId="8008"/>
    <cellStyle name="_Tenaska Comparison_4 31 Regulatory Assets and Liabilities  7 06- Exhibit D 4" xfId="17023"/>
    <cellStyle name="_Tenaska Comparison_4 31 Regulatory Assets and Liabilities  7 06- Exhibit D 4 2" xfId="27921"/>
    <cellStyle name="_Tenaska Comparison_4 31 Regulatory Assets and Liabilities  7 06- Exhibit D 4 2 2" xfId="27922"/>
    <cellStyle name="_Tenaska Comparison_4 31 Regulatory Assets and Liabilities  7 06- Exhibit D 4 3" xfId="27923"/>
    <cellStyle name="_Tenaska Comparison_4 31 Regulatory Assets and Liabilities  7 06- Exhibit D 5" xfId="27924"/>
    <cellStyle name="_Tenaska Comparison_4 31 Regulatory Assets and Liabilities  7 06- Exhibit D 5 2" xfId="27925"/>
    <cellStyle name="_Tenaska Comparison_4 31 Regulatory Assets and Liabilities  7 06- Exhibit D 6" xfId="27926"/>
    <cellStyle name="_Tenaska Comparison_4 31 Regulatory Assets and Liabilities  7 06- Exhibit D 6 2" xfId="27927"/>
    <cellStyle name="_Tenaska Comparison_4 31 Regulatory Assets and Liabilities  7 06- Exhibit D 7" xfId="8005"/>
    <cellStyle name="_Tenaska Comparison_4 31 Regulatory Assets and Liabilities  7 06- Exhibit D_DEM-WP(C) ENERG10C--ctn Mid-C_042010 2010GRC" xfId="13016"/>
    <cellStyle name="_Tenaska Comparison_4 31 Regulatory Assets and Liabilities  7 06- Exhibit D_DEM-WP(C) ENERG10C--ctn Mid-C_042010 2010GRC 2" xfId="41702"/>
    <cellStyle name="_Tenaska Comparison_4 31 Regulatory Assets and Liabilities  7 06- Exhibit D_NIM Summary" xfId="2042"/>
    <cellStyle name="_Tenaska Comparison_4 31 Regulatory Assets and Liabilities  7 06- Exhibit D_NIM Summary 2" xfId="2043"/>
    <cellStyle name="_Tenaska Comparison_4 31 Regulatory Assets and Liabilities  7 06- Exhibit D_NIM Summary 2 2" xfId="5406"/>
    <cellStyle name="_Tenaska Comparison_4 31 Regulatory Assets and Liabilities  7 06- Exhibit D_NIM Summary 2 2 2" xfId="27928"/>
    <cellStyle name="_Tenaska Comparison_4 31 Regulatory Assets and Liabilities  7 06- Exhibit D_NIM Summary 2 2 2 2" xfId="27929"/>
    <cellStyle name="_Tenaska Comparison_4 31 Regulatory Assets and Liabilities  7 06- Exhibit D_NIM Summary 2 3" xfId="27930"/>
    <cellStyle name="_Tenaska Comparison_4 31 Regulatory Assets and Liabilities  7 06- Exhibit D_NIM Summary 2 3 2" xfId="27931"/>
    <cellStyle name="_Tenaska Comparison_4 31 Regulatory Assets and Liabilities  7 06- Exhibit D_NIM Summary 2 4" xfId="27932"/>
    <cellStyle name="_Tenaska Comparison_4 31 Regulatory Assets and Liabilities  7 06- Exhibit D_NIM Summary 2 4 2" xfId="27933"/>
    <cellStyle name="_Tenaska Comparison_4 31 Regulatory Assets and Liabilities  7 06- Exhibit D_NIM Summary 2 5" xfId="8010"/>
    <cellStyle name="_Tenaska Comparison_4 31 Regulatory Assets and Liabilities  7 06- Exhibit D_NIM Summary 3" xfId="5405"/>
    <cellStyle name="_Tenaska Comparison_4 31 Regulatory Assets and Liabilities  7 06- Exhibit D_NIM Summary 3 2" xfId="27934"/>
    <cellStyle name="_Tenaska Comparison_4 31 Regulatory Assets and Liabilities  7 06- Exhibit D_NIM Summary 3 2 2" xfId="27935"/>
    <cellStyle name="_Tenaska Comparison_4 31 Regulatory Assets and Liabilities  7 06- Exhibit D_NIM Summary 3 3" xfId="27936"/>
    <cellStyle name="_Tenaska Comparison_4 31 Regulatory Assets and Liabilities  7 06- Exhibit D_NIM Summary 4" xfId="27937"/>
    <cellStyle name="_Tenaska Comparison_4 31 Regulatory Assets and Liabilities  7 06- Exhibit D_NIM Summary 4 2" xfId="27938"/>
    <cellStyle name="_Tenaska Comparison_4 31 Regulatory Assets and Liabilities  7 06- Exhibit D_NIM Summary 4 2 2" xfId="27939"/>
    <cellStyle name="_Tenaska Comparison_4 31 Regulatory Assets and Liabilities  7 06- Exhibit D_NIM Summary 4 3" xfId="27940"/>
    <cellStyle name="_Tenaska Comparison_4 31 Regulatory Assets and Liabilities  7 06- Exhibit D_NIM Summary 5" xfId="27941"/>
    <cellStyle name="_Tenaska Comparison_4 31 Regulatory Assets and Liabilities  7 06- Exhibit D_NIM Summary 5 2" xfId="27942"/>
    <cellStyle name="_Tenaska Comparison_4 31 Regulatory Assets and Liabilities  7 06- Exhibit D_NIM Summary 6" xfId="27943"/>
    <cellStyle name="_Tenaska Comparison_4 31 Regulatory Assets and Liabilities  7 06- Exhibit D_NIM Summary 6 2" xfId="27944"/>
    <cellStyle name="_Tenaska Comparison_4 31 Regulatory Assets and Liabilities  7 06- Exhibit D_NIM Summary 7" xfId="8009"/>
    <cellStyle name="_Tenaska Comparison_4 31 Regulatory Assets and Liabilities  7 06- Exhibit D_NIM Summary_DEM-WP(C) ENERG10C--ctn Mid-C_042010 2010GRC" xfId="13017"/>
    <cellStyle name="_Tenaska Comparison_4 31 Regulatory Assets and Liabilities  7 06- Exhibit D_NIM Summary_DEM-WP(C) ENERG10C--ctn Mid-C_042010 2010GRC 2" xfId="41703"/>
    <cellStyle name="_Tenaska Comparison_4 31 Regulatory Assets and Liabilities  7 06- Exhibit D_NIM+O&amp;M" xfId="13018"/>
    <cellStyle name="_Tenaska Comparison_4 31 Regulatory Assets and Liabilities  7 06- Exhibit D_NIM+O&amp;M 2" xfId="27945"/>
    <cellStyle name="_Tenaska Comparison_4 31 Regulatory Assets and Liabilities  7 06- Exhibit D_NIM+O&amp;M 2 2" xfId="27946"/>
    <cellStyle name="_Tenaska Comparison_4 31 Regulatory Assets and Liabilities  7 06- Exhibit D_NIM+O&amp;M 2 2 2" xfId="27947"/>
    <cellStyle name="_Tenaska Comparison_4 31 Regulatory Assets and Liabilities  7 06- Exhibit D_NIM+O&amp;M 3" xfId="27948"/>
    <cellStyle name="_Tenaska Comparison_4 31 Regulatory Assets and Liabilities  7 06- Exhibit D_NIM+O&amp;M 3 2" xfId="27949"/>
    <cellStyle name="_Tenaska Comparison_4 31 Regulatory Assets and Liabilities  7 06- Exhibit D_NIM+O&amp;M 3 2 2" xfId="27950"/>
    <cellStyle name="_Tenaska Comparison_4 31 Regulatory Assets and Liabilities  7 06- Exhibit D_NIM+O&amp;M 3 3" xfId="27951"/>
    <cellStyle name="_Tenaska Comparison_4 31 Regulatory Assets and Liabilities  7 06- Exhibit D_NIM+O&amp;M 4" xfId="27952"/>
    <cellStyle name="_Tenaska Comparison_4 31 Regulatory Assets and Liabilities  7 06- Exhibit D_NIM+O&amp;M 4 2" xfId="27953"/>
    <cellStyle name="_Tenaska Comparison_4 31 Regulatory Assets and Liabilities  7 06- Exhibit D_NIM+O&amp;M 5" xfId="27954"/>
    <cellStyle name="_Tenaska Comparison_4 31 Regulatory Assets and Liabilities  7 06- Exhibit D_NIM+O&amp;M 5 2" xfId="27955"/>
    <cellStyle name="_Tenaska Comparison_4 31 Regulatory Assets and Liabilities  7 06- Exhibit D_NIM+O&amp;M Monthly" xfId="13019"/>
    <cellStyle name="_Tenaska Comparison_4 31 Regulatory Assets and Liabilities  7 06- Exhibit D_NIM+O&amp;M Monthly 2" xfId="27956"/>
    <cellStyle name="_Tenaska Comparison_4 31 Regulatory Assets and Liabilities  7 06- Exhibit D_NIM+O&amp;M Monthly 2 2" xfId="27957"/>
    <cellStyle name="_Tenaska Comparison_4 31 Regulatory Assets and Liabilities  7 06- Exhibit D_NIM+O&amp;M Monthly 2 2 2" xfId="27958"/>
    <cellStyle name="_Tenaska Comparison_4 31 Regulatory Assets and Liabilities  7 06- Exhibit D_NIM+O&amp;M Monthly 3" xfId="27959"/>
    <cellStyle name="_Tenaska Comparison_4 31 Regulatory Assets and Liabilities  7 06- Exhibit D_NIM+O&amp;M Monthly 3 2" xfId="27960"/>
    <cellStyle name="_Tenaska Comparison_4 31 Regulatory Assets and Liabilities  7 06- Exhibit D_NIM+O&amp;M Monthly 3 2 2" xfId="27961"/>
    <cellStyle name="_Tenaska Comparison_4 31 Regulatory Assets and Liabilities  7 06- Exhibit D_NIM+O&amp;M Monthly 3 3" xfId="27962"/>
    <cellStyle name="_Tenaska Comparison_4 31 Regulatory Assets and Liabilities  7 06- Exhibit D_NIM+O&amp;M Monthly 4" xfId="27963"/>
    <cellStyle name="_Tenaska Comparison_4 31 Regulatory Assets and Liabilities  7 06- Exhibit D_NIM+O&amp;M Monthly 4 2" xfId="27964"/>
    <cellStyle name="_Tenaska Comparison_4 31 Regulatory Assets and Liabilities  7 06- Exhibit D_NIM+O&amp;M Monthly 5" xfId="27965"/>
    <cellStyle name="_Tenaska Comparison_4 31 Regulatory Assets and Liabilities  7 06- Exhibit D_NIM+O&amp;M Monthly 5 2" xfId="27966"/>
    <cellStyle name="_Tenaska Comparison_4 31E Reg Asset  Liab and EXH D" xfId="13020"/>
    <cellStyle name="_Tenaska Comparison_4 31E Reg Asset  Liab and EXH D _ Aug 10 Filing (2)" xfId="13021"/>
    <cellStyle name="_Tenaska Comparison_4 31E Reg Asset  Liab and EXH D _ Aug 10 Filing (2) 2" xfId="27967"/>
    <cellStyle name="_Tenaska Comparison_4 31E Reg Asset  Liab and EXH D _ Aug 10 Filing (2) 2 2" xfId="27968"/>
    <cellStyle name="_Tenaska Comparison_4 31E Reg Asset  Liab and EXH D _ Aug 10 Filing (2) 2 2 2" xfId="27969"/>
    <cellStyle name="_Tenaska Comparison_4 31E Reg Asset  Liab and EXH D _ Aug 10 Filing (2) 2 3" xfId="27970"/>
    <cellStyle name="_Tenaska Comparison_4 31E Reg Asset  Liab and EXH D _ Aug 10 Filing (2) 3" xfId="27971"/>
    <cellStyle name="_Tenaska Comparison_4 31E Reg Asset  Liab and EXH D _ Aug 10 Filing (2) 3 2" xfId="27972"/>
    <cellStyle name="_Tenaska Comparison_4 31E Reg Asset  Liab and EXH D _ Aug 10 Filing (2) 3 2 2" xfId="27973"/>
    <cellStyle name="_Tenaska Comparison_4 31E Reg Asset  Liab and EXH D _ Aug 10 Filing (2) 3 3" xfId="27974"/>
    <cellStyle name="_Tenaska Comparison_4 31E Reg Asset  Liab and EXH D _ Aug 10 Filing (2) 4" xfId="27975"/>
    <cellStyle name="_Tenaska Comparison_4 31E Reg Asset  Liab and EXH D _ Aug 10 Filing (2) 4 2" xfId="27976"/>
    <cellStyle name="_Tenaska Comparison_4 31E Reg Asset  Liab and EXH D _ Aug 10 Filing (2) 5" xfId="27977"/>
    <cellStyle name="_Tenaska Comparison_4 31E Reg Asset  Liab and EXH D _ Aug 10 Filing (2) 5 2" xfId="27978"/>
    <cellStyle name="_Tenaska Comparison_4 31E Reg Asset  Liab and EXH D 10" xfId="27979"/>
    <cellStyle name="_Tenaska Comparison_4 31E Reg Asset  Liab and EXH D 10 2" xfId="27980"/>
    <cellStyle name="_Tenaska Comparison_4 31E Reg Asset  Liab and EXH D 10 2 2" xfId="27981"/>
    <cellStyle name="_Tenaska Comparison_4 31E Reg Asset  Liab and EXH D 10 3" xfId="27982"/>
    <cellStyle name="_Tenaska Comparison_4 31E Reg Asset  Liab and EXH D 11" xfId="27983"/>
    <cellStyle name="_Tenaska Comparison_4 31E Reg Asset  Liab and EXH D 11 2" xfId="27984"/>
    <cellStyle name="_Tenaska Comparison_4 31E Reg Asset  Liab and EXH D 11 2 2" xfId="27985"/>
    <cellStyle name="_Tenaska Comparison_4 31E Reg Asset  Liab and EXH D 11 3" xfId="27986"/>
    <cellStyle name="_Tenaska Comparison_4 31E Reg Asset  Liab and EXH D 12" xfId="27987"/>
    <cellStyle name="_Tenaska Comparison_4 31E Reg Asset  Liab and EXH D 12 2" xfId="27988"/>
    <cellStyle name="_Tenaska Comparison_4 31E Reg Asset  Liab and EXH D 12 2 2" xfId="27989"/>
    <cellStyle name="_Tenaska Comparison_4 31E Reg Asset  Liab and EXH D 12 3" xfId="27990"/>
    <cellStyle name="_Tenaska Comparison_4 31E Reg Asset  Liab and EXH D 13" xfId="27991"/>
    <cellStyle name="_Tenaska Comparison_4 31E Reg Asset  Liab and EXH D 13 2" xfId="27992"/>
    <cellStyle name="_Tenaska Comparison_4 31E Reg Asset  Liab and EXH D 13 2 2" xfId="27993"/>
    <cellStyle name="_Tenaska Comparison_4 31E Reg Asset  Liab and EXH D 13 3" xfId="27994"/>
    <cellStyle name="_Tenaska Comparison_4 31E Reg Asset  Liab and EXH D 14" xfId="27995"/>
    <cellStyle name="_Tenaska Comparison_4 31E Reg Asset  Liab and EXH D 14 2" xfId="27996"/>
    <cellStyle name="_Tenaska Comparison_4 31E Reg Asset  Liab and EXH D 14 2 2" xfId="27997"/>
    <cellStyle name="_Tenaska Comparison_4 31E Reg Asset  Liab and EXH D 14 3" xfId="27998"/>
    <cellStyle name="_Tenaska Comparison_4 31E Reg Asset  Liab and EXH D 15" xfId="27999"/>
    <cellStyle name="_Tenaska Comparison_4 31E Reg Asset  Liab and EXH D 15 2" xfId="28000"/>
    <cellStyle name="_Tenaska Comparison_4 31E Reg Asset  Liab and EXH D 15 2 2" xfId="28001"/>
    <cellStyle name="_Tenaska Comparison_4 31E Reg Asset  Liab and EXH D 15 3" xfId="28002"/>
    <cellStyle name="_Tenaska Comparison_4 31E Reg Asset  Liab and EXH D 16" xfId="28003"/>
    <cellStyle name="_Tenaska Comparison_4 31E Reg Asset  Liab and EXH D 16 2" xfId="28004"/>
    <cellStyle name="_Tenaska Comparison_4 31E Reg Asset  Liab and EXH D 16 2 2" xfId="28005"/>
    <cellStyle name="_Tenaska Comparison_4 31E Reg Asset  Liab and EXH D 16 3" xfId="28006"/>
    <cellStyle name="_Tenaska Comparison_4 31E Reg Asset  Liab and EXH D 17" xfId="28007"/>
    <cellStyle name="_Tenaska Comparison_4 31E Reg Asset  Liab and EXH D 17 2" xfId="28008"/>
    <cellStyle name="_Tenaska Comparison_4 31E Reg Asset  Liab and EXH D 18" xfId="28009"/>
    <cellStyle name="_Tenaska Comparison_4 31E Reg Asset  Liab and EXH D 18 2" xfId="28010"/>
    <cellStyle name="_Tenaska Comparison_4 31E Reg Asset  Liab and EXH D 19" xfId="28011"/>
    <cellStyle name="_Tenaska Comparison_4 31E Reg Asset  Liab and EXH D 19 2" xfId="28012"/>
    <cellStyle name="_Tenaska Comparison_4 31E Reg Asset  Liab and EXH D 2" xfId="28013"/>
    <cellStyle name="_Tenaska Comparison_4 31E Reg Asset  Liab and EXH D 2 2" xfId="28014"/>
    <cellStyle name="_Tenaska Comparison_4 31E Reg Asset  Liab and EXH D 2 2 2" xfId="28015"/>
    <cellStyle name="_Tenaska Comparison_4 31E Reg Asset  Liab and EXH D 2 3" xfId="28016"/>
    <cellStyle name="_Tenaska Comparison_4 31E Reg Asset  Liab and EXH D 20" xfId="28017"/>
    <cellStyle name="_Tenaska Comparison_4 31E Reg Asset  Liab and EXH D 20 2" xfId="28018"/>
    <cellStyle name="_Tenaska Comparison_4 31E Reg Asset  Liab and EXH D 21" xfId="28019"/>
    <cellStyle name="_Tenaska Comparison_4 31E Reg Asset  Liab and EXH D 21 2" xfId="28020"/>
    <cellStyle name="_Tenaska Comparison_4 31E Reg Asset  Liab and EXH D 22" xfId="28021"/>
    <cellStyle name="_Tenaska Comparison_4 31E Reg Asset  Liab and EXH D 22 2" xfId="28022"/>
    <cellStyle name="_Tenaska Comparison_4 31E Reg Asset  Liab and EXH D 23" xfId="28023"/>
    <cellStyle name="_Tenaska Comparison_4 31E Reg Asset  Liab and EXH D 23 2" xfId="28024"/>
    <cellStyle name="_Tenaska Comparison_4 31E Reg Asset  Liab and EXH D 24" xfId="28025"/>
    <cellStyle name="_Tenaska Comparison_4 31E Reg Asset  Liab and EXH D 24 2" xfId="28026"/>
    <cellStyle name="_Tenaska Comparison_4 31E Reg Asset  Liab and EXH D 25" xfId="28027"/>
    <cellStyle name="_Tenaska Comparison_4 31E Reg Asset  Liab and EXH D 25 2" xfId="28028"/>
    <cellStyle name="_Tenaska Comparison_4 31E Reg Asset  Liab and EXH D 26" xfId="28029"/>
    <cellStyle name="_Tenaska Comparison_4 31E Reg Asset  Liab and EXH D 26 2" xfId="28030"/>
    <cellStyle name="_Tenaska Comparison_4 31E Reg Asset  Liab and EXH D 27" xfId="28031"/>
    <cellStyle name="_Tenaska Comparison_4 31E Reg Asset  Liab and EXH D 27 2" xfId="28032"/>
    <cellStyle name="_Tenaska Comparison_4 31E Reg Asset  Liab and EXH D 28" xfId="28033"/>
    <cellStyle name="_Tenaska Comparison_4 31E Reg Asset  Liab and EXH D 28 2" xfId="28034"/>
    <cellStyle name="_Tenaska Comparison_4 31E Reg Asset  Liab and EXH D 29" xfId="28035"/>
    <cellStyle name="_Tenaska Comparison_4 31E Reg Asset  Liab and EXH D 29 2" xfId="28036"/>
    <cellStyle name="_Tenaska Comparison_4 31E Reg Asset  Liab and EXH D 3" xfId="28037"/>
    <cellStyle name="_Tenaska Comparison_4 31E Reg Asset  Liab and EXH D 3 2" xfId="28038"/>
    <cellStyle name="_Tenaska Comparison_4 31E Reg Asset  Liab and EXH D 3 2 2" xfId="28039"/>
    <cellStyle name="_Tenaska Comparison_4 31E Reg Asset  Liab and EXH D 3 3" xfId="28040"/>
    <cellStyle name="_Tenaska Comparison_4 31E Reg Asset  Liab and EXH D 30" xfId="28041"/>
    <cellStyle name="_Tenaska Comparison_4 31E Reg Asset  Liab and EXH D 30 2" xfId="28042"/>
    <cellStyle name="_Tenaska Comparison_4 31E Reg Asset  Liab and EXH D 4" xfId="28043"/>
    <cellStyle name="_Tenaska Comparison_4 31E Reg Asset  Liab and EXH D 4 2" xfId="28044"/>
    <cellStyle name="_Tenaska Comparison_4 31E Reg Asset  Liab and EXH D 4 2 2" xfId="28045"/>
    <cellStyle name="_Tenaska Comparison_4 31E Reg Asset  Liab and EXH D 5" xfId="28046"/>
    <cellStyle name="_Tenaska Comparison_4 31E Reg Asset  Liab and EXH D 5 2" xfId="28047"/>
    <cellStyle name="_Tenaska Comparison_4 31E Reg Asset  Liab and EXH D 5 2 2" xfId="28048"/>
    <cellStyle name="_Tenaska Comparison_4 31E Reg Asset  Liab and EXH D 6" xfId="28049"/>
    <cellStyle name="_Tenaska Comparison_4 31E Reg Asset  Liab and EXH D 6 2" xfId="28050"/>
    <cellStyle name="_Tenaska Comparison_4 31E Reg Asset  Liab and EXH D 6 2 2" xfId="28051"/>
    <cellStyle name="_Tenaska Comparison_4 31E Reg Asset  Liab and EXH D 6 3" xfId="28052"/>
    <cellStyle name="_Tenaska Comparison_4 31E Reg Asset  Liab and EXH D 7" xfId="28053"/>
    <cellStyle name="_Tenaska Comparison_4 31E Reg Asset  Liab and EXH D 7 2" xfId="28054"/>
    <cellStyle name="_Tenaska Comparison_4 31E Reg Asset  Liab and EXH D 7 2 2" xfId="28055"/>
    <cellStyle name="_Tenaska Comparison_4 31E Reg Asset  Liab and EXH D 7 3" xfId="28056"/>
    <cellStyle name="_Tenaska Comparison_4 31E Reg Asset  Liab and EXH D 8" xfId="28057"/>
    <cellStyle name="_Tenaska Comparison_4 31E Reg Asset  Liab and EXH D 8 2" xfId="28058"/>
    <cellStyle name="_Tenaska Comparison_4 31E Reg Asset  Liab and EXH D 8 2 2" xfId="28059"/>
    <cellStyle name="_Tenaska Comparison_4 31E Reg Asset  Liab and EXH D 8 3" xfId="28060"/>
    <cellStyle name="_Tenaska Comparison_4 31E Reg Asset  Liab and EXH D 9" xfId="28061"/>
    <cellStyle name="_Tenaska Comparison_4 31E Reg Asset  Liab and EXH D 9 2" xfId="28062"/>
    <cellStyle name="_Tenaska Comparison_4 31E Reg Asset  Liab and EXH D 9 2 2" xfId="28063"/>
    <cellStyle name="_Tenaska Comparison_4 31E Reg Asset  Liab and EXH D 9 3" xfId="28064"/>
    <cellStyle name="_Tenaska Comparison_4 32 Regulatory Assets and Liabilities  7 06- Exhibit D" xfId="2044"/>
    <cellStyle name="_Tenaska Comparison_4 32 Regulatory Assets and Liabilities  7 06- Exhibit D 2" xfId="2045"/>
    <cellStyle name="_Tenaska Comparison_4 32 Regulatory Assets and Liabilities  7 06- Exhibit D 2 2" xfId="5408"/>
    <cellStyle name="_Tenaska Comparison_4 32 Regulatory Assets and Liabilities  7 06- Exhibit D 2 2 2" xfId="21390"/>
    <cellStyle name="_Tenaska Comparison_4 32 Regulatory Assets and Liabilities  7 06- Exhibit D 2 2 2 2" xfId="28065"/>
    <cellStyle name="_Tenaska Comparison_4 32 Regulatory Assets and Liabilities  7 06- Exhibit D 2 2 3" xfId="28066"/>
    <cellStyle name="_Tenaska Comparison_4 32 Regulatory Assets and Liabilities  7 06- Exhibit D 2 2 4" xfId="8013"/>
    <cellStyle name="_Tenaska Comparison_4 32 Regulatory Assets and Liabilities  7 06- Exhibit D 2 3" xfId="17026"/>
    <cellStyle name="_Tenaska Comparison_4 32 Regulatory Assets and Liabilities  7 06- Exhibit D 2 3 2" xfId="28067"/>
    <cellStyle name="_Tenaska Comparison_4 32 Regulatory Assets and Liabilities  7 06- Exhibit D 2 3 2 2" xfId="28068"/>
    <cellStyle name="_Tenaska Comparison_4 32 Regulatory Assets and Liabilities  7 06- Exhibit D 2 3 3" xfId="28069"/>
    <cellStyle name="_Tenaska Comparison_4 32 Regulatory Assets and Liabilities  7 06- Exhibit D 2 4" xfId="28070"/>
    <cellStyle name="_Tenaska Comparison_4 32 Regulatory Assets and Liabilities  7 06- Exhibit D 2 4 2" xfId="28071"/>
    <cellStyle name="_Tenaska Comparison_4 32 Regulatory Assets and Liabilities  7 06- Exhibit D 2 5" xfId="28072"/>
    <cellStyle name="_Tenaska Comparison_4 32 Regulatory Assets and Liabilities  7 06- Exhibit D 2 5 2" xfId="28073"/>
    <cellStyle name="_Tenaska Comparison_4 32 Regulatory Assets and Liabilities  7 06- Exhibit D 2 6" xfId="8012"/>
    <cellStyle name="_Tenaska Comparison_4 32 Regulatory Assets and Liabilities  7 06- Exhibit D 3" xfId="5407"/>
    <cellStyle name="_Tenaska Comparison_4 32 Regulatory Assets and Liabilities  7 06- Exhibit D 3 2" xfId="21391"/>
    <cellStyle name="_Tenaska Comparison_4 32 Regulatory Assets and Liabilities  7 06- Exhibit D 3 2 2" xfId="28074"/>
    <cellStyle name="_Tenaska Comparison_4 32 Regulatory Assets and Liabilities  7 06- Exhibit D 3 3" xfId="28075"/>
    <cellStyle name="_Tenaska Comparison_4 32 Regulatory Assets and Liabilities  7 06- Exhibit D 3 4" xfId="8014"/>
    <cellStyle name="_Tenaska Comparison_4 32 Regulatory Assets and Liabilities  7 06- Exhibit D 4" xfId="17025"/>
    <cellStyle name="_Tenaska Comparison_4 32 Regulatory Assets and Liabilities  7 06- Exhibit D 4 2" xfId="28076"/>
    <cellStyle name="_Tenaska Comparison_4 32 Regulatory Assets and Liabilities  7 06- Exhibit D 4 2 2" xfId="28077"/>
    <cellStyle name="_Tenaska Comparison_4 32 Regulatory Assets and Liabilities  7 06- Exhibit D 4 3" xfId="28078"/>
    <cellStyle name="_Tenaska Comparison_4 32 Regulatory Assets and Liabilities  7 06- Exhibit D 5" xfId="28079"/>
    <cellStyle name="_Tenaska Comparison_4 32 Regulatory Assets and Liabilities  7 06- Exhibit D 5 2" xfId="28080"/>
    <cellStyle name="_Tenaska Comparison_4 32 Regulatory Assets and Liabilities  7 06- Exhibit D 6" xfId="28081"/>
    <cellStyle name="_Tenaska Comparison_4 32 Regulatory Assets and Liabilities  7 06- Exhibit D 6 2" xfId="28082"/>
    <cellStyle name="_Tenaska Comparison_4 32 Regulatory Assets and Liabilities  7 06- Exhibit D 7" xfId="8011"/>
    <cellStyle name="_Tenaska Comparison_4 32 Regulatory Assets and Liabilities  7 06- Exhibit D_DEM-WP(C) ENERG10C--ctn Mid-C_042010 2010GRC" xfId="13022"/>
    <cellStyle name="_Tenaska Comparison_4 32 Regulatory Assets and Liabilities  7 06- Exhibit D_DEM-WP(C) ENERG10C--ctn Mid-C_042010 2010GRC 2" xfId="41704"/>
    <cellStyle name="_Tenaska Comparison_4 32 Regulatory Assets and Liabilities  7 06- Exhibit D_NIM Summary" xfId="2046"/>
    <cellStyle name="_Tenaska Comparison_4 32 Regulatory Assets and Liabilities  7 06- Exhibit D_NIM Summary 2" xfId="2047"/>
    <cellStyle name="_Tenaska Comparison_4 32 Regulatory Assets and Liabilities  7 06- Exhibit D_NIM Summary 2 2" xfId="5410"/>
    <cellStyle name="_Tenaska Comparison_4 32 Regulatory Assets and Liabilities  7 06- Exhibit D_NIM Summary 2 2 2" xfId="28083"/>
    <cellStyle name="_Tenaska Comparison_4 32 Regulatory Assets and Liabilities  7 06- Exhibit D_NIM Summary 2 2 2 2" xfId="28084"/>
    <cellStyle name="_Tenaska Comparison_4 32 Regulatory Assets and Liabilities  7 06- Exhibit D_NIM Summary 2 3" xfId="28085"/>
    <cellStyle name="_Tenaska Comparison_4 32 Regulatory Assets and Liabilities  7 06- Exhibit D_NIM Summary 2 3 2" xfId="28086"/>
    <cellStyle name="_Tenaska Comparison_4 32 Regulatory Assets and Liabilities  7 06- Exhibit D_NIM Summary 2 4" xfId="28087"/>
    <cellStyle name="_Tenaska Comparison_4 32 Regulatory Assets and Liabilities  7 06- Exhibit D_NIM Summary 2 4 2" xfId="28088"/>
    <cellStyle name="_Tenaska Comparison_4 32 Regulatory Assets and Liabilities  7 06- Exhibit D_NIM Summary 2 5" xfId="8016"/>
    <cellStyle name="_Tenaska Comparison_4 32 Regulatory Assets and Liabilities  7 06- Exhibit D_NIM Summary 3" xfId="5409"/>
    <cellStyle name="_Tenaska Comparison_4 32 Regulatory Assets and Liabilities  7 06- Exhibit D_NIM Summary 3 2" xfId="28089"/>
    <cellStyle name="_Tenaska Comparison_4 32 Regulatory Assets and Liabilities  7 06- Exhibit D_NIM Summary 3 2 2" xfId="28090"/>
    <cellStyle name="_Tenaska Comparison_4 32 Regulatory Assets and Liabilities  7 06- Exhibit D_NIM Summary 3 3" xfId="28091"/>
    <cellStyle name="_Tenaska Comparison_4 32 Regulatory Assets and Liabilities  7 06- Exhibit D_NIM Summary 4" xfId="28092"/>
    <cellStyle name="_Tenaska Comparison_4 32 Regulatory Assets and Liabilities  7 06- Exhibit D_NIM Summary 4 2" xfId="28093"/>
    <cellStyle name="_Tenaska Comparison_4 32 Regulatory Assets and Liabilities  7 06- Exhibit D_NIM Summary 4 2 2" xfId="28094"/>
    <cellStyle name="_Tenaska Comparison_4 32 Regulatory Assets and Liabilities  7 06- Exhibit D_NIM Summary 4 3" xfId="28095"/>
    <cellStyle name="_Tenaska Comparison_4 32 Regulatory Assets and Liabilities  7 06- Exhibit D_NIM Summary 5" xfId="28096"/>
    <cellStyle name="_Tenaska Comparison_4 32 Regulatory Assets and Liabilities  7 06- Exhibit D_NIM Summary 5 2" xfId="28097"/>
    <cellStyle name="_Tenaska Comparison_4 32 Regulatory Assets and Liabilities  7 06- Exhibit D_NIM Summary 6" xfId="28098"/>
    <cellStyle name="_Tenaska Comparison_4 32 Regulatory Assets and Liabilities  7 06- Exhibit D_NIM Summary 6 2" xfId="28099"/>
    <cellStyle name="_Tenaska Comparison_4 32 Regulatory Assets and Liabilities  7 06- Exhibit D_NIM Summary 7" xfId="8015"/>
    <cellStyle name="_Tenaska Comparison_4 32 Regulatory Assets and Liabilities  7 06- Exhibit D_NIM Summary_DEM-WP(C) ENERG10C--ctn Mid-C_042010 2010GRC" xfId="13023"/>
    <cellStyle name="_Tenaska Comparison_4 32 Regulatory Assets and Liabilities  7 06- Exhibit D_NIM Summary_DEM-WP(C) ENERG10C--ctn Mid-C_042010 2010GRC 2" xfId="41705"/>
    <cellStyle name="_Tenaska Comparison_4 32 Regulatory Assets and Liabilities  7 06- Exhibit D_NIM+O&amp;M" xfId="13024"/>
    <cellStyle name="_Tenaska Comparison_4 32 Regulatory Assets and Liabilities  7 06- Exhibit D_NIM+O&amp;M 2" xfId="28100"/>
    <cellStyle name="_Tenaska Comparison_4 32 Regulatory Assets and Liabilities  7 06- Exhibit D_NIM+O&amp;M 2 2" xfId="28101"/>
    <cellStyle name="_Tenaska Comparison_4 32 Regulatory Assets and Liabilities  7 06- Exhibit D_NIM+O&amp;M 2 2 2" xfId="28102"/>
    <cellStyle name="_Tenaska Comparison_4 32 Regulatory Assets and Liabilities  7 06- Exhibit D_NIM+O&amp;M 3" xfId="28103"/>
    <cellStyle name="_Tenaska Comparison_4 32 Regulatory Assets and Liabilities  7 06- Exhibit D_NIM+O&amp;M 3 2" xfId="28104"/>
    <cellStyle name="_Tenaska Comparison_4 32 Regulatory Assets and Liabilities  7 06- Exhibit D_NIM+O&amp;M 3 2 2" xfId="28105"/>
    <cellStyle name="_Tenaska Comparison_4 32 Regulatory Assets and Liabilities  7 06- Exhibit D_NIM+O&amp;M 3 3" xfId="28106"/>
    <cellStyle name="_Tenaska Comparison_4 32 Regulatory Assets and Liabilities  7 06- Exhibit D_NIM+O&amp;M 4" xfId="28107"/>
    <cellStyle name="_Tenaska Comparison_4 32 Regulatory Assets and Liabilities  7 06- Exhibit D_NIM+O&amp;M 4 2" xfId="28108"/>
    <cellStyle name="_Tenaska Comparison_4 32 Regulatory Assets and Liabilities  7 06- Exhibit D_NIM+O&amp;M 5" xfId="28109"/>
    <cellStyle name="_Tenaska Comparison_4 32 Regulatory Assets and Liabilities  7 06- Exhibit D_NIM+O&amp;M 5 2" xfId="28110"/>
    <cellStyle name="_Tenaska Comparison_4 32 Regulatory Assets and Liabilities  7 06- Exhibit D_NIM+O&amp;M Monthly" xfId="13025"/>
    <cellStyle name="_Tenaska Comparison_4 32 Regulatory Assets and Liabilities  7 06- Exhibit D_NIM+O&amp;M Monthly 2" xfId="28111"/>
    <cellStyle name="_Tenaska Comparison_4 32 Regulatory Assets and Liabilities  7 06- Exhibit D_NIM+O&amp;M Monthly 2 2" xfId="28112"/>
    <cellStyle name="_Tenaska Comparison_4 32 Regulatory Assets and Liabilities  7 06- Exhibit D_NIM+O&amp;M Monthly 2 2 2" xfId="28113"/>
    <cellStyle name="_Tenaska Comparison_4 32 Regulatory Assets and Liabilities  7 06- Exhibit D_NIM+O&amp;M Monthly 3" xfId="28114"/>
    <cellStyle name="_Tenaska Comparison_4 32 Regulatory Assets and Liabilities  7 06- Exhibit D_NIM+O&amp;M Monthly 3 2" xfId="28115"/>
    <cellStyle name="_Tenaska Comparison_4 32 Regulatory Assets and Liabilities  7 06- Exhibit D_NIM+O&amp;M Monthly 3 2 2" xfId="28116"/>
    <cellStyle name="_Tenaska Comparison_4 32 Regulatory Assets and Liabilities  7 06- Exhibit D_NIM+O&amp;M Monthly 3 3" xfId="28117"/>
    <cellStyle name="_Tenaska Comparison_4 32 Regulatory Assets and Liabilities  7 06- Exhibit D_NIM+O&amp;M Monthly 4" xfId="28118"/>
    <cellStyle name="_Tenaska Comparison_4 32 Regulatory Assets and Liabilities  7 06- Exhibit D_NIM+O&amp;M Monthly 4 2" xfId="28119"/>
    <cellStyle name="_Tenaska Comparison_4 32 Regulatory Assets and Liabilities  7 06- Exhibit D_NIM+O&amp;M Monthly 5" xfId="28120"/>
    <cellStyle name="_Tenaska Comparison_4 32 Regulatory Assets and Liabilities  7 06- Exhibit D_NIM+O&amp;M Monthly 5 2" xfId="28121"/>
    <cellStyle name="_Tenaska Comparison_AURORA Total New" xfId="2048"/>
    <cellStyle name="_Tenaska Comparison_AURORA Total New 2" xfId="2049"/>
    <cellStyle name="_Tenaska Comparison_AURORA Total New 2 2" xfId="5412"/>
    <cellStyle name="_Tenaska Comparison_AURORA Total New 2 2 2" xfId="28122"/>
    <cellStyle name="_Tenaska Comparison_AURORA Total New 2 2 2 2" xfId="28123"/>
    <cellStyle name="_Tenaska Comparison_AURORA Total New 2 3" xfId="28124"/>
    <cellStyle name="_Tenaska Comparison_AURORA Total New 2 3 2" xfId="28125"/>
    <cellStyle name="_Tenaska Comparison_AURORA Total New 2 4" xfId="28126"/>
    <cellStyle name="_Tenaska Comparison_AURORA Total New 2 4 2" xfId="28127"/>
    <cellStyle name="_Tenaska Comparison_AURORA Total New 2 5" xfId="8018"/>
    <cellStyle name="_Tenaska Comparison_AURORA Total New 3" xfId="5411"/>
    <cellStyle name="_Tenaska Comparison_AURORA Total New 3 2" xfId="28128"/>
    <cellStyle name="_Tenaska Comparison_AURORA Total New 3 2 2" xfId="28129"/>
    <cellStyle name="_Tenaska Comparison_AURORA Total New 4" xfId="28130"/>
    <cellStyle name="_Tenaska Comparison_AURORA Total New 4 2" xfId="28131"/>
    <cellStyle name="_Tenaska Comparison_AURORA Total New 5" xfId="28132"/>
    <cellStyle name="_Tenaska Comparison_AURORA Total New 5 2" xfId="28133"/>
    <cellStyle name="_Tenaska Comparison_AURORA Total New 6" xfId="8017"/>
    <cellStyle name="_Tenaska Comparison_Book2" xfId="2050"/>
    <cellStyle name="_Tenaska Comparison_Book2 2" xfId="2051"/>
    <cellStyle name="_Tenaska Comparison_Book2 2 2" xfId="5414"/>
    <cellStyle name="_Tenaska Comparison_Book2 2 2 2" xfId="21392"/>
    <cellStyle name="_Tenaska Comparison_Book2 2 2 2 2" xfId="28134"/>
    <cellStyle name="_Tenaska Comparison_Book2 2 2 3" xfId="8021"/>
    <cellStyle name="_Tenaska Comparison_Book2 2 3" xfId="17028"/>
    <cellStyle name="_Tenaska Comparison_Book2 2 3 2" xfId="28135"/>
    <cellStyle name="_Tenaska Comparison_Book2 2 4" xfId="28136"/>
    <cellStyle name="_Tenaska Comparison_Book2 2 4 2" xfId="28137"/>
    <cellStyle name="_Tenaska Comparison_Book2 2 5" xfId="8020"/>
    <cellStyle name="_Tenaska Comparison_Book2 3" xfId="5413"/>
    <cellStyle name="_Tenaska Comparison_Book2 3 2" xfId="21393"/>
    <cellStyle name="_Tenaska Comparison_Book2 3 2 2" xfId="28138"/>
    <cellStyle name="_Tenaska Comparison_Book2 3 3" xfId="28139"/>
    <cellStyle name="_Tenaska Comparison_Book2 3 4" xfId="8022"/>
    <cellStyle name="_Tenaska Comparison_Book2 4" xfId="17027"/>
    <cellStyle name="_Tenaska Comparison_Book2 4 2" xfId="28140"/>
    <cellStyle name="_Tenaska Comparison_Book2 4 2 2" xfId="28141"/>
    <cellStyle name="_Tenaska Comparison_Book2 4 3" xfId="28142"/>
    <cellStyle name="_Tenaska Comparison_Book2 5" xfId="28143"/>
    <cellStyle name="_Tenaska Comparison_Book2 5 2" xfId="28144"/>
    <cellStyle name="_Tenaska Comparison_Book2 6" xfId="28145"/>
    <cellStyle name="_Tenaska Comparison_Book2 6 2" xfId="28146"/>
    <cellStyle name="_Tenaska Comparison_Book2 7" xfId="8019"/>
    <cellStyle name="_Tenaska Comparison_Book2_Adj Bench DR 3 for Initial Briefs (Electric)" xfId="2052"/>
    <cellStyle name="_Tenaska Comparison_Book2_Adj Bench DR 3 for Initial Briefs (Electric) 2" xfId="2053"/>
    <cellStyle name="_Tenaska Comparison_Book2_Adj Bench DR 3 for Initial Briefs (Electric) 2 2" xfId="5416"/>
    <cellStyle name="_Tenaska Comparison_Book2_Adj Bench DR 3 for Initial Briefs (Electric) 2 2 2" xfId="21394"/>
    <cellStyle name="_Tenaska Comparison_Book2_Adj Bench DR 3 for Initial Briefs (Electric) 2 2 2 2" xfId="28147"/>
    <cellStyle name="_Tenaska Comparison_Book2_Adj Bench DR 3 for Initial Briefs (Electric) 2 2 3" xfId="8025"/>
    <cellStyle name="_Tenaska Comparison_Book2_Adj Bench DR 3 for Initial Briefs (Electric) 2 3" xfId="17030"/>
    <cellStyle name="_Tenaska Comparison_Book2_Adj Bench DR 3 for Initial Briefs (Electric) 2 3 2" xfId="28148"/>
    <cellStyle name="_Tenaska Comparison_Book2_Adj Bench DR 3 for Initial Briefs (Electric) 2 4" xfId="28149"/>
    <cellStyle name="_Tenaska Comparison_Book2_Adj Bench DR 3 for Initial Briefs (Electric) 2 4 2" xfId="28150"/>
    <cellStyle name="_Tenaska Comparison_Book2_Adj Bench DR 3 for Initial Briefs (Electric) 2 5" xfId="8024"/>
    <cellStyle name="_Tenaska Comparison_Book2_Adj Bench DR 3 for Initial Briefs (Electric) 3" xfId="5415"/>
    <cellStyle name="_Tenaska Comparison_Book2_Adj Bench DR 3 for Initial Briefs (Electric) 3 2" xfId="21395"/>
    <cellStyle name="_Tenaska Comparison_Book2_Adj Bench DR 3 for Initial Briefs (Electric) 3 2 2" xfId="28151"/>
    <cellStyle name="_Tenaska Comparison_Book2_Adj Bench DR 3 for Initial Briefs (Electric) 3 3" xfId="28152"/>
    <cellStyle name="_Tenaska Comparison_Book2_Adj Bench DR 3 for Initial Briefs (Electric) 3 4" xfId="8026"/>
    <cellStyle name="_Tenaska Comparison_Book2_Adj Bench DR 3 for Initial Briefs (Electric) 4" xfId="17029"/>
    <cellStyle name="_Tenaska Comparison_Book2_Adj Bench DR 3 for Initial Briefs (Electric) 4 2" xfId="28153"/>
    <cellStyle name="_Tenaska Comparison_Book2_Adj Bench DR 3 for Initial Briefs (Electric) 4 2 2" xfId="28154"/>
    <cellStyle name="_Tenaska Comparison_Book2_Adj Bench DR 3 for Initial Briefs (Electric) 4 3" xfId="28155"/>
    <cellStyle name="_Tenaska Comparison_Book2_Adj Bench DR 3 for Initial Briefs (Electric) 5" xfId="28156"/>
    <cellStyle name="_Tenaska Comparison_Book2_Adj Bench DR 3 for Initial Briefs (Electric) 5 2" xfId="28157"/>
    <cellStyle name="_Tenaska Comparison_Book2_Adj Bench DR 3 for Initial Briefs (Electric) 6" xfId="28158"/>
    <cellStyle name="_Tenaska Comparison_Book2_Adj Bench DR 3 for Initial Briefs (Electric) 6 2" xfId="28159"/>
    <cellStyle name="_Tenaska Comparison_Book2_Adj Bench DR 3 for Initial Briefs (Electric) 7" xfId="8023"/>
    <cellStyle name="_Tenaska Comparison_Book2_Adj Bench DR 3 for Initial Briefs (Electric)_DEM-WP(C) ENERG10C--ctn Mid-C_042010 2010GRC" xfId="13026"/>
    <cellStyle name="_Tenaska Comparison_Book2_Adj Bench DR 3 for Initial Briefs (Electric)_DEM-WP(C) ENERG10C--ctn Mid-C_042010 2010GRC 2" xfId="41706"/>
    <cellStyle name="_Tenaska Comparison_Book2_DEM-WP(C) ENERG10C--ctn Mid-C_042010 2010GRC" xfId="13027"/>
    <cellStyle name="_Tenaska Comparison_Book2_DEM-WP(C) ENERG10C--ctn Mid-C_042010 2010GRC 2" xfId="41707"/>
    <cellStyle name="_Tenaska Comparison_Book2_Electric Rev Req Model (2009 GRC) Rebuttal" xfId="2054"/>
    <cellStyle name="_Tenaska Comparison_Book2_Electric Rev Req Model (2009 GRC) Rebuttal 2" xfId="5417"/>
    <cellStyle name="_Tenaska Comparison_Book2_Electric Rev Req Model (2009 GRC) Rebuttal 2 2" xfId="8029"/>
    <cellStyle name="_Tenaska Comparison_Book2_Electric Rev Req Model (2009 GRC) Rebuttal 2 2 2" xfId="21396"/>
    <cellStyle name="_Tenaska Comparison_Book2_Electric Rev Req Model (2009 GRC) Rebuttal 2 3" xfId="18662"/>
    <cellStyle name="_Tenaska Comparison_Book2_Electric Rev Req Model (2009 GRC) Rebuttal 2 4" xfId="8028"/>
    <cellStyle name="_Tenaska Comparison_Book2_Electric Rev Req Model (2009 GRC) Rebuttal 3" xfId="8030"/>
    <cellStyle name="_Tenaska Comparison_Book2_Electric Rev Req Model (2009 GRC) Rebuttal 3 2" xfId="21397"/>
    <cellStyle name="_Tenaska Comparison_Book2_Electric Rev Req Model (2009 GRC) Rebuttal 4" xfId="17031"/>
    <cellStyle name="_Tenaska Comparison_Book2_Electric Rev Req Model (2009 GRC) Rebuttal 5" xfId="8027"/>
    <cellStyle name="_Tenaska Comparison_Book2_Electric Rev Req Model (2009 GRC) Rebuttal REmoval of New  WH Solar AdjustMI" xfId="2055"/>
    <cellStyle name="_Tenaska Comparison_Book2_Electric Rev Req Model (2009 GRC) Rebuttal REmoval of New  WH Solar AdjustMI 2" xfId="2056"/>
    <cellStyle name="_Tenaska Comparison_Book2_Electric Rev Req Model (2009 GRC) Rebuttal REmoval of New  WH Solar AdjustMI 2 2" xfId="5419"/>
    <cellStyle name="_Tenaska Comparison_Book2_Electric Rev Req Model (2009 GRC) Rebuttal REmoval of New  WH Solar AdjustMI 2 2 2" xfId="21398"/>
    <cellStyle name="_Tenaska Comparison_Book2_Electric Rev Req Model (2009 GRC) Rebuttal REmoval of New  WH Solar AdjustMI 2 2 2 2" xfId="28160"/>
    <cellStyle name="_Tenaska Comparison_Book2_Electric Rev Req Model (2009 GRC) Rebuttal REmoval of New  WH Solar AdjustMI 2 2 3" xfId="8033"/>
    <cellStyle name="_Tenaska Comparison_Book2_Electric Rev Req Model (2009 GRC) Rebuttal REmoval of New  WH Solar AdjustMI 2 3" xfId="17033"/>
    <cellStyle name="_Tenaska Comparison_Book2_Electric Rev Req Model (2009 GRC) Rebuttal REmoval of New  WH Solar AdjustMI 2 3 2" xfId="28161"/>
    <cellStyle name="_Tenaska Comparison_Book2_Electric Rev Req Model (2009 GRC) Rebuttal REmoval of New  WH Solar AdjustMI 2 4" xfId="28162"/>
    <cellStyle name="_Tenaska Comparison_Book2_Electric Rev Req Model (2009 GRC) Rebuttal REmoval of New  WH Solar AdjustMI 2 4 2" xfId="28163"/>
    <cellStyle name="_Tenaska Comparison_Book2_Electric Rev Req Model (2009 GRC) Rebuttal REmoval of New  WH Solar AdjustMI 2 5" xfId="8032"/>
    <cellStyle name="_Tenaska Comparison_Book2_Electric Rev Req Model (2009 GRC) Rebuttal REmoval of New  WH Solar AdjustMI 3" xfId="5418"/>
    <cellStyle name="_Tenaska Comparison_Book2_Electric Rev Req Model (2009 GRC) Rebuttal REmoval of New  WH Solar AdjustMI 3 2" xfId="21399"/>
    <cellStyle name="_Tenaska Comparison_Book2_Electric Rev Req Model (2009 GRC) Rebuttal REmoval of New  WH Solar AdjustMI 3 2 2" xfId="28164"/>
    <cellStyle name="_Tenaska Comparison_Book2_Electric Rev Req Model (2009 GRC) Rebuttal REmoval of New  WH Solar AdjustMI 3 3" xfId="28165"/>
    <cellStyle name="_Tenaska Comparison_Book2_Electric Rev Req Model (2009 GRC) Rebuttal REmoval of New  WH Solar AdjustMI 3 4" xfId="8034"/>
    <cellStyle name="_Tenaska Comparison_Book2_Electric Rev Req Model (2009 GRC) Rebuttal REmoval of New  WH Solar AdjustMI 4" xfId="17032"/>
    <cellStyle name="_Tenaska Comparison_Book2_Electric Rev Req Model (2009 GRC) Rebuttal REmoval of New  WH Solar AdjustMI 4 2" xfId="28166"/>
    <cellStyle name="_Tenaska Comparison_Book2_Electric Rev Req Model (2009 GRC) Rebuttal REmoval of New  WH Solar AdjustMI 4 2 2" xfId="28167"/>
    <cellStyle name="_Tenaska Comparison_Book2_Electric Rev Req Model (2009 GRC) Rebuttal REmoval of New  WH Solar AdjustMI 4 3" xfId="28168"/>
    <cellStyle name="_Tenaska Comparison_Book2_Electric Rev Req Model (2009 GRC) Rebuttal REmoval of New  WH Solar AdjustMI 5" xfId="28169"/>
    <cellStyle name="_Tenaska Comparison_Book2_Electric Rev Req Model (2009 GRC) Rebuttal REmoval of New  WH Solar AdjustMI 5 2" xfId="28170"/>
    <cellStyle name="_Tenaska Comparison_Book2_Electric Rev Req Model (2009 GRC) Rebuttal REmoval of New  WH Solar AdjustMI 6" xfId="28171"/>
    <cellStyle name="_Tenaska Comparison_Book2_Electric Rev Req Model (2009 GRC) Rebuttal REmoval of New  WH Solar AdjustMI 6 2" xfId="28172"/>
    <cellStyle name="_Tenaska Comparison_Book2_Electric Rev Req Model (2009 GRC) Rebuttal REmoval of New  WH Solar AdjustMI 7" xfId="8031"/>
    <cellStyle name="_Tenaska Comparison_Book2_Electric Rev Req Model (2009 GRC) Rebuttal REmoval of New  WH Solar AdjustMI_DEM-WP(C) ENERG10C--ctn Mid-C_042010 2010GRC" xfId="13028"/>
    <cellStyle name="_Tenaska Comparison_Book2_Electric Rev Req Model (2009 GRC) Rebuttal REmoval of New  WH Solar AdjustMI_DEM-WP(C) ENERG10C--ctn Mid-C_042010 2010GRC 2" xfId="41708"/>
    <cellStyle name="_Tenaska Comparison_Book2_Electric Rev Req Model (2009 GRC) Revised 01-18-2010" xfId="2057"/>
    <cellStyle name="_Tenaska Comparison_Book2_Electric Rev Req Model (2009 GRC) Revised 01-18-2010 2" xfId="2058"/>
    <cellStyle name="_Tenaska Comparison_Book2_Electric Rev Req Model (2009 GRC) Revised 01-18-2010 2 2" xfId="5421"/>
    <cellStyle name="_Tenaska Comparison_Book2_Electric Rev Req Model (2009 GRC) Revised 01-18-2010 2 2 2" xfId="21400"/>
    <cellStyle name="_Tenaska Comparison_Book2_Electric Rev Req Model (2009 GRC) Revised 01-18-2010 2 2 2 2" xfId="28173"/>
    <cellStyle name="_Tenaska Comparison_Book2_Electric Rev Req Model (2009 GRC) Revised 01-18-2010 2 2 3" xfId="8037"/>
    <cellStyle name="_Tenaska Comparison_Book2_Electric Rev Req Model (2009 GRC) Revised 01-18-2010 2 3" xfId="17035"/>
    <cellStyle name="_Tenaska Comparison_Book2_Electric Rev Req Model (2009 GRC) Revised 01-18-2010 2 3 2" xfId="28174"/>
    <cellStyle name="_Tenaska Comparison_Book2_Electric Rev Req Model (2009 GRC) Revised 01-18-2010 2 4" xfId="28175"/>
    <cellStyle name="_Tenaska Comparison_Book2_Electric Rev Req Model (2009 GRC) Revised 01-18-2010 2 4 2" xfId="28176"/>
    <cellStyle name="_Tenaska Comparison_Book2_Electric Rev Req Model (2009 GRC) Revised 01-18-2010 2 5" xfId="8036"/>
    <cellStyle name="_Tenaska Comparison_Book2_Electric Rev Req Model (2009 GRC) Revised 01-18-2010 3" xfId="5420"/>
    <cellStyle name="_Tenaska Comparison_Book2_Electric Rev Req Model (2009 GRC) Revised 01-18-2010 3 2" xfId="21401"/>
    <cellStyle name="_Tenaska Comparison_Book2_Electric Rev Req Model (2009 GRC) Revised 01-18-2010 3 2 2" xfId="28177"/>
    <cellStyle name="_Tenaska Comparison_Book2_Electric Rev Req Model (2009 GRC) Revised 01-18-2010 3 3" xfId="28178"/>
    <cellStyle name="_Tenaska Comparison_Book2_Electric Rev Req Model (2009 GRC) Revised 01-18-2010 3 4" xfId="8038"/>
    <cellStyle name="_Tenaska Comparison_Book2_Electric Rev Req Model (2009 GRC) Revised 01-18-2010 4" xfId="17034"/>
    <cellStyle name="_Tenaska Comparison_Book2_Electric Rev Req Model (2009 GRC) Revised 01-18-2010 4 2" xfId="28179"/>
    <cellStyle name="_Tenaska Comparison_Book2_Electric Rev Req Model (2009 GRC) Revised 01-18-2010 4 2 2" xfId="28180"/>
    <cellStyle name="_Tenaska Comparison_Book2_Electric Rev Req Model (2009 GRC) Revised 01-18-2010 4 3" xfId="28181"/>
    <cellStyle name="_Tenaska Comparison_Book2_Electric Rev Req Model (2009 GRC) Revised 01-18-2010 5" xfId="28182"/>
    <cellStyle name="_Tenaska Comparison_Book2_Electric Rev Req Model (2009 GRC) Revised 01-18-2010 5 2" xfId="28183"/>
    <cellStyle name="_Tenaska Comparison_Book2_Electric Rev Req Model (2009 GRC) Revised 01-18-2010 6" xfId="28184"/>
    <cellStyle name="_Tenaska Comparison_Book2_Electric Rev Req Model (2009 GRC) Revised 01-18-2010 6 2" xfId="28185"/>
    <cellStyle name="_Tenaska Comparison_Book2_Electric Rev Req Model (2009 GRC) Revised 01-18-2010 7" xfId="8035"/>
    <cellStyle name="_Tenaska Comparison_Book2_Electric Rev Req Model (2009 GRC) Revised 01-18-2010_DEM-WP(C) ENERG10C--ctn Mid-C_042010 2010GRC" xfId="13029"/>
    <cellStyle name="_Tenaska Comparison_Book2_Electric Rev Req Model (2009 GRC) Revised 01-18-2010_DEM-WP(C) ENERG10C--ctn Mid-C_042010 2010GRC 2" xfId="41709"/>
    <cellStyle name="_Tenaska Comparison_Book2_Final Order Electric EXHIBIT A-1" xfId="2059"/>
    <cellStyle name="_Tenaska Comparison_Book2_Final Order Electric EXHIBIT A-1 2" xfId="5422"/>
    <cellStyle name="_Tenaska Comparison_Book2_Final Order Electric EXHIBIT A-1 2 2" xfId="8041"/>
    <cellStyle name="_Tenaska Comparison_Book2_Final Order Electric EXHIBIT A-1 2 2 2" xfId="21402"/>
    <cellStyle name="_Tenaska Comparison_Book2_Final Order Electric EXHIBIT A-1 2 3" xfId="18663"/>
    <cellStyle name="_Tenaska Comparison_Book2_Final Order Electric EXHIBIT A-1 2 4" xfId="8040"/>
    <cellStyle name="_Tenaska Comparison_Book2_Final Order Electric EXHIBIT A-1 3" xfId="8042"/>
    <cellStyle name="_Tenaska Comparison_Book2_Final Order Electric EXHIBIT A-1 3 2" xfId="21403"/>
    <cellStyle name="_Tenaska Comparison_Book2_Final Order Electric EXHIBIT A-1 3 2 2" xfId="28186"/>
    <cellStyle name="_Tenaska Comparison_Book2_Final Order Electric EXHIBIT A-1 3 3" xfId="28187"/>
    <cellStyle name="_Tenaska Comparison_Book2_Final Order Electric EXHIBIT A-1 4" xfId="17036"/>
    <cellStyle name="_Tenaska Comparison_Book2_Final Order Electric EXHIBIT A-1 4 2" xfId="28188"/>
    <cellStyle name="_Tenaska Comparison_Book2_Final Order Electric EXHIBIT A-1 5" xfId="28189"/>
    <cellStyle name="_Tenaska Comparison_Book2_Final Order Electric EXHIBIT A-1 6" xfId="28190"/>
    <cellStyle name="_Tenaska Comparison_Book2_Final Order Electric EXHIBIT A-1 7" xfId="8039"/>
    <cellStyle name="_Tenaska Comparison_Book4" xfId="2060"/>
    <cellStyle name="_Tenaska Comparison_Book4 2" xfId="2061"/>
    <cellStyle name="_Tenaska Comparison_Book4 2 2" xfId="5424"/>
    <cellStyle name="_Tenaska Comparison_Book4 2 2 2" xfId="21404"/>
    <cellStyle name="_Tenaska Comparison_Book4 2 2 2 2" xfId="28191"/>
    <cellStyle name="_Tenaska Comparison_Book4 2 2 3" xfId="8045"/>
    <cellStyle name="_Tenaska Comparison_Book4 2 3" xfId="17038"/>
    <cellStyle name="_Tenaska Comparison_Book4 2 3 2" xfId="28192"/>
    <cellStyle name="_Tenaska Comparison_Book4 2 4" xfId="28193"/>
    <cellStyle name="_Tenaska Comparison_Book4 2 4 2" xfId="28194"/>
    <cellStyle name="_Tenaska Comparison_Book4 2 5" xfId="8044"/>
    <cellStyle name="_Tenaska Comparison_Book4 3" xfId="5423"/>
    <cellStyle name="_Tenaska Comparison_Book4 3 2" xfId="21405"/>
    <cellStyle name="_Tenaska Comparison_Book4 3 2 2" xfId="28195"/>
    <cellStyle name="_Tenaska Comparison_Book4 3 3" xfId="28196"/>
    <cellStyle name="_Tenaska Comparison_Book4 3 4" xfId="8046"/>
    <cellStyle name="_Tenaska Comparison_Book4 4" xfId="17037"/>
    <cellStyle name="_Tenaska Comparison_Book4 4 2" xfId="28197"/>
    <cellStyle name="_Tenaska Comparison_Book4 4 2 2" xfId="28198"/>
    <cellStyle name="_Tenaska Comparison_Book4 4 3" xfId="28199"/>
    <cellStyle name="_Tenaska Comparison_Book4 5" xfId="28200"/>
    <cellStyle name="_Tenaska Comparison_Book4 5 2" xfId="28201"/>
    <cellStyle name="_Tenaska Comparison_Book4 6" xfId="28202"/>
    <cellStyle name="_Tenaska Comparison_Book4 6 2" xfId="28203"/>
    <cellStyle name="_Tenaska Comparison_Book4 7" xfId="8043"/>
    <cellStyle name="_Tenaska Comparison_Book4_DEM-WP(C) ENERG10C--ctn Mid-C_042010 2010GRC" xfId="13030"/>
    <cellStyle name="_Tenaska Comparison_Book4_DEM-WP(C) ENERG10C--ctn Mid-C_042010 2010GRC 2" xfId="41710"/>
    <cellStyle name="_Tenaska Comparison_Book9" xfId="2062"/>
    <cellStyle name="_Tenaska Comparison_Book9 2" xfId="2063"/>
    <cellStyle name="_Tenaska Comparison_Book9 2 2" xfId="5426"/>
    <cellStyle name="_Tenaska Comparison_Book9 2 2 2" xfId="21406"/>
    <cellStyle name="_Tenaska Comparison_Book9 2 2 2 2" xfId="28204"/>
    <cellStyle name="_Tenaska Comparison_Book9 2 2 3" xfId="8049"/>
    <cellStyle name="_Tenaska Comparison_Book9 2 3" xfId="17040"/>
    <cellStyle name="_Tenaska Comparison_Book9 2 3 2" xfId="28205"/>
    <cellStyle name="_Tenaska Comparison_Book9 2 4" xfId="28206"/>
    <cellStyle name="_Tenaska Comparison_Book9 2 4 2" xfId="28207"/>
    <cellStyle name="_Tenaska Comparison_Book9 2 5" xfId="8048"/>
    <cellStyle name="_Tenaska Comparison_Book9 3" xfId="5425"/>
    <cellStyle name="_Tenaska Comparison_Book9 3 2" xfId="21407"/>
    <cellStyle name="_Tenaska Comparison_Book9 3 2 2" xfId="28208"/>
    <cellStyle name="_Tenaska Comparison_Book9 3 3" xfId="28209"/>
    <cellStyle name="_Tenaska Comparison_Book9 3 4" xfId="8050"/>
    <cellStyle name="_Tenaska Comparison_Book9 4" xfId="17039"/>
    <cellStyle name="_Tenaska Comparison_Book9 4 2" xfId="28210"/>
    <cellStyle name="_Tenaska Comparison_Book9 4 2 2" xfId="28211"/>
    <cellStyle name="_Tenaska Comparison_Book9 4 3" xfId="28212"/>
    <cellStyle name="_Tenaska Comparison_Book9 5" xfId="28213"/>
    <cellStyle name="_Tenaska Comparison_Book9 5 2" xfId="28214"/>
    <cellStyle name="_Tenaska Comparison_Book9 6" xfId="28215"/>
    <cellStyle name="_Tenaska Comparison_Book9 6 2" xfId="28216"/>
    <cellStyle name="_Tenaska Comparison_Book9 7" xfId="8047"/>
    <cellStyle name="_Tenaska Comparison_Book9_DEM-WP(C) ENERG10C--ctn Mid-C_042010 2010GRC" xfId="13031"/>
    <cellStyle name="_Tenaska Comparison_Book9_DEM-WP(C) ENERG10C--ctn Mid-C_042010 2010GRC 2" xfId="41711"/>
    <cellStyle name="_Tenaska Comparison_Chelan PUD Power Costs (8-10)" xfId="13032"/>
    <cellStyle name="_Tenaska Comparison_Chelan PUD Power Costs (8-10) 2" xfId="28217"/>
    <cellStyle name="_Tenaska Comparison_DEM-WP(C) Chelan Power Costs" xfId="13033"/>
    <cellStyle name="_Tenaska Comparison_DEM-WP(C) Chelan Power Costs 2" xfId="28218"/>
    <cellStyle name="_Tenaska Comparison_DEM-WP(C) Chelan Power Costs 2 2" xfId="28219"/>
    <cellStyle name="_Tenaska Comparison_DEM-WP(C) Chelan Power Costs 2 2 2" xfId="28220"/>
    <cellStyle name="_Tenaska Comparison_DEM-WP(C) Chelan Power Costs 2 3" xfId="28221"/>
    <cellStyle name="_Tenaska Comparison_DEM-WP(C) Chelan Power Costs 3" xfId="28222"/>
    <cellStyle name="_Tenaska Comparison_DEM-WP(C) Chelan Power Costs 3 2" xfId="28223"/>
    <cellStyle name="_Tenaska Comparison_DEM-WP(C) Chelan Power Costs 3 2 2" xfId="28224"/>
    <cellStyle name="_Tenaska Comparison_DEM-WP(C) Chelan Power Costs 3 3" xfId="28225"/>
    <cellStyle name="_Tenaska Comparison_DEM-WP(C) Chelan Power Costs 4" xfId="28226"/>
    <cellStyle name="_Tenaska Comparison_DEM-WP(C) Chelan Power Costs 4 2" xfId="28227"/>
    <cellStyle name="_Tenaska Comparison_DEM-WP(C) Chelan Power Costs 5" xfId="28228"/>
    <cellStyle name="_Tenaska Comparison_DEM-WP(C) Chelan Power Costs 5 2" xfId="28229"/>
    <cellStyle name="_Tenaska Comparison_DEM-WP(C) ENERG10C--ctn Mid-C_042010 2010GRC" xfId="13034"/>
    <cellStyle name="_Tenaska Comparison_DEM-WP(C) ENERG10C--ctn Mid-C_042010 2010GRC 2" xfId="41712"/>
    <cellStyle name="_Tenaska Comparison_DEM-WP(C) Gas Transport 2010GRC" xfId="13035"/>
    <cellStyle name="_Tenaska Comparison_DEM-WP(C) Gas Transport 2010GRC 2" xfId="28230"/>
    <cellStyle name="_Tenaska Comparison_DEM-WP(C) Gas Transport 2010GRC 2 2" xfId="28231"/>
    <cellStyle name="_Tenaska Comparison_DEM-WP(C) Gas Transport 2010GRC 2 2 2" xfId="28232"/>
    <cellStyle name="_Tenaska Comparison_DEM-WP(C) Gas Transport 2010GRC 2 3" xfId="28233"/>
    <cellStyle name="_Tenaska Comparison_DEM-WP(C) Gas Transport 2010GRC 3" xfId="28234"/>
    <cellStyle name="_Tenaska Comparison_DEM-WP(C) Gas Transport 2010GRC 3 2" xfId="28235"/>
    <cellStyle name="_Tenaska Comparison_DEM-WP(C) Gas Transport 2010GRC 3 2 2" xfId="28236"/>
    <cellStyle name="_Tenaska Comparison_DEM-WP(C) Gas Transport 2010GRC 3 3" xfId="28237"/>
    <cellStyle name="_Tenaska Comparison_DEM-WP(C) Gas Transport 2010GRC 4" xfId="28238"/>
    <cellStyle name="_Tenaska Comparison_DEM-WP(C) Gas Transport 2010GRC 4 2" xfId="28239"/>
    <cellStyle name="_Tenaska Comparison_DEM-WP(C) Gas Transport 2010GRC 5" xfId="28240"/>
    <cellStyle name="_Tenaska Comparison_DEM-WP(C) Gas Transport 2010GRC 5 2" xfId="28241"/>
    <cellStyle name="_Tenaska Comparison_Electric COS Inputs" xfId="8051"/>
    <cellStyle name="_Tenaska Comparison_Electric COS Inputs 2" xfId="8052"/>
    <cellStyle name="_Tenaska Comparison_Electric COS Inputs 2 2" xfId="8053"/>
    <cellStyle name="_Tenaska Comparison_Electric COS Inputs 2 2 2" xfId="8054"/>
    <cellStyle name="_Tenaska Comparison_Electric COS Inputs 2 2 2 2" xfId="21408"/>
    <cellStyle name="_Tenaska Comparison_Electric COS Inputs 2 2 3" xfId="18666"/>
    <cellStyle name="_Tenaska Comparison_Electric COS Inputs 2 3" xfId="8055"/>
    <cellStyle name="_Tenaska Comparison_Electric COS Inputs 2 3 2" xfId="8056"/>
    <cellStyle name="_Tenaska Comparison_Electric COS Inputs 2 3 2 2" xfId="21409"/>
    <cellStyle name="_Tenaska Comparison_Electric COS Inputs 2 3 3" xfId="18667"/>
    <cellStyle name="_Tenaska Comparison_Electric COS Inputs 2 4" xfId="8057"/>
    <cellStyle name="_Tenaska Comparison_Electric COS Inputs 2 4 2" xfId="8058"/>
    <cellStyle name="_Tenaska Comparison_Electric COS Inputs 2 4 2 2" xfId="21410"/>
    <cellStyle name="_Tenaska Comparison_Electric COS Inputs 2 4 3" xfId="18668"/>
    <cellStyle name="_Tenaska Comparison_Electric COS Inputs 2 5" xfId="18665"/>
    <cellStyle name="_Tenaska Comparison_Electric COS Inputs 3" xfId="8059"/>
    <cellStyle name="_Tenaska Comparison_Electric COS Inputs 3 2" xfId="8060"/>
    <cellStyle name="_Tenaska Comparison_Electric COS Inputs 3 2 2" xfId="21411"/>
    <cellStyle name="_Tenaska Comparison_Electric COS Inputs 3 3" xfId="18669"/>
    <cellStyle name="_Tenaska Comparison_Electric COS Inputs 4" xfId="8061"/>
    <cellStyle name="_Tenaska Comparison_Electric COS Inputs 4 2" xfId="8062"/>
    <cellStyle name="_Tenaska Comparison_Electric COS Inputs 4 2 2" xfId="21412"/>
    <cellStyle name="_Tenaska Comparison_Electric COS Inputs 4 3" xfId="18670"/>
    <cellStyle name="_Tenaska Comparison_Electric COS Inputs 5" xfId="8063"/>
    <cellStyle name="_Tenaska Comparison_Electric COS Inputs 5 2" xfId="21413"/>
    <cellStyle name="_Tenaska Comparison_Electric COS Inputs 6" xfId="18664"/>
    <cellStyle name="_Tenaska Comparison_Exh A-1 resulting from UE-112050 effective Jan 1 2012" xfId="15230"/>
    <cellStyle name="_Tenaska Comparison_Exh A-1 resulting from UE-112050 effective Jan 1 2012 2" xfId="41713"/>
    <cellStyle name="_Tenaska Comparison_Exhibit A-1 effective 4-1-11 fr S Free 12-11" xfId="15231"/>
    <cellStyle name="_Tenaska Comparison_Exhibit A-1 effective 4-1-11 fr S Free 12-11 2" xfId="41714"/>
    <cellStyle name="_Tenaska Comparison_LSRWEP LGIA like Acctg Petition Aug 2010" xfId="13036"/>
    <cellStyle name="_Tenaska Comparison_LSRWEP LGIA like Acctg Petition Aug 2010 2" xfId="28242"/>
    <cellStyle name="_Tenaska Comparison_LSRWEP LGIA like Acctg Petition Aug 2010 2 2" xfId="28243"/>
    <cellStyle name="_Tenaska Comparison_LSRWEP LGIA like Acctg Petition Aug 2010 2 2 2" xfId="28244"/>
    <cellStyle name="_Tenaska Comparison_LSRWEP LGIA like Acctg Petition Aug 2010 3" xfId="28245"/>
    <cellStyle name="_Tenaska Comparison_LSRWEP LGIA like Acctg Petition Aug 2010 3 2" xfId="28246"/>
    <cellStyle name="_Tenaska Comparison_LSRWEP LGIA like Acctg Petition Aug 2010 3 2 2" xfId="28247"/>
    <cellStyle name="_Tenaska Comparison_LSRWEP LGIA like Acctg Petition Aug 2010 3 3" xfId="28248"/>
    <cellStyle name="_Tenaska Comparison_LSRWEP LGIA like Acctg Petition Aug 2010 4" xfId="28249"/>
    <cellStyle name="_Tenaska Comparison_LSRWEP LGIA like Acctg Petition Aug 2010 4 2" xfId="28250"/>
    <cellStyle name="_Tenaska Comparison_LSRWEP LGIA like Acctg Petition Aug 2010 5" xfId="28251"/>
    <cellStyle name="_Tenaska Comparison_LSRWEP LGIA like Acctg Petition Aug 2010 5 2" xfId="28252"/>
    <cellStyle name="_Tenaska Comparison_Mint Farm Generation BPA" xfId="28253"/>
    <cellStyle name="_Tenaska Comparison_NIM Summary" xfId="2064"/>
    <cellStyle name="_Tenaska Comparison_NIM Summary 09GRC" xfId="2065"/>
    <cellStyle name="_Tenaska Comparison_NIM Summary 09GRC 2" xfId="2066"/>
    <cellStyle name="_Tenaska Comparison_NIM Summary 09GRC 2 2" xfId="5429"/>
    <cellStyle name="_Tenaska Comparison_NIM Summary 09GRC 2 2 2" xfId="28254"/>
    <cellStyle name="_Tenaska Comparison_NIM Summary 09GRC 2 2 2 2" xfId="28255"/>
    <cellStyle name="_Tenaska Comparison_NIM Summary 09GRC 2 3" xfId="28256"/>
    <cellStyle name="_Tenaska Comparison_NIM Summary 09GRC 2 3 2" xfId="28257"/>
    <cellStyle name="_Tenaska Comparison_NIM Summary 09GRC 2 4" xfId="28258"/>
    <cellStyle name="_Tenaska Comparison_NIM Summary 09GRC 2 4 2" xfId="28259"/>
    <cellStyle name="_Tenaska Comparison_NIM Summary 09GRC 2 5" xfId="8066"/>
    <cellStyle name="_Tenaska Comparison_NIM Summary 09GRC 3" xfId="5428"/>
    <cellStyle name="_Tenaska Comparison_NIM Summary 09GRC 3 2" xfId="28260"/>
    <cellStyle name="_Tenaska Comparison_NIM Summary 09GRC 3 2 2" xfId="28261"/>
    <cellStyle name="_Tenaska Comparison_NIM Summary 09GRC 3 3" xfId="28262"/>
    <cellStyle name="_Tenaska Comparison_NIM Summary 09GRC 4" xfId="28263"/>
    <cellStyle name="_Tenaska Comparison_NIM Summary 09GRC 4 2" xfId="28264"/>
    <cellStyle name="_Tenaska Comparison_NIM Summary 09GRC 4 2 2" xfId="28265"/>
    <cellStyle name="_Tenaska Comparison_NIM Summary 09GRC 4 3" xfId="28266"/>
    <cellStyle name="_Tenaska Comparison_NIM Summary 09GRC 5" xfId="28267"/>
    <cellStyle name="_Tenaska Comparison_NIM Summary 09GRC 5 2" xfId="28268"/>
    <cellStyle name="_Tenaska Comparison_NIM Summary 09GRC 6" xfId="28269"/>
    <cellStyle name="_Tenaska Comparison_NIM Summary 09GRC 6 2" xfId="28270"/>
    <cellStyle name="_Tenaska Comparison_NIM Summary 09GRC 7" xfId="8065"/>
    <cellStyle name="_Tenaska Comparison_NIM Summary 09GRC_DEM-WP(C) ENERG10C--ctn Mid-C_042010 2010GRC" xfId="13037"/>
    <cellStyle name="_Tenaska Comparison_NIM Summary 09GRC_DEM-WP(C) ENERG10C--ctn Mid-C_042010 2010GRC 2" xfId="41715"/>
    <cellStyle name="_Tenaska Comparison_NIM Summary 10" xfId="5427"/>
    <cellStyle name="_Tenaska Comparison_NIM Summary 10 2" xfId="28271"/>
    <cellStyle name="_Tenaska Comparison_NIM Summary 10 2 2" xfId="28272"/>
    <cellStyle name="_Tenaska Comparison_NIM Summary 10 3" xfId="28273"/>
    <cellStyle name="_Tenaska Comparison_NIM Summary 10 4" xfId="28274"/>
    <cellStyle name="_Tenaska Comparison_NIM Summary 11" xfId="6252"/>
    <cellStyle name="_Tenaska Comparison_NIM Summary 11 2" xfId="28275"/>
    <cellStyle name="_Tenaska Comparison_NIM Summary 11 2 2" xfId="28276"/>
    <cellStyle name="_Tenaska Comparison_NIM Summary 11 3" xfId="28277"/>
    <cellStyle name="_Tenaska Comparison_NIM Summary 11 4" xfId="28278"/>
    <cellStyle name="_Tenaska Comparison_NIM Summary 12" xfId="6235"/>
    <cellStyle name="_Tenaska Comparison_NIM Summary 12 2" xfId="28279"/>
    <cellStyle name="_Tenaska Comparison_NIM Summary 12 2 2" xfId="28280"/>
    <cellStyle name="_Tenaska Comparison_NIM Summary 12 3" xfId="28281"/>
    <cellStyle name="_Tenaska Comparison_NIM Summary 12 4" xfId="28282"/>
    <cellStyle name="_Tenaska Comparison_NIM Summary 13" xfId="6251"/>
    <cellStyle name="_Tenaska Comparison_NIM Summary 13 2" xfId="28283"/>
    <cellStyle name="_Tenaska Comparison_NIM Summary 13 2 2" xfId="28284"/>
    <cellStyle name="_Tenaska Comparison_NIM Summary 13 3" xfId="28285"/>
    <cellStyle name="_Tenaska Comparison_NIM Summary 13 4" xfId="28286"/>
    <cellStyle name="_Tenaska Comparison_NIM Summary 14" xfId="6324"/>
    <cellStyle name="_Tenaska Comparison_NIM Summary 14 2" xfId="28287"/>
    <cellStyle name="_Tenaska Comparison_NIM Summary 14 2 2" xfId="28288"/>
    <cellStyle name="_Tenaska Comparison_NIM Summary 14 3" xfId="28289"/>
    <cellStyle name="_Tenaska Comparison_NIM Summary 14 4" xfId="28290"/>
    <cellStyle name="_Tenaska Comparison_NIM Summary 15" xfId="15232"/>
    <cellStyle name="_Tenaska Comparison_NIM Summary 15 2" xfId="28291"/>
    <cellStyle name="_Tenaska Comparison_NIM Summary 15 2 2" xfId="28292"/>
    <cellStyle name="_Tenaska Comparison_NIM Summary 15 3" xfId="28293"/>
    <cellStyle name="_Tenaska Comparison_NIM Summary 15 4" xfId="28294"/>
    <cellStyle name="_Tenaska Comparison_NIM Summary 16" xfId="15233"/>
    <cellStyle name="_Tenaska Comparison_NIM Summary 16 2" xfId="28295"/>
    <cellStyle name="_Tenaska Comparison_NIM Summary 16 2 2" xfId="28296"/>
    <cellStyle name="_Tenaska Comparison_NIM Summary 16 3" xfId="28297"/>
    <cellStyle name="_Tenaska Comparison_NIM Summary 16 4" xfId="28298"/>
    <cellStyle name="_Tenaska Comparison_NIM Summary 17" xfId="15234"/>
    <cellStyle name="_Tenaska Comparison_NIM Summary 17 2" xfId="28299"/>
    <cellStyle name="_Tenaska Comparison_NIM Summary 17 2 2" xfId="28300"/>
    <cellStyle name="_Tenaska Comparison_NIM Summary 17 3" xfId="28301"/>
    <cellStyle name="_Tenaska Comparison_NIM Summary 17 4" xfId="28302"/>
    <cellStyle name="_Tenaska Comparison_NIM Summary 18" xfId="15235"/>
    <cellStyle name="_Tenaska Comparison_NIM Summary 18 2" xfId="28303"/>
    <cellStyle name="_Tenaska Comparison_NIM Summary 18 3" xfId="28304"/>
    <cellStyle name="_Tenaska Comparison_NIM Summary 19" xfId="15236"/>
    <cellStyle name="_Tenaska Comparison_NIM Summary 19 2" xfId="28305"/>
    <cellStyle name="_Tenaska Comparison_NIM Summary 19 3" xfId="28306"/>
    <cellStyle name="_Tenaska Comparison_NIM Summary 2" xfId="2067"/>
    <cellStyle name="_Tenaska Comparison_NIM Summary 2 2" xfId="5430"/>
    <cellStyle name="_Tenaska Comparison_NIM Summary 2 2 2" xfId="28307"/>
    <cellStyle name="_Tenaska Comparison_NIM Summary 2 2 2 2" xfId="28308"/>
    <cellStyle name="_Tenaska Comparison_NIM Summary 2 3" xfId="28309"/>
    <cellStyle name="_Tenaska Comparison_NIM Summary 2 3 2" xfId="28310"/>
    <cellStyle name="_Tenaska Comparison_NIM Summary 2 4" xfId="28311"/>
    <cellStyle name="_Tenaska Comparison_NIM Summary 2 4 2" xfId="28312"/>
    <cellStyle name="_Tenaska Comparison_NIM Summary 2 5" xfId="8067"/>
    <cellStyle name="_Tenaska Comparison_NIM Summary 20" xfId="15237"/>
    <cellStyle name="_Tenaska Comparison_NIM Summary 20 2" xfId="28313"/>
    <cellStyle name="_Tenaska Comparison_NIM Summary 20 3" xfId="28314"/>
    <cellStyle name="_Tenaska Comparison_NIM Summary 21" xfId="15238"/>
    <cellStyle name="_Tenaska Comparison_NIM Summary 21 2" xfId="28315"/>
    <cellStyle name="_Tenaska Comparison_NIM Summary 21 3" xfId="28316"/>
    <cellStyle name="_Tenaska Comparison_NIM Summary 22" xfId="15239"/>
    <cellStyle name="_Tenaska Comparison_NIM Summary 22 2" xfId="28317"/>
    <cellStyle name="_Tenaska Comparison_NIM Summary 22 3" xfId="28318"/>
    <cellStyle name="_Tenaska Comparison_NIM Summary 23" xfId="15240"/>
    <cellStyle name="_Tenaska Comparison_NIM Summary 23 2" xfId="28319"/>
    <cellStyle name="_Tenaska Comparison_NIM Summary 23 3" xfId="28320"/>
    <cellStyle name="_Tenaska Comparison_NIM Summary 24" xfId="15241"/>
    <cellStyle name="_Tenaska Comparison_NIM Summary 24 2" xfId="28321"/>
    <cellStyle name="_Tenaska Comparison_NIM Summary 24 3" xfId="28322"/>
    <cellStyle name="_Tenaska Comparison_NIM Summary 25" xfId="15242"/>
    <cellStyle name="_Tenaska Comparison_NIM Summary 25 2" xfId="28323"/>
    <cellStyle name="_Tenaska Comparison_NIM Summary 25 3" xfId="28324"/>
    <cellStyle name="_Tenaska Comparison_NIM Summary 26" xfId="15243"/>
    <cellStyle name="_Tenaska Comparison_NIM Summary 26 2" xfId="28325"/>
    <cellStyle name="_Tenaska Comparison_NIM Summary 26 3" xfId="28326"/>
    <cellStyle name="_Tenaska Comparison_NIM Summary 27" xfId="15244"/>
    <cellStyle name="_Tenaska Comparison_NIM Summary 27 2" xfId="28327"/>
    <cellStyle name="_Tenaska Comparison_NIM Summary 27 3" xfId="28328"/>
    <cellStyle name="_Tenaska Comparison_NIM Summary 28" xfId="15245"/>
    <cellStyle name="_Tenaska Comparison_NIM Summary 28 2" xfId="28329"/>
    <cellStyle name="_Tenaska Comparison_NIM Summary 28 3" xfId="28330"/>
    <cellStyle name="_Tenaska Comparison_NIM Summary 29" xfId="15246"/>
    <cellStyle name="_Tenaska Comparison_NIM Summary 29 2" xfId="28331"/>
    <cellStyle name="_Tenaska Comparison_NIM Summary 29 3" xfId="28332"/>
    <cellStyle name="_Tenaska Comparison_NIM Summary 3" xfId="2068"/>
    <cellStyle name="_Tenaska Comparison_NIM Summary 3 2" xfId="5431"/>
    <cellStyle name="_Tenaska Comparison_NIM Summary 3 2 2" xfId="28333"/>
    <cellStyle name="_Tenaska Comparison_NIM Summary 3 3" xfId="28334"/>
    <cellStyle name="_Tenaska Comparison_NIM Summary 3 4" xfId="8068"/>
    <cellStyle name="_Tenaska Comparison_NIM Summary 30" xfId="15247"/>
    <cellStyle name="_Tenaska Comparison_NIM Summary 30 2" xfId="28335"/>
    <cellStyle name="_Tenaska Comparison_NIM Summary 30 3" xfId="28336"/>
    <cellStyle name="_Tenaska Comparison_NIM Summary 31" xfId="15248"/>
    <cellStyle name="_Tenaska Comparison_NIM Summary 31 2" xfId="28337"/>
    <cellStyle name="_Tenaska Comparison_NIM Summary 31 3" xfId="28338"/>
    <cellStyle name="_Tenaska Comparison_NIM Summary 32" xfId="15249"/>
    <cellStyle name="_Tenaska Comparison_NIM Summary 32 2" xfId="41716"/>
    <cellStyle name="_Tenaska Comparison_NIM Summary 33" xfId="15250"/>
    <cellStyle name="_Tenaska Comparison_NIM Summary 33 2" xfId="41717"/>
    <cellStyle name="_Tenaska Comparison_NIM Summary 34" xfId="15251"/>
    <cellStyle name="_Tenaska Comparison_NIM Summary 34 2" xfId="41718"/>
    <cellStyle name="_Tenaska Comparison_NIM Summary 35" xfId="15252"/>
    <cellStyle name="_Tenaska Comparison_NIM Summary 35 2" xfId="41719"/>
    <cellStyle name="_Tenaska Comparison_NIM Summary 36" xfId="15253"/>
    <cellStyle name="_Tenaska Comparison_NIM Summary 36 2" xfId="41720"/>
    <cellStyle name="_Tenaska Comparison_NIM Summary 37" xfId="15254"/>
    <cellStyle name="_Tenaska Comparison_NIM Summary 37 2" xfId="41721"/>
    <cellStyle name="_Tenaska Comparison_NIM Summary 38" xfId="15255"/>
    <cellStyle name="_Tenaska Comparison_NIM Summary 38 2" xfId="41722"/>
    <cellStyle name="_Tenaska Comparison_NIM Summary 39" xfId="15256"/>
    <cellStyle name="_Tenaska Comparison_NIM Summary 39 2" xfId="41723"/>
    <cellStyle name="_Tenaska Comparison_NIM Summary 4" xfId="2069"/>
    <cellStyle name="_Tenaska Comparison_NIM Summary 4 2" xfId="5432"/>
    <cellStyle name="_Tenaska Comparison_NIM Summary 4 2 2" xfId="28339"/>
    <cellStyle name="_Tenaska Comparison_NIM Summary 4 3" xfId="28340"/>
    <cellStyle name="_Tenaska Comparison_NIM Summary 4 4" xfId="8069"/>
    <cellStyle name="_Tenaska Comparison_NIM Summary 40" xfId="15257"/>
    <cellStyle name="_Tenaska Comparison_NIM Summary 40 2" xfId="41724"/>
    <cellStyle name="_Tenaska Comparison_NIM Summary 41" xfId="15258"/>
    <cellStyle name="_Tenaska Comparison_NIM Summary 41 2" xfId="41725"/>
    <cellStyle name="_Tenaska Comparison_NIM Summary 42" xfId="17041"/>
    <cellStyle name="_Tenaska Comparison_NIM Summary 42 2" xfId="41726"/>
    <cellStyle name="_Tenaska Comparison_NIM Summary 43" xfId="22325"/>
    <cellStyle name="_Tenaska Comparison_NIM Summary 43 2" xfId="41727"/>
    <cellStyle name="_Tenaska Comparison_NIM Summary 44" xfId="28341"/>
    <cellStyle name="_Tenaska Comparison_NIM Summary 44 2" xfId="41728"/>
    <cellStyle name="_Tenaska Comparison_NIM Summary 45" xfId="28342"/>
    <cellStyle name="_Tenaska Comparison_NIM Summary 45 2" xfId="41729"/>
    <cellStyle name="_Tenaska Comparison_NIM Summary 46" xfId="28343"/>
    <cellStyle name="_Tenaska Comparison_NIM Summary 46 2" xfId="41730"/>
    <cellStyle name="_Tenaska Comparison_NIM Summary 47" xfId="28344"/>
    <cellStyle name="_Tenaska Comparison_NIM Summary 47 2" xfId="41731"/>
    <cellStyle name="_Tenaska Comparison_NIM Summary 48" xfId="28345"/>
    <cellStyle name="_Tenaska Comparison_NIM Summary 49" xfId="28346"/>
    <cellStyle name="_Tenaska Comparison_NIM Summary 5" xfId="2070"/>
    <cellStyle name="_Tenaska Comparison_NIM Summary 5 2" xfId="5433"/>
    <cellStyle name="_Tenaska Comparison_NIM Summary 5 2 2" xfId="28347"/>
    <cellStyle name="_Tenaska Comparison_NIM Summary 5 3" xfId="28348"/>
    <cellStyle name="_Tenaska Comparison_NIM Summary 5 4" xfId="8070"/>
    <cellStyle name="_Tenaska Comparison_NIM Summary 50" xfId="28349"/>
    <cellStyle name="_Tenaska Comparison_NIM Summary 51" xfId="41732"/>
    <cellStyle name="_Tenaska Comparison_NIM Summary 52" xfId="8064"/>
    <cellStyle name="_Tenaska Comparison_NIM Summary 6" xfId="2071"/>
    <cellStyle name="_Tenaska Comparison_NIM Summary 6 2" xfId="5434"/>
    <cellStyle name="_Tenaska Comparison_NIM Summary 6 2 2" xfId="28350"/>
    <cellStyle name="_Tenaska Comparison_NIM Summary 6 3" xfId="28351"/>
    <cellStyle name="_Tenaska Comparison_NIM Summary 6 4" xfId="8071"/>
    <cellStyle name="_Tenaska Comparison_NIM Summary 7" xfId="2072"/>
    <cellStyle name="_Tenaska Comparison_NIM Summary 7 2" xfId="5435"/>
    <cellStyle name="_Tenaska Comparison_NIM Summary 7 2 2" xfId="28352"/>
    <cellStyle name="_Tenaska Comparison_NIM Summary 7 3" xfId="28353"/>
    <cellStyle name="_Tenaska Comparison_NIM Summary 7 4" xfId="28354"/>
    <cellStyle name="_Tenaska Comparison_NIM Summary 7 5" xfId="8072"/>
    <cellStyle name="_Tenaska Comparison_NIM Summary 8" xfId="2073"/>
    <cellStyle name="_Tenaska Comparison_NIM Summary 8 2" xfId="5436"/>
    <cellStyle name="_Tenaska Comparison_NIM Summary 8 2 2" xfId="28355"/>
    <cellStyle name="_Tenaska Comparison_NIM Summary 8 3" xfId="28356"/>
    <cellStyle name="_Tenaska Comparison_NIM Summary 8 4" xfId="28357"/>
    <cellStyle name="_Tenaska Comparison_NIM Summary 8 5" xfId="8073"/>
    <cellStyle name="_Tenaska Comparison_NIM Summary 9" xfId="2074"/>
    <cellStyle name="_Tenaska Comparison_NIM Summary 9 2" xfId="5437"/>
    <cellStyle name="_Tenaska Comparison_NIM Summary 9 2 2" xfId="28358"/>
    <cellStyle name="_Tenaska Comparison_NIM Summary 9 3" xfId="28359"/>
    <cellStyle name="_Tenaska Comparison_NIM Summary 9 4" xfId="28360"/>
    <cellStyle name="_Tenaska Comparison_NIM Summary 9 5" xfId="8074"/>
    <cellStyle name="_Tenaska Comparison_NIM Summary_DEM-WP(C) ENERG10C--ctn Mid-C_042010 2010GRC" xfId="13038"/>
    <cellStyle name="_Tenaska Comparison_NIM Summary_DEM-WP(C) ENERG10C--ctn Mid-C_042010 2010GRC 2" xfId="41733"/>
    <cellStyle name="_Tenaska Comparison_NIM+O&amp;M" xfId="13039"/>
    <cellStyle name="_Tenaska Comparison_NIM+O&amp;M 2" xfId="13040"/>
    <cellStyle name="_Tenaska Comparison_NIM+O&amp;M 2 2" xfId="28361"/>
    <cellStyle name="_Tenaska Comparison_NIM+O&amp;M 2 2 2" xfId="28362"/>
    <cellStyle name="_Tenaska Comparison_NIM+O&amp;M 2 2 2 2" xfId="28363"/>
    <cellStyle name="_Tenaska Comparison_NIM+O&amp;M 2 3" xfId="28364"/>
    <cellStyle name="_Tenaska Comparison_NIM+O&amp;M 2 3 2" xfId="28365"/>
    <cellStyle name="_Tenaska Comparison_NIM+O&amp;M 2 4" xfId="28366"/>
    <cellStyle name="_Tenaska Comparison_NIM+O&amp;M 2 4 2" xfId="28367"/>
    <cellStyle name="_Tenaska Comparison_NIM+O&amp;M 3" xfId="28368"/>
    <cellStyle name="_Tenaska Comparison_NIM+O&amp;M 3 2" xfId="28369"/>
    <cellStyle name="_Tenaska Comparison_NIM+O&amp;M 3 2 2" xfId="28370"/>
    <cellStyle name="_Tenaska Comparison_NIM+O&amp;M 4" xfId="28371"/>
    <cellStyle name="_Tenaska Comparison_NIM+O&amp;M 4 2" xfId="28372"/>
    <cellStyle name="_Tenaska Comparison_NIM+O&amp;M 4 2 2" xfId="28373"/>
    <cellStyle name="_Tenaska Comparison_NIM+O&amp;M 4 3" xfId="28374"/>
    <cellStyle name="_Tenaska Comparison_NIM+O&amp;M 5" xfId="28375"/>
    <cellStyle name="_Tenaska Comparison_NIM+O&amp;M 5 2" xfId="28376"/>
    <cellStyle name="_Tenaska Comparison_NIM+O&amp;M 6" xfId="28377"/>
    <cellStyle name="_Tenaska Comparison_NIM+O&amp;M 6 2" xfId="28378"/>
    <cellStyle name="_Tenaska Comparison_NIM+O&amp;M Monthly" xfId="13041"/>
    <cellStyle name="_Tenaska Comparison_NIM+O&amp;M Monthly 2" xfId="13042"/>
    <cellStyle name="_Tenaska Comparison_NIM+O&amp;M Monthly 2 2" xfId="28379"/>
    <cellStyle name="_Tenaska Comparison_NIM+O&amp;M Monthly 2 2 2" xfId="28380"/>
    <cellStyle name="_Tenaska Comparison_NIM+O&amp;M Monthly 2 2 2 2" xfId="28381"/>
    <cellStyle name="_Tenaska Comparison_NIM+O&amp;M Monthly 2 3" xfId="28382"/>
    <cellStyle name="_Tenaska Comparison_NIM+O&amp;M Monthly 2 3 2" xfId="28383"/>
    <cellStyle name="_Tenaska Comparison_NIM+O&amp;M Monthly 2 4" xfId="28384"/>
    <cellStyle name="_Tenaska Comparison_NIM+O&amp;M Monthly 2 4 2" xfId="28385"/>
    <cellStyle name="_Tenaska Comparison_NIM+O&amp;M Monthly 3" xfId="28386"/>
    <cellStyle name="_Tenaska Comparison_NIM+O&amp;M Monthly 3 2" xfId="28387"/>
    <cellStyle name="_Tenaska Comparison_NIM+O&amp;M Monthly 3 2 2" xfId="28388"/>
    <cellStyle name="_Tenaska Comparison_NIM+O&amp;M Monthly 4" xfId="28389"/>
    <cellStyle name="_Tenaska Comparison_NIM+O&amp;M Monthly 4 2" xfId="28390"/>
    <cellStyle name="_Tenaska Comparison_NIM+O&amp;M Monthly 4 2 2" xfId="28391"/>
    <cellStyle name="_Tenaska Comparison_NIM+O&amp;M Monthly 4 3" xfId="28392"/>
    <cellStyle name="_Tenaska Comparison_NIM+O&amp;M Monthly 5" xfId="28393"/>
    <cellStyle name="_Tenaska Comparison_NIM+O&amp;M Monthly 5 2" xfId="28394"/>
    <cellStyle name="_Tenaska Comparison_NIM+O&amp;M Monthly 6" xfId="28395"/>
    <cellStyle name="_Tenaska Comparison_NIM+O&amp;M Monthly 6 2" xfId="28396"/>
    <cellStyle name="_Tenaska Comparison_PCA 10 -  Exhibit D Dec 2011" xfId="15259"/>
    <cellStyle name="_Tenaska Comparison_PCA 10 -  Exhibit D Dec 2011 2" xfId="41734"/>
    <cellStyle name="_Tenaska Comparison_PCA 10 -  Exhibit D from A Kellogg Jan 2011" xfId="14170"/>
    <cellStyle name="_Tenaska Comparison_PCA 10 -  Exhibit D from A Kellogg Jan 2011 2" xfId="41735"/>
    <cellStyle name="_Tenaska Comparison_PCA 10 -  Exhibit D from A Kellogg July 2011" xfId="14171"/>
    <cellStyle name="_Tenaska Comparison_PCA 10 -  Exhibit D from A Kellogg July 2011 2" xfId="41736"/>
    <cellStyle name="_Tenaska Comparison_PCA 10 -  Exhibit D from S Free Rcv'd 12-11" xfId="14172"/>
    <cellStyle name="_Tenaska Comparison_PCA 10 -  Exhibit D from S Free Rcv'd 12-11 2" xfId="41737"/>
    <cellStyle name="_Tenaska Comparison_PCA 11 -  Exhibit D Jan 2012 fr A Kellogg" xfId="15260"/>
    <cellStyle name="_Tenaska Comparison_PCA 11 -  Exhibit D Jan 2012 fr A Kellogg 2" xfId="41738"/>
    <cellStyle name="_Tenaska Comparison_PCA 11 -  Exhibit D Jan 2012 WF" xfId="15261"/>
    <cellStyle name="_Tenaska Comparison_PCA 11 -  Exhibit D Jan 2012 WF 2" xfId="41739"/>
    <cellStyle name="_Tenaska Comparison_PCA 9 -  Exhibit D April 2010" xfId="14173"/>
    <cellStyle name="_Tenaska Comparison_PCA 9 -  Exhibit D April 2010 (3)" xfId="2075"/>
    <cellStyle name="_Tenaska Comparison_PCA 9 -  Exhibit D April 2010 (3) 2" xfId="2076"/>
    <cellStyle name="_Tenaska Comparison_PCA 9 -  Exhibit D April 2010 (3) 2 2" xfId="5439"/>
    <cellStyle name="_Tenaska Comparison_PCA 9 -  Exhibit D April 2010 (3) 2 2 2" xfId="28397"/>
    <cellStyle name="_Tenaska Comparison_PCA 9 -  Exhibit D April 2010 (3) 2 2 2 2" xfId="28398"/>
    <cellStyle name="_Tenaska Comparison_PCA 9 -  Exhibit D April 2010 (3) 2 3" xfId="28399"/>
    <cellStyle name="_Tenaska Comparison_PCA 9 -  Exhibit D April 2010 (3) 2 3 2" xfId="28400"/>
    <cellStyle name="_Tenaska Comparison_PCA 9 -  Exhibit D April 2010 (3) 2 4" xfId="28401"/>
    <cellStyle name="_Tenaska Comparison_PCA 9 -  Exhibit D April 2010 (3) 2 4 2" xfId="28402"/>
    <cellStyle name="_Tenaska Comparison_PCA 9 -  Exhibit D April 2010 (3) 2 5" xfId="8076"/>
    <cellStyle name="_Tenaska Comparison_PCA 9 -  Exhibit D April 2010 (3) 3" xfId="5438"/>
    <cellStyle name="_Tenaska Comparison_PCA 9 -  Exhibit D April 2010 (3) 3 2" xfId="28403"/>
    <cellStyle name="_Tenaska Comparison_PCA 9 -  Exhibit D April 2010 (3) 3 2 2" xfId="28404"/>
    <cellStyle name="_Tenaska Comparison_PCA 9 -  Exhibit D April 2010 (3) 3 3" xfId="28405"/>
    <cellStyle name="_Tenaska Comparison_PCA 9 -  Exhibit D April 2010 (3) 4" xfId="28406"/>
    <cellStyle name="_Tenaska Comparison_PCA 9 -  Exhibit D April 2010 (3) 4 2" xfId="28407"/>
    <cellStyle name="_Tenaska Comparison_PCA 9 -  Exhibit D April 2010 (3) 4 2 2" xfId="28408"/>
    <cellStyle name="_Tenaska Comparison_PCA 9 -  Exhibit D April 2010 (3) 4 3" xfId="28409"/>
    <cellStyle name="_Tenaska Comparison_PCA 9 -  Exhibit D April 2010 (3) 5" xfId="28410"/>
    <cellStyle name="_Tenaska Comparison_PCA 9 -  Exhibit D April 2010 (3) 5 2" xfId="28411"/>
    <cellStyle name="_Tenaska Comparison_PCA 9 -  Exhibit D April 2010 (3) 6" xfId="28412"/>
    <cellStyle name="_Tenaska Comparison_PCA 9 -  Exhibit D April 2010 (3) 6 2" xfId="28413"/>
    <cellStyle name="_Tenaska Comparison_PCA 9 -  Exhibit D April 2010 (3) 7" xfId="8075"/>
    <cellStyle name="_Tenaska Comparison_PCA 9 -  Exhibit D April 2010 (3)_DEM-WP(C) ENERG10C--ctn Mid-C_042010 2010GRC" xfId="13043"/>
    <cellStyle name="_Tenaska Comparison_PCA 9 -  Exhibit D April 2010 (3)_DEM-WP(C) ENERG10C--ctn Mid-C_042010 2010GRC 2" xfId="41740"/>
    <cellStyle name="_Tenaska Comparison_PCA 9 -  Exhibit D April 2010 2" xfId="15262"/>
    <cellStyle name="_Tenaska Comparison_PCA 9 -  Exhibit D April 2010 2 2" xfId="41741"/>
    <cellStyle name="_Tenaska Comparison_PCA 9 -  Exhibit D April 2010 3" xfId="15263"/>
    <cellStyle name="_Tenaska Comparison_PCA 9 -  Exhibit D April 2010 3 2" xfId="41742"/>
    <cellStyle name="_Tenaska Comparison_PCA 9 -  Exhibit D April 2010 4" xfId="15264"/>
    <cellStyle name="_Tenaska Comparison_PCA 9 -  Exhibit D April 2010 4 2" xfId="41743"/>
    <cellStyle name="_Tenaska Comparison_PCA 9 -  Exhibit D April 2010 5" xfId="15265"/>
    <cellStyle name="_Tenaska Comparison_PCA 9 -  Exhibit D April 2010 5 2" xfId="41744"/>
    <cellStyle name="_Tenaska Comparison_PCA 9 -  Exhibit D April 2010 6" xfId="15266"/>
    <cellStyle name="_Tenaska Comparison_PCA 9 -  Exhibit D April 2010 6 2" xfId="41745"/>
    <cellStyle name="_Tenaska Comparison_PCA 9 -  Exhibit D April 2010 7" xfId="41746"/>
    <cellStyle name="_Tenaska Comparison_PCA 9 -  Exhibit D Nov 2010" xfId="14174"/>
    <cellStyle name="_Tenaska Comparison_PCA 9 -  Exhibit D Nov 2010 2" xfId="15267"/>
    <cellStyle name="_Tenaska Comparison_PCA 9 -  Exhibit D Nov 2010 2 2" xfId="41747"/>
    <cellStyle name="_Tenaska Comparison_PCA 9 -  Exhibit D Nov 2010 3" xfId="41748"/>
    <cellStyle name="_Tenaska Comparison_PCA 9 - Exhibit D at August 2010" xfId="14175"/>
    <cellStyle name="_Tenaska Comparison_PCA 9 - Exhibit D at August 2010 2" xfId="15268"/>
    <cellStyle name="_Tenaska Comparison_PCA 9 - Exhibit D at August 2010 2 2" xfId="41749"/>
    <cellStyle name="_Tenaska Comparison_PCA 9 - Exhibit D at August 2010 3" xfId="41750"/>
    <cellStyle name="_Tenaska Comparison_PCA 9 - Exhibit D June 2010 GRC" xfId="14176"/>
    <cellStyle name="_Tenaska Comparison_PCA 9 - Exhibit D June 2010 GRC 2" xfId="15269"/>
    <cellStyle name="_Tenaska Comparison_PCA 9 - Exhibit D June 2010 GRC 2 2" xfId="41751"/>
    <cellStyle name="_Tenaska Comparison_PCA 9 - Exhibit D June 2010 GRC 3" xfId="41752"/>
    <cellStyle name="_Tenaska Comparison_Power Costs - Comparison bx Rbtl-Staff-Jt-PC" xfId="2077"/>
    <cellStyle name="_Tenaska Comparison_Power Costs - Comparison bx Rbtl-Staff-Jt-PC 2" xfId="2078"/>
    <cellStyle name="_Tenaska Comparison_Power Costs - Comparison bx Rbtl-Staff-Jt-PC 2 2" xfId="5441"/>
    <cellStyle name="_Tenaska Comparison_Power Costs - Comparison bx Rbtl-Staff-Jt-PC 2 2 2" xfId="21414"/>
    <cellStyle name="_Tenaska Comparison_Power Costs - Comparison bx Rbtl-Staff-Jt-PC 2 2 2 2" xfId="28414"/>
    <cellStyle name="_Tenaska Comparison_Power Costs - Comparison bx Rbtl-Staff-Jt-PC 2 2 3" xfId="8079"/>
    <cellStyle name="_Tenaska Comparison_Power Costs - Comparison bx Rbtl-Staff-Jt-PC 2 3" xfId="17043"/>
    <cellStyle name="_Tenaska Comparison_Power Costs - Comparison bx Rbtl-Staff-Jt-PC 2 3 2" xfId="28415"/>
    <cellStyle name="_Tenaska Comparison_Power Costs - Comparison bx Rbtl-Staff-Jt-PC 2 4" xfId="28416"/>
    <cellStyle name="_Tenaska Comparison_Power Costs - Comparison bx Rbtl-Staff-Jt-PC 2 4 2" xfId="28417"/>
    <cellStyle name="_Tenaska Comparison_Power Costs - Comparison bx Rbtl-Staff-Jt-PC 2 5" xfId="8078"/>
    <cellStyle name="_Tenaska Comparison_Power Costs - Comparison bx Rbtl-Staff-Jt-PC 3" xfId="5440"/>
    <cellStyle name="_Tenaska Comparison_Power Costs - Comparison bx Rbtl-Staff-Jt-PC 3 2" xfId="21415"/>
    <cellStyle name="_Tenaska Comparison_Power Costs - Comparison bx Rbtl-Staff-Jt-PC 3 2 2" xfId="28418"/>
    <cellStyle name="_Tenaska Comparison_Power Costs - Comparison bx Rbtl-Staff-Jt-PC 3 3" xfId="28419"/>
    <cellStyle name="_Tenaska Comparison_Power Costs - Comparison bx Rbtl-Staff-Jt-PC 3 4" xfId="8080"/>
    <cellStyle name="_Tenaska Comparison_Power Costs - Comparison bx Rbtl-Staff-Jt-PC 4" xfId="17042"/>
    <cellStyle name="_Tenaska Comparison_Power Costs - Comparison bx Rbtl-Staff-Jt-PC 4 2" xfId="28420"/>
    <cellStyle name="_Tenaska Comparison_Power Costs - Comparison bx Rbtl-Staff-Jt-PC 4 2 2" xfId="28421"/>
    <cellStyle name="_Tenaska Comparison_Power Costs - Comparison bx Rbtl-Staff-Jt-PC 4 3" xfId="28422"/>
    <cellStyle name="_Tenaska Comparison_Power Costs - Comparison bx Rbtl-Staff-Jt-PC 5" xfId="28423"/>
    <cellStyle name="_Tenaska Comparison_Power Costs - Comparison bx Rbtl-Staff-Jt-PC 5 2" xfId="28424"/>
    <cellStyle name="_Tenaska Comparison_Power Costs - Comparison bx Rbtl-Staff-Jt-PC 6" xfId="28425"/>
    <cellStyle name="_Tenaska Comparison_Power Costs - Comparison bx Rbtl-Staff-Jt-PC 6 2" xfId="28426"/>
    <cellStyle name="_Tenaska Comparison_Power Costs - Comparison bx Rbtl-Staff-Jt-PC 7" xfId="8077"/>
    <cellStyle name="_Tenaska Comparison_Power Costs - Comparison bx Rbtl-Staff-Jt-PC_Adj Bench DR 3 for Initial Briefs (Electric)" xfId="2079"/>
    <cellStyle name="_Tenaska Comparison_Power Costs - Comparison bx Rbtl-Staff-Jt-PC_Adj Bench DR 3 for Initial Briefs (Electric) 2" xfId="2080"/>
    <cellStyle name="_Tenaska Comparison_Power Costs - Comparison bx Rbtl-Staff-Jt-PC_Adj Bench DR 3 for Initial Briefs (Electric) 2 2" xfId="5443"/>
    <cellStyle name="_Tenaska Comparison_Power Costs - Comparison bx Rbtl-Staff-Jt-PC_Adj Bench DR 3 for Initial Briefs (Electric) 2 2 2" xfId="21416"/>
    <cellStyle name="_Tenaska Comparison_Power Costs - Comparison bx Rbtl-Staff-Jt-PC_Adj Bench DR 3 for Initial Briefs (Electric) 2 2 2 2" xfId="28427"/>
    <cellStyle name="_Tenaska Comparison_Power Costs - Comparison bx Rbtl-Staff-Jt-PC_Adj Bench DR 3 for Initial Briefs (Electric) 2 2 3" xfId="8083"/>
    <cellStyle name="_Tenaska Comparison_Power Costs - Comparison bx Rbtl-Staff-Jt-PC_Adj Bench DR 3 for Initial Briefs (Electric) 2 3" xfId="17045"/>
    <cellStyle name="_Tenaska Comparison_Power Costs - Comparison bx Rbtl-Staff-Jt-PC_Adj Bench DR 3 for Initial Briefs (Electric) 2 3 2" xfId="28428"/>
    <cellStyle name="_Tenaska Comparison_Power Costs - Comparison bx Rbtl-Staff-Jt-PC_Adj Bench DR 3 for Initial Briefs (Electric) 2 4" xfId="28429"/>
    <cellStyle name="_Tenaska Comparison_Power Costs - Comparison bx Rbtl-Staff-Jt-PC_Adj Bench DR 3 for Initial Briefs (Electric) 2 4 2" xfId="28430"/>
    <cellStyle name="_Tenaska Comparison_Power Costs - Comparison bx Rbtl-Staff-Jt-PC_Adj Bench DR 3 for Initial Briefs (Electric) 2 5" xfId="8082"/>
    <cellStyle name="_Tenaska Comparison_Power Costs - Comparison bx Rbtl-Staff-Jt-PC_Adj Bench DR 3 for Initial Briefs (Electric) 3" xfId="5442"/>
    <cellStyle name="_Tenaska Comparison_Power Costs - Comparison bx Rbtl-Staff-Jt-PC_Adj Bench DR 3 for Initial Briefs (Electric) 3 2" xfId="21417"/>
    <cellStyle name="_Tenaska Comparison_Power Costs - Comparison bx Rbtl-Staff-Jt-PC_Adj Bench DR 3 for Initial Briefs (Electric) 3 2 2" xfId="28431"/>
    <cellStyle name="_Tenaska Comparison_Power Costs - Comparison bx Rbtl-Staff-Jt-PC_Adj Bench DR 3 for Initial Briefs (Electric) 3 3" xfId="28432"/>
    <cellStyle name="_Tenaska Comparison_Power Costs - Comparison bx Rbtl-Staff-Jt-PC_Adj Bench DR 3 for Initial Briefs (Electric) 3 4" xfId="8084"/>
    <cellStyle name="_Tenaska Comparison_Power Costs - Comparison bx Rbtl-Staff-Jt-PC_Adj Bench DR 3 for Initial Briefs (Electric) 4" xfId="17044"/>
    <cellStyle name="_Tenaska Comparison_Power Costs - Comparison bx Rbtl-Staff-Jt-PC_Adj Bench DR 3 for Initial Briefs (Electric) 4 2" xfId="28433"/>
    <cellStyle name="_Tenaska Comparison_Power Costs - Comparison bx Rbtl-Staff-Jt-PC_Adj Bench DR 3 for Initial Briefs (Electric) 4 2 2" xfId="28434"/>
    <cellStyle name="_Tenaska Comparison_Power Costs - Comparison bx Rbtl-Staff-Jt-PC_Adj Bench DR 3 for Initial Briefs (Electric) 4 3" xfId="28435"/>
    <cellStyle name="_Tenaska Comparison_Power Costs - Comparison bx Rbtl-Staff-Jt-PC_Adj Bench DR 3 for Initial Briefs (Electric) 5" xfId="28436"/>
    <cellStyle name="_Tenaska Comparison_Power Costs - Comparison bx Rbtl-Staff-Jt-PC_Adj Bench DR 3 for Initial Briefs (Electric) 5 2" xfId="28437"/>
    <cellStyle name="_Tenaska Comparison_Power Costs - Comparison bx Rbtl-Staff-Jt-PC_Adj Bench DR 3 for Initial Briefs (Electric) 6" xfId="28438"/>
    <cellStyle name="_Tenaska Comparison_Power Costs - Comparison bx Rbtl-Staff-Jt-PC_Adj Bench DR 3 for Initial Briefs (Electric) 6 2" xfId="28439"/>
    <cellStyle name="_Tenaska Comparison_Power Costs - Comparison bx Rbtl-Staff-Jt-PC_Adj Bench DR 3 for Initial Briefs (Electric) 7" xfId="8081"/>
    <cellStyle name="_Tenaska Comparison_Power Costs - Comparison bx Rbtl-Staff-Jt-PC_Adj Bench DR 3 for Initial Briefs (Electric)_DEM-WP(C) ENERG10C--ctn Mid-C_042010 2010GRC" xfId="13044"/>
    <cellStyle name="_Tenaska Comparison_Power Costs - Comparison bx Rbtl-Staff-Jt-PC_Adj Bench DR 3 for Initial Briefs (Electric)_DEM-WP(C) ENERG10C--ctn Mid-C_042010 2010GRC 2" xfId="41753"/>
    <cellStyle name="_Tenaska Comparison_Power Costs - Comparison bx Rbtl-Staff-Jt-PC_DEM-WP(C) ENERG10C--ctn Mid-C_042010 2010GRC" xfId="13045"/>
    <cellStyle name="_Tenaska Comparison_Power Costs - Comparison bx Rbtl-Staff-Jt-PC_DEM-WP(C) ENERG10C--ctn Mid-C_042010 2010GRC 2" xfId="41754"/>
    <cellStyle name="_Tenaska Comparison_Power Costs - Comparison bx Rbtl-Staff-Jt-PC_Electric Rev Req Model (2009 GRC) Rebuttal" xfId="2081"/>
    <cellStyle name="_Tenaska Comparison_Power Costs - Comparison bx Rbtl-Staff-Jt-PC_Electric Rev Req Model (2009 GRC) Rebuttal 2" xfId="5444"/>
    <cellStyle name="_Tenaska Comparison_Power Costs - Comparison bx Rbtl-Staff-Jt-PC_Electric Rev Req Model (2009 GRC) Rebuttal 2 2" xfId="8087"/>
    <cellStyle name="_Tenaska Comparison_Power Costs - Comparison bx Rbtl-Staff-Jt-PC_Electric Rev Req Model (2009 GRC) Rebuttal 2 2 2" xfId="21418"/>
    <cellStyle name="_Tenaska Comparison_Power Costs - Comparison bx Rbtl-Staff-Jt-PC_Electric Rev Req Model (2009 GRC) Rebuttal 2 3" xfId="18671"/>
    <cellStyle name="_Tenaska Comparison_Power Costs - Comparison bx Rbtl-Staff-Jt-PC_Electric Rev Req Model (2009 GRC) Rebuttal 2 4" xfId="8086"/>
    <cellStyle name="_Tenaska Comparison_Power Costs - Comparison bx Rbtl-Staff-Jt-PC_Electric Rev Req Model (2009 GRC) Rebuttal 3" xfId="8088"/>
    <cellStyle name="_Tenaska Comparison_Power Costs - Comparison bx Rbtl-Staff-Jt-PC_Electric Rev Req Model (2009 GRC) Rebuttal 3 2" xfId="21419"/>
    <cellStyle name="_Tenaska Comparison_Power Costs - Comparison bx Rbtl-Staff-Jt-PC_Electric Rev Req Model (2009 GRC) Rebuttal 4" xfId="17046"/>
    <cellStyle name="_Tenaska Comparison_Power Costs - Comparison bx Rbtl-Staff-Jt-PC_Electric Rev Req Model (2009 GRC) Rebuttal 5" xfId="8085"/>
    <cellStyle name="_Tenaska Comparison_Power Costs - Comparison bx Rbtl-Staff-Jt-PC_Electric Rev Req Model (2009 GRC) Rebuttal REmoval of New  WH Solar AdjustMI" xfId="2082"/>
    <cellStyle name="_Tenaska Comparison_Power Costs - Comparison bx Rbtl-Staff-Jt-PC_Electric Rev Req Model (2009 GRC) Rebuttal REmoval of New  WH Solar AdjustMI 2" xfId="2083"/>
    <cellStyle name="_Tenaska Comparison_Power Costs - Comparison bx Rbtl-Staff-Jt-PC_Electric Rev Req Model (2009 GRC) Rebuttal REmoval of New  WH Solar AdjustMI 2 2" xfId="5446"/>
    <cellStyle name="_Tenaska Comparison_Power Costs - Comparison bx Rbtl-Staff-Jt-PC_Electric Rev Req Model (2009 GRC) Rebuttal REmoval of New  WH Solar AdjustMI 2 2 2" xfId="21420"/>
    <cellStyle name="_Tenaska Comparison_Power Costs - Comparison bx Rbtl-Staff-Jt-PC_Electric Rev Req Model (2009 GRC) Rebuttal REmoval of New  WH Solar AdjustMI 2 2 2 2" xfId="28440"/>
    <cellStyle name="_Tenaska Comparison_Power Costs - Comparison bx Rbtl-Staff-Jt-PC_Electric Rev Req Model (2009 GRC) Rebuttal REmoval of New  WH Solar AdjustMI 2 2 3" xfId="8091"/>
    <cellStyle name="_Tenaska Comparison_Power Costs - Comparison bx Rbtl-Staff-Jt-PC_Electric Rev Req Model (2009 GRC) Rebuttal REmoval of New  WH Solar AdjustMI 2 3" xfId="17048"/>
    <cellStyle name="_Tenaska Comparison_Power Costs - Comparison bx Rbtl-Staff-Jt-PC_Electric Rev Req Model (2009 GRC) Rebuttal REmoval of New  WH Solar AdjustMI 2 3 2" xfId="28441"/>
    <cellStyle name="_Tenaska Comparison_Power Costs - Comparison bx Rbtl-Staff-Jt-PC_Electric Rev Req Model (2009 GRC) Rebuttal REmoval of New  WH Solar AdjustMI 2 4" xfId="28442"/>
    <cellStyle name="_Tenaska Comparison_Power Costs - Comparison bx Rbtl-Staff-Jt-PC_Electric Rev Req Model (2009 GRC) Rebuttal REmoval of New  WH Solar AdjustMI 2 4 2" xfId="28443"/>
    <cellStyle name="_Tenaska Comparison_Power Costs - Comparison bx Rbtl-Staff-Jt-PC_Electric Rev Req Model (2009 GRC) Rebuttal REmoval of New  WH Solar AdjustMI 2 5" xfId="8090"/>
    <cellStyle name="_Tenaska Comparison_Power Costs - Comparison bx Rbtl-Staff-Jt-PC_Electric Rev Req Model (2009 GRC) Rebuttal REmoval of New  WH Solar AdjustMI 3" xfId="5445"/>
    <cellStyle name="_Tenaska Comparison_Power Costs - Comparison bx Rbtl-Staff-Jt-PC_Electric Rev Req Model (2009 GRC) Rebuttal REmoval of New  WH Solar AdjustMI 3 2" xfId="21421"/>
    <cellStyle name="_Tenaska Comparison_Power Costs - Comparison bx Rbtl-Staff-Jt-PC_Electric Rev Req Model (2009 GRC) Rebuttal REmoval of New  WH Solar AdjustMI 3 2 2" xfId="28444"/>
    <cellStyle name="_Tenaska Comparison_Power Costs - Comparison bx Rbtl-Staff-Jt-PC_Electric Rev Req Model (2009 GRC) Rebuttal REmoval of New  WH Solar AdjustMI 3 3" xfId="28445"/>
    <cellStyle name="_Tenaska Comparison_Power Costs - Comparison bx Rbtl-Staff-Jt-PC_Electric Rev Req Model (2009 GRC) Rebuttal REmoval of New  WH Solar AdjustMI 3 4" xfId="8092"/>
    <cellStyle name="_Tenaska Comparison_Power Costs - Comparison bx Rbtl-Staff-Jt-PC_Electric Rev Req Model (2009 GRC) Rebuttal REmoval of New  WH Solar AdjustMI 4" xfId="17047"/>
    <cellStyle name="_Tenaska Comparison_Power Costs - Comparison bx Rbtl-Staff-Jt-PC_Electric Rev Req Model (2009 GRC) Rebuttal REmoval of New  WH Solar AdjustMI 4 2" xfId="28446"/>
    <cellStyle name="_Tenaska Comparison_Power Costs - Comparison bx Rbtl-Staff-Jt-PC_Electric Rev Req Model (2009 GRC) Rebuttal REmoval of New  WH Solar AdjustMI 4 2 2" xfId="28447"/>
    <cellStyle name="_Tenaska Comparison_Power Costs - Comparison bx Rbtl-Staff-Jt-PC_Electric Rev Req Model (2009 GRC) Rebuttal REmoval of New  WH Solar AdjustMI 4 3" xfId="28448"/>
    <cellStyle name="_Tenaska Comparison_Power Costs - Comparison bx Rbtl-Staff-Jt-PC_Electric Rev Req Model (2009 GRC) Rebuttal REmoval of New  WH Solar AdjustMI 5" xfId="28449"/>
    <cellStyle name="_Tenaska Comparison_Power Costs - Comparison bx Rbtl-Staff-Jt-PC_Electric Rev Req Model (2009 GRC) Rebuttal REmoval of New  WH Solar AdjustMI 5 2" xfId="28450"/>
    <cellStyle name="_Tenaska Comparison_Power Costs - Comparison bx Rbtl-Staff-Jt-PC_Electric Rev Req Model (2009 GRC) Rebuttal REmoval of New  WH Solar AdjustMI 6" xfId="28451"/>
    <cellStyle name="_Tenaska Comparison_Power Costs - Comparison bx Rbtl-Staff-Jt-PC_Electric Rev Req Model (2009 GRC) Rebuttal REmoval of New  WH Solar AdjustMI 6 2" xfId="28452"/>
    <cellStyle name="_Tenaska Comparison_Power Costs - Comparison bx Rbtl-Staff-Jt-PC_Electric Rev Req Model (2009 GRC) Rebuttal REmoval of New  WH Solar AdjustMI 7" xfId="8089"/>
    <cellStyle name="_Tenaska Comparison_Power Costs - Comparison bx Rbtl-Staff-Jt-PC_Electric Rev Req Model (2009 GRC) Rebuttal REmoval of New  WH Solar AdjustMI_DEM-WP(C) ENERG10C--ctn Mid-C_042010 2010GRC" xfId="13046"/>
    <cellStyle name="_Tenaska Comparison_Power Costs - Comparison bx Rbtl-Staff-Jt-PC_Electric Rev Req Model (2009 GRC) Rebuttal REmoval of New  WH Solar AdjustMI_DEM-WP(C) ENERG10C--ctn Mid-C_042010 2010GRC 2" xfId="41755"/>
    <cellStyle name="_Tenaska Comparison_Power Costs - Comparison bx Rbtl-Staff-Jt-PC_Electric Rev Req Model (2009 GRC) Revised 01-18-2010" xfId="2084"/>
    <cellStyle name="_Tenaska Comparison_Power Costs - Comparison bx Rbtl-Staff-Jt-PC_Electric Rev Req Model (2009 GRC) Revised 01-18-2010 2" xfId="2085"/>
    <cellStyle name="_Tenaska Comparison_Power Costs - Comparison bx Rbtl-Staff-Jt-PC_Electric Rev Req Model (2009 GRC) Revised 01-18-2010 2 2" xfId="5448"/>
    <cellStyle name="_Tenaska Comparison_Power Costs - Comparison bx Rbtl-Staff-Jt-PC_Electric Rev Req Model (2009 GRC) Revised 01-18-2010 2 2 2" xfId="21422"/>
    <cellStyle name="_Tenaska Comparison_Power Costs - Comparison bx Rbtl-Staff-Jt-PC_Electric Rev Req Model (2009 GRC) Revised 01-18-2010 2 2 2 2" xfId="28453"/>
    <cellStyle name="_Tenaska Comparison_Power Costs - Comparison bx Rbtl-Staff-Jt-PC_Electric Rev Req Model (2009 GRC) Revised 01-18-2010 2 2 3" xfId="8095"/>
    <cellStyle name="_Tenaska Comparison_Power Costs - Comparison bx Rbtl-Staff-Jt-PC_Electric Rev Req Model (2009 GRC) Revised 01-18-2010 2 3" xfId="17050"/>
    <cellStyle name="_Tenaska Comparison_Power Costs - Comparison bx Rbtl-Staff-Jt-PC_Electric Rev Req Model (2009 GRC) Revised 01-18-2010 2 3 2" xfId="28454"/>
    <cellStyle name="_Tenaska Comparison_Power Costs - Comparison bx Rbtl-Staff-Jt-PC_Electric Rev Req Model (2009 GRC) Revised 01-18-2010 2 4" xfId="28455"/>
    <cellStyle name="_Tenaska Comparison_Power Costs - Comparison bx Rbtl-Staff-Jt-PC_Electric Rev Req Model (2009 GRC) Revised 01-18-2010 2 4 2" xfId="28456"/>
    <cellStyle name="_Tenaska Comparison_Power Costs - Comparison bx Rbtl-Staff-Jt-PC_Electric Rev Req Model (2009 GRC) Revised 01-18-2010 2 5" xfId="8094"/>
    <cellStyle name="_Tenaska Comparison_Power Costs - Comparison bx Rbtl-Staff-Jt-PC_Electric Rev Req Model (2009 GRC) Revised 01-18-2010 3" xfId="5447"/>
    <cellStyle name="_Tenaska Comparison_Power Costs - Comparison bx Rbtl-Staff-Jt-PC_Electric Rev Req Model (2009 GRC) Revised 01-18-2010 3 2" xfId="21423"/>
    <cellStyle name="_Tenaska Comparison_Power Costs - Comparison bx Rbtl-Staff-Jt-PC_Electric Rev Req Model (2009 GRC) Revised 01-18-2010 3 2 2" xfId="28457"/>
    <cellStyle name="_Tenaska Comparison_Power Costs - Comparison bx Rbtl-Staff-Jt-PC_Electric Rev Req Model (2009 GRC) Revised 01-18-2010 3 3" xfId="28458"/>
    <cellStyle name="_Tenaska Comparison_Power Costs - Comparison bx Rbtl-Staff-Jt-PC_Electric Rev Req Model (2009 GRC) Revised 01-18-2010 3 4" xfId="8096"/>
    <cellStyle name="_Tenaska Comparison_Power Costs - Comparison bx Rbtl-Staff-Jt-PC_Electric Rev Req Model (2009 GRC) Revised 01-18-2010 4" xfId="17049"/>
    <cellStyle name="_Tenaska Comparison_Power Costs - Comparison bx Rbtl-Staff-Jt-PC_Electric Rev Req Model (2009 GRC) Revised 01-18-2010 4 2" xfId="28459"/>
    <cellStyle name="_Tenaska Comparison_Power Costs - Comparison bx Rbtl-Staff-Jt-PC_Electric Rev Req Model (2009 GRC) Revised 01-18-2010 4 2 2" xfId="28460"/>
    <cellStyle name="_Tenaska Comparison_Power Costs - Comparison bx Rbtl-Staff-Jt-PC_Electric Rev Req Model (2009 GRC) Revised 01-18-2010 4 3" xfId="28461"/>
    <cellStyle name="_Tenaska Comparison_Power Costs - Comparison bx Rbtl-Staff-Jt-PC_Electric Rev Req Model (2009 GRC) Revised 01-18-2010 5" xfId="28462"/>
    <cellStyle name="_Tenaska Comparison_Power Costs - Comparison bx Rbtl-Staff-Jt-PC_Electric Rev Req Model (2009 GRC) Revised 01-18-2010 5 2" xfId="28463"/>
    <cellStyle name="_Tenaska Comparison_Power Costs - Comparison bx Rbtl-Staff-Jt-PC_Electric Rev Req Model (2009 GRC) Revised 01-18-2010 6" xfId="28464"/>
    <cellStyle name="_Tenaska Comparison_Power Costs - Comparison bx Rbtl-Staff-Jt-PC_Electric Rev Req Model (2009 GRC) Revised 01-18-2010 6 2" xfId="28465"/>
    <cellStyle name="_Tenaska Comparison_Power Costs - Comparison bx Rbtl-Staff-Jt-PC_Electric Rev Req Model (2009 GRC) Revised 01-18-2010 7" xfId="8093"/>
    <cellStyle name="_Tenaska Comparison_Power Costs - Comparison bx Rbtl-Staff-Jt-PC_Electric Rev Req Model (2009 GRC) Revised 01-18-2010_DEM-WP(C) ENERG10C--ctn Mid-C_042010 2010GRC" xfId="13047"/>
    <cellStyle name="_Tenaska Comparison_Power Costs - Comparison bx Rbtl-Staff-Jt-PC_Electric Rev Req Model (2009 GRC) Revised 01-18-2010_DEM-WP(C) ENERG10C--ctn Mid-C_042010 2010GRC 2" xfId="41756"/>
    <cellStyle name="_Tenaska Comparison_Power Costs - Comparison bx Rbtl-Staff-Jt-PC_Final Order Electric EXHIBIT A-1" xfId="2086"/>
    <cellStyle name="_Tenaska Comparison_Power Costs - Comparison bx Rbtl-Staff-Jt-PC_Final Order Electric EXHIBIT A-1 2" xfId="5449"/>
    <cellStyle name="_Tenaska Comparison_Power Costs - Comparison bx Rbtl-Staff-Jt-PC_Final Order Electric EXHIBIT A-1 2 2" xfId="8099"/>
    <cellStyle name="_Tenaska Comparison_Power Costs - Comparison bx Rbtl-Staff-Jt-PC_Final Order Electric EXHIBIT A-1 2 2 2" xfId="21424"/>
    <cellStyle name="_Tenaska Comparison_Power Costs - Comparison bx Rbtl-Staff-Jt-PC_Final Order Electric EXHIBIT A-1 2 3" xfId="18672"/>
    <cellStyle name="_Tenaska Comparison_Power Costs - Comparison bx Rbtl-Staff-Jt-PC_Final Order Electric EXHIBIT A-1 2 4" xfId="8098"/>
    <cellStyle name="_Tenaska Comparison_Power Costs - Comparison bx Rbtl-Staff-Jt-PC_Final Order Electric EXHIBIT A-1 3" xfId="8100"/>
    <cellStyle name="_Tenaska Comparison_Power Costs - Comparison bx Rbtl-Staff-Jt-PC_Final Order Electric EXHIBIT A-1 3 2" xfId="21425"/>
    <cellStyle name="_Tenaska Comparison_Power Costs - Comparison bx Rbtl-Staff-Jt-PC_Final Order Electric EXHIBIT A-1 3 2 2" xfId="28466"/>
    <cellStyle name="_Tenaska Comparison_Power Costs - Comparison bx Rbtl-Staff-Jt-PC_Final Order Electric EXHIBIT A-1 3 3" xfId="28467"/>
    <cellStyle name="_Tenaska Comparison_Power Costs - Comparison bx Rbtl-Staff-Jt-PC_Final Order Electric EXHIBIT A-1 4" xfId="17051"/>
    <cellStyle name="_Tenaska Comparison_Power Costs - Comparison bx Rbtl-Staff-Jt-PC_Final Order Electric EXHIBIT A-1 4 2" xfId="28468"/>
    <cellStyle name="_Tenaska Comparison_Power Costs - Comparison bx Rbtl-Staff-Jt-PC_Final Order Electric EXHIBIT A-1 5" xfId="28469"/>
    <cellStyle name="_Tenaska Comparison_Power Costs - Comparison bx Rbtl-Staff-Jt-PC_Final Order Electric EXHIBIT A-1 6" xfId="28470"/>
    <cellStyle name="_Tenaska Comparison_Power Costs - Comparison bx Rbtl-Staff-Jt-PC_Final Order Electric EXHIBIT A-1 7" xfId="8097"/>
    <cellStyle name="_Tenaska Comparison_Production Adj 4.37" xfId="8101"/>
    <cellStyle name="_Tenaska Comparison_Production Adj 4.37 2" xfId="8102"/>
    <cellStyle name="_Tenaska Comparison_Production Adj 4.37 2 2" xfId="8103"/>
    <cellStyle name="_Tenaska Comparison_Production Adj 4.37 2 2 2" xfId="21426"/>
    <cellStyle name="_Tenaska Comparison_Production Adj 4.37 2 3" xfId="18674"/>
    <cellStyle name="_Tenaska Comparison_Production Adj 4.37 3" xfId="8104"/>
    <cellStyle name="_Tenaska Comparison_Production Adj 4.37 3 2" xfId="21427"/>
    <cellStyle name="_Tenaska Comparison_Production Adj 4.37 4" xfId="18673"/>
    <cellStyle name="_Tenaska Comparison_Purchased Power Adj 4.03" xfId="8105"/>
    <cellStyle name="_Tenaska Comparison_Purchased Power Adj 4.03 2" xfId="8106"/>
    <cellStyle name="_Tenaska Comparison_Purchased Power Adj 4.03 2 2" xfId="8107"/>
    <cellStyle name="_Tenaska Comparison_Purchased Power Adj 4.03 2 2 2" xfId="21428"/>
    <cellStyle name="_Tenaska Comparison_Purchased Power Adj 4.03 2 3" xfId="18676"/>
    <cellStyle name="_Tenaska Comparison_Purchased Power Adj 4.03 3" xfId="8108"/>
    <cellStyle name="_Tenaska Comparison_Purchased Power Adj 4.03 3 2" xfId="21429"/>
    <cellStyle name="_Tenaska Comparison_Purchased Power Adj 4.03 4" xfId="18675"/>
    <cellStyle name="_Tenaska Comparison_Rebuttal Power Costs" xfId="2087"/>
    <cellStyle name="_Tenaska Comparison_Rebuttal Power Costs 2" xfId="2088"/>
    <cellStyle name="_Tenaska Comparison_Rebuttal Power Costs 2 2" xfId="5451"/>
    <cellStyle name="_Tenaska Comparison_Rebuttal Power Costs 2 2 2" xfId="21430"/>
    <cellStyle name="_Tenaska Comparison_Rebuttal Power Costs 2 2 2 2" xfId="28471"/>
    <cellStyle name="_Tenaska Comparison_Rebuttal Power Costs 2 2 3" xfId="8111"/>
    <cellStyle name="_Tenaska Comparison_Rebuttal Power Costs 2 3" xfId="17053"/>
    <cellStyle name="_Tenaska Comparison_Rebuttal Power Costs 2 3 2" xfId="28472"/>
    <cellStyle name="_Tenaska Comparison_Rebuttal Power Costs 2 4" xfId="28473"/>
    <cellStyle name="_Tenaska Comparison_Rebuttal Power Costs 2 4 2" xfId="28474"/>
    <cellStyle name="_Tenaska Comparison_Rebuttal Power Costs 2 5" xfId="8110"/>
    <cellStyle name="_Tenaska Comparison_Rebuttal Power Costs 3" xfId="5450"/>
    <cellStyle name="_Tenaska Comparison_Rebuttal Power Costs 3 2" xfId="21431"/>
    <cellStyle name="_Tenaska Comparison_Rebuttal Power Costs 3 2 2" xfId="28475"/>
    <cellStyle name="_Tenaska Comparison_Rebuttal Power Costs 3 3" xfId="28476"/>
    <cellStyle name="_Tenaska Comparison_Rebuttal Power Costs 3 4" xfId="8112"/>
    <cellStyle name="_Tenaska Comparison_Rebuttal Power Costs 4" xfId="17052"/>
    <cellStyle name="_Tenaska Comparison_Rebuttal Power Costs 4 2" xfId="28477"/>
    <cellStyle name="_Tenaska Comparison_Rebuttal Power Costs 4 2 2" xfId="28478"/>
    <cellStyle name="_Tenaska Comparison_Rebuttal Power Costs 4 3" xfId="28479"/>
    <cellStyle name="_Tenaska Comparison_Rebuttal Power Costs 5" xfId="28480"/>
    <cellStyle name="_Tenaska Comparison_Rebuttal Power Costs 5 2" xfId="28481"/>
    <cellStyle name="_Tenaska Comparison_Rebuttal Power Costs 6" xfId="28482"/>
    <cellStyle name="_Tenaska Comparison_Rebuttal Power Costs 6 2" xfId="28483"/>
    <cellStyle name="_Tenaska Comparison_Rebuttal Power Costs 7" xfId="8109"/>
    <cellStyle name="_Tenaska Comparison_Rebuttal Power Costs_Adj Bench DR 3 for Initial Briefs (Electric)" xfId="2089"/>
    <cellStyle name="_Tenaska Comparison_Rebuttal Power Costs_Adj Bench DR 3 for Initial Briefs (Electric) 2" xfId="2090"/>
    <cellStyle name="_Tenaska Comparison_Rebuttal Power Costs_Adj Bench DR 3 for Initial Briefs (Electric) 2 2" xfId="5453"/>
    <cellStyle name="_Tenaska Comparison_Rebuttal Power Costs_Adj Bench DR 3 for Initial Briefs (Electric) 2 2 2" xfId="21432"/>
    <cellStyle name="_Tenaska Comparison_Rebuttal Power Costs_Adj Bench DR 3 for Initial Briefs (Electric) 2 2 2 2" xfId="28484"/>
    <cellStyle name="_Tenaska Comparison_Rebuttal Power Costs_Adj Bench DR 3 for Initial Briefs (Electric) 2 2 3" xfId="8115"/>
    <cellStyle name="_Tenaska Comparison_Rebuttal Power Costs_Adj Bench DR 3 for Initial Briefs (Electric) 2 3" xfId="17055"/>
    <cellStyle name="_Tenaska Comparison_Rebuttal Power Costs_Adj Bench DR 3 for Initial Briefs (Electric) 2 3 2" xfId="28485"/>
    <cellStyle name="_Tenaska Comparison_Rebuttal Power Costs_Adj Bench DR 3 for Initial Briefs (Electric) 2 4" xfId="28486"/>
    <cellStyle name="_Tenaska Comparison_Rebuttal Power Costs_Adj Bench DR 3 for Initial Briefs (Electric) 2 4 2" xfId="28487"/>
    <cellStyle name="_Tenaska Comparison_Rebuttal Power Costs_Adj Bench DR 3 for Initial Briefs (Electric) 2 5" xfId="8114"/>
    <cellStyle name="_Tenaska Comparison_Rebuttal Power Costs_Adj Bench DR 3 for Initial Briefs (Electric) 3" xfId="5452"/>
    <cellStyle name="_Tenaska Comparison_Rebuttal Power Costs_Adj Bench DR 3 for Initial Briefs (Electric) 3 2" xfId="21433"/>
    <cellStyle name="_Tenaska Comparison_Rebuttal Power Costs_Adj Bench DR 3 for Initial Briefs (Electric) 3 2 2" xfId="28488"/>
    <cellStyle name="_Tenaska Comparison_Rebuttal Power Costs_Adj Bench DR 3 for Initial Briefs (Electric) 3 3" xfId="28489"/>
    <cellStyle name="_Tenaska Comparison_Rebuttal Power Costs_Adj Bench DR 3 for Initial Briefs (Electric) 3 4" xfId="8116"/>
    <cellStyle name="_Tenaska Comparison_Rebuttal Power Costs_Adj Bench DR 3 for Initial Briefs (Electric) 4" xfId="17054"/>
    <cellStyle name="_Tenaska Comparison_Rebuttal Power Costs_Adj Bench DR 3 for Initial Briefs (Electric) 4 2" xfId="28490"/>
    <cellStyle name="_Tenaska Comparison_Rebuttal Power Costs_Adj Bench DR 3 for Initial Briefs (Electric) 4 2 2" xfId="28491"/>
    <cellStyle name="_Tenaska Comparison_Rebuttal Power Costs_Adj Bench DR 3 for Initial Briefs (Electric) 4 3" xfId="28492"/>
    <cellStyle name="_Tenaska Comparison_Rebuttal Power Costs_Adj Bench DR 3 for Initial Briefs (Electric) 5" xfId="28493"/>
    <cellStyle name="_Tenaska Comparison_Rebuttal Power Costs_Adj Bench DR 3 for Initial Briefs (Electric) 5 2" xfId="28494"/>
    <cellStyle name="_Tenaska Comparison_Rebuttal Power Costs_Adj Bench DR 3 for Initial Briefs (Electric) 6" xfId="28495"/>
    <cellStyle name="_Tenaska Comparison_Rebuttal Power Costs_Adj Bench DR 3 for Initial Briefs (Electric) 6 2" xfId="28496"/>
    <cellStyle name="_Tenaska Comparison_Rebuttal Power Costs_Adj Bench DR 3 for Initial Briefs (Electric) 7" xfId="8113"/>
    <cellStyle name="_Tenaska Comparison_Rebuttal Power Costs_Adj Bench DR 3 for Initial Briefs (Electric)_DEM-WP(C) ENERG10C--ctn Mid-C_042010 2010GRC" xfId="13048"/>
    <cellStyle name="_Tenaska Comparison_Rebuttal Power Costs_Adj Bench DR 3 for Initial Briefs (Electric)_DEM-WP(C) ENERG10C--ctn Mid-C_042010 2010GRC 2" xfId="41757"/>
    <cellStyle name="_Tenaska Comparison_Rebuttal Power Costs_DEM-WP(C) ENERG10C--ctn Mid-C_042010 2010GRC" xfId="13049"/>
    <cellStyle name="_Tenaska Comparison_Rebuttal Power Costs_DEM-WP(C) ENERG10C--ctn Mid-C_042010 2010GRC 2" xfId="41758"/>
    <cellStyle name="_Tenaska Comparison_Rebuttal Power Costs_Electric Rev Req Model (2009 GRC) Rebuttal" xfId="2091"/>
    <cellStyle name="_Tenaska Comparison_Rebuttal Power Costs_Electric Rev Req Model (2009 GRC) Rebuttal 2" xfId="5454"/>
    <cellStyle name="_Tenaska Comparison_Rebuttal Power Costs_Electric Rev Req Model (2009 GRC) Rebuttal 2 2" xfId="8119"/>
    <cellStyle name="_Tenaska Comparison_Rebuttal Power Costs_Electric Rev Req Model (2009 GRC) Rebuttal 2 2 2" xfId="21434"/>
    <cellStyle name="_Tenaska Comparison_Rebuttal Power Costs_Electric Rev Req Model (2009 GRC) Rebuttal 2 3" xfId="18677"/>
    <cellStyle name="_Tenaska Comparison_Rebuttal Power Costs_Electric Rev Req Model (2009 GRC) Rebuttal 2 4" xfId="8118"/>
    <cellStyle name="_Tenaska Comparison_Rebuttal Power Costs_Electric Rev Req Model (2009 GRC) Rebuttal 3" xfId="8120"/>
    <cellStyle name="_Tenaska Comparison_Rebuttal Power Costs_Electric Rev Req Model (2009 GRC) Rebuttal 3 2" xfId="21435"/>
    <cellStyle name="_Tenaska Comparison_Rebuttal Power Costs_Electric Rev Req Model (2009 GRC) Rebuttal 4" xfId="17056"/>
    <cellStyle name="_Tenaska Comparison_Rebuttal Power Costs_Electric Rev Req Model (2009 GRC) Rebuttal 5" xfId="8117"/>
    <cellStyle name="_Tenaska Comparison_Rebuttal Power Costs_Electric Rev Req Model (2009 GRC) Rebuttal REmoval of New  WH Solar AdjustMI" xfId="2092"/>
    <cellStyle name="_Tenaska Comparison_Rebuttal Power Costs_Electric Rev Req Model (2009 GRC) Rebuttal REmoval of New  WH Solar AdjustMI 2" xfId="2093"/>
    <cellStyle name="_Tenaska Comparison_Rebuttal Power Costs_Electric Rev Req Model (2009 GRC) Rebuttal REmoval of New  WH Solar AdjustMI 2 2" xfId="5456"/>
    <cellStyle name="_Tenaska Comparison_Rebuttal Power Costs_Electric Rev Req Model (2009 GRC) Rebuttal REmoval of New  WH Solar AdjustMI 2 2 2" xfId="21436"/>
    <cellStyle name="_Tenaska Comparison_Rebuttal Power Costs_Electric Rev Req Model (2009 GRC) Rebuttal REmoval of New  WH Solar AdjustMI 2 2 2 2" xfId="28497"/>
    <cellStyle name="_Tenaska Comparison_Rebuttal Power Costs_Electric Rev Req Model (2009 GRC) Rebuttal REmoval of New  WH Solar AdjustMI 2 2 3" xfId="8123"/>
    <cellStyle name="_Tenaska Comparison_Rebuttal Power Costs_Electric Rev Req Model (2009 GRC) Rebuttal REmoval of New  WH Solar AdjustMI 2 3" xfId="17058"/>
    <cellStyle name="_Tenaska Comparison_Rebuttal Power Costs_Electric Rev Req Model (2009 GRC) Rebuttal REmoval of New  WH Solar AdjustMI 2 3 2" xfId="28498"/>
    <cellStyle name="_Tenaska Comparison_Rebuttal Power Costs_Electric Rev Req Model (2009 GRC) Rebuttal REmoval of New  WH Solar AdjustMI 2 4" xfId="28499"/>
    <cellStyle name="_Tenaska Comparison_Rebuttal Power Costs_Electric Rev Req Model (2009 GRC) Rebuttal REmoval of New  WH Solar AdjustMI 2 4 2" xfId="28500"/>
    <cellStyle name="_Tenaska Comparison_Rebuttal Power Costs_Electric Rev Req Model (2009 GRC) Rebuttal REmoval of New  WH Solar AdjustMI 2 5" xfId="8122"/>
    <cellStyle name="_Tenaska Comparison_Rebuttal Power Costs_Electric Rev Req Model (2009 GRC) Rebuttal REmoval of New  WH Solar AdjustMI 3" xfId="5455"/>
    <cellStyle name="_Tenaska Comparison_Rebuttal Power Costs_Electric Rev Req Model (2009 GRC) Rebuttal REmoval of New  WH Solar AdjustMI 3 2" xfId="21437"/>
    <cellStyle name="_Tenaska Comparison_Rebuttal Power Costs_Electric Rev Req Model (2009 GRC) Rebuttal REmoval of New  WH Solar AdjustMI 3 2 2" xfId="28501"/>
    <cellStyle name="_Tenaska Comparison_Rebuttal Power Costs_Electric Rev Req Model (2009 GRC) Rebuttal REmoval of New  WH Solar AdjustMI 3 3" xfId="28502"/>
    <cellStyle name="_Tenaska Comparison_Rebuttal Power Costs_Electric Rev Req Model (2009 GRC) Rebuttal REmoval of New  WH Solar AdjustMI 3 4" xfId="8124"/>
    <cellStyle name="_Tenaska Comparison_Rebuttal Power Costs_Electric Rev Req Model (2009 GRC) Rebuttal REmoval of New  WH Solar AdjustMI 4" xfId="17057"/>
    <cellStyle name="_Tenaska Comparison_Rebuttal Power Costs_Electric Rev Req Model (2009 GRC) Rebuttal REmoval of New  WH Solar AdjustMI 4 2" xfId="28503"/>
    <cellStyle name="_Tenaska Comparison_Rebuttal Power Costs_Electric Rev Req Model (2009 GRC) Rebuttal REmoval of New  WH Solar AdjustMI 4 2 2" xfId="28504"/>
    <cellStyle name="_Tenaska Comparison_Rebuttal Power Costs_Electric Rev Req Model (2009 GRC) Rebuttal REmoval of New  WH Solar AdjustMI 4 3" xfId="28505"/>
    <cellStyle name="_Tenaska Comparison_Rebuttal Power Costs_Electric Rev Req Model (2009 GRC) Rebuttal REmoval of New  WH Solar AdjustMI 5" xfId="28506"/>
    <cellStyle name="_Tenaska Comparison_Rebuttal Power Costs_Electric Rev Req Model (2009 GRC) Rebuttal REmoval of New  WH Solar AdjustMI 5 2" xfId="28507"/>
    <cellStyle name="_Tenaska Comparison_Rebuttal Power Costs_Electric Rev Req Model (2009 GRC) Rebuttal REmoval of New  WH Solar AdjustMI 6" xfId="28508"/>
    <cellStyle name="_Tenaska Comparison_Rebuttal Power Costs_Electric Rev Req Model (2009 GRC) Rebuttal REmoval of New  WH Solar AdjustMI 6 2" xfId="28509"/>
    <cellStyle name="_Tenaska Comparison_Rebuttal Power Costs_Electric Rev Req Model (2009 GRC) Rebuttal REmoval of New  WH Solar AdjustMI 7" xfId="8121"/>
    <cellStyle name="_Tenaska Comparison_Rebuttal Power Costs_Electric Rev Req Model (2009 GRC) Rebuttal REmoval of New  WH Solar AdjustMI_DEM-WP(C) ENERG10C--ctn Mid-C_042010 2010GRC" xfId="13050"/>
    <cellStyle name="_Tenaska Comparison_Rebuttal Power Costs_Electric Rev Req Model (2009 GRC) Rebuttal REmoval of New  WH Solar AdjustMI_DEM-WP(C) ENERG10C--ctn Mid-C_042010 2010GRC 2" xfId="41759"/>
    <cellStyle name="_Tenaska Comparison_Rebuttal Power Costs_Electric Rev Req Model (2009 GRC) Revised 01-18-2010" xfId="2094"/>
    <cellStyle name="_Tenaska Comparison_Rebuttal Power Costs_Electric Rev Req Model (2009 GRC) Revised 01-18-2010 2" xfId="2095"/>
    <cellStyle name="_Tenaska Comparison_Rebuttal Power Costs_Electric Rev Req Model (2009 GRC) Revised 01-18-2010 2 2" xfId="5458"/>
    <cellStyle name="_Tenaska Comparison_Rebuttal Power Costs_Electric Rev Req Model (2009 GRC) Revised 01-18-2010 2 2 2" xfId="21438"/>
    <cellStyle name="_Tenaska Comparison_Rebuttal Power Costs_Electric Rev Req Model (2009 GRC) Revised 01-18-2010 2 2 2 2" xfId="28510"/>
    <cellStyle name="_Tenaska Comparison_Rebuttal Power Costs_Electric Rev Req Model (2009 GRC) Revised 01-18-2010 2 2 3" xfId="8127"/>
    <cellStyle name="_Tenaska Comparison_Rebuttal Power Costs_Electric Rev Req Model (2009 GRC) Revised 01-18-2010 2 3" xfId="17060"/>
    <cellStyle name="_Tenaska Comparison_Rebuttal Power Costs_Electric Rev Req Model (2009 GRC) Revised 01-18-2010 2 3 2" xfId="28511"/>
    <cellStyle name="_Tenaska Comparison_Rebuttal Power Costs_Electric Rev Req Model (2009 GRC) Revised 01-18-2010 2 4" xfId="28512"/>
    <cellStyle name="_Tenaska Comparison_Rebuttal Power Costs_Electric Rev Req Model (2009 GRC) Revised 01-18-2010 2 4 2" xfId="28513"/>
    <cellStyle name="_Tenaska Comparison_Rebuttal Power Costs_Electric Rev Req Model (2009 GRC) Revised 01-18-2010 2 5" xfId="8126"/>
    <cellStyle name="_Tenaska Comparison_Rebuttal Power Costs_Electric Rev Req Model (2009 GRC) Revised 01-18-2010 3" xfId="5457"/>
    <cellStyle name="_Tenaska Comparison_Rebuttal Power Costs_Electric Rev Req Model (2009 GRC) Revised 01-18-2010 3 2" xfId="21439"/>
    <cellStyle name="_Tenaska Comparison_Rebuttal Power Costs_Electric Rev Req Model (2009 GRC) Revised 01-18-2010 3 2 2" xfId="28514"/>
    <cellStyle name="_Tenaska Comparison_Rebuttal Power Costs_Electric Rev Req Model (2009 GRC) Revised 01-18-2010 3 3" xfId="28515"/>
    <cellStyle name="_Tenaska Comparison_Rebuttal Power Costs_Electric Rev Req Model (2009 GRC) Revised 01-18-2010 3 4" xfId="8128"/>
    <cellStyle name="_Tenaska Comparison_Rebuttal Power Costs_Electric Rev Req Model (2009 GRC) Revised 01-18-2010 4" xfId="17059"/>
    <cellStyle name="_Tenaska Comparison_Rebuttal Power Costs_Electric Rev Req Model (2009 GRC) Revised 01-18-2010 4 2" xfId="28516"/>
    <cellStyle name="_Tenaska Comparison_Rebuttal Power Costs_Electric Rev Req Model (2009 GRC) Revised 01-18-2010 4 2 2" xfId="28517"/>
    <cellStyle name="_Tenaska Comparison_Rebuttal Power Costs_Electric Rev Req Model (2009 GRC) Revised 01-18-2010 4 3" xfId="28518"/>
    <cellStyle name="_Tenaska Comparison_Rebuttal Power Costs_Electric Rev Req Model (2009 GRC) Revised 01-18-2010 5" xfId="28519"/>
    <cellStyle name="_Tenaska Comparison_Rebuttal Power Costs_Electric Rev Req Model (2009 GRC) Revised 01-18-2010 5 2" xfId="28520"/>
    <cellStyle name="_Tenaska Comparison_Rebuttal Power Costs_Electric Rev Req Model (2009 GRC) Revised 01-18-2010 6" xfId="28521"/>
    <cellStyle name="_Tenaska Comparison_Rebuttal Power Costs_Electric Rev Req Model (2009 GRC) Revised 01-18-2010 6 2" xfId="28522"/>
    <cellStyle name="_Tenaska Comparison_Rebuttal Power Costs_Electric Rev Req Model (2009 GRC) Revised 01-18-2010 7" xfId="8125"/>
    <cellStyle name="_Tenaska Comparison_Rebuttal Power Costs_Electric Rev Req Model (2009 GRC) Revised 01-18-2010_DEM-WP(C) ENERG10C--ctn Mid-C_042010 2010GRC" xfId="13051"/>
    <cellStyle name="_Tenaska Comparison_Rebuttal Power Costs_Electric Rev Req Model (2009 GRC) Revised 01-18-2010_DEM-WP(C) ENERG10C--ctn Mid-C_042010 2010GRC 2" xfId="41760"/>
    <cellStyle name="_Tenaska Comparison_Rebuttal Power Costs_Final Order Electric EXHIBIT A-1" xfId="2096"/>
    <cellStyle name="_Tenaska Comparison_Rebuttal Power Costs_Final Order Electric EXHIBIT A-1 2" xfId="5459"/>
    <cellStyle name="_Tenaska Comparison_Rebuttal Power Costs_Final Order Electric EXHIBIT A-1 2 2" xfId="8131"/>
    <cellStyle name="_Tenaska Comparison_Rebuttal Power Costs_Final Order Electric EXHIBIT A-1 2 2 2" xfId="21440"/>
    <cellStyle name="_Tenaska Comparison_Rebuttal Power Costs_Final Order Electric EXHIBIT A-1 2 3" xfId="18678"/>
    <cellStyle name="_Tenaska Comparison_Rebuttal Power Costs_Final Order Electric EXHIBIT A-1 2 4" xfId="8130"/>
    <cellStyle name="_Tenaska Comparison_Rebuttal Power Costs_Final Order Electric EXHIBIT A-1 3" xfId="8132"/>
    <cellStyle name="_Tenaska Comparison_Rebuttal Power Costs_Final Order Electric EXHIBIT A-1 3 2" xfId="21441"/>
    <cellStyle name="_Tenaska Comparison_Rebuttal Power Costs_Final Order Electric EXHIBIT A-1 3 2 2" xfId="28523"/>
    <cellStyle name="_Tenaska Comparison_Rebuttal Power Costs_Final Order Electric EXHIBIT A-1 3 3" xfId="28524"/>
    <cellStyle name="_Tenaska Comparison_Rebuttal Power Costs_Final Order Electric EXHIBIT A-1 4" xfId="17061"/>
    <cellStyle name="_Tenaska Comparison_Rebuttal Power Costs_Final Order Electric EXHIBIT A-1 4 2" xfId="28525"/>
    <cellStyle name="_Tenaska Comparison_Rebuttal Power Costs_Final Order Electric EXHIBIT A-1 5" xfId="28526"/>
    <cellStyle name="_Tenaska Comparison_Rebuttal Power Costs_Final Order Electric EXHIBIT A-1 6" xfId="28527"/>
    <cellStyle name="_Tenaska Comparison_Rebuttal Power Costs_Final Order Electric EXHIBIT A-1 7" xfId="8129"/>
    <cellStyle name="_Tenaska Comparison_ROR 5.02" xfId="8133"/>
    <cellStyle name="_Tenaska Comparison_ROR 5.02 2" xfId="8134"/>
    <cellStyle name="_Tenaska Comparison_ROR 5.02 2 2" xfId="8135"/>
    <cellStyle name="_Tenaska Comparison_ROR 5.02 2 2 2" xfId="21442"/>
    <cellStyle name="_Tenaska Comparison_ROR 5.02 2 3" xfId="18680"/>
    <cellStyle name="_Tenaska Comparison_ROR 5.02 3" xfId="8136"/>
    <cellStyle name="_Tenaska Comparison_ROR 5.02 3 2" xfId="21443"/>
    <cellStyle name="_Tenaska Comparison_ROR 5.02 4" xfId="18679"/>
    <cellStyle name="_Tenaska Comparison_Transmission Workbook for May BOD" xfId="2097"/>
    <cellStyle name="_Tenaska Comparison_Transmission Workbook for May BOD 2" xfId="2098"/>
    <cellStyle name="_Tenaska Comparison_Transmission Workbook for May BOD 2 2" xfId="5461"/>
    <cellStyle name="_Tenaska Comparison_Transmission Workbook for May BOD 2 2 2" xfId="28528"/>
    <cellStyle name="_Tenaska Comparison_Transmission Workbook for May BOD 2 2 2 2" xfId="28529"/>
    <cellStyle name="_Tenaska Comparison_Transmission Workbook for May BOD 2 3" xfId="28530"/>
    <cellStyle name="_Tenaska Comparison_Transmission Workbook for May BOD 2 3 2" xfId="28531"/>
    <cellStyle name="_Tenaska Comparison_Transmission Workbook for May BOD 2 4" xfId="28532"/>
    <cellStyle name="_Tenaska Comparison_Transmission Workbook for May BOD 2 4 2" xfId="28533"/>
    <cellStyle name="_Tenaska Comparison_Transmission Workbook for May BOD 2 5" xfId="8138"/>
    <cellStyle name="_Tenaska Comparison_Transmission Workbook for May BOD 3" xfId="5460"/>
    <cellStyle name="_Tenaska Comparison_Transmission Workbook for May BOD 3 2" xfId="28534"/>
    <cellStyle name="_Tenaska Comparison_Transmission Workbook for May BOD 3 2 2" xfId="28535"/>
    <cellStyle name="_Tenaska Comparison_Transmission Workbook for May BOD 3 3" xfId="28536"/>
    <cellStyle name="_Tenaska Comparison_Transmission Workbook for May BOD 4" xfId="28537"/>
    <cellStyle name="_Tenaska Comparison_Transmission Workbook for May BOD 4 2" xfId="28538"/>
    <cellStyle name="_Tenaska Comparison_Transmission Workbook for May BOD 4 2 2" xfId="28539"/>
    <cellStyle name="_Tenaska Comparison_Transmission Workbook for May BOD 4 3" xfId="28540"/>
    <cellStyle name="_Tenaska Comparison_Transmission Workbook for May BOD 5" xfId="28541"/>
    <cellStyle name="_Tenaska Comparison_Transmission Workbook for May BOD 5 2" xfId="28542"/>
    <cellStyle name="_Tenaska Comparison_Transmission Workbook for May BOD 6" xfId="28543"/>
    <cellStyle name="_Tenaska Comparison_Transmission Workbook for May BOD 6 2" xfId="28544"/>
    <cellStyle name="_Tenaska Comparison_Transmission Workbook for May BOD 7" xfId="8137"/>
    <cellStyle name="_Tenaska Comparison_Transmission Workbook for May BOD_DEM-WP(C) ENERG10C--ctn Mid-C_042010 2010GRC" xfId="13052"/>
    <cellStyle name="_Tenaska Comparison_Transmission Workbook for May BOD_DEM-WP(C) ENERG10C--ctn Mid-C_042010 2010GRC 2" xfId="41761"/>
    <cellStyle name="_Tenaska Comparison_Wind Integration 10GRC" xfId="2099"/>
    <cellStyle name="_Tenaska Comparison_Wind Integration 10GRC 2" xfId="2100"/>
    <cellStyle name="_Tenaska Comparison_Wind Integration 10GRC 2 2" xfId="5463"/>
    <cellStyle name="_Tenaska Comparison_Wind Integration 10GRC 2 2 2" xfId="28545"/>
    <cellStyle name="_Tenaska Comparison_Wind Integration 10GRC 2 2 2 2" xfId="28546"/>
    <cellStyle name="_Tenaska Comparison_Wind Integration 10GRC 2 3" xfId="28547"/>
    <cellStyle name="_Tenaska Comparison_Wind Integration 10GRC 2 3 2" xfId="28548"/>
    <cellStyle name="_Tenaska Comparison_Wind Integration 10GRC 2 4" xfId="28549"/>
    <cellStyle name="_Tenaska Comparison_Wind Integration 10GRC 2 4 2" xfId="28550"/>
    <cellStyle name="_Tenaska Comparison_Wind Integration 10GRC 2 5" xfId="8140"/>
    <cellStyle name="_Tenaska Comparison_Wind Integration 10GRC 3" xfId="5462"/>
    <cellStyle name="_Tenaska Comparison_Wind Integration 10GRC 3 2" xfId="28551"/>
    <cellStyle name="_Tenaska Comparison_Wind Integration 10GRC 3 2 2" xfId="28552"/>
    <cellStyle name="_Tenaska Comparison_Wind Integration 10GRC 3 3" xfId="28553"/>
    <cellStyle name="_Tenaska Comparison_Wind Integration 10GRC 4" xfId="28554"/>
    <cellStyle name="_Tenaska Comparison_Wind Integration 10GRC 4 2" xfId="28555"/>
    <cellStyle name="_Tenaska Comparison_Wind Integration 10GRC 4 2 2" xfId="28556"/>
    <cellStyle name="_Tenaska Comparison_Wind Integration 10GRC 4 3" xfId="28557"/>
    <cellStyle name="_Tenaska Comparison_Wind Integration 10GRC 5" xfId="28558"/>
    <cellStyle name="_Tenaska Comparison_Wind Integration 10GRC 5 2" xfId="28559"/>
    <cellStyle name="_Tenaska Comparison_Wind Integration 10GRC 6" xfId="28560"/>
    <cellStyle name="_Tenaska Comparison_Wind Integration 10GRC 6 2" xfId="28561"/>
    <cellStyle name="_Tenaska Comparison_Wind Integration 10GRC 7" xfId="8139"/>
    <cellStyle name="_Tenaska Comparison_Wind Integration 10GRC_DEM-WP(C) ENERG10C--ctn Mid-C_042010 2010GRC" xfId="13053"/>
    <cellStyle name="_Tenaska Comparison_Wind Integration 10GRC_DEM-WP(C) ENERG10C--ctn Mid-C_042010 2010GRC 2" xfId="41762"/>
    <cellStyle name="_x0013__TENASKA REGULATORY ASSET" xfId="2101"/>
    <cellStyle name="_x0013__TENASKA REGULATORY ASSET 2" xfId="5464"/>
    <cellStyle name="_x0013__TENASKA REGULATORY ASSET 2 2" xfId="8141"/>
    <cellStyle name="_x0013__TENASKA REGULATORY ASSET 2 2 2" xfId="21444"/>
    <cellStyle name="_x0013__TENASKA REGULATORY ASSET 2 3" xfId="18681"/>
    <cellStyle name="_x0013__TENASKA REGULATORY ASSET 3" xfId="8142"/>
    <cellStyle name="_x0013__TENASKA REGULATORY ASSET 3 2" xfId="21445"/>
    <cellStyle name="_x0013__TENASKA REGULATORY ASSET 4" xfId="17062"/>
    <cellStyle name="_Therms Data" xfId="8143"/>
    <cellStyle name="_Therms Data 2" xfId="17837"/>
    <cellStyle name="_Therms Data_Pro Forma Rev 09 GRC" xfId="8144"/>
    <cellStyle name="_Therms Data_Pro Forma Rev 09 GRC 2" xfId="17838"/>
    <cellStyle name="_Therms Data_Pro Forma Rev 2010 GRC" xfId="8145"/>
    <cellStyle name="_Therms Data_Pro Forma Rev 2010 GRC 2" xfId="17839"/>
    <cellStyle name="_Therms Data_Pro Forma Rev 2010 GRC_Preliminary" xfId="8146"/>
    <cellStyle name="_Therms Data_Pro Forma Rev 2010 GRC_Preliminary 2" xfId="17840"/>
    <cellStyle name="_Therms Data_Revenue (Feb 09 - Jan 10)" xfId="8147"/>
    <cellStyle name="_Therms Data_Revenue (Feb 09 - Jan 10) 2" xfId="17841"/>
    <cellStyle name="_Therms Data_Revenue (Jan 09 - Dec 09)" xfId="8148"/>
    <cellStyle name="_Therms Data_Revenue (Jan 09 - Dec 09) 2" xfId="17842"/>
    <cellStyle name="_Therms Data_Revenue (Mar 09 - Feb 10)" xfId="8149"/>
    <cellStyle name="_Therms Data_Revenue (Mar 09 - Feb 10) 2" xfId="17843"/>
    <cellStyle name="_Therms Data_Volume Exhibit (Jan09 - Dec09)" xfId="8150"/>
    <cellStyle name="_Therms Data_Volume Exhibit (Jan09 - Dec09) 2" xfId="17844"/>
    <cellStyle name="_Value Copy 11 30 05 gas 12 09 05 AURORA at 12 14 05" xfId="2102"/>
    <cellStyle name="_Value Copy 11 30 05 gas 12 09 05 AURORA at 12 14 05 10" xfId="28562"/>
    <cellStyle name="_Value Copy 11 30 05 gas 12 09 05 AURORA at 12 14 05 10 2" xfId="28563"/>
    <cellStyle name="_Value Copy 11 30 05 gas 12 09 05 AURORA at 12 14 05 11" xfId="28564"/>
    <cellStyle name="_Value Copy 11 30 05 gas 12 09 05 AURORA at 12 14 05 11 2" xfId="28565"/>
    <cellStyle name="_Value Copy 11 30 05 gas 12 09 05 AURORA at 12 14 05 11 3" xfId="28566"/>
    <cellStyle name="_Value Copy 11 30 05 gas 12 09 05 AURORA at 12 14 05 12" xfId="8151"/>
    <cellStyle name="_Value Copy 11 30 05 gas 12 09 05 AURORA at 12 14 05 2" xfId="2103"/>
    <cellStyle name="_Value Copy 11 30 05 gas 12 09 05 AURORA at 12 14 05 2 2" xfId="2104"/>
    <cellStyle name="_Value Copy 11 30 05 gas 12 09 05 AURORA at 12 14 05 2 2 2" xfId="5467"/>
    <cellStyle name="_Value Copy 11 30 05 gas 12 09 05 AURORA at 12 14 05 2 2 2 2" xfId="21446"/>
    <cellStyle name="_Value Copy 11 30 05 gas 12 09 05 AURORA at 12 14 05 2 2 2 2 2" xfId="28567"/>
    <cellStyle name="_Value Copy 11 30 05 gas 12 09 05 AURORA at 12 14 05 2 2 2 3" xfId="8154"/>
    <cellStyle name="_Value Copy 11 30 05 gas 12 09 05 AURORA at 12 14 05 2 2 3" xfId="17064"/>
    <cellStyle name="_Value Copy 11 30 05 gas 12 09 05 AURORA at 12 14 05 2 2 3 2" xfId="28568"/>
    <cellStyle name="_Value Copy 11 30 05 gas 12 09 05 AURORA at 12 14 05 2 2 4" xfId="28569"/>
    <cellStyle name="_Value Copy 11 30 05 gas 12 09 05 AURORA at 12 14 05 2 2 4 2" xfId="28570"/>
    <cellStyle name="_Value Copy 11 30 05 gas 12 09 05 AURORA at 12 14 05 2 2 5" xfId="8153"/>
    <cellStyle name="_Value Copy 11 30 05 gas 12 09 05 AURORA at 12 14 05 2 3" xfId="5466"/>
    <cellStyle name="_Value Copy 11 30 05 gas 12 09 05 AURORA at 12 14 05 2 3 2" xfId="21447"/>
    <cellStyle name="_Value Copy 11 30 05 gas 12 09 05 AURORA at 12 14 05 2 3 2 2" xfId="28571"/>
    <cellStyle name="_Value Copy 11 30 05 gas 12 09 05 AURORA at 12 14 05 2 3 3" xfId="28572"/>
    <cellStyle name="_Value Copy 11 30 05 gas 12 09 05 AURORA at 12 14 05 2 3 4" xfId="8155"/>
    <cellStyle name="_Value Copy 11 30 05 gas 12 09 05 AURORA at 12 14 05 2 4" xfId="17063"/>
    <cellStyle name="_Value Copy 11 30 05 gas 12 09 05 AURORA at 12 14 05 2 4 2" xfId="28573"/>
    <cellStyle name="_Value Copy 11 30 05 gas 12 09 05 AURORA at 12 14 05 2 4 2 2" xfId="28574"/>
    <cellStyle name="_Value Copy 11 30 05 gas 12 09 05 AURORA at 12 14 05 2 4 3" xfId="28575"/>
    <cellStyle name="_Value Copy 11 30 05 gas 12 09 05 AURORA at 12 14 05 2 5" xfId="28576"/>
    <cellStyle name="_Value Copy 11 30 05 gas 12 09 05 AURORA at 12 14 05 2 5 2" xfId="28577"/>
    <cellStyle name="_Value Copy 11 30 05 gas 12 09 05 AURORA at 12 14 05 2 6" xfId="28578"/>
    <cellStyle name="_Value Copy 11 30 05 gas 12 09 05 AURORA at 12 14 05 2 6 2" xfId="28579"/>
    <cellStyle name="_Value Copy 11 30 05 gas 12 09 05 AURORA at 12 14 05 2 7" xfId="8152"/>
    <cellStyle name="_Value Copy 11 30 05 gas 12 09 05 AURORA at 12 14 05 3" xfId="2105"/>
    <cellStyle name="_Value Copy 11 30 05 gas 12 09 05 AURORA at 12 14 05 3 2" xfId="5468"/>
    <cellStyle name="_Value Copy 11 30 05 gas 12 09 05 AURORA at 12 14 05 3 2 2" xfId="21448"/>
    <cellStyle name="_Value Copy 11 30 05 gas 12 09 05 AURORA at 12 14 05 3 2 2 2" xfId="28580"/>
    <cellStyle name="_Value Copy 11 30 05 gas 12 09 05 AURORA at 12 14 05 3 2 3" xfId="28581"/>
    <cellStyle name="_Value Copy 11 30 05 gas 12 09 05 AURORA at 12 14 05 3 2 4" xfId="8157"/>
    <cellStyle name="_Value Copy 11 30 05 gas 12 09 05 AURORA at 12 14 05 3 3" xfId="17065"/>
    <cellStyle name="_Value Copy 11 30 05 gas 12 09 05 AURORA at 12 14 05 3 3 2" xfId="28582"/>
    <cellStyle name="_Value Copy 11 30 05 gas 12 09 05 AURORA at 12 14 05 3 3 2 2" xfId="28583"/>
    <cellStyle name="_Value Copy 11 30 05 gas 12 09 05 AURORA at 12 14 05 3 3 3" xfId="28584"/>
    <cellStyle name="_Value Copy 11 30 05 gas 12 09 05 AURORA at 12 14 05 3 4" xfId="28585"/>
    <cellStyle name="_Value Copy 11 30 05 gas 12 09 05 AURORA at 12 14 05 3 4 2" xfId="28586"/>
    <cellStyle name="_Value Copy 11 30 05 gas 12 09 05 AURORA at 12 14 05 3 5" xfId="28587"/>
    <cellStyle name="_Value Copy 11 30 05 gas 12 09 05 AURORA at 12 14 05 3 5 2" xfId="28588"/>
    <cellStyle name="_Value Copy 11 30 05 gas 12 09 05 AURORA at 12 14 05 3 6" xfId="8156"/>
    <cellStyle name="_Value Copy 11 30 05 gas 12 09 05 AURORA at 12 14 05 4" xfId="2106"/>
    <cellStyle name="_Value Copy 11 30 05 gas 12 09 05 AURORA at 12 14 05 4 2" xfId="2107"/>
    <cellStyle name="_Value Copy 11 30 05 gas 12 09 05 AURORA at 12 14 05 4 2 2" xfId="5470"/>
    <cellStyle name="_Value Copy 11 30 05 gas 12 09 05 AURORA at 12 14 05 4 2 2 2" xfId="28589"/>
    <cellStyle name="_Value Copy 11 30 05 gas 12 09 05 AURORA at 12 14 05 4 2 2 2 2" xfId="28590"/>
    <cellStyle name="_Value Copy 11 30 05 gas 12 09 05 AURORA at 12 14 05 4 2 3" xfId="28591"/>
    <cellStyle name="_Value Copy 11 30 05 gas 12 09 05 AURORA at 12 14 05 4 2 3 2" xfId="28592"/>
    <cellStyle name="_Value Copy 11 30 05 gas 12 09 05 AURORA at 12 14 05 4 2 4" xfId="28593"/>
    <cellStyle name="_Value Copy 11 30 05 gas 12 09 05 AURORA at 12 14 05 4 2 4 2" xfId="28594"/>
    <cellStyle name="_Value Copy 11 30 05 gas 12 09 05 AURORA at 12 14 05 4 2 5" xfId="8159"/>
    <cellStyle name="_Value Copy 11 30 05 gas 12 09 05 AURORA at 12 14 05 4 3" xfId="5469"/>
    <cellStyle name="_Value Copy 11 30 05 gas 12 09 05 AURORA at 12 14 05 4 3 2" xfId="28595"/>
    <cellStyle name="_Value Copy 11 30 05 gas 12 09 05 AURORA at 12 14 05 4 3 2 2" xfId="28596"/>
    <cellStyle name="_Value Copy 11 30 05 gas 12 09 05 AURORA at 12 14 05 4 3 3" xfId="28597"/>
    <cellStyle name="_Value Copy 11 30 05 gas 12 09 05 AURORA at 12 14 05 4 4" xfId="28598"/>
    <cellStyle name="_Value Copy 11 30 05 gas 12 09 05 AURORA at 12 14 05 4 4 2" xfId="28599"/>
    <cellStyle name="_Value Copy 11 30 05 gas 12 09 05 AURORA at 12 14 05 4 4 2 2" xfId="28600"/>
    <cellStyle name="_Value Copy 11 30 05 gas 12 09 05 AURORA at 12 14 05 4 4 3" xfId="28601"/>
    <cellStyle name="_Value Copy 11 30 05 gas 12 09 05 AURORA at 12 14 05 4 5" xfId="28602"/>
    <cellStyle name="_Value Copy 11 30 05 gas 12 09 05 AURORA at 12 14 05 4 5 2" xfId="28603"/>
    <cellStyle name="_Value Copy 11 30 05 gas 12 09 05 AURORA at 12 14 05 4 6" xfId="28604"/>
    <cellStyle name="_Value Copy 11 30 05 gas 12 09 05 AURORA at 12 14 05 4 6 2" xfId="28605"/>
    <cellStyle name="_Value Copy 11 30 05 gas 12 09 05 AURORA at 12 14 05 4 7" xfId="8158"/>
    <cellStyle name="_Value Copy 11 30 05 gas 12 09 05 AURORA at 12 14 05 5" xfId="5465"/>
    <cellStyle name="_Value Copy 11 30 05 gas 12 09 05 AURORA at 12 14 05 5 2" xfId="28606"/>
    <cellStyle name="_Value Copy 11 30 05 gas 12 09 05 AURORA at 12 14 05 5 2 2" xfId="28607"/>
    <cellStyle name="_Value Copy 11 30 05 gas 12 09 05 AURORA at 12 14 05 5 2 2 2" xfId="28608"/>
    <cellStyle name="_Value Copy 11 30 05 gas 12 09 05 AURORA at 12 14 05 5 2 2 2 2" xfId="28609"/>
    <cellStyle name="_Value Copy 11 30 05 gas 12 09 05 AURORA at 12 14 05 5 2 3" xfId="28610"/>
    <cellStyle name="_Value Copy 11 30 05 gas 12 09 05 AURORA at 12 14 05 5 2 3 2" xfId="28611"/>
    <cellStyle name="_Value Copy 11 30 05 gas 12 09 05 AURORA at 12 14 05 5 2 4" xfId="28612"/>
    <cellStyle name="_Value Copy 11 30 05 gas 12 09 05 AURORA at 12 14 05 5 2 4 2" xfId="28613"/>
    <cellStyle name="_Value Copy 11 30 05 gas 12 09 05 AURORA at 12 14 05 5 2 5" xfId="28614"/>
    <cellStyle name="_Value Copy 11 30 05 gas 12 09 05 AURORA at 12 14 05 5 3" xfId="28615"/>
    <cellStyle name="_Value Copy 11 30 05 gas 12 09 05 AURORA at 12 14 05 5 3 2" xfId="28616"/>
    <cellStyle name="_Value Copy 11 30 05 gas 12 09 05 AURORA at 12 14 05 5 3 2 2" xfId="28617"/>
    <cellStyle name="_Value Copy 11 30 05 gas 12 09 05 AURORA at 12 14 05 5 4" xfId="28618"/>
    <cellStyle name="_Value Copy 11 30 05 gas 12 09 05 AURORA at 12 14 05 5 4 2" xfId="28619"/>
    <cellStyle name="_Value Copy 11 30 05 gas 12 09 05 AURORA at 12 14 05 5 5" xfId="28620"/>
    <cellStyle name="_Value Copy 11 30 05 gas 12 09 05 AURORA at 12 14 05 5 5 2" xfId="28621"/>
    <cellStyle name="_Value Copy 11 30 05 gas 12 09 05 AURORA at 12 14 05 5 6" xfId="8160"/>
    <cellStyle name="_Value Copy 11 30 05 gas 12 09 05 AURORA at 12 14 05 6" xfId="13054"/>
    <cellStyle name="_Value Copy 11 30 05 gas 12 09 05 AURORA at 12 14 05 6 2" xfId="13055"/>
    <cellStyle name="_Value Copy 11 30 05 gas 12 09 05 AURORA at 12 14 05 6 2 2" xfId="28622"/>
    <cellStyle name="_Value Copy 11 30 05 gas 12 09 05 AURORA at 12 14 05 6 2 2 2" xfId="28623"/>
    <cellStyle name="_Value Copy 11 30 05 gas 12 09 05 AURORA at 12 14 05 6 3" xfId="28624"/>
    <cellStyle name="_Value Copy 11 30 05 gas 12 09 05 AURORA at 12 14 05 6 3 2" xfId="28625"/>
    <cellStyle name="_Value Copy 11 30 05 gas 12 09 05 AURORA at 12 14 05 6 4" xfId="28626"/>
    <cellStyle name="_Value Copy 11 30 05 gas 12 09 05 AURORA at 12 14 05 6 4 2" xfId="28627"/>
    <cellStyle name="_Value Copy 11 30 05 gas 12 09 05 AURORA at 12 14 05 7" xfId="13056"/>
    <cellStyle name="_Value Copy 11 30 05 gas 12 09 05 AURORA at 12 14 05 7 2" xfId="13057"/>
    <cellStyle name="_Value Copy 11 30 05 gas 12 09 05 AURORA at 12 14 05 7 2 2" xfId="28628"/>
    <cellStyle name="_Value Copy 11 30 05 gas 12 09 05 AURORA at 12 14 05 7 3" xfId="41763"/>
    <cellStyle name="_Value Copy 11 30 05 gas 12 09 05 AURORA at 12 14 05 8" xfId="28629"/>
    <cellStyle name="_Value Copy 11 30 05 gas 12 09 05 AURORA at 12 14 05 8 2" xfId="28630"/>
    <cellStyle name="_Value Copy 11 30 05 gas 12 09 05 AURORA at 12 14 05 8 2 2" xfId="28631"/>
    <cellStyle name="_Value Copy 11 30 05 gas 12 09 05 AURORA at 12 14 05 8 3" xfId="28632"/>
    <cellStyle name="_Value Copy 11 30 05 gas 12 09 05 AURORA at 12 14 05 9" xfId="28633"/>
    <cellStyle name="_Value Copy 11 30 05 gas 12 09 05 AURORA at 12 14 05 9 2" xfId="28634"/>
    <cellStyle name="_Value Copy 11 30 05 gas 12 09 05 AURORA at 12 14 05 9 2 2" xfId="28635"/>
    <cellStyle name="_Value Copy 11 30 05 gas 12 09 05 AURORA at 12 14 05 9 2 2 2" xfId="28636"/>
    <cellStyle name="_Value Copy 11 30 05 gas 12 09 05 AURORA at 12 14 05 9 2 3" xfId="28637"/>
    <cellStyle name="_Value Copy 11 30 05 gas 12 09 05 AURORA at 12 14 05 9 3" xfId="28638"/>
    <cellStyle name="_Value Copy 11 30 05 gas 12 09 05 AURORA at 12 14 05 9 3 2" xfId="28639"/>
    <cellStyle name="_Value Copy 11 30 05 gas 12 09 05 AURORA at 12 14 05 9 4" xfId="28640"/>
    <cellStyle name="_Value Copy 11 30 05 gas 12 09 05 AURORA at 12 14 05_04 07E Wild Horse Wind Expansion (C) (2)" xfId="2108"/>
    <cellStyle name="_Value Copy 11 30 05 gas 12 09 05 AURORA at 12 14 05_04 07E Wild Horse Wind Expansion (C) (2) 2" xfId="2109"/>
    <cellStyle name="_Value Copy 11 30 05 gas 12 09 05 AURORA at 12 14 05_04 07E Wild Horse Wind Expansion (C) (2) 2 2" xfId="5472"/>
    <cellStyle name="_Value Copy 11 30 05 gas 12 09 05 AURORA at 12 14 05_04 07E Wild Horse Wind Expansion (C) (2) 2 2 2" xfId="21449"/>
    <cellStyle name="_Value Copy 11 30 05 gas 12 09 05 AURORA at 12 14 05_04 07E Wild Horse Wind Expansion (C) (2) 2 2 2 2" xfId="28641"/>
    <cellStyle name="_Value Copy 11 30 05 gas 12 09 05 AURORA at 12 14 05_04 07E Wild Horse Wind Expansion (C) (2) 2 2 3" xfId="8163"/>
    <cellStyle name="_Value Copy 11 30 05 gas 12 09 05 AURORA at 12 14 05_04 07E Wild Horse Wind Expansion (C) (2) 2 3" xfId="17067"/>
    <cellStyle name="_Value Copy 11 30 05 gas 12 09 05 AURORA at 12 14 05_04 07E Wild Horse Wind Expansion (C) (2) 2 3 2" xfId="28642"/>
    <cellStyle name="_Value Copy 11 30 05 gas 12 09 05 AURORA at 12 14 05_04 07E Wild Horse Wind Expansion (C) (2) 2 4" xfId="28643"/>
    <cellStyle name="_Value Copy 11 30 05 gas 12 09 05 AURORA at 12 14 05_04 07E Wild Horse Wind Expansion (C) (2) 2 4 2" xfId="28644"/>
    <cellStyle name="_Value Copy 11 30 05 gas 12 09 05 AURORA at 12 14 05_04 07E Wild Horse Wind Expansion (C) (2) 2 5" xfId="8162"/>
    <cellStyle name="_Value Copy 11 30 05 gas 12 09 05 AURORA at 12 14 05_04 07E Wild Horse Wind Expansion (C) (2) 3" xfId="5471"/>
    <cellStyle name="_Value Copy 11 30 05 gas 12 09 05 AURORA at 12 14 05_04 07E Wild Horse Wind Expansion (C) (2) 3 2" xfId="21450"/>
    <cellStyle name="_Value Copy 11 30 05 gas 12 09 05 AURORA at 12 14 05_04 07E Wild Horse Wind Expansion (C) (2) 3 2 2" xfId="28645"/>
    <cellStyle name="_Value Copy 11 30 05 gas 12 09 05 AURORA at 12 14 05_04 07E Wild Horse Wind Expansion (C) (2) 3 3" xfId="28646"/>
    <cellStyle name="_Value Copy 11 30 05 gas 12 09 05 AURORA at 12 14 05_04 07E Wild Horse Wind Expansion (C) (2) 3 4" xfId="8164"/>
    <cellStyle name="_Value Copy 11 30 05 gas 12 09 05 AURORA at 12 14 05_04 07E Wild Horse Wind Expansion (C) (2) 4" xfId="17066"/>
    <cellStyle name="_Value Copy 11 30 05 gas 12 09 05 AURORA at 12 14 05_04 07E Wild Horse Wind Expansion (C) (2) 4 2" xfId="28647"/>
    <cellStyle name="_Value Copy 11 30 05 gas 12 09 05 AURORA at 12 14 05_04 07E Wild Horse Wind Expansion (C) (2) 4 2 2" xfId="28648"/>
    <cellStyle name="_Value Copy 11 30 05 gas 12 09 05 AURORA at 12 14 05_04 07E Wild Horse Wind Expansion (C) (2) 4 3" xfId="28649"/>
    <cellStyle name="_Value Copy 11 30 05 gas 12 09 05 AURORA at 12 14 05_04 07E Wild Horse Wind Expansion (C) (2) 5" xfId="28650"/>
    <cellStyle name="_Value Copy 11 30 05 gas 12 09 05 AURORA at 12 14 05_04 07E Wild Horse Wind Expansion (C) (2) 5 2" xfId="28651"/>
    <cellStyle name="_Value Copy 11 30 05 gas 12 09 05 AURORA at 12 14 05_04 07E Wild Horse Wind Expansion (C) (2) 6" xfId="28652"/>
    <cellStyle name="_Value Copy 11 30 05 gas 12 09 05 AURORA at 12 14 05_04 07E Wild Horse Wind Expansion (C) (2) 6 2" xfId="28653"/>
    <cellStyle name="_Value Copy 11 30 05 gas 12 09 05 AURORA at 12 14 05_04 07E Wild Horse Wind Expansion (C) (2) 7" xfId="8161"/>
    <cellStyle name="_Value Copy 11 30 05 gas 12 09 05 AURORA at 12 14 05_04 07E Wild Horse Wind Expansion (C) (2)_Adj Bench DR 3 for Initial Briefs (Electric)" xfId="2110"/>
    <cellStyle name="_Value Copy 11 30 05 gas 12 09 05 AURORA at 12 14 05_04 07E Wild Horse Wind Expansion (C) (2)_Adj Bench DR 3 for Initial Briefs (Electric) 2" xfId="2111"/>
    <cellStyle name="_Value Copy 11 30 05 gas 12 09 05 AURORA at 12 14 05_04 07E Wild Horse Wind Expansion (C) (2)_Adj Bench DR 3 for Initial Briefs (Electric) 2 2" xfId="5474"/>
    <cellStyle name="_Value Copy 11 30 05 gas 12 09 05 AURORA at 12 14 05_04 07E Wild Horse Wind Expansion (C) (2)_Adj Bench DR 3 for Initial Briefs (Electric) 2 2 2" xfId="21451"/>
    <cellStyle name="_Value Copy 11 30 05 gas 12 09 05 AURORA at 12 14 05_04 07E Wild Horse Wind Expansion (C) (2)_Adj Bench DR 3 for Initial Briefs (Electric) 2 2 2 2" xfId="28654"/>
    <cellStyle name="_Value Copy 11 30 05 gas 12 09 05 AURORA at 12 14 05_04 07E Wild Horse Wind Expansion (C) (2)_Adj Bench DR 3 for Initial Briefs (Electric) 2 2 3" xfId="8167"/>
    <cellStyle name="_Value Copy 11 30 05 gas 12 09 05 AURORA at 12 14 05_04 07E Wild Horse Wind Expansion (C) (2)_Adj Bench DR 3 for Initial Briefs (Electric) 2 3" xfId="17069"/>
    <cellStyle name="_Value Copy 11 30 05 gas 12 09 05 AURORA at 12 14 05_04 07E Wild Horse Wind Expansion (C) (2)_Adj Bench DR 3 for Initial Briefs (Electric) 2 3 2" xfId="28655"/>
    <cellStyle name="_Value Copy 11 30 05 gas 12 09 05 AURORA at 12 14 05_04 07E Wild Horse Wind Expansion (C) (2)_Adj Bench DR 3 for Initial Briefs (Electric) 2 4" xfId="28656"/>
    <cellStyle name="_Value Copy 11 30 05 gas 12 09 05 AURORA at 12 14 05_04 07E Wild Horse Wind Expansion (C) (2)_Adj Bench DR 3 for Initial Briefs (Electric) 2 4 2" xfId="28657"/>
    <cellStyle name="_Value Copy 11 30 05 gas 12 09 05 AURORA at 12 14 05_04 07E Wild Horse Wind Expansion (C) (2)_Adj Bench DR 3 for Initial Briefs (Electric) 2 5" xfId="8166"/>
    <cellStyle name="_Value Copy 11 30 05 gas 12 09 05 AURORA at 12 14 05_04 07E Wild Horse Wind Expansion (C) (2)_Adj Bench DR 3 for Initial Briefs (Electric) 3" xfId="5473"/>
    <cellStyle name="_Value Copy 11 30 05 gas 12 09 05 AURORA at 12 14 05_04 07E Wild Horse Wind Expansion (C) (2)_Adj Bench DR 3 for Initial Briefs (Electric) 3 2" xfId="21452"/>
    <cellStyle name="_Value Copy 11 30 05 gas 12 09 05 AURORA at 12 14 05_04 07E Wild Horse Wind Expansion (C) (2)_Adj Bench DR 3 for Initial Briefs (Electric) 3 2 2" xfId="28658"/>
    <cellStyle name="_Value Copy 11 30 05 gas 12 09 05 AURORA at 12 14 05_04 07E Wild Horse Wind Expansion (C) (2)_Adj Bench DR 3 for Initial Briefs (Electric) 3 3" xfId="28659"/>
    <cellStyle name="_Value Copy 11 30 05 gas 12 09 05 AURORA at 12 14 05_04 07E Wild Horse Wind Expansion (C) (2)_Adj Bench DR 3 for Initial Briefs (Electric) 3 4" xfId="8168"/>
    <cellStyle name="_Value Copy 11 30 05 gas 12 09 05 AURORA at 12 14 05_04 07E Wild Horse Wind Expansion (C) (2)_Adj Bench DR 3 for Initial Briefs (Electric) 4" xfId="17068"/>
    <cellStyle name="_Value Copy 11 30 05 gas 12 09 05 AURORA at 12 14 05_04 07E Wild Horse Wind Expansion (C) (2)_Adj Bench DR 3 for Initial Briefs (Electric) 4 2" xfId="28660"/>
    <cellStyle name="_Value Copy 11 30 05 gas 12 09 05 AURORA at 12 14 05_04 07E Wild Horse Wind Expansion (C) (2)_Adj Bench DR 3 for Initial Briefs (Electric) 4 2 2" xfId="28661"/>
    <cellStyle name="_Value Copy 11 30 05 gas 12 09 05 AURORA at 12 14 05_04 07E Wild Horse Wind Expansion (C) (2)_Adj Bench DR 3 for Initial Briefs (Electric) 4 3" xfId="28662"/>
    <cellStyle name="_Value Copy 11 30 05 gas 12 09 05 AURORA at 12 14 05_04 07E Wild Horse Wind Expansion (C) (2)_Adj Bench DR 3 for Initial Briefs (Electric) 5" xfId="28663"/>
    <cellStyle name="_Value Copy 11 30 05 gas 12 09 05 AURORA at 12 14 05_04 07E Wild Horse Wind Expansion (C) (2)_Adj Bench DR 3 for Initial Briefs (Electric) 5 2" xfId="28664"/>
    <cellStyle name="_Value Copy 11 30 05 gas 12 09 05 AURORA at 12 14 05_04 07E Wild Horse Wind Expansion (C) (2)_Adj Bench DR 3 for Initial Briefs (Electric) 6" xfId="28665"/>
    <cellStyle name="_Value Copy 11 30 05 gas 12 09 05 AURORA at 12 14 05_04 07E Wild Horse Wind Expansion (C) (2)_Adj Bench DR 3 for Initial Briefs (Electric) 6 2" xfId="28666"/>
    <cellStyle name="_Value Copy 11 30 05 gas 12 09 05 AURORA at 12 14 05_04 07E Wild Horse Wind Expansion (C) (2)_Adj Bench DR 3 for Initial Briefs (Electric) 7" xfId="8165"/>
    <cellStyle name="_Value Copy 11 30 05 gas 12 09 05 AURORA at 12 14 05_04 07E Wild Horse Wind Expansion (C) (2)_Adj Bench DR 3 for Initial Briefs (Electric)_DEM-WP(C) ENERG10C--ctn Mid-C_042010 2010GRC" xfId="13058"/>
    <cellStyle name="_Value Copy 11 30 05 gas 12 09 05 AURORA at 12 14 05_04 07E Wild Horse Wind Expansion (C) (2)_Adj Bench DR 3 for Initial Briefs (Electric)_DEM-WP(C) ENERG10C--ctn Mid-C_042010 2010GRC 2" xfId="41764"/>
    <cellStyle name="_Value Copy 11 30 05 gas 12 09 05 AURORA at 12 14 05_04 07E Wild Horse Wind Expansion (C) (2)_Book1" xfId="14287"/>
    <cellStyle name="_Value Copy 11 30 05 gas 12 09 05 AURORA at 12 14 05_04 07E Wild Horse Wind Expansion (C) (2)_Book1 2" xfId="41765"/>
    <cellStyle name="_Value Copy 11 30 05 gas 12 09 05 AURORA at 12 14 05_04 07E Wild Horse Wind Expansion (C) (2)_DEM-WP(C) ENERG10C--ctn Mid-C_042010 2010GRC" xfId="13059"/>
    <cellStyle name="_Value Copy 11 30 05 gas 12 09 05 AURORA at 12 14 05_04 07E Wild Horse Wind Expansion (C) (2)_DEM-WP(C) ENERG10C--ctn Mid-C_042010 2010GRC 2" xfId="41766"/>
    <cellStyle name="_Value Copy 11 30 05 gas 12 09 05 AURORA at 12 14 05_04 07E Wild Horse Wind Expansion (C) (2)_Electric Rev Req Model (2009 GRC) " xfId="2112"/>
    <cellStyle name="_Value Copy 11 30 05 gas 12 09 05 AURORA at 12 14 05_04 07E Wild Horse Wind Expansion (C) (2)_Electric Rev Req Model (2009 GRC)  2" xfId="2113"/>
    <cellStyle name="_Value Copy 11 30 05 gas 12 09 05 AURORA at 12 14 05_04 07E Wild Horse Wind Expansion (C) (2)_Electric Rev Req Model (2009 GRC)  2 2" xfId="5476"/>
    <cellStyle name="_Value Copy 11 30 05 gas 12 09 05 AURORA at 12 14 05_04 07E Wild Horse Wind Expansion (C) (2)_Electric Rev Req Model (2009 GRC)  2 2 2" xfId="21453"/>
    <cellStyle name="_Value Copy 11 30 05 gas 12 09 05 AURORA at 12 14 05_04 07E Wild Horse Wind Expansion (C) (2)_Electric Rev Req Model (2009 GRC)  2 2 2 2" xfId="28667"/>
    <cellStyle name="_Value Copy 11 30 05 gas 12 09 05 AURORA at 12 14 05_04 07E Wild Horse Wind Expansion (C) (2)_Electric Rev Req Model (2009 GRC)  2 2 3" xfId="8171"/>
    <cellStyle name="_Value Copy 11 30 05 gas 12 09 05 AURORA at 12 14 05_04 07E Wild Horse Wind Expansion (C) (2)_Electric Rev Req Model (2009 GRC)  2 3" xfId="17071"/>
    <cellStyle name="_Value Copy 11 30 05 gas 12 09 05 AURORA at 12 14 05_04 07E Wild Horse Wind Expansion (C) (2)_Electric Rev Req Model (2009 GRC)  2 3 2" xfId="28668"/>
    <cellStyle name="_Value Copy 11 30 05 gas 12 09 05 AURORA at 12 14 05_04 07E Wild Horse Wind Expansion (C) (2)_Electric Rev Req Model (2009 GRC)  2 4" xfId="28669"/>
    <cellStyle name="_Value Copy 11 30 05 gas 12 09 05 AURORA at 12 14 05_04 07E Wild Horse Wind Expansion (C) (2)_Electric Rev Req Model (2009 GRC)  2 4 2" xfId="28670"/>
    <cellStyle name="_Value Copy 11 30 05 gas 12 09 05 AURORA at 12 14 05_04 07E Wild Horse Wind Expansion (C) (2)_Electric Rev Req Model (2009 GRC)  2 5" xfId="8170"/>
    <cellStyle name="_Value Copy 11 30 05 gas 12 09 05 AURORA at 12 14 05_04 07E Wild Horse Wind Expansion (C) (2)_Electric Rev Req Model (2009 GRC)  3" xfId="5475"/>
    <cellStyle name="_Value Copy 11 30 05 gas 12 09 05 AURORA at 12 14 05_04 07E Wild Horse Wind Expansion (C) (2)_Electric Rev Req Model (2009 GRC)  3 2" xfId="21454"/>
    <cellStyle name="_Value Copy 11 30 05 gas 12 09 05 AURORA at 12 14 05_04 07E Wild Horse Wind Expansion (C) (2)_Electric Rev Req Model (2009 GRC)  3 2 2" xfId="28671"/>
    <cellStyle name="_Value Copy 11 30 05 gas 12 09 05 AURORA at 12 14 05_04 07E Wild Horse Wind Expansion (C) (2)_Electric Rev Req Model (2009 GRC)  3 3" xfId="28672"/>
    <cellStyle name="_Value Copy 11 30 05 gas 12 09 05 AURORA at 12 14 05_04 07E Wild Horse Wind Expansion (C) (2)_Electric Rev Req Model (2009 GRC)  3 4" xfId="8172"/>
    <cellStyle name="_Value Copy 11 30 05 gas 12 09 05 AURORA at 12 14 05_04 07E Wild Horse Wind Expansion (C) (2)_Electric Rev Req Model (2009 GRC)  4" xfId="17070"/>
    <cellStyle name="_Value Copy 11 30 05 gas 12 09 05 AURORA at 12 14 05_04 07E Wild Horse Wind Expansion (C) (2)_Electric Rev Req Model (2009 GRC)  4 2" xfId="28673"/>
    <cellStyle name="_Value Copy 11 30 05 gas 12 09 05 AURORA at 12 14 05_04 07E Wild Horse Wind Expansion (C) (2)_Electric Rev Req Model (2009 GRC)  4 2 2" xfId="28674"/>
    <cellStyle name="_Value Copy 11 30 05 gas 12 09 05 AURORA at 12 14 05_04 07E Wild Horse Wind Expansion (C) (2)_Electric Rev Req Model (2009 GRC)  4 3" xfId="28675"/>
    <cellStyle name="_Value Copy 11 30 05 gas 12 09 05 AURORA at 12 14 05_04 07E Wild Horse Wind Expansion (C) (2)_Electric Rev Req Model (2009 GRC)  5" xfId="28676"/>
    <cellStyle name="_Value Copy 11 30 05 gas 12 09 05 AURORA at 12 14 05_04 07E Wild Horse Wind Expansion (C) (2)_Electric Rev Req Model (2009 GRC)  5 2" xfId="28677"/>
    <cellStyle name="_Value Copy 11 30 05 gas 12 09 05 AURORA at 12 14 05_04 07E Wild Horse Wind Expansion (C) (2)_Electric Rev Req Model (2009 GRC)  6" xfId="28678"/>
    <cellStyle name="_Value Copy 11 30 05 gas 12 09 05 AURORA at 12 14 05_04 07E Wild Horse Wind Expansion (C) (2)_Electric Rev Req Model (2009 GRC)  6 2" xfId="28679"/>
    <cellStyle name="_Value Copy 11 30 05 gas 12 09 05 AURORA at 12 14 05_04 07E Wild Horse Wind Expansion (C) (2)_Electric Rev Req Model (2009 GRC)  7" xfId="8169"/>
    <cellStyle name="_Value Copy 11 30 05 gas 12 09 05 AURORA at 12 14 05_04 07E Wild Horse Wind Expansion (C) (2)_Electric Rev Req Model (2009 GRC) _DEM-WP(C) ENERG10C--ctn Mid-C_042010 2010GRC" xfId="13060"/>
    <cellStyle name="_Value Copy 11 30 05 gas 12 09 05 AURORA at 12 14 05_04 07E Wild Horse Wind Expansion (C) (2)_Electric Rev Req Model (2009 GRC) _DEM-WP(C) ENERG10C--ctn Mid-C_042010 2010GRC 2" xfId="41767"/>
    <cellStyle name="_Value Copy 11 30 05 gas 12 09 05 AURORA at 12 14 05_04 07E Wild Horse Wind Expansion (C) (2)_Electric Rev Req Model (2009 GRC) Rebuttal" xfId="2114"/>
    <cellStyle name="_Value Copy 11 30 05 gas 12 09 05 AURORA at 12 14 05_04 07E Wild Horse Wind Expansion (C) (2)_Electric Rev Req Model (2009 GRC) Rebuttal 2" xfId="5477"/>
    <cellStyle name="_Value Copy 11 30 05 gas 12 09 05 AURORA at 12 14 05_04 07E Wild Horse Wind Expansion (C) (2)_Electric Rev Req Model (2009 GRC) Rebuttal 2 2" xfId="8175"/>
    <cellStyle name="_Value Copy 11 30 05 gas 12 09 05 AURORA at 12 14 05_04 07E Wild Horse Wind Expansion (C) (2)_Electric Rev Req Model (2009 GRC) Rebuttal 2 2 2" xfId="21455"/>
    <cellStyle name="_Value Copy 11 30 05 gas 12 09 05 AURORA at 12 14 05_04 07E Wild Horse Wind Expansion (C) (2)_Electric Rev Req Model (2009 GRC) Rebuttal 2 3" xfId="18682"/>
    <cellStyle name="_Value Copy 11 30 05 gas 12 09 05 AURORA at 12 14 05_04 07E Wild Horse Wind Expansion (C) (2)_Electric Rev Req Model (2009 GRC) Rebuttal 2 4" xfId="8174"/>
    <cellStyle name="_Value Copy 11 30 05 gas 12 09 05 AURORA at 12 14 05_04 07E Wild Horse Wind Expansion (C) (2)_Electric Rev Req Model (2009 GRC) Rebuttal 3" xfId="8176"/>
    <cellStyle name="_Value Copy 11 30 05 gas 12 09 05 AURORA at 12 14 05_04 07E Wild Horse Wind Expansion (C) (2)_Electric Rev Req Model (2009 GRC) Rebuttal 3 2" xfId="21456"/>
    <cellStyle name="_Value Copy 11 30 05 gas 12 09 05 AURORA at 12 14 05_04 07E Wild Horse Wind Expansion (C) (2)_Electric Rev Req Model (2009 GRC) Rebuttal 4" xfId="17072"/>
    <cellStyle name="_Value Copy 11 30 05 gas 12 09 05 AURORA at 12 14 05_04 07E Wild Horse Wind Expansion (C) (2)_Electric Rev Req Model (2009 GRC) Rebuttal 5" xfId="8173"/>
    <cellStyle name="_Value Copy 11 30 05 gas 12 09 05 AURORA at 12 14 05_04 07E Wild Horse Wind Expansion (C) (2)_Electric Rev Req Model (2009 GRC) Rebuttal REmoval of New  WH Solar AdjustMI" xfId="2115"/>
    <cellStyle name="_Value Copy 11 30 05 gas 12 09 05 AURORA at 12 14 05_04 07E Wild Horse Wind Expansion (C) (2)_Electric Rev Req Model (2009 GRC) Rebuttal REmoval of New  WH Solar AdjustMI 2" xfId="2116"/>
    <cellStyle name="_Value Copy 11 30 05 gas 12 09 05 AURORA at 12 14 05_04 07E Wild Horse Wind Expansion (C) (2)_Electric Rev Req Model (2009 GRC) Rebuttal REmoval of New  WH Solar AdjustMI 2 2" xfId="5479"/>
    <cellStyle name="_Value Copy 11 30 05 gas 12 09 05 AURORA at 12 14 05_04 07E Wild Horse Wind Expansion (C) (2)_Electric Rev Req Model (2009 GRC) Rebuttal REmoval of New  WH Solar AdjustMI 2 2 2" xfId="21457"/>
    <cellStyle name="_Value Copy 11 30 05 gas 12 09 05 AURORA at 12 14 05_04 07E Wild Horse Wind Expansion (C) (2)_Electric Rev Req Model (2009 GRC) Rebuttal REmoval of New  WH Solar AdjustMI 2 2 2 2" xfId="28680"/>
    <cellStyle name="_Value Copy 11 30 05 gas 12 09 05 AURORA at 12 14 05_04 07E Wild Horse Wind Expansion (C) (2)_Electric Rev Req Model (2009 GRC) Rebuttal REmoval of New  WH Solar AdjustMI 2 2 3" xfId="8179"/>
    <cellStyle name="_Value Copy 11 30 05 gas 12 09 05 AURORA at 12 14 05_04 07E Wild Horse Wind Expansion (C) (2)_Electric Rev Req Model (2009 GRC) Rebuttal REmoval of New  WH Solar AdjustMI 2 3" xfId="17074"/>
    <cellStyle name="_Value Copy 11 30 05 gas 12 09 05 AURORA at 12 14 05_04 07E Wild Horse Wind Expansion (C) (2)_Electric Rev Req Model (2009 GRC) Rebuttal REmoval of New  WH Solar AdjustMI 2 3 2" xfId="28681"/>
    <cellStyle name="_Value Copy 11 30 05 gas 12 09 05 AURORA at 12 14 05_04 07E Wild Horse Wind Expansion (C) (2)_Electric Rev Req Model (2009 GRC) Rebuttal REmoval of New  WH Solar AdjustMI 2 4" xfId="28682"/>
    <cellStyle name="_Value Copy 11 30 05 gas 12 09 05 AURORA at 12 14 05_04 07E Wild Horse Wind Expansion (C) (2)_Electric Rev Req Model (2009 GRC) Rebuttal REmoval of New  WH Solar AdjustMI 2 4 2" xfId="28683"/>
    <cellStyle name="_Value Copy 11 30 05 gas 12 09 05 AURORA at 12 14 05_04 07E Wild Horse Wind Expansion (C) (2)_Electric Rev Req Model (2009 GRC) Rebuttal REmoval of New  WH Solar AdjustMI 2 5" xfId="8178"/>
    <cellStyle name="_Value Copy 11 30 05 gas 12 09 05 AURORA at 12 14 05_04 07E Wild Horse Wind Expansion (C) (2)_Electric Rev Req Model (2009 GRC) Rebuttal REmoval of New  WH Solar AdjustMI 3" xfId="5478"/>
    <cellStyle name="_Value Copy 11 30 05 gas 12 09 05 AURORA at 12 14 05_04 07E Wild Horse Wind Expansion (C) (2)_Electric Rev Req Model (2009 GRC) Rebuttal REmoval of New  WH Solar AdjustMI 3 2" xfId="21458"/>
    <cellStyle name="_Value Copy 11 30 05 gas 12 09 05 AURORA at 12 14 05_04 07E Wild Horse Wind Expansion (C) (2)_Electric Rev Req Model (2009 GRC) Rebuttal REmoval of New  WH Solar AdjustMI 3 2 2" xfId="28684"/>
    <cellStyle name="_Value Copy 11 30 05 gas 12 09 05 AURORA at 12 14 05_04 07E Wild Horse Wind Expansion (C) (2)_Electric Rev Req Model (2009 GRC) Rebuttal REmoval of New  WH Solar AdjustMI 3 3" xfId="28685"/>
    <cellStyle name="_Value Copy 11 30 05 gas 12 09 05 AURORA at 12 14 05_04 07E Wild Horse Wind Expansion (C) (2)_Electric Rev Req Model (2009 GRC) Rebuttal REmoval of New  WH Solar AdjustMI 3 4" xfId="8180"/>
    <cellStyle name="_Value Copy 11 30 05 gas 12 09 05 AURORA at 12 14 05_04 07E Wild Horse Wind Expansion (C) (2)_Electric Rev Req Model (2009 GRC) Rebuttal REmoval of New  WH Solar AdjustMI 4" xfId="17073"/>
    <cellStyle name="_Value Copy 11 30 05 gas 12 09 05 AURORA at 12 14 05_04 07E Wild Horse Wind Expansion (C) (2)_Electric Rev Req Model (2009 GRC) Rebuttal REmoval of New  WH Solar AdjustMI 4 2" xfId="28686"/>
    <cellStyle name="_Value Copy 11 30 05 gas 12 09 05 AURORA at 12 14 05_04 07E Wild Horse Wind Expansion (C) (2)_Electric Rev Req Model (2009 GRC) Rebuttal REmoval of New  WH Solar AdjustMI 4 2 2" xfId="28687"/>
    <cellStyle name="_Value Copy 11 30 05 gas 12 09 05 AURORA at 12 14 05_04 07E Wild Horse Wind Expansion (C) (2)_Electric Rev Req Model (2009 GRC) Rebuttal REmoval of New  WH Solar AdjustMI 4 3" xfId="28688"/>
    <cellStyle name="_Value Copy 11 30 05 gas 12 09 05 AURORA at 12 14 05_04 07E Wild Horse Wind Expansion (C) (2)_Electric Rev Req Model (2009 GRC) Rebuttal REmoval of New  WH Solar AdjustMI 5" xfId="28689"/>
    <cellStyle name="_Value Copy 11 30 05 gas 12 09 05 AURORA at 12 14 05_04 07E Wild Horse Wind Expansion (C) (2)_Electric Rev Req Model (2009 GRC) Rebuttal REmoval of New  WH Solar AdjustMI 5 2" xfId="28690"/>
    <cellStyle name="_Value Copy 11 30 05 gas 12 09 05 AURORA at 12 14 05_04 07E Wild Horse Wind Expansion (C) (2)_Electric Rev Req Model (2009 GRC) Rebuttal REmoval of New  WH Solar AdjustMI 6" xfId="28691"/>
    <cellStyle name="_Value Copy 11 30 05 gas 12 09 05 AURORA at 12 14 05_04 07E Wild Horse Wind Expansion (C) (2)_Electric Rev Req Model (2009 GRC) Rebuttal REmoval of New  WH Solar AdjustMI 6 2" xfId="28692"/>
    <cellStyle name="_Value Copy 11 30 05 gas 12 09 05 AURORA at 12 14 05_04 07E Wild Horse Wind Expansion (C) (2)_Electric Rev Req Model (2009 GRC) Rebuttal REmoval of New  WH Solar AdjustMI 7" xfId="8177"/>
    <cellStyle name="_Value Copy 11 30 05 gas 12 09 05 AURORA at 12 14 05_04 07E Wild Horse Wind Expansion (C) (2)_Electric Rev Req Model (2009 GRC) Rebuttal REmoval of New  WH Solar AdjustMI_DEM-WP(C) ENERG10C--ctn Mid-C_042010 2010GRC" xfId="13061"/>
    <cellStyle name="_Value Copy 11 30 05 gas 12 09 05 AURORA at 12 14 05_04 07E Wild Horse Wind Expansion (C) (2)_Electric Rev Req Model (2009 GRC) Rebuttal REmoval of New  WH Solar AdjustMI_DEM-WP(C) ENERG10C--ctn Mid-C_042010 2010GRC 2" xfId="41768"/>
    <cellStyle name="_Value Copy 11 30 05 gas 12 09 05 AURORA at 12 14 05_04 07E Wild Horse Wind Expansion (C) (2)_Electric Rev Req Model (2009 GRC) Revised 01-18-2010" xfId="2117"/>
    <cellStyle name="_Value Copy 11 30 05 gas 12 09 05 AURORA at 12 14 05_04 07E Wild Horse Wind Expansion (C) (2)_Electric Rev Req Model (2009 GRC) Revised 01-18-2010 2" xfId="2118"/>
    <cellStyle name="_Value Copy 11 30 05 gas 12 09 05 AURORA at 12 14 05_04 07E Wild Horse Wind Expansion (C) (2)_Electric Rev Req Model (2009 GRC) Revised 01-18-2010 2 2" xfId="5481"/>
    <cellStyle name="_Value Copy 11 30 05 gas 12 09 05 AURORA at 12 14 05_04 07E Wild Horse Wind Expansion (C) (2)_Electric Rev Req Model (2009 GRC) Revised 01-18-2010 2 2 2" xfId="21459"/>
    <cellStyle name="_Value Copy 11 30 05 gas 12 09 05 AURORA at 12 14 05_04 07E Wild Horse Wind Expansion (C) (2)_Electric Rev Req Model (2009 GRC) Revised 01-18-2010 2 2 2 2" xfId="28693"/>
    <cellStyle name="_Value Copy 11 30 05 gas 12 09 05 AURORA at 12 14 05_04 07E Wild Horse Wind Expansion (C) (2)_Electric Rev Req Model (2009 GRC) Revised 01-18-2010 2 2 3" xfId="8183"/>
    <cellStyle name="_Value Copy 11 30 05 gas 12 09 05 AURORA at 12 14 05_04 07E Wild Horse Wind Expansion (C) (2)_Electric Rev Req Model (2009 GRC) Revised 01-18-2010 2 3" xfId="17076"/>
    <cellStyle name="_Value Copy 11 30 05 gas 12 09 05 AURORA at 12 14 05_04 07E Wild Horse Wind Expansion (C) (2)_Electric Rev Req Model (2009 GRC) Revised 01-18-2010 2 3 2" xfId="28694"/>
    <cellStyle name="_Value Copy 11 30 05 gas 12 09 05 AURORA at 12 14 05_04 07E Wild Horse Wind Expansion (C) (2)_Electric Rev Req Model (2009 GRC) Revised 01-18-2010 2 4" xfId="28695"/>
    <cellStyle name="_Value Copy 11 30 05 gas 12 09 05 AURORA at 12 14 05_04 07E Wild Horse Wind Expansion (C) (2)_Electric Rev Req Model (2009 GRC) Revised 01-18-2010 2 4 2" xfId="28696"/>
    <cellStyle name="_Value Copy 11 30 05 gas 12 09 05 AURORA at 12 14 05_04 07E Wild Horse Wind Expansion (C) (2)_Electric Rev Req Model (2009 GRC) Revised 01-18-2010 2 5" xfId="8182"/>
    <cellStyle name="_Value Copy 11 30 05 gas 12 09 05 AURORA at 12 14 05_04 07E Wild Horse Wind Expansion (C) (2)_Electric Rev Req Model (2009 GRC) Revised 01-18-2010 3" xfId="5480"/>
    <cellStyle name="_Value Copy 11 30 05 gas 12 09 05 AURORA at 12 14 05_04 07E Wild Horse Wind Expansion (C) (2)_Electric Rev Req Model (2009 GRC) Revised 01-18-2010 3 2" xfId="21460"/>
    <cellStyle name="_Value Copy 11 30 05 gas 12 09 05 AURORA at 12 14 05_04 07E Wild Horse Wind Expansion (C) (2)_Electric Rev Req Model (2009 GRC) Revised 01-18-2010 3 2 2" xfId="28697"/>
    <cellStyle name="_Value Copy 11 30 05 gas 12 09 05 AURORA at 12 14 05_04 07E Wild Horse Wind Expansion (C) (2)_Electric Rev Req Model (2009 GRC) Revised 01-18-2010 3 3" xfId="28698"/>
    <cellStyle name="_Value Copy 11 30 05 gas 12 09 05 AURORA at 12 14 05_04 07E Wild Horse Wind Expansion (C) (2)_Electric Rev Req Model (2009 GRC) Revised 01-18-2010 3 4" xfId="8184"/>
    <cellStyle name="_Value Copy 11 30 05 gas 12 09 05 AURORA at 12 14 05_04 07E Wild Horse Wind Expansion (C) (2)_Electric Rev Req Model (2009 GRC) Revised 01-18-2010 4" xfId="17075"/>
    <cellStyle name="_Value Copy 11 30 05 gas 12 09 05 AURORA at 12 14 05_04 07E Wild Horse Wind Expansion (C) (2)_Electric Rev Req Model (2009 GRC) Revised 01-18-2010 4 2" xfId="28699"/>
    <cellStyle name="_Value Copy 11 30 05 gas 12 09 05 AURORA at 12 14 05_04 07E Wild Horse Wind Expansion (C) (2)_Electric Rev Req Model (2009 GRC) Revised 01-18-2010 4 2 2" xfId="28700"/>
    <cellStyle name="_Value Copy 11 30 05 gas 12 09 05 AURORA at 12 14 05_04 07E Wild Horse Wind Expansion (C) (2)_Electric Rev Req Model (2009 GRC) Revised 01-18-2010 4 3" xfId="28701"/>
    <cellStyle name="_Value Copy 11 30 05 gas 12 09 05 AURORA at 12 14 05_04 07E Wild Horse Wind Expansion (C) (2)_Electric Rev Req Model (2009 GRC) Revised 01-18-2010 5" xfId="28702"/>
    <cellStyle name="_Value Copy 11 30 05 gas 12 09 05 AURORA at 12 14 05_04 07E Wild Horse Wind Expansion (C) (2)_Electric Rev Req Model (2009 GRC) Revised 01-18-2010 5 2" xfId="28703"/>
    <cellStyle name="_Value Copy 11 30 05 gas 12 09 05 AURORA at 12 14 05_04 07E Wild Horse Wind Expansion (C) (2)_Electric Rev Req Model (2009 GRC) Revised 01-18-2010 6" xfId="28704"/>
    <cellStyle name="_Value Copy 11 30 05 gas 12 09 05 AURORA at 12 14 05_04 07E Wild Horse Wind Expansion (C) (2)_Electric Rev Req Model (2009 GRC) Revised 01-18-2010 6 2" xfId="28705"/>
    <cellStyle name="_Value Copy 11 30 05 gas 12 09 05 AURORA at 12 14 05_04 07E Wild Horse Wind Expansion (C) (2)_Electric Rev Req Model (2009 GRC) Revised 01-18-2010 7" xfId="8181"/>
    <cellStyle name="_Value Copy 11 30 05 gas 12 09 05 AURORA at 12 14 05_04 07E Wild Horse Wind Expansion (C) (2)_Electric Rev Req Model (2009 GRC) Revised 01-18-2010_DEM-WP(C) ENERG10C--ctn Mid-C_042010 2010GRC" xfId="13062"/>
    <cellStyle name="_Value Copy 11 30 05 gas 12 09 05 AURORA at 12 14 05_04 07E Wild Horse Wind Expansion (C) (2)_Electric Rev Req Model (2009 GRC) Revised 01-18-2010_DEM-WP(C) ENERG10C--ctn Mid-C_042010 2010GRC 2" xfId="41769"/>
    <cellStyle name="_Value Copy 11 30 05 gas 12 09 05 AURORA at 12 14 05_04 07E Wild Horse Wind Expansion (C) (2)_Electric Rev Req Model (2010 GRC)" xfId="14288"/>
    <cellStyle name="_Value Copy 11 30 05 gas 12 09 05 AURORA at 12 14 05_04 07E Wild Horse Wind Expansion (C) (2)_Electric Rev Req Model (2010 GRC) 2" xfId="41770"/>
    <cellStyle name="_Value Copy 11 30 05 gas 12 09 05 AURORA at 12 14 05_04 07E Wild Horse Wind Expansion (C) (2)_Electric Rev Req Model (2010 GRC) SF" xfId="14289"/>
    <cellStyle name="_Value Copy 11 30 05 gas 12 09 05 AURORA at 12 14 05_04 07E Wild Horse Wind Expansion (C) (2)_Electric Rev Req Model (2010 GRC) SF 2" xfId="41771"/>
    <cellStyle name="_Value Copy 11 30 05 gas 12 09 05 AURORA at 12 14 05_04 07E Wild Horse Wind Expansion (C) (2)_Final Order Electric EXHIBIT A-1" xfId="2119"/>
    <cellStyle name="_Value Copy 11 30 05 gas 12 09 05 AURORA at 12 14 05_04 07E Wild Horse Wind Expansion (C) (2)_Final Order Electric EXHIBIT A-1 2" xfId="5482"/>
    <cellStyle name="_Value Copy 11 30 05 gas 12 09 05 AURORA at 12 14 05_04 07E Wild Horse Wind Expansion (C) (2)_Final Order Electric EXHIBIT A-1 2 2" xfId="8187"/>
    <cellStyle name="_Value Copy 11 30 05 gas 12 09 05 AURORA at 12 14 05_04 07E Wild Horse Wind Expansion (C) (2)_Final Order Electric EXHIBIT A-1 2 2 2" xfId="21461"/>
    <cellStyle name="_Value Copy 11 30 05 gas 12 09 05 AURORA at 12 14 05_04 07E Wild Horse Wind Expansion (C) (2)_Final Order Electric EXHIBIT A-1 2 3" xfId="18683"/>
    <cellStyle name="_Value Copy 11 30 05 gas 12 09 05 AURORA at 12 14 05_04 07E Wild Horse Wind Expansion (C) (2)_Final Order Electric EXHIBIT A-1 2 4" xfId="8186"/>
    <cellStyle name="_Value Copy 11 30 05 gas 12 09 05 AURORA at 12 14 05_04 07E Wild Horse Wind Expansion (C) (2)_Final Order Electric EXHIBIT A-1 3" xfId="8188"/>
    <cellStyle name="_Value Copy 11 30 05 gas 12 09 05 AURORA at 12 14 05_04 07E Wild Horse Wind Expansion (C) (2)_Final Order Electric EXHIBIT A-1 3 2" xfId="21462"/>
    <cellStyle name="_Value Copy 11 30 05 gas 12 09 05 AURORA at 12 14 05_04 07E Wild Horse Wind Expansion (C) (2)_Final Order Electric EXHIBIT A-1 3 2 2" xfId="28706"/>
    <cellStyle name="_Value Copy 11 30 05 gas 12 09 05 AURORA at 12 14 05_04 07E Wild Horse Wind Expansion (C) (2)_Final Order Electric EXHIBIT A-1 3 3" xfId="28707"/>
    <cellStyle name="_Value Copy 11 30 05 gas 12 09 05 AURORA at 12 14 05_04 07E Wild Horse Wind Expansion (C) (2)_Final Order Electric EXHIBIT A-1 4" xfId="17077"/>
    <cellStyle name="_Value Copy 11 30 05 gas 12 09 05 AURORA at 12 14 05_04 07E Wild Horse Wind Expansion (C) (2)_Final Order Electric EXHIBIT A-1 4 2" xfId="28708"/>
    <cellStyle name="_Value Copy 11 30 05 gas 12 09 05 AURORA at 12 14 05_04 07E Wild Horse Wind Expansion (C) (2)_Final Order Electric EXHIBIT A-1 5" xfId="28709"/>
    <cellStyle name="_Value Copy 11 30 05 gas 12 09 05 AURORA at 12 14 05_04 07E Wild Horse Wind Expansion (C) (2)_Final Order Electric EXHIBIT A-1 6" xfId="28710"/>
    <cellStyle name="_Value Copy 11 30 05 gas 12 09 05 AURORA at 12 14 05_04 07E Wild Horse Wind Expansion (C) (2)_Final Order Electric EXHIBIT A-1 7" xfId="8185"/>
    <cellStyle name="_Value Copy 11 30 05 gas 12 09 05 AURORA at 12 14 05_04 07E Wild Horse Wind Expansion (C) (2)_TENASKA REGULATORY ASSET" xfId="2120"/>
    <cellStyle name="_Value Copy 11 30 05 gas 12 09 05 AURORA at 12 14 05_04 07E Wild Horse Wind Expansion (C) (2)_TENASKA REGULATORY ASSET 2" xfId="5483"/>
    <cellStyle name="_Value Copy 11 30 05 gas 12 09 05 AURORA at 12 14 05_04 07E Wild Horse Wind Expansion (C) (2)_TENASKA REGULATORY ASSET 2 2" xfId="8191"/>
    <cellStyle name="_Value Copy 11 30 05 gas 12 09 05 AURORA at 12 14 05_04 07E Wild Horse Wind Expansion (C) (2)_TENASKA REGULATORY ASSET 2 2 2" xfId="21463"/>
    <cellStyle name="_Value Copy 11 30 05 gas 12 09 05 AURORA at 12 14 05_04 07E Wild Horse Wind Expansion (C) (2)_TENASKA REGULATORY ASSET 2 3" xfId="18684"/>
    <cellStyle name="_Value Copy 11 30 05 gas 12 09 05 AURORA at 12 14 05_04 07E Wild Horse Wind Expansion (C) (2)_TENASKA REGULATORY ASSET 2 4" xfId="8190"/>
    <cellStyle name="_Value Copy 11 30 05 gas 12 09 05 AURORA at 12 14 05_04 07E Wild Horse Wind Expansion (C) (2)_TENASKA REGULATORY ASSET 3" xfId="8192"/>
    <cellStyle name="_Value Copy 11 30 05 gas 12 09 05 AURORA at 12 14 05_04 07E Wild Horse Wind Expansion (C) (2)_TENASKA REGULATORY ASSET 3 2" xfId="21464"/>
    <cellStyle name="_Value Copy 11 30 05 gas 12 09 05 AURORA at 12 14 05_04 07E Wild Horse Wind Expansion (C) (2)_TENASKA REGULATORY ASSET 3 2 2" xfId="28711"/>
    <cellStyle name="_Value Copy 11 30 05 gas 12 09 05 AURORA at 12 14 05_04 07E Wild Horse Wind Expansion (C) (2)_TENASKA REGULATORY ASSET 3 3" xfId="28712"/>
    <cellStyle name="_Value Copy 11 30 05 gas 12 09 05 AURORA at 12 14 05_04 07E Wild Horse Wind Expansion (C) (2)_TENASKA REGULATORY ASSET 4" xfId="17078"/>
    <cellStyle name="_Value Copy 11 30 05 gas 12 09 05 AURORA at 12 14 05_04 07E Wild Horse Wind Expansion (C) (2)_TENASKA REGULATORY ASSET 4 2" xfId="28713"/>
    <cellStyle name="_Value Copy 11 30 05 gas 12 09 05 AURORA at 12 14 05_04 07E Wild Horse Wind Expansion (C) (2)_TENASKA REGULATORY ASSET 5" xfId="28714"/>
    <cellStyle name="_Value Copy 11 30 05 gas 12 09 05 AURORA at 12 14 05_04 07E Wild Horse Wind Expansion (C) (2)_TENASKA REGULATORY ASSET 6" xfId="28715"/>
    <cellStyle name="_Value Copy 11 30 05 gas 12 09 05 AURORA at 12 14 05_04 07E Wild Horse Wind Expansion (C) (2)_TENASKA REGULATORY ASSET 7" xfId="8189"/>
    <cellStyle name="_Value Copy 11 30 05 gas 12 09 05 AURORA at 12 14 05_16.37E Wild Horse Expansion DeferralRevwrkingfile SF" xfId="2121"/>
    <cellStyle name="_Value Copy 11 30 05 gas 12 09 05 AURORA at 12 14 05_16.37E Wild Horse Expansion DeferralRevwrkingfile SF 2" xfId="2122"/>
    <cellStyle name="_Value Copy 11 30 05 gas 12 09 05 AURORA at 12 14 05_16.37E Wild Horse Expansion DeferralRevwrkingfile SF 2 2" xfId="5485"/>
    <cellStyle name="_Value Copy 11 30 05 gas 12 09 05 AURORA at 12 14 05_16.37E Wild Horse Expansion DeferralRevwrkingfile SF 2 2 2" xfId="21465"/>
    <cellStyle name="_Value Copy 11 30 05 gas 12 09 05 AURORA at 12 14 05_16.37E Wild Horse Expansion DeferralRevwrkingfile SF 2 2 2 2" xfId="28716"/>
    <cellStyle name="_Value Copy 11 30 05 gas 12 09 05 AURORA at 12 14 05_16.37E Wild Horse Expansion DeferralRevwrkingfile SF 2 2 3" xfId="8195"/>
    <cellStyle name="_Value Copy 11 30 05 gas 12 09 05 AURORA at 12 14 05_16.37E Wild Horse Expansion DeferralRevwrkingfile SF 2 3" xfId="17080"/>
    <cellStyle name="_Value Copy 11 30 05 gas 12 09 05 AURORA at 12 14 05_16.37E Wild Horse Expansion DeferralRevwrkingfile SF 2 3 2" xfId="28717"/>
    <cellStyle name="_Value Copy 11 30 05 gas 12 09 05 AURORA at 12 14 05_16.37E Wild Horse Expansion DeferralRevwrkingfile SF 2 4" xfId="28718"/>
    <cellStyle name="_Value Copy 11 30 05 gas 12 09 05 AURORA at 12 14 05_16.37E Wild Horse Expansion DeferralRevwrkingfile SF 2 4 2" xfId="28719"/>
    <cellStyle name="_Value Copy 11 30 05 gas 12 09 05 AURORA at 12 14 05_16.37E Wild Horse Expansion DeferralRevwrkingfile SF 2 5" xfId="8194"/>
    <cellStyle name="_Value Copy 11 30 05 gas 12 09 05 AURORA at 12 14 05_16.37E Wild Horse Expansion DeferralRevwrkingfile SF 3" xfId="5484"/>
    <cellStyle name="_Value Copy 11 30 05 gas 12 09 05 AURORA at 12 14 05_16.37E Wild Horse Expansion DeferralRevwrkingfile SF 3 2" xfId="21466"/>
    <cellStyle name="_Value Copy 11 30 05 gas 12 09 05 AURORA at 12 14 05_16.37E Wild Horse Expansion DeferralRevwrkingfile SF 3 2 2" xfId="28720"/>
    <cellStyle name="_Value Copy 11 30 05 gas 12 09 05 AURORA at 12 14 05_16.37E Wild Horse Expansion DeferralRevwrkingfile SF 3 3" xfId="28721"/>
    <cellStyle name="_Value Copy 11 30 05 gas 12 09 05 AURORA at 12 14 05_16.37E Wild Horse Expansion DeferralRevwrkingfile SF 3 4" xfId="8196"/>
    <cellStyle name="_Value Copy 11 30 05 gas 12 09 05 AURORA at 12 14 05_16.37E Wild Horse Expansion DeferralRevwrkingfile SF 4" xfId="17079"/>
    <cellStyle name="_Value Copy 11 30 05 gas 12 09 05 AURORA at 12 14 05_16.37E Wild Horse Expansion DeferralRevwrkingfile SF 4 2" xfId="28722"/>
    <cellStyle name="_Value Copy 11 30 05 gas 12 09 05 AURORA at 12 14 05_16.37E Wild Horse Expansion DeferralRevwrkingfile SF 4 2 2" xfId="28723"/>
    <cellStyle name="_Value Copy 11 30 05 gas 12 09 05 AURORA at 12 14 05_16.37E Wild Horse Expansion DeferralRevwrkingfile SF 4 3" xfId="28724"/>
    <cellStyle name="_Value Copy 11 30 05 gas 12 09 05 AURORA at 12 14 05_16.37E Wild Horse Expansion DeferralRevwrkingfile SF 5" xfId="28725"/>
    <cellStyle name="_Value Copy 11 30 05 gas 12 09 05 AURORA at 12 14 05_16.37E Wild Horse Expansion DeferralRevwrkingfile SF 5 2" xfId="28726"/>
    <cellStyle name="_Value Copy 11 30 05 gas 12 09 05 AURORA at 12 14 05_16.37E Wild Horse Expansion DeferralRevwrkingfile SF 6" xfId="28727"/>
    <cellStyle name="_Value Copy 11 30 05 gas 12 09 05 AURORA at 12 14 05_16.37E Wild Horse Expansion DeferralRevwrkingfile SF 6 2" xfId="28728"/>
    <cellStyle name="_Value Copy 11 30 05 gas 12 09 05 AURORA at 12 14 05_16.37E Wild Horse Expansion DeferralRevwrkingfile SF 7" xfId="8193"/>
    <cellStyle name="_Value Copy 11 30 05 gas 12 09 05 AURORA at 12 14 05_16.37E Wild Horse Expansion DeferralRevwrkingfile SF_DEM-WP(C) ENERG10C--ctn Mid-C_042010 2010GRC" xfId="13063"/>
    <cellStyle name="_Value Copy 11 30 05 gas 12 09 05 AURORA at 12 14 05_16.37E Wild Horse Expansion DeferralRevwrkingfile SF_DEM-WP(C) ENERG10C--ctn Mid-C_042010 2010GRC 2" xfId="41772"/>
    <cellStyle name="_Value Copy 11 30 05 gas 12 09 05 AURORA at 12 14 05_2009 Compliance Filing PCA Exhibits for GRC" xfId="14177"/>
    <cellStyle name="_Value Copy 11 30 05 gas 12 09 05 AURORA at 12 14 05_2009 Compliance Filing PCA Exhibits for GRC 2" xfId="15270"/>
    <cellStyle name="_Value Copy 11 30 05 gas 12 09 05 AURORA at 12 14 05_2009 Compliance Filing PCA Exhibits for GRC 2 2" xfId="41773"/>
    <cellStyle name="_Value Copy 11 30 05 gas 12 09 05 AURORA at 12 14 05_2009 Compliance Filing PCA Exhibits for GRC 3" xfId="41774"/>
    <cellStyle name="_Value Copy 11 30 05 gas 12 09 05 AURORA at 12 14 05_2009 GRC Compl Filing - Exhibit D" xfId="2123"/>
    <cellStyle name="_Value Copy 11 30 05 gas 12 09 05 AURORA at 12 14 05_2009 GRC Compl Filing - Exhibit D 2" xfId="2124"/>
    <cellStyle name="_Value Copy 11 30 05 gas 12 09 05 AURORA at 12 14 05_2009 GRC Compl Filing - Exhibit D 2 2" xfId="5487"/>
    <cellStyle name="_Value Copy 11 30 05 gas 12 09 05 AURORA at 12 14 05_2009 GRC Compl Filing - Exhibit D 2 2 2" xfId="28729"/>
    <cellStyle name="_Value Copy 11 30 05 gas 12 09 05 AURORA at 12 14 05_2009 GRC Compl Filing - Exhibit D 2 2 2 2" xfId="28730"/>
    <cellStyle name="_Value Copy 11 30 05 gas 12 09 05 AURORA at 12 14 05_2009 GRC Compl Filing - Exhibit D 2 3" xfId="28731"/>
    <cellStyle name="_Value Copy 11 30 05 gas 12 09 05 AURORA at 12 14 05_2009 GRC Compl Filing - Exhibit D 2 3 2" xfId="28732"/>
    <cellStyle name="_Value Copy 11 30 05 gas 12 09 05 AURORA at 12 14 05_2009 GRC Compl Filing - Exhibit D 2 4" xfId="28733"/>
    <cellStyle name="_Value Copy 11 30 05 gas 12 09 05 AURORA at 12 14 05_2009 GRC Compl Filing - Exhibit D 2 4 2" xfId="28734"/>
    <cellStyle name="_Value Copy 11 30 05 gas 12 09 05 AURORA at 12 14 05_2009 GRC Compl Filing - Exhibit D 2 5" xfId="8198"/>
    <cellStyle name="_Value Copy 11 30 05 gas 12 09 05 AURORA at 12 14 05_2009 GRC Compl Filing - Exhibit D 3" xfId="5486"/>
    <cellStyle name="_Value Copy 11 30 05 gas 12 09 05 AURORA at 12 14 05_2009 GRC Compl Filing - Exhibit D 3 2" xfId="28735"/>
    <cellStyle name="_Value Copy 11 30 05 gas 12 09 05 AURORA at 12 14 05_2009 GRC Compl Filing - Exhibit D 3 2 2" xfId="28736"/>
    <cellStyle name="_Value Copy 11 30 05 gas 12 09 05 AURORA at 12 14 05_2009 GRC Compl Filing - Exhibit D 3 3" xfId="28737"/>
    <cellStyle name="_Value Copy 11 30 05 gas 12 09 05 AURORA at 12 14 05_2009 GRC Compl Filing - Exhibit D 4" xfId="28738"/>
    <cellStyle name="_Value Copy 11 30 05 gas 12 09 05 AURORA at 12 14 05_2009 GRC Compl Filing - Exhibit D 4 2" xfId="28739"/>
    <cellStyle name="_Value Copy 11 30 05 gas 12 09 05 AURORA at 12 14 05_2009 GRC Compl Filing - Exhibit D 4 2 2" xfId="28740"/>
    <cellStyle name="_Value Copy 11 30 05 gas 12 09 05 AURORA at 12 14 05_2009 GRC Compl Filing - Exhibit D 4 3" xfId="28741"/>
    <cellStyle name="_Value Copy 11 30 05 gas 12 09 05 AURORA at 12 14 05_2009 GRC Compl Filing - Exhibit D 5" xfId="28742"/>
    <cellStyle name="_Value Copy 11 30 05 gas 12 09 05 AURORA at 12 14 05_2009 GRC Compl Filing - Exhibit D 5 2" xfId="28743"/>
    <cellStyle name="_Value Copy 11 30 05 gas 12 09 05 AURORA at 12 14 05_2009 GRC Compl Filing - Exhibit D 6" xfId="28744"/>
    <cellStyle name="_Value Copy 11 30 05 gas 12 09 05 AURORA at 12 14 05_2009 GRC Compl Filing - Exhibit D 6 2" xfId="28745"/>
    <cellStyle name="_Value Copy 11 30 05 gas 12 09 05 AURORA at 12 14 05_2009 GRC Compl Filing - Exhibit D 7" xfId="8197"/>
    <cellStyle name="_Value Copy 11 30 05 gas 12 09 05 AURORA at 12 14 05_2009 GRC Compl Filing - Exhibit D_DEM-WP(C) ENERG10C--ctn Mid-C_042010 2010GRC" xfId="13064"/>
    <cellStyle name="_Value Copy 11 30 05 gas 12 09 05 AURORA at 12 14 05_2009 GRC Compl Filing - Exhibit D_DEM-WP(C) ENERG10C--ctn Mid-C_042010 2010GRC 2" xfId="41775"/>
    <cellStyle name="_Value Copy 11 30 05 gas 12 09 05 AURORA at 12 14 05_3.01 Income Statement" xfId="14178"/>
    <cellStyle name="_Value Copy 11 30 05 gas 12 09 05 AURORA at 12 14 05_4 31 Regulatory Assets and Liabilities  7 06- Exhibit D" xfId="2125"/>
    <cellStyle name="_Value Copy 11 30 05 gas 12 09 05 AURORA at 12 14 05_4 31 Regulatory Assets and Liabilities  7 06- Exhibit D 2" xfId="2126"/>
    <cellStyle name="_Value Copy 11 30 05 gas 12 09 05 AURORA at 12 14 05_4 31 Regulatory Assets and Liabilities  7 06- Exhibit D 2 2" xfId="5489"/>
    <cellStyle name="_Value Copy 11 30 05 gas 12 09 05 AURORA at 12 14 05_4 31 Regulatory Assets and Liabilities  7 06- Exhibit D 2 2 2" xfId="21467"/>
    <cellStyle name="_Value Copy 11 30 05 gas 12 09 05 AURORA at 12 14 05_4 31 Regulatory Assets and Liabilities  7 06- Exhibit D 2 2 2 2" xfId="28746"/>
    <cellStyle name="_Value Copy 11 30 05 gas 12 09 05 AURORA at 12 14 05_4 31 Regulatory Assets and Liabilities  7 06- Exhibit D 2 2 3" xfId="8201"/>
    <cellStyle name="_Value Copy 11 30 05 gas 12 09 05 AURORA at 12 14 05_4 31 Regulatory Assets and Liabilities  7 06- Exhibit D 2 3" xfId="17082"/>
    <cellStyle name="_Value Copy 11 30 05 gas 12 09 05 AURORA at 12 14 05_4 31 Regulatory Assets and Liabilities  7 06- Exhibit D 2 3 2" xfId="28747"/>
    <cellStyle name="_Value Copy 11 30 05 gas 12 09 05 AURORA at 12 14 05_4 31 Regulatory Assets and Liabilities  7 06- Exhibit D 2 4" xfId="28748"/>
    <cellStyle name="_Value Copy 11 30 05 gas 12 09 05 AURORA at 12 14 05_4 31 Regulatory Assets and Liabilities  7 06- Exhibit D 2 4 2" xfId="28749"/>
    <cellStyle name="_Value Copy 11 30 05 gas 12 09 05 AURORA at 12 14 05_4 31 Regulatory Assets and Liabilities  7 06- Exhibit D 2 5" xfId="8200"/>
    <cellStyle name="_Value Copy 11 30 05 gas 12 09 05 AURORA at 12 14 05_4 31 Regulatory Assets and Liabilities  7 06- Exhibit D 3" xfId="5488"/>
    <cellStyle name="_Value Copy 11 30 05 gas 12 09 05 AURORA at 12 14 05_4 31 Regulatory Assets and Liabilities  7 06- Exhibit D 3 2" xfId="21468"/>
    <cellStyle name="_Value Copy 11 30 05 gas 12 09 05 AURORA at 12 14 05_4 31 Regulatory Assets and Liabilities  7 06- Exhibit D 3 2 2" xfId="28750"/>
    <cellStyle name="_Value Copy 11 30 05 gas 12 09 05 AURORA at 12 14 05_4 31 Regulatory Assets and Liabilities  7 06- Exhibit D 3 3" xfId="28751"/>
    <cellStyle name="_Value Copy 11 30 05 gas 12 09 05 AURORA at 12 14 05_4 31 Regulatory Assets and Liabilities  7 06- Exhibit D 3 4" xfId="8202"/>
    <cellStyle name="_Value Copy 11 30 05 gas 12 09 05 AURORA at 12 14 05_4 31 Regulatory Assets and Liabilities  7 06- Exhibit D 4" xfId="17081"/>
    <cellStyle name="_Value Copy 11 30 05 gas 12 09 05 AURORA at 12 14 05_4 31 Regulatory Assets and Liabilities  7 06- Exhibit D 4 2" xfId="28752"/>
    <cellStyle name="_Value Copy 11 30 05 gas 12 09 05 AURORA at 12 14 05_4 31 Regulatory Assets and Liabilities  7 06- Exhibit D 4 2 2" xfId="28753"/>
    <cellStyle name="_Value Copy 11 30 05 gas 12 09 05 AURORA at 12 14 05_4 31 Regulatory Assets and Liabilities  7 06- Exhibit D 4 3" xfId="28754"/>
    <cellStyle name="_Value Copy 11 30 05 gas 12 09 05 AURORA at 12 14 05_4 31 Regulatory Assets and Liabilities  7 06- Exhibit D 5" xfId="28755"/>
    <cellStyle name="_Value Copy 11 30 05 gas 12 09 05 AURORA at 12 14 05_4 31 Regulatory Assets and Liabilities  7 06- Exhibit D 5 2" xfId="28756"/>
    <cellStyle name="_Value Copy 11 30 05 gas 12 09 05 AURORA at 12 14 05_4 31 Regulatory Assets and Liabilities  7 06- Exhibit D 6" xfId="28757"/>
    <cellStyle name="_Value Copy 11 30 05 gas 12 09 05 AURORA at 12 14 05_4 31 Regulatory Assets and Liabilities  7 06- Exhibit D 6 2" xfId="28758"/>
    <cellStyle name="_Value Copy 11 30 05 gas 12 09 05 AURORA at 12 14 05_4 31 Regulatory Assets and Liabilities  7 06- Exhibit D 7" xfId="8199"/>
    <cellStyle name="_Value Copy 11 30 05 gas 12 09 05 AURORA at 12 14 05_4 31 Regulatory Assets and Liabilities  7 06- Exhibit D_DEM-WP(C) ENERG10C--ctn Mid-C_042010 2010GRC" xfId="13065"/>
    <cellStyle name="_Value Copy 11 30 05 gas 12 09 05 AURORA at 12 14 05_4 31 Regulatory Assets and Liabilities  7 06- Exhibit D_DEM-WP(C) ENERG10C--ctn Mid-C_042010 2010GRC 2" xfId="41776"/>
    <cellStyle name="_Value Copy 11 30 05 gas 12 09 05 AURORA at 12 14 05_4 31 Regulatory Assets and Liabilities  7 06- Exhibit D_NIM Summary" xfId="2127"/>
    <cellStyle name="_Value Copy 11 30 05 gas 12 09 05 AURORA at 12 14 05_4 31 Regulatory Assets and Liabilities  7 06- Exhibit D_NIM Summary 2" xfId="2128"/>
    <cellStyle name="_Value Copy 11 30 05 gas 12 09 05 AURORA at 12 14 05_4 31 Regulatory Assets and Liabilities  7 06- Exhibit D_NIM Summary 2 2" xfId="5491"/>
    <cellStyle name="_Value Copy 11 30 05 gas 12 09 05 AURORA at 12 14 05_4 31 Regulatory Assets and Liabilities  7 06- Exhibit D_NIM Summary 2 2 2" xfId="28759"/>
    <cellStyle name="_Value Copy 11 30 05 gas 12 09 05 AURORA at 12 14 05_4 31 Regulatory Assets and Liabilities  7 06- Exhibit D_NIM Summary 2 2 2 2" xfId="28760"/>
    <cellStyle name="_Value Copy 11 30 05 gas 12 09 05 AURORA at 12 14 05_4 31 Regulatory Assets and Liabilities  7 06- Exhibit D_NIM Summary 2 3" xfId="28761"/>
    <cellStyle name="_Value Copy 11 30 05 gas 12 09 05 AURORA at 12 14 05_4 31 Regulatory Assets and Liabilities  7 06- Exhibit D_NIM Summary 2 3 2" xfId="28762"/>
    <cellStyle name="_Value Copy 11 30 05 gas 12 09 05 AURORA at 12 14 05_4 31 Regulatory Assets and Liabilities  7 06- Exhibit D_NIM Summary 2 4" xfId="28763"/>
    <cellStyle name="_Value Copy 11 30 05 gas 12 09 05 AURORA at 12 14 05_4 31 Regulatory Assets and Liabilities  7 06- Exhibit D_NIM Summary 2 4 2" xfId="28764"/>
    <cellStyle name="_Value Copy 11 30 05 gas 12 09 05 AURORA at 12 14 05_4 31 Regulatory Assets and Liabilities  7 06- Exhibit D_NIM Summary 2 5" xfId="8204"/>
    <cellStyle name="_Value Copy 11 30 05 gas 12 09 05 AURORA at 12 14 05_4 31 Regulatory Assets and Liabilities  7 06- Exhibit D_NIM Summary 3" xfId="5490"/>
    <cellStyle name="_Value Copy 11 30 05 gas 12 09 05 AURORA at 12 14 05_4 31 Regulatory Assets and Liabilities  7 06- Exhibit D_NIM Summary 3 2" xfId="28765"/>
    <cellStyle name="_Value Copy 11 30 05 gas 12 09 05 AURORA at 12 14 05_4 31 Regulatory Assets and Liabilities  7 06- Exhibit D_NIM Summary 3 2 2" xfId="28766"/>
    <cellStyle name="_Value Copy 11 30 05 gas 12 09 05 AURORA at 12 14 05_4 31 Regulatory Assets and Liabilities  7 06- Exhibit D_NIM Summary 3 3" xfId="28767"/>
    <cellStyle name="_Value Copy 11 30 05 gas 12 09 05 AURORA at 12 14 05_4 31 Regulatory Assets and Liabilities  7 06- Exhibit D_NIM Summary 4" xfId="28768"/>
    <cellStyle name="_Value Copy 11 30 05 gas 12 09 05 AURORA at 12 14 05_4 31 Regulatory Assets and Liabilities  7 06- Exhibit D_NIM Summary 4 2" xfId="28769"/>
    <cellStyle name="_Value Copy 11 30 05 gas 12 09 05 AURORA at 12 14 05_4 31 Regulatory Assets and Liabilities  7 06- Exhibit D_NIM Summary 4 2 2" xfId="28770"/>
    <cellStyle name="_Value Copy 11 30 05 gas 12 09 05 AURORA at 12 14 05_4 31 Regulatory Assets and Liabilities  7 06- Exhibit D_NIM Summary 4 3" xfId="28771"/>
    <cellStyle name="_Value Copy 11 30 05 gas 12 09 05 AURORA at 12 14 05_4 31 Regulatory Assets and Liabilities  7 06- Exhibit D_NIM Summary 5" xfId="28772"/>
    <cellStyle name="_Value Copy 11 30 05 gas 12 09 05 AURORA at 12 14 05_4 31 Regulatory Assets and Liabilities  7 06- Exhibit D_NIM Summary 5 2" xfId="28773"/>
    <cellStyle name="_Value Copy 11 30 05 gas 12 09 05 AURORA at 12 14 05_4 31 Regulatory Assets and Liabilities  7 06- Exhibit D_NIM Summary 6" xfId="28774"/>
    <cellStyle name="_Value Copy 11 30 05 gas 12 09 05 AURORA at 12 14 05_4 31 Regulatory Assets and Liabilities  7 06- Exhibit D_NIM Summary 6 2" xfId="28775"/>
    <cellStyle name="_Value Copy 11 30 05 gas 12 09 05 AURORA at 12 14 05_4 31 Regulatory Assets and Liabilities  7 06- Exhibit D_NIM Summary 7" xfId="8203"/>
    <cellStyle name="_Value Copy 11 30 05 gas 12 09 05 AURORA at 12 14 05_4 31 Regulatory Assets and Liabilities  7 06- Exhibit D_NIM Summary_DEM-WP(C) ENERG10C--ctn Mid-C_042010 2010GRC" xfId="13066"/>
    <cellStyle name="_Value Copy 11 30 05 gas 12 09 05 AURORA at 12 14 05_4 31 Regulatory Assets and Liabilities  7 06- Exhibit D_NIM Summary_DEM-WP(C) ENERG10C--ctn Mid-C_042010 2010GRC 2" xfId="41777"/>
    <cellStyle name="_Value Copy 11 30 05 gas 12 09 05 AURORA at 12 14 05_4 31E Reg Asset  Liab and EXH D" xfId="13067"/>
    <cellStyle name="_Value Copy 11 30 05 gas 12 09 05 AURORA at 12 14 05_4 31E Reg Asset  Liab and EXH D _ Aug 10 Filing (2)" xfId="13068"/>
    <cellStyle name="_Value Copy 11 30 05 gas 12 09 05 AURORA at 12 14 05_4 31E Reg Asset  Liab and EXH D _ Aug 10 Filing (2) 2" xfId="28776"/>
    <cellStyle name="_Value Copy 11 30 05 gas 12 09 05 AURORA at 12 14 05_4 31E Reg Asset  Liab and EXH D _ Aug 10 Filing (2) 2 2" xfId="28777"/>
    <cellStyle name="_Value Copy 11 30 05 gas 12 09 05 AURORA at 12 14 05_4 31E Reg Asset  Liab and EXH D _ Aug 10 Filing (2) 2 2 2" xfId="28778"/>
    <cellStyle name="_Value Copy 11 30 05 gas 12 09 05 AURORA at 12 14 05_4 31E Reg Asset  Liab and EXH D _ Aug 10 Filing (2) 2 3" xfId="28779"/>
    <cellStyle name="_Value Copy 11 30 05 gas 12 09 05 AURORA at 12 14 05_4 31E Reg Asset  Liab and EXH D _ Aug 10 Filing (2) 3" xfId="28780"/>
    <cellStyle name="_Value Copy 11 30 05 gas 12 09 05 AURORA at 12 14 05_4 31E Reg Asset  Liab and EXH D _ Aug 10 Filing (2) 3 2" xfId="28781"/>
    <cellStyle name="_Value Copy 11 30 05 gas 12 09 05 AURORA at 12 14 05_4 31E Reg Asset  Liab and EXH D _ Aug 10 Filing (2) 3 2 2" xfId="28782"/>
    <cellStyle name="_Value Copy 11 30 05 gas 12 09 05 AURORA at 12 14 05_4 31E Reg Asset  Liab and EXH D _ Aug 10 Filing (2) 3 3" xfId="28783"/>
    <cellStyle name="_Value Copy 11 30 05 gas 12 09 05 AURORA at 12 14 05_4 31E Reg Asset  Liab and EXH D _ Aug 10 Filing (2) 4" xfId="28784"/>
    <cellStyle name="_Value Copy 11 30 05 gas 12 09 05 AURORA at 12 14 05_4 31E Reg Asset  Liab and EXH D _ Aug 10 Filing (2) 4 2" xfId="28785"/>
    <cellStyle name="_Value Copy 11 30 05 gas 12 09 05 AURORA at 12 14 05_4 31E Reg Asset  Liab and EXH D _ Aug 10 Filing (2) 5" xfId="28786"/>
    <cellStyle name="_Value Copy 11 30 05 gas 12 09 05 AURORA at 12 14 05_4 31E Reg Asset  Liab and EXH D _ Aug 10 Filing (2) 5 2" xfId="28787"/>
    <cellStyle name="_Value Copy 11 30 05 gas 12 09 05 AURORA at 12 14 05_4 31E Reg Asset  Liab and EXH D 10" xfId="28788"/>
    <cellStyle name="_Value Copy 11 30 05 gas 12 09 05 AURORA at 12 14 05_4 31E Reg Asset  Liab and EXH D 10 2" xfId="28789"/>
    <cellStyle name="_Value Copy 11 30 05 gas 12 09 05 AURORA at 12 14 05_4 31E Reg Asset  Liab and EXH D 10 2 2" xfId="28790"/>
    <cellStyle name="_Value Copy 11 30 05 gas 12 09 05 AURORA at 12 14 05_4 31E Reg Asset  Liab and EXH D 10 3" xfId="28791"/>
    <cellStyle name="_Value Copy 11 30 05 gas 12 09 05 AURORA at 12 14 05_4 31E Reg Asset  Liab and EXH D 11" xfId="28792"/>
    <cellStyle name="_Value Copy 11 30 05 gas 12 09 05 AURORA at 12 14 05_4 31E Reg Asset  Liab and EXH D 11 2" xfId="28793"/>
    <cellStyle name="_Value Copy 11 30 05 gas 12 09 05 AURORA at 12 14 05_4 31E Reg Asset  Liab and EXH D 11 2 2" xfId="28794"/>
    <cellStyle name="_Value Copy 11 30 05 gas 12 09 05 AURORA at 12 14 05_4 31E Reg Asset  Liab and EXH D 11 3" xfId="28795"/>
    <cellStyle name="_Value Copy 11 30 05 gas 12 09 05 AURORA at 12 14 05_4 31E Reg Asset  Liab and EXH D 12" xfId="28796"/>
    <cellStyle name="_Value Copy 11 30 05 gas 12 09 05 AURORA at 12 14 05_4 31E Reg Asset  Liab and EXH D 12 2" xfId="28797"/>
    <cellStyle name="_Value Copy 11 30 05 gas 12 09 05 AURORA at 12 14 05_4 31E Reg Asset  Liab and EXH D 12 2 2" xfId="28798"/>
    <cellStyle name="_Value Copy 11 30 05 gas 12 09 05 AURORA at 12 14 05_4 31E Reg Asset  Liab and EXH D 12 3" xfId="28799"/>
    <cellStyle name="_Value Copy 11 30 05 gas 12 09 05 AURORA at 12 14 05_4 31E Reg Asset  Liab and EXH D 13" xfId="28800"/>
    <cellStyle name="_Value Copy 11 30 05 gas 12 09 05 AURORA at 12 14 05_4 31E Reg Asset  Liab and EXH D 13 2" xfId="28801"/>
    <cellStyle name="_Value Copy 11 30 05 gas 12 09 05 AURORA at 12 14 05_4 31E Reg Asset  Liab and EXH D 13 2 2" xfId="28802"/>
    <cellStyle name="_Value Copy 11 30 05 gas 12 09 05 AURORA at 12 14 05_4 31E Reg Asset  Liab and EXH D 13 3" xfId="28803"/>
    <cellStyle name="_Value Copy 11 30 05 gas 12 09 05 AURORA at 12 14 05_4 31E Reg Asset  Liab and EXH D 14" xfId="28804"/>
    <cellStyle name="_Value Copy 11 30 05 gas 12 09 05 AURORA at 12 14 05_4 31E Reg Asset  Liab and EXH D 14 2" xfId="28805"/>
    <cellStyle name="_Value Copy 11 30 05 gas 12 09 05 AURORA at 12 14 05_4 31E Reg Asset  Liab and EXH D 14 2 2" xfId="28806"/>
    <cellStyle name="_Value Copy 11 30 05 gas 12 09 05 AURORA at 12 14 05_4 31E Reg Asset  Liab and EXH D 14 3" xfId="28807"/>
    <cellStyle name="_Value Copy 11 30 05 gas 12 09 05 AURORA at 12 14 05_4 31E Reg Asset  Liab and EXH D 15" xfId="28808"/>
    <cellStyle name="_Value Copy 11 30 05 gas 12 09 05 AURORA at 12 14 05_4 31E Reg Asset  Liab and EXH D 15 2" xfId="28809"/>
    <cellStyle name="_Value Copy 11 30 05 gas 12 09 05 AURORA at 12 14 05_4 31E Reg Asset  Liab and EXH D 15 2 2" xfId="28810"/>
    <cellStyle name="_Value Copy 11 30 05 gas 12 09 05 AURORA at 12 14 05_4 31E Reg Asset  Liab and EXH D 15 3" xfId="28811"/>
    <cellStyle name="_Value Copy 11 30 05 gas 12 09 05 AURORA at 12 14 05_4 31E Reg Asset  Liab and EXH D 16" xfId="28812"/>
    <cellStyle name="_Value Copy 11 30 05 gas 12 09 05 AURORA at 12 14 05_4 31E Reg Asset  Liab and EXH D 16 2" xfId="28813"/>
    <cellStyle name="_Value Copy 11 30 05 gas 12 09 05 AURORA at 12 14 05_4 31E Reg Asset  Liab and EXH D 16 2 2" xfId="28814"/>
    <cellStyle name="_Value Copy 11 30 05 gas 12 09 05 AURORA at 12 14 05_4 31E Reg Asset  Liab and EXH D 16 3" xfId="28815"/>
    <cellStyle name="_Value Copy 11 30 05 gas 12 09 05 AURORA at 12 14 05_4 31E Reg Asset  Liab and EXH D 17" xfId="28816"/>
    <cellStyle name="_Value Copy 11 30 05 gas 12 09 05 AURORA at 12 14 05_4 31E Reg Asset  Liab and EXH D 17 2" xfId="28817"/>
    <cellStyle name="_Value Copy 11 30 05 gas 12 09 05 AURORA at 12 14 05_4 31E Reg Asset  Liab and EXH D 18" xfId="28818"/>
    <cellStyle name="_Value Copy 11 30 05 gas 12 09 05 AURORA at 12 14 05_4 31E Reg Asset  Liab and EXH D 18 2" xfId="28819"/>
    <cellStyle name="_Value Copy 11 30 05 gas 12 09 05 AURORA at 12 14 05_4 31E Reg Asset  Liab and EXH D 19" xfId="28820"/>
    <cellStyle name="_Value Copy 11 30 05 gas 12 09 05 AURORA at 12 14 05_4 31E Reg Asset  Liab and EXH D 19 2" xfId="28821"/>
    <cellStyle name="_Value Copy 11 30 05 gas 12 09 05 AURORA at 12 14 05_4 31E Reg Asset  Liab and EXH D 2" xfId="28822"/>
    <cellStyle name="_Value Copy 11 30 05 gas 12 09 05 AURORA at 12 14 05_4 31E Reg Asset  Liab and EXH D 2 2" xfId="28823"/>
    <cellStyle name="_Value Copy 11 30 05 gas 12 09 05 AURORA at 12 14 05_4 31E Reg Asset  Liab and EXH D 2 2 2" xfId="28824"/>
    <cellStyle name="_Value Copy 11 30 05 gas 12 09 05 AURORA at 12 14 05_4 31E Reg Asset  Liab and EXH D 2 3" xfId="28825"/>
    <cellStyle name="_Value Copy 11 30 05 gas 12 09 05 AURORA at 12 14 05_4 31E Reg Asset  Liab and EXH D 20" xfId="28826"/>
    <cellStyle name="_Value Copy 11 30 05 gas 12 09 05 AURORA at 12 14 05_4 31E Reg Asset  Liab and EXH D 20 2" xfId="28827"/>
    <cellStyle name="_Value Copy 11 30 05 gas 12 09 05 AURORA at 12 14 05_4 31E Reg Asset  Liab and EXH D 21" xfId="28828"/>
    <cellStyle name="_Value Copy 11 30 05 gas 12 09 05 AURORA at 12 14 05_4 31E Reg Asset  Liab and EXH D 21 2" xfId="28829"/>
    <cellStyle name="_Value Copy 11 30 05 gas 12 09 05 AURORA at 12 14 05_4 31E Reg Asset  Liab and EXH D 22" xfId="28830"/>
    <cellStyle name="_Value Copy 11 30 05 gas 12 09 05 AURORA at 12 14 05_4 31E Reg Asset  Liab and EXH D 22 2" xfId="28831"/>
    <cellStyle name="_Value Copy 11 30 05 gas 12 09 05 AURORA at 12 14 05_4 31E Reg Asset  Liab and EXH D 23" xfId="28832"/>
    <cellStyle name="_Value Copy 11 30 05 gas 12 09 05 AURORA at 12 14 05_4 31E Reg Asset  Liab and EXH D 23 2" xfId="28833"/>
    <cellStyle name="_Value Copy 11 30 05 gas 12 09 05 AURORA at 12 14 05_4 31E Reg Asset  Liab and EXH D 24" xfId="28834"/>
    <cellStyle name="_Value Copy 11 30 05 gas 12 09 05 AURORA at 12 14 05_4 31E Reg Asset  Liab and EXH D 24 2" xfId="28835"/>
    <cellStyle name="_Value Copy 11 30 05 gas 12 09 05 AURORA at 12 14 05_4 31E Reg Asset  Liab and EXH D 25" xfId="28836"/>
    <cellStyle name="_Value Copy 11 30 05 gas 12 09 05 AURORA at 12 14 05_4 31E Reg Asset  Liab and EXH D 25 2" xfId="28837"/>
    <cellStyle name="_Value Copy 11 30 05 gas 12 09 05 AURORA at 12 14 05_4 31E Reg Asset  Liab and EXH D 26" xfId="28838"/>
    <cellStyle name="_Value Copy 11 30 05 gas 12 09 05 AURORA at 12 14 05_4 31E Reg Asset  Liab and EXH D 26 2" xfId="28839"/>
    <cellStyle name="_Value Copy 11 30 05 gas 12 09 05 AURORA at 12 14 05_4 31E Reg Asset  Liab and EXH D 27" xfId="28840"/>
    <cellStyle name="_Value Copy 11 30 05 gas 12 09 05 AURORA at 12 14 05_4 31E Reg Asset  Liab and EXH D 27 2" xfId="28841"/>
    <cellStyle name="_Value Copy 11 30 05 gas 12 09 05 AURORA at 12 14 05_4 31E Reg Asset  Liab and EXH D 28" xfId="28842"/>
    <cellStyle name="_Value Copy 11 30 05 gas 12 09 05 AURORA at 12 14 05_4 31E Reg Asset  Liab and EXH D 28 2" xfId="28843"/>
    <cellStyle name="_Value Copy 11 30 05 gas 12 09 05 AURORA at 12 14 05_4 31E Reg Asset  Liab and EXH D 29" xfId="28844"/>
    <cellStyle name="_Value Copy 11 30 05 gas 12 09 05 AURORA at 12 14 05_4 31E Reg Asset  Liab and EXH D 29 2" xfId="28845"/>
    <cellStyle name="_Value Copy 11 30 05 gas 12 09 05 AURORA at 12 14 05_4 31E Reg Asset  Liab and EXH D 3" xfId="28846"/>
    <cellStyle name="_Value Copy 11 30 05 gas 12 09 05 AURORA at 12 14 05_4 31E Reg Asset  Liab and EXH D 3 2" xfId="28847"/>
    <cellStyle name="_Value Copy 11 30 05 gas 12 09 05 AURORA at 12 14 05_4 31E Reg Asset  Liab and EXH D 3 2 2" xfId="28848"/>
    <cellStyle name="_Value Copy 11 30 05 gas 12 09 05 AURORA at 12 14 05_4 31E Reg Asset  Liab and EXH D 3 3" xfId="28849"/>
    <cellStyle name="_Value Copy 11 30 05 gas 12 09 05 AURORA at 12 14 05_4 31E Reg Asset  Liab and EXH D 30" xfId="28850"/>
    <cellStyle name="_Value Copy 11 30 05 gas 12 09 05 AURORA at 12 14 05_4 31E Reg Asset  Liab and EXH D 30 2" xfId="28851"/>
    <cellStyle name="_Value Copy 11 30 05 gas 12 09 05 AURORA at 12 14 05_4 31E Reg Asset  Liab and EXH D 4" xfId="28852"/>
    <cellStyle name="_Value Copy 11 30 05 gas 12 09 05 AURORA at 12 14 05_4 31E Reg Asset  Liab and EXH D 4 2" xfId="28853"/>
    <cellStyle name="_Value Copy 11 30 05 gas 12 09 05 AURORA at 12 14 05_4 31E Reg Asset  Liab and EXH D 4 2 2" xfId="28854"/>
    <cellStyle name="_Value Copy 11 30 05 gas 12 09 05 AURORA at 12 14 05_4 31E Reg Asset  Liab and EXH D 5" xfId="28855"/>
    <cellStyle name="_Value Copy 11 30 05 gas 12 09 05 AURORA at 12 14 05_4 31E Reg Asset  Liab and EXH D 5 2" xfId="28856"/>
    <cellStyle name="_Value Copy 11 30 05 gas 12 09 05 AURORA at 12 14 05_4 31E Reg Asset  Liab and EXH D 5 2 2" xfId="28857"/>
    <cellStyle name="_Value Copy 11 30 05 gas 12 09 05 AURORA at 12 14 05_4 31E Reg Asset  Liab and EXH D 6" xfId="28858"/>
    <cellStyle name="_Value Copy 11 30 05 gas 12 09 05 AURORA at 12 14 05_4 31E Reg Asset  Liab and EXH D 6 2" xfId="28859"/>
    <cellStyle name="_Value Copy 11 30 05 gas 12 09 05 AURORA at 12 14 05_4 31E Reg Asset  Liab and EXH D 6 2 2" xfId="28860"/>
    <cellStyle name="_Value Copy 11 30 05 gas 12 09 05 AURORA at 12 14 05_4 31E Reg Asset  Liab and EXH D 6 3" xfId="28861"/>
    <cellStyle name="_Value Copy 11 30 05 gas 12 09 05 AURORA at 12 14 05_4 31E Reg Asset  Liab and EXH D 7" xfId="28862"/>
    <cellStyle name="_Value Copy 11 30 05 gas 12 09 05 AURORA at 12 14 05_4 31E Reg Asset  Liab and EXH D 7 2" xfId="28863"/>
    <cellStyle name="_Value Copy 11 30 05 gas 12 09 05 AURORA at 12 14 05_4 31E Reg Asset  Liab and EXH D 7 2 2" xfId="28864"/>
    <cellStyle name="_Value Copy 11 30 05 gas 12 09 05 AURORA at 12 14 05_4 31E Reg Asset  Liab and EXH D 7 3" xfId="28865"/>
    <cellStyle name="_Value Copy 11 30 05 gas 12 09 05 AURORA at 12 14 05_4 31E Reg Asset  Liab and EXH D 8" xfId="28866"/>
    <cellStyle name="_Value Copy 11 30 05 gas 12 09 05 AURORA at 12 14 05_4 31E Reg Asset  Liab and EXH D 8 2" xfId="28867"/>
    <cellStyle name="_Value Copy 11 30 05 gas 12 09 05 AURORA at 12 14 05_4 31E Reg Asset  Liab and EXH D 8 2 2" xfId="28868"/>
    <cellStyle name="_Value Copy 11 30 05 gas 12 09 05 AURORA at 12 14 05_4 31E Reg Asset  Liab and EXH D 8 3" xfId="28869"/>
    <cellStyle name="_Value Copy 11 30 05 gas 12 09 05 AURORA at 12 14 05_4 31E Reg Asset  Liab and EXH D 9" xfId="28870"/>
    <cellStyle name="_Value Copy 11 30 05 gas 12 09 05 AURORA at 12 14 05_4 31E Reg Asset  Liab and EXH D 9 2" xfId="28871"/>
    <cellStyle name="_Value Copy 11 30 05 gas 12 09 05 AURORA at 12 14 05_4 31E Reg Asset  Liab and EXH D 9 2 2" xfId="28872"/>
    <cellStyle name="_Value Copy 11 30 05 gas 12 09 05 AURORA at 12 14 05_4 31E Reg Asset  Liab and EXH D 9 3" xfId="28873"/>
    <cellStyle name="_Value Copy 11 30 05 gas 12 09 05 AURORA at 12 14 05_4 32 Regulatory Assets and Liabilities  7 06- Exhibit D" xfId="2129"/>
    <cellStyle name="_Value Copy 11 30 05 gas 12 09 05 AURORA at 12 14 05_4 32 Regulatory Assets and Liabilities  7 06- Exhibit D 2" xfId="2130"/>
    <cellStyle name="_Value Copy 11 30 05 gas 12 09 05 AURORA at 12 14 05_4 32 Regulatory Assets and Liabilities  7 06- Exhibit D 2 2" xfId="5493"/>
    <cellStyle name="_Value Copy 11 30 05 gas 12 09 05 AURORA at 12 14 05_4 32 Regulatory Assets and Liabilities  7 06- Exhibit D 2 2 2" xfId="21469"/>
    <cellStyle name="_Value Copy 11 30 05 gas 12 09 05 AURORA at 12 14 05_4 32 Regulatory Assets and Liabilities  7 06- Exhibit D 2 2 2 2" xfId="28874"/>
    <cellStyle name="_Value Copy 11 30 05 gas 12 09 05 AURORA at 12 14 05_4 32 Regulatory Assets and Liabilities  7 06- Exhibit D 2 2 3" xfId="8207"/>
    <cellStyle name="_Value Copy 11 30 05 gas 12 09 05 AURORA at 12 14 05_4 32 Regulatory Assets and Liabilities  7 06- Exhibit D 2 3" xfId="17084"/>
    <cellStyle name="_Value Copy 11 30 05 gas 12 09 05 AURORA at 12 14 05_4 32 Regulatory Assets and Liabilities  7 06- Exhibit D 2 3 2" xfId="28875"/>
    <cellStyle name="_Value Copy 11 30 05 gas 12 09 05 AURORA at 12 14 05_4 32 Regulatory Assets and Liabilities  7 06- Exhibit D 2 4" xfId="28876"/>
    <cellStyle name="_Value Copy 11 30 05 gas 12 09 05 AURORA at 12 14 05_4 32 Regulatory Assets and Liabilities  7 06- Exhibit D 2 4 2" xfId="28877"/>
    <cellStyle name="_Value Copy 11 30 05 gas 12 09 05 AURORA at 12 14 05_4 32 Regulatory Assets and Liabilities  7 06- Exhibit D 2 5" xfId="8206"/>
    <cellStyle name="_Value Copy 11 30 05 gas 12 09 05 AURORA at 12 14 05_4 32 Regulatory Assets and Liabilities  7 06- Exhibit D 3" xfId="5492"/>
    <cellStyle name="_Value Copy 11 30 05 gas 12 09 05 AURORA at 12 14 05_4 32 Regulatory Assets and Liabilities  7 06- Exhibit D 3 2" xfId="21470"/>
    <cellStyle name="_Value Copy 11 30 05 gas 12 09 05 AURORA at 12 14 05_4 32 Regulatory Assets and Liabilities  7 06- Exhibit D 3 2 2" xfId="28878"/>
    <cellStyle name="_Value Copy 11 30 05 gas 12 09 05 AURORA at 12 14 05_4 32 Regulatory Assets and Liabilities  7 06- Exhibit D 3 3" xfId="28879"/>
    <cellStyle name="_Value Copy 11 30 05 gas 12 09 05 AURORA at 12 14 05_4 32 Regulatory Assets and Liabilities  7 06- Exhibit D 3 4" xfId="8208"/>
    <cellStyle name="_Value Copy 11 30 05 gas 12 09 05 AURORA at 12 14 05_4 32 Regulatory Assets and Liabilities  7 06- Exhibit D 4" xfId="17083"/>
    <cellStyle name="_Value Copy 11 30 05 gas 12 09 05 AURORA at 12 14 05_4 32 Regulatory Assets and Liabilities  7 06- Exhibit D 4 2" xfId="28880"/>
    <cellStyle name="_Value Copy 11 30 05 gas 12 09 05 AURORA at 12 14 05_4 32 Regulatory Assets and Liabilities  7 06- Exhibit D 4 2 2" xfId="28881"/>
    <cellStyle name="_Value Copy 11 30 05 gas 12 09 05 AURORA at 12 14 05_4 32 Regulatory Assets and Liabilities  7 06- Exhibit D 4 3" xfId="28882"/>
    <cellStyle name="_Value Copy 11 30 05 gas 12 09 05 AURORA at 12 14 05_4 32 Regulatory Assets and Liabilities  7 06- Exhibit D 5" xfId="28883"/>
    <cellStyle name="_Value Copy 11 30 05 gas 12 09 05 AURORA at 12 14 05_4 32 Regulatory Assets and Liabilities  7 06- Exhibit D 5 2" xfId="28884"/>
    <cellStyle name="_Value Copy 11 30 05 gas 12 09 05 AURORA at 12 14 05_4 32 Regulatory Assets and Liabilities  7 06- Exhibit D 6" xfId="28885"/>
    <cellStyle name="_Value Copy 11 30 05 gas 12 09 05 AURORA at 12 14 05_4 32 Regulatory Assets and Liabilities  7 06- Exhibit D 6 2" xfId="28886"/>
    <cellStyle name="_Value Copy 11 30 05 gas 12 09 05 AURORA at 12 14 05_4 32 Regulatory Assets and Liabilities  7 06- Exhibit D 7" xfId="8205"/>
    <cellStyle name="_Value Copy 11 30 05 gas 12 09 05 AURORA at 12 14 05_4 32 Regulatory Assets and Liabilities  7 06- Exhibit D_DEM-WP(C) ENERG10C--ctn Mid-C_042010 2010GRC" xfId="13069"/>
    <cellStyle name="_Value Copy 11 30 05 gas 12 09 05 AURORA at 12 14 05_4 32 Regulatory Assets and Liabilities  7 06- Exhibit D_DEM-WP(C) ENERG10C--ctn Mid-C_042010 2010GRC 2" xfId="41778"/>
    <cellStyle name="_Value Copy 11 30 05 gas 12 09 05 AURORA at 12 14 05_4 32 Regulatory Assets and Liabilities  7 06- Exhibit D_NIM Summary" xfId="2131"/>
    <cellStyle name="_Value Copy 11 30 05 gas 12 09 05 AURORA at 12 14 05_4 32 Regulatory Assets and Liabilities  7 06- Exhibit D_NIM Summary 2" xfId="2132"/>
    <cellStyle name="_Value Copy 11 30 05 gas 12 09 05 AURORA at 12 14 05_4 32 Regulatory Assets and Liabilities  7 06- Exhibit D_NIM Summary 2 2" xfId="5495"/>
    <cellStyle name="_Value Copy 11 30 05 gas 12 09 05 AURORA at 12 14 05_4 32 Regulatory Assets and Liabilities  7 06- Exhibit D_NIM Summary 2 2 2" xfId="28887"/>
    <cellStyle name="_Value Copy 11 30 05 gas 12 09 05 AURORA at 12 14 05_4 32 Regulatory Assets and Liabilities  7 06- Exhibit D_NIM Summary 2 2 2 2" xfId="28888"/>
    <cellStyle name="_Value Copy 11 30 05 gas 12 09 05 AURORA at 12 14 05_4 32 Regulatory Assets and Liabilities  7 06- Exhibit D_NIM Summary 2 3" xfId="28889"/>
    <cellStyle name="_Value Copy 11 30 05 gas 12 09 05 AURORA at 12 14 05_4 32 Regulatory Assets and Liabilities  7 06- Exhibit D_NIM Summary 2 3 2" xfId="28890"/>
    <cellStyle name="_Value Copy 11 30 05 gas 12 09 05 AURORA at 12 14 05_4 32 Regulatory Assets and Liabilities  7 06- Exhibit D_NIM Summary 2 4" xfId="28891"/>
    <cellStyle name="_Value Copy 11 30 05 gas 12 09 05 AURORA at 12 14 05_4 32 Regulatory Assets and Liabilities  7 06- Exhibit D_NIM Summary 2 4 2" xfId="28892"/>
    <cellStyle name="_Value Copy 11 30 05 gas 12 09 05 AURORA at 12 14 05_4 32 Regulatory Assets and Liabilities  7 06- Exhibit D_NIM Summary 2 5" xfId="8210"/>
    <cellStyle name="_Value Copy 11 30 05 gas 12 09 05 AURORA at 12 14 05_4 32 Regulatory Assets and Liabilities  7 06- Exhibit D_NIM Summary 3" xfId="5494"/>
    <cellStyle name="_Value Copy 11 30 05 gas 12 09 05 AURORA at 12 14 05_4 32 Regulatory Assets and Liabilities  7 06- Exhibit D_NIM Summary 3 2" xfId="28893"/>
    <cellStyle name="_Value Copy 11 30 05 gas 12 09 05 AURORA at 12 14 05_4 32 Regulatory Assets and Liabilities  7 06- Exhibit D_NIM Summary 3 2 2" xfId="28894"/>
    <cellStyle name="_Value Copy 11 30 05 gas 12 09 05 AURORA at 12 14 05_4 32 Regulatory Assets and Liabilities  7 06- Exhibit D_NIM Summary 3 3" xfId="28895"/>
    <cellStyle name="_Value Copy 11 30 05 gas 12 09 05 AURORA at 12 14 05_4 32 Regulatory Assets and Liabilities  7 06- Exhibit D_NIM Summary 4" xfId="28896"/>
    <cellStyle name="_Value Copy 11 30 05 gas 12 09 05 AURORA at 12 14 05_4 32 Regulatory Assets and Liabilities  7 06- Exhibit D_NIM Summary 4 2" xfId="28897"/>
    <cellStyle name="_Value Copy 11 30 05 gas 12 09 05 AURORA at 12 14 05_4 32 Regulatory Assets and Liabilities  7 06- Exhibit D_NIM Summary 4 2 2" xfId="28898"/>
    <cellStyle name="_Value Copy 11 30 05 gas 12 09 05 AURORA at 12 14 05_4 32 Regulatory Assets and Liabilities  7 06- Exhibit D_NIM Summary 4 3" xfId="28899"/>
    <cellStyle name="_Value Copy 11 30 05 gas 12 09 05 AURORA at 12 14 05_4 32 Regulatory Assets and Liabilities  7 06- Exhibit D_NIM Summary 5" xfId="28900"/>
    <cellStyle name="_Value Copy 11 30 05 gas 12 09 05 AURORA at 12 14 05_4 32 Regulatory Assets and Liabilities  7 06- Exhibit D_NIM Summary 5 2" xfId="28901"/>
    <cellStyle name="_Value Copy 11 30 05 gas 12 09 05 AURORA at 12 14 05_4 32 Regulatory Assets and Liabilities  7 06- Exhibit D_NIM Summary 6" xfId="28902"/>
    <cellStyle name="_Value Copy 11 30 05 gas 12 09 05 AURORA at 12 14 05_4 32 Regulatory Assets and Liabilities  7 06- Exhibit D_NIM Summary 6 2" xfId="28903"/>
    <cellStyle name="_Value Copy 11 30 05 gas 12 09 05 AURORA at 12 14 05_4 32 Regulatory Assets and Liabilities  7 06- Exhibit D_NIM Summary 7" xfId="8209"/>
    <cellStyle name="_Value Copy 11 30 05 gas 12 09 05 AURORA at 12 14 05_4 32 Regulatory Assets and Liabilities  7 06- Exhibit D_NIM Summary_DEM-WP(C) ENERG10C--ctn Mid-C_042010 2010GRC" xfId="13070"/>
    <cellStyle name="_Value Copy 11 30 05 gas 12 09 05 AURORA at 12 14 05_4 32 Regulatory Assets and Liabilities  7 06- Exhibit D_NIM Summary_DEM-WP(C) ENERG10C--ctn Mid-C_042010 2010GRC 2" xfId="41779"/>
    <cellStyle name="_Value Copy 11 30 05 gas 12 09 05 AURORA at 12 14 05_AURORA Total New" xfId="2133"/>
    <cellStyle name="_Value Copy 11 30 05 gas 12 09 05 AURORA at 12 14 05_AURORA Total New 2" xfId="2134"/>
    <cellStyle name="_Value Copy 11 30 05 gas 12 09 05 AURORA at 12 14 05_AURORA Total New 2 2" xfId="5497"/>
    <cellStyle name="_Value Copy 11 30 05 gas 12 09 05 AURORA at 12 14 05_AURORA Total New 2 2 2" xfId="28904"/>
    <cellStyle name="_Value Copy 11 30 05 gas 12 09 05 AURORA at 12 14 05_AURORA Total New 2 2 2 2" xfId="28905"/>
    <cellStyle name="_Value Copy 11 30 05 gas 12 09 05 AURORA at 12 14 05_AURORA Total New 2 3" xfId="28906"/>
    <cellStyle name="_Value Copy 11 30 05 gas 12 09 05 AURORA at 12 14 05_AURORA Total New 2 3 2" xfId="28907"/>
    <cellStyle name="_Value Copy 11 30 05 gas 12 09 05 AURORA at 12 14 05_AURORA Total New 2 4" xfId="28908"/>
    <cellStyle name="_Value Copy 11 30 05 gas 12 09 05 AURORA at 12 14 05_AURORA Total New 2 4 2" xfId="28909"/>
    <cellStyle name="_Value Copy 11 30 05 gas 12 09 05 AURORA at 12 14 05_AURORA Total New 2 5" xfId="8212"/>
    <cellStyle name="_Value Copy 11 30 05 gas 12 09 05 AURORA at 12 14 05_AURORA Total New 3" xfId="5496"/>
    <cellStyle name="_Value Copy 11 30 05 gas 12 09 05 AURORA at 12 14 05_AURORA Total New 3 2" xfId="28910"/>
    <cellStyle name="_Value Copy 11 30 05 gas 12 09 05 AURORA at 12 14 05_AURORA Total New 3 2 2" xfId="28911"/>
    <cellStyle name="_Value Copy 11 30 05 gas 12 09 05 AURORA at 12 14 05_AURORA Total New 4" xfId="28912"/>
    <cellStyle name="_Value Copy 11 30 05 gas 12 09 05 AURORA at 12 14 05_AURORA Total New 4 2" xfId="28913"/>
    <cellStyle name="_Value Copy 11 30 05 gas 12 09 05 AURORA at 12 14 05_AURORA Total New 5" xfId="28914"/>
    <cellStyle name="_Value Copy 11 30 05 gas 12 09 05 AURORA at 12 14 05_AURORA Total New 5 2" xfId="28915"/>
    <cellStyle name="_Value Copy 11 30 05 gas 12 09 05 AURORA at 12 14 05_AURORA Total New 6" xfId="8211"/>
    <cellStyle name="_Value Copy 11 30 05 gas 12 09 05 AURORA at 12 14 05_Book2" xfId="2135"/>
    <cellStyle name="_Value Copy 11 30 05 gas 12 09 05 AURORA at 12 14 05_Book2 2" xfId="2136"/>
    <cellStyle name="_Value Copy 11 30 05 gas 12 09 05 AURORA at 12 14 05_Book2 2 2" xfId="5499"/>
    <cellStyle name="_Value Copy 11 30 05 gas 12 09 05 AURORA at 12 14 05_Book2 2 2 2" xfId="21471"/>
    <cellStyle name="_Value Copy 11 30 05 gas 12 09 05 AURORA at 12 14 05_Book2 2 2 2 2" xfId="28916"/>
    <cellStyle name="_Value Copy 11 30 05 gas 12 09 05 AURORA at 12 14 05_Book2 2 2 3" xfId="8215"/>
    <cellStyle name="_Value Copy 11 30 05 gas 12 09 05 AURORA at 12 14 05_Book2 2 3" xfId="17086"/>
    <cellStyle name="_Value Copy 11 30 05 gas 12 09 05 AURORA at 12 14 05_Book2 2 3 2" xfId="28917"/>
    <cellStyle name="_Value Copy 11 30 05 gas 12 09 05 AURORA at 12 14 05_Book2 2 4" xfId="28918"/>
    <cellStyle name="_Value Copy 11 30 05 gas 12 09 05 AURORA at 12 14 05_Book2 2 4 2" xfId="28919"/>
    <cellStyle name="_Value Copy 11 30 05 gas 12 09 05 AURORA at 12 14 05_Book2 2 5" xfId="8214"/>
    <cellStyle name="_Value Copy 11 30 05 gas 12 09 05 AURORA at 12 14 05_Book2 3" xfId="5498"/>
    <cellStyle name="_Value Copy 11 30 05 gas 12 09 05 AURORA at 12 14 05_Book2 3 2" xfId="21472"/>
    <cellStyle name="_Value Copy 11 30 05 gas 12 09 05 AURORA at 12 14 05_Book2 3 2 2" xfId="28920"/>
    <cellStyle name="_Value Copy 11 30 05 gas 12 09 05 AURORA at 12 14 05_Book2 3 3" xfId="28921"/>
    <cellStyle name="_Value Copy 11 30 05 gas 12 09 05 AURORA at 12 14 05_Book2 3 4" xfId="8216"/>
    <cellStyle name="_Value Copy 11 30 05 gas 12 09 05 AURORA at 12 14 05_Book2 4" xfId="17085"/>
    <cellStyle name="_Value Copy 11 30 05 gas 12 09 05 AURORA at 12 14 05_Book2 4 2" xfId="28922"/>
    <cellStyle name="_Value Copy 11 30 05 gas 12 09 05 AURORA at 12 14 05_Book2 4 2 2" xfId="28923"/>
    <cellStyle name="_Value Copy 11 30 05 gas 12 09 05 AURORA at 12 14 05_Book2 4 3" xfId="28924"/>
    <cellStyle name="_Value Copy 11 30 05 gas 12 09 05 AURORA at 12 14 05_Book2 5" xfId="28925"/>
    <cellStyle name="_Value Copy 11 30 05 gas 12 09 05 AURORA at 12 14 05_Book2 5 2" xfId="28926"/>
    <cellStyle name="_Value Copy 11 30 05 gas 12 09 05 AURORA at 12 14 05_Book2 6" xfId="28927"/>
    <cellStyle name="_Value Copy 11 30 05 gas 12 09 05 AURORA at 12 14 05_Book2 6 2" xfId="28928"/>
    <cellStyle name="_Value Copy 11 30 05 gas 12 09 05 AURORA at 12 14 05_Book2 7" xfId="8213"/>
    <cellStyle name="_Value Copy 11 30 05 gas 12 09 05 AURORA at 12 14 05_Book2_Adj Bench DR 3 for Initial Briefs (Electric)" xfId="2137"/>
    <cellStyle name="_Value Copy 11 30 05 gas 12 09 05 AURORA at 12 14 05_Book2_Adj Bench DR 3 for Initial Briefs (Electric) 2" xfId="2138"/>
    <cellStyle name="_Value Copy 11 30 05 gas 12 09 05 AURORA at 12 14 05_Book2_Adj Bench DR 3 for Initial Briefs (Electric) 2 2" xfId="5501"/>
    <cellStyle name="_Value Copy 11 30 05 gas 12 09 05 AURORA at 12 14 05_Book2_Adj Bench DR 3 for Initial Briefs (Electric) 2 2 2" xfId="21473"/>
    <cellStyle name="_Value Copy 11 30 05 gas 12 09 05 AURORA at 12 14 05_Book2_Adj Bench DR 3 for Initial Briefs (Electric) 2 2 2 2" xfId="28929"/>
    <cellStyle name="_Value Copy 11 30 05 gas 12 09 05 AURORA at 12 14 05_Book2_Adj Bench DR 3 for Initial Briefs (Electric) 2 2 3" xfId="8219"/>
    <cellStyle name="_Value Copy 11 30 05 gas 12 09 05 AURORA at 12 14 05_Book2_Adj Bench DR 3 for Initial Briefs (Electric) 2 3" xfId="17088"/>
    <cellStyle name="_Value Copy 11 30 05 gas 12 09 05 AURORA at 12 14 05_Book2_Adj Bench DR 3 for Initial Briefs (Electric) 2 3 2" xfId="28930"/>
    <cellStyle name="_Value Copy 11 30 05 gas 12 09 05 AURORA at 12 14 05_Book2_Adj Bench DR 3 for Initial Briefs (Electric) 2 4" xfId="28931"/>
    <cellStyle name="_Value Copy 11 30 05 gas 12 09 05 AURORA at 12 14 05_Book2_Adj Bench DR 3 for Initial Briefs (Electric) 2 4 2" xfId="28932"/>
    <cellStyle name="_Value Copy 11 30 05 gas 12 09 05 AURORA at 12 14 05_Book2_Adj Bench DR 3 for Initial Briefs (Electric) 2 5" xfId="8218"/>
    <cellStyle name="_Value Copy 11 30 05 gas 12 09 05 AURORA at 12 14 05_Book2_Adj Bench DR 3 for Initial Briefs (Electric) 3" xfId="5500"/>
    <cellStyle name="_Value Copy 11 30 05 gas 12 09 05 AURORA at 12 14 05_Book2_Adj Bench DR 3 for Initial Briefs (Electric) 3 2" xfId="21474"/>
    <cellStyle name="_Value Copy 11 30 05 gas 12 09 05 AURORA at 12 14 05_Book2_Adj Bench DR 3 for Initial Briefs (Electric) 3 2 2" xfId="28933"/>
    <cellStyle name="_Value Copy 11 30 05 gas 12 09 05 AURORA at 12 14 05_Book2_Adj Bench DR 3 for Initial Briefs (Electric) 3 3" xfId="28934"/>
    <cellStyle name="_Value Copy 11 30 05 gas 12 09 05 AURORA at 12 14 05_Book2_Adj Bench DR 3 for Initial Briefs (Electric) 3 4" xfId="8220"/>
    <cellStyle name="_Value Copy 11 30 05 gas 12 09 05 AURORA at 12 14 05_Book2_Adj Bench DR 3 for Initial Briefs (Electric) 4" xfId="17087"/>
    <cellStyle name="_Value Copy 11 30 05 gas 12 09 05 AURORA at 12 14 05_Book2_Adj Bench DR 3 for Initial Briefs (Electric) 4 2" xfId="28935"/>
    <cellStyle name="_Value Copy 11 30 05 gas 12 09 05 AURORA at 12 14 05_Book2_Adj Bench DR 3 for Initial Briefs (Electric) 4 2 2" xfId="28936"/>
    <cellStyle name="_Value Copy 11 30 05 gas 12 09 05 AURORA at 12 14 05_Book2_Adj Bench DR 3 for Initial Briefs (Electric) 4 3" xfId="28937"/>
    <cellStyle name="_Value Copy 11 30 05 gas 12 09 05 AURORA at 12 14 05_Book2_Adj Bench DR 3 for Initial Briefs (Electric) 5" xfId="28938"/>
    <cellStyle name="_Value Copy 11 30 05 gas 12 09 05 AURORA at 12 14 05_Book2_Adj Bench DR 3 for Initial Briefs (Electric) 5 2" xfId="28939"/>
    <cellStyle name="_Value Copy 11 30 05 gas 12 09 05 AURORA at 12 14 05_Book2_Adj Bench DR 3 for Initial Briefs (Electric) 6" xfId="28940"/>
    <cellStyle name="_Value Copy 11 30 05 gas 12 09 05 AURORA at 12 14 05_Book2_Adj Bench DR 3 for Initial Briefs (Electric) 6 2" xfId="28941"/>
    <cellStyle name="_Value Copy 11 30 05 gas 12 09 05 AURORA at 12 14 05_Book2_Adj Bench DR 3 for Initial Briefs (Electric) 7" xfId="8217"/>
    <cellStyle name="_Value Copy 11 30 05 gas 12 09 05 AURORA at 12 14 05_Book2_Adj Bench DR 3 for Initial Briefs (Electric)_DEM-WP(C) ENERG10C--ctn Mid-C_042010 2010GRC" xfId="13071"/>
    <cellStyle name="_Value Copy 11 30 05 gas 12 09 05 AURORA at 12 14 05_Book2_Adj Bench DR 3 for Initial Briefs (Electric)_DEM-WP(C) ENERG10C--ctn Mid-C_042010 2010GRC 2" xfId="41780"/>
    <cellStyle name="_Value Copy 11 30 05 gas 12 09 05 AURORA at 12 14 05_Book2_DEM-WP(C) ENERG10C--ctn Mid-C_042010 2010GRC" xfId="13072"/>
    <cellStyle name="_Value Copy 11 30 05 gas 12 09 05 AURORA at 12 14 05_Book2_DEM-WP(C) ENERG10C--ctn Mid-C_042010 2010GRC 2" xfId="41781"/>
    <cellStyle name="_Value Copy 11 30 05 gas 12 09 05 AURORA at 12 14 05_Book2_Electric Rev Req Model (2009 GRC) Rebuttal" xfId="2139"/>
    <cellStyle name="_Value Copy 11 30 05 gas 12 09 05 AURORA at 12 14 05_Book2_Electric Rev Req Model (2009 GRC) Rebuttal 2" xfId="5502"/>
    <cellStyle name="_Value Copy 11 30 05 gas 12 09 05 AURORA at 12 14 05_Book2_Electric Rev Req Model (2009 GRC) Rebuttal 2 2" xfId="8223"/>
    <cellStyle name="_Value Copy 11 30 05 gas 12 09 05 AURORA at 12 14 05_Book2_Electric Rev Req Model (2009 GRC) Rebuttal 2 2 2" xfId="21475"/>
    <cellStyle name="_Value Copy 11 30 05 gas 12 09 05 AURORA at 12 14 05_Book2_Electric Rev Req Model (2009 GRC) Rebuttal 2 3" xfId="18685"/>
    <cellStyle name="_Value Copy 11 30 05 gas 12 09 05 AURORA at 12 14 05_Book2_Electric Rev Req Model (2009 GRC) Rebuttal 2 4" xfId="8222"/>
    <cellStyle name="_Value Copy 11 30 05 gas 12 09 05 AURORA at 12 14 05_Book2_Electric Rev Req Model (2009 GRC) Rebuttal 3" xfId="8224"/>
    <cellStyle name="_Value Copy 11 30 05 gas 12 09 05 AURORA at 12 14 05_Book2_Electric Rev Req Model (2009 GRC) Rebuttal 3 2" xfId="21476"/>
    <cellStyle name="_Value Copy 11 30 05 gas 12 09 05 AURORA at 12 14 05_Book2_Electric Rev Req Model (2009 GRC) Rebuttal 4" xfId="17089"/>
    <cellStyle name="_Value Copy 11 30 05 gas 12 09 05 AURORA at 12 14 05_Book2_Electric Rev Req Model (2009 GRC) Rebuttal 5" xfId="8221"/>
    <cellStyle name="_Value Copy 11 30 05 gas 12 09 05 AURORA at 12 14 05_Book2_Electric Rev Req Model (2009 GRC) Rebuttal REmoval of New  WH Solar AdjustMI" xfId="2140"/>
    <cellStyle name="_Value Copy 11 30 05 gas 12 09 05 AURORA at 12 14 05_Book2_Electric Rev Req Model (2009 GRC) Rebuttal REmoval of New  WH Solar AdjustMI 2" xfId="2141"/>
    <cellStyle name="_Value Copy 11 30 05 gas 12 09 05 AURORA at 12 14 05_Book2_Electric Rev Req Model (2009 GRC) Rebuttal REmoval of New  WH Solar AdjustMI 2 2" xfId="5504"/>
    <cellStyle name="_Value Copy 11 30 05 gas 12 09 05 AURORA at 12 14 05_Book2_Electric Rev Req Model (2009 GRC) Rebuttal REmoval of New  WH Solar AdjustMI 2 2 2" xfId="21477"/>
    <cellStyle name="_Value Copy 11 30 05 gas 12 09 05 AURORA at 12 14 05_Book2_Electric Rev Req Model (2009 GRC) Rebuttal REmoval of New  WH Solar AdjustMI 2 2 2 2" xfId="28942"/>
    <cellStyle name="_Value Copy 11 30 05 gas 12 09 05 AURORA at 12 14 05_Book2_Electric Rev Req Model (2009 GRC) Rebuttal REmoval of New  WH Solar AdjustMI 2 2 3" xfId="8227"/>
    <cellStyle name="_Value Copy 11 30 05 gas 12 09 05 AURORA at 12 14 05_Book2_Electric Rev Req Model (2009 GRC) Rebuttal REmoval of New  WH Solar AdjustMI 2 3" xfId="17091"/>
    <cellStyle name="_Value Copy 11 30 05 gas 12 09 05 AURORA at 12 14 05_Book2_Electric Rev Req Model (2009 GRC) Rebuttal REmoval of New  WH Solar AdjustMI 2 3 2" xfId="28943"/>
    <cellStyle name="_Value Copy 11 30 05 gas 12 09 05 AURORA at 12 14 05_Book2_Electric Rev Req Model (2009 GRC) Rebuttal REmoval of New  WH Solar AdjustMI 2 4" xfId="28944"/>
    <cellStyle name="_Value Copy 11 30 05 gas 12 09 05 AURORA at 12 14 05_Book2_Electric Rev Req Model (2009 GRC) Rebuttal REmoval of New  WH Solar AdjustMI 2 4 2" xfId="28945"/>
    <cellStyle name="_Value Copy 11 30 05 gas 12 09 05 AURORA at 12 14 05_Book2_Electric Rev Req Model (2009 GRC) Rebuttal REmoval of New  WH Solar AdjustMI 2 5" xfId="8226"/>
    <cellStyle name="_Value Copy 11 30 05 gas 12 09 05 AURORA at 12 14 05_Book2_Electric Rev Req Model (2009 GRC) Rebuttal REmoval of New  WH Solar AdjustMI 3" xfId="5503"/>
    <cellStyle name="_Value Copy 11 30 05 gas 12 09 05 AURORA at 12 14 05_Book2_Electric Rev Req Model (2009 GRC) Rebuttal REmoval of New  WH Solar AdjustMI 3 2" xfId="21478"/>
    <cellStyle name="_Value Copy 11 30 05 gas 12 09 05 AURORA at 12 14 05_Book2_Electric Rev Req Model (2009 GRC) Rebuttal REmoval of New  WH Solar AdjustMI 3 2 2" xfId="28946"/>
    <cellStyle name="_Value Copy 11 30 05 gas 12 09 05 AURORA at 12 14 05_Book2_Electric Rev Req Model (2009 GRC) Rebuttal REmoval of New  WH Solar AdjustMI 3 3" xfId="28947"/>
    <cellStyle name="_Value Copy 11 30 05 gas 12 09 05 AURORA at 12 14 05_Book2_Electric Rev Req Model (2009 GRC) Rebuttal REmoval of New  WH Solar AdjustMI 3 4" xfId="8228"/>
    <cellStyle name="_Value Copy 11 30 05 gas 12 09 05 AURORA at 12 14 05_Book2_Electric Rev Req Model (2009 GRC) Rebuttal REmoval of New  WH Solar AdjustMI 4" xfId="17090"/>
    <cellStyle name="_Value Copy 11 30 05 gas 12 09 05 AURORA at 12 14 05_Book2_Electric Rev Req Model (2009 GRC) Rebuttal REmoval of New  WH Solar AdjustMI 4 2" xfId="28948"/>
    <cellStyle name="_Value Copy 11 30 05 gas 12 09 05 AURORA at 12 14 05_Book2_Electric Rev Req Model (2009 GRC) Rebuttal REmoval of New  WH Solar AdjustMI 4 2 2" xfId="28949"/>
    <cellStyle name="_Value Copy 11 30 05 gas 12 09 05 AURORA at 12 14 05_Book2_Electric Rev Req Model (2009 GRC) Rebuttal REmoval of New  WH Solar AdjustMI 4 3" xfId="28950"/>
    <cellStyle name="_Value Copy 11 30 05 gas 12 09 05 AURORA at 12 14 05_Book2_Electric Rev Req Model (2009 GRC) Rebuttal REmoval of New  WH Solar AdjustMI 5" xfId="28951"/>
    <cellStyle name="_Value Copy 11 30 05 gas 12 09 05 AURORA at 12 14 05_Book2_Electric Rev Req Model (2009 GRC) Rebuttal REmoval of New  WH Solar AdjustMI 5 2" xfId="28952"/>
    <cellStyle name="_Value Copy 11 30 05 gas 12 09 05 AURORA at 12 14 05_Book2_Electric Rev Req Model (2009 GRC) Rebuttal REmoval of New  WH Solar AdjustMI 6" xfId="28953"/>
    <cellStyle name="_Value Copy 11 30 05 gas 12 09 05 AURORA at 12 14 05_Book2_Electric Rev Req Model (2009 GRC) Rebuttal REmoval of New  WH Solar AdjustMI 6 2" xfId="28954"/>
    <cellStyle name="_Value Copy 11 30 05 gas 12 09 05 AURORA at 12 14 05_Book2_Electric Rev Req Model (2009 GRC) Rebuttal REmoval of New  WH Solar AdjustMI 7" xfId="8225"/>
    <cellStyle name="_Value Copy 11 30 05 gas 12 09 05 AURORA at 12 14 05_Book2_Electric Rev Req Model (2009 GRC) Rebuttal REmoval of New  WH Solar AdjustMI_DEM-WP(C) ENERG10C--ctn Mid-C_042010 2010GRC" xfId="13073"/>
    <cellStyle name="_Value Copy 11 30 05 gas 12 09 05 AURORA at 12 14 05_Book2_Electric Rev Req Model (2009 GRC) Rebuttal REmoval of New  WH Solar AdjustMI_DEM-WP(C) ENERG10C--ctn Mid-C_042010 2010GRC 2" xfId="41782"/>
    <cellStyle name="_Value Copy 11 30 05 gas 12 09 05 AURORA at 12 14 05_Book2_Electric Rev Req Model (2009 GRC) Revised 01-18-2010" xfId="2142"/>
    <cellStyle name="_Value Copy 11 30 05 gas 12 09 05 AURORA at 12 14 05_Book2_Electric Rev Req Model (2009 GRC) Revised 01-18-2010 2" xfId="2143"/>
    <cellStyle name="_Value Copy 11 30 05 gas 12 09 05 AURORA at 12 14 05_Book2_Electric Rev Req Model (2009 GRC) Revised 01-18-2010 2 2" xfId="5506"/>
    <cellStyle name="_Value Copy 11 30 05 gas 12 09 05 AURORA at 12 14 05_Book2_Electric Rev Req Model (2009 GRC) Revised 01-18-2010 2 2 2" xfId="21479"/>
    <cellStyle name="_Value Copy 11 30 05 gas 12 09 05 AURORA at 12 14 05_Book2_Electric Rev Req Model (2009 GRC) Revised 01-18-2010 2 2 2 2" xfId="28955"/>
    <cellStyle name="_Value Copy 11 30 05 gas 12 09 05 AURORA at 12 14 05_Book2_Electric Rev Req Model (2009 GRC) Revised 01-18-2010 2 2 3" xfId="8231"/>
    <cellStyle name="_Value Copy 11 30 05 gas 12 09 05 AURORA at 12 14 05_Book2_Electric Rev Req Model (2009 GRC) Revised 01-18-2010 2 3" xfId="17093"/>
    <cellStyle name="_Value Copy 11 30 05 gas 12 09 05 AURORA at 12 14 05_Book2_Electric Rev Req Model (2009 GRC) Revised 01-18-2010 2 3 2" xfId="28956"/>
    <cellStyle name="_Value Copy 11 30 05 gas 12 09 05 AURORA at 12 14 05_Book2_Electric Rev Req Model (2009 GRC) Revised 01-18-2010 2 4" xfId="28957"/>
    <cellStyle name="_Value Copy 11 30 05 gas 12 09 05 AURORA at 12 14 05_Book2_Electric Rev Req Model (2009 GRC) Revised 01-18-2010 2 4 2" xfId="28958"/>
    <cellStyle name="_Value Copy 11 30 05 gas 12 09 05 AURORA at 12 14 05_Book2_Electric Rev Req Model (2009 GRC) Revised 01-18-2010 2 5" xfId="8230"/>
    <cellStyle name="_Value Copy 11 30 05 gas 12 09 05 AURORA at 12 14 05_Book2_Electric Rev Req Model (2009 GRC) Revised 01-18-2010 3" xfId="5505"/>
    <cellStyle name="_Value Copy 11 30 05 gas 12 09 05 AURORA at 12 14 05_Book2_Electric Rev Req Model (2009 GRC) Revised 01-18-2010 3 2" xfId="21480"/>
    <cellStyle name="_Value Copy 11 30 05 gas 12 09 05 AURORA at 12 14 05_Book2_Electric Rev Req Model (2009 GRC) Revised 01-18-2010 3 2 2" xfId="28959"/>
    <cellStyle name="_Value Copy 11 30 05 gas 12 09 05 AURORA at 12 14 05_Book2_Electric Rev Req Model (2009 GRC) Revised 01-18-2010 3 3" xfId="28960"/>
    <cellStyle name="_Value Copy 11 30 05 gas 12 09 05 AURORA at 12 14 05_Book2_Electric Rev Req Model (2009 GRC) Revised 01-18-2010 3 4" xfId="8232"/>
    <cellStyle name="_Value Copy 11 30 05 gas 12 09 05 AURORA at 12 14 05_Book2_Electric Rev Req Model (2009 GRC) Revised 01-18-2010 4" xfId="17092"/>
    <cellStyle name="_Value Copy 11 30 05 gas 12 09 05 AURORA at 12 14 05_Book2_Electric Rev Req Model (2009 GRC) Revised 01-18-2010 4 2" xfId="28961"/>
    <cellStyle name="_Value Copy 11 30 05 gas 12 09 05 AURORA at 12 14 05_Book2_Electric Rev Req Model (2009 GRC) Revised 01-18-2010 4 2 2" xfId="28962"/>
    <cellStyle name="_Value Copy 11 30 05 gas 12 09 05 AURORA at 12 14 05_Book2_Electric Rev Req Model (2009 GRC) Revised 01-18-2010 4 3" xfId="28963"/>
    <cellStyle name="_Value Copy 11 30 05 gas 12 09 05 AURORA at 12 14 05_Book2_Electric Rev Req Model (2009 GRC) Revised 01-18-2010 5" xfId="28964"/>
    <cellStyle name="_Value Copy 11 30 05 gas 12 09 05 AURORA at 12 14 05_Book2_Electric Rev Req Model (2009 GRC) Revised 01-18-2010 5 2" xfId="28965"/>
    <cellStyle name="_Value Copy 11 30 05 gas 12 09 05 AURORA at 12 14 05_Book2_Electric Rev Req Model (2009 GRC) Revised 01-18-2010 6" xfId="28966"/>
    <cellStyle name="_Value Copy 11 30 05 gas 12 09 05 AURORA at 12 14 05_Book2_Electric Rev Req Model (2009 GRC) Revised 01-18-2010 6 2" xfId="28967"/>
    <cellStyle name="_Value Copy 11 30 05 gas 12 09 05 AURORA at 12 14 05_Book2_Electric Rev Req Model (2009 GRC) Revised 01-18-2010 7" xfId="8229"/>
    <cellStyle name="_Value Copy 11 30 05 gas 12 09 05 AURORA at 12 14 05_Book2_Electric Rev Req Model (2009 GRC) Revised 01-18-2010_DEM-WP(C) ENERG10C--ctn Mid-C_042010 2010GRC" xfId="13074"/>
    <cellStyle name="_Value Copy 11 30 05 gas 12 09 05 AURORA at 12 14 05_Book2_Electric Rev Req Model (2009 GRC) Revised 01-18-2010_DEM-WP(C) ENERG10C--ctn Mid-C_042010 2010GRC 2" xfId="41783"/>
    <cellStyle name="_Value Copy 11 30 05 gas 12 09 05 AURORA at 12 14 05_Book2_Final Order Electric EXHIBIT A-1" xfId="2144"/>
    <cellStyle name="_Value Copy 11 30 05 gas 12 09 05 AURORA at 12 14 05_Book2_Final Order Electric EXHIBIT A-1 2" xfId="5507"/>
    <cellStyle name="_Value Copy 11 30 05 gas 12 09 05 AURORA at 12 14 05_Book2_Final Order Electric EXHIBIT A-1 2 2" xfId="8235"/>
    <cellStyle name="_Value Copy 11 30 05 gas 12 09 05 AURORA at 12 14 05_Book2_Final Order Electric EXHIBIT A-1 2 2 2" xfId="21481"/>
    <cellStyle name="_Value Copy 11 30 05 gas 12 09 05 AURORA at 12 14 05_Book2_Final Order Electric EXHIBIT A-1 2 3" xfId="18686"/>
    <cellStyle name="_Value Copy 11 30 05 gas 12 09 05 AURORA at 12 14 05_Book2_Final Order Electric EXHIBIT A-1 2 4" xfId="8234"/>
    <cellStyle name="_Value Copy 11 30 05 gas 12 09 05 AURORA at 12 14 05_Book2_Final Order Electric EXHIBIT A-1 3" xfId="8236"/>
    <cellStyle name="_Value Copy 11 30 05 gas 12 09 05 AURORA at 12 14 05_Book2_Final Order Electric EXHIBIT A-1 3 2" xfId="21482"/>
    <cellStyle name="_Value Copy 11 30 05 gas 12 09 05 AURORA at 12 14 05_Book2_Final Order Electric EXHIBIT A-1 3 2 2" xfId="28968"/>
    <cellStyle name="_Value Copy 11 30 05 gas 12 09 05 AURORA at 12 14 05_Book2_Final Order Electric EXHIBIT A-1 3 3" xfId="28969"/>
    <cellStyle name="_Value Copy 11 30 05 gas 12 09 05 AURORA at 12 14 05_Book2_Final Order Electric EXHIBIT A-1 4" xfId="17094"/>
    <cellStyle name="_Value Copy 11 30 05 gas 12 09 05 AURORA at 12 14 05_Book2_Final Order Electric EXHIBIT A-1 4 2" xfId="28970"/>
    <cellStyle name="_Value Copy 11 30 05 gas 12 09 05 AURORA at 12 14 05_Book2_Final Order Electric EXHIBIT A-1 5" xfId="28971"/>
    <cellStyle name="_Value Copy 11 30 05 gas 12 09 05 AURORA at 12 14 05_Book2_Final Order Electric EXHIBIT A-1 6" xfId="28972"/>
    <cellStyle name="_Value Copy 11 30 05 gas 12 09 05 AURORA at 12 14 05_Book2_Final Order Electric EXHIBIT A-1 7" xfId="8233"/>
    <cellStyle name="_Value Copy 11 30 05 gas 12 09 05 AURORA at 12 14 05_Book4" xfId="2145"/>
    <cellStyle name="_Value Copy 11 30 05 gas 12 09 05 AURORA at 12 14 05_Book4 2" xfId="2146"/>
    <cellStyle name="_Value Copy 11 30 05 gas 12 09 05 AURORA at 12 14 05_Book4 2 2" xfId="5509"/>
    <cellStyle name="_Value Copy 11 30 05 gas 12 09 05 AURORA at 12 14 05_Book4 2 2 2" xfId="21483"/>
    <cellStyle name="_Value Copy 11 30 05 gas 12 09 05 AURORA at 12 14 05_Book4 2 2 2 2" xfId="28973"/>
    <cellStyle name="_Value Copy 11 30 05 gas 12 09 05 AURORA at 12 14 05_Book4 2 2 3" xfId="8239"/>
    <cellStyle name="_Value Copy 11 30 05 gas 12 09 05 AURORA at 12 14 05_Book4 2 3" xfId="17096"/>
    <cellStyle name="_Value Copy 11 30 05 gas 12 09 05 AURORA at 12 14 05_Book4 2 3 2" xfId="28974"/>
    <cellStyle name="_Value Copy 11 30 05 gas 12 09 05 AURORA at 12 14 05_Book4 2 4" xfId="28975"/>
    <cellStyle name="_Value Copy 11 30 05 gas 12 09 05 AURORA at 12 14 05_Book4 2 4 2" xfId="28976"/>
    <cellStyle name="_Value Copy 11 30 05 gas 12 09 05 AURORA at 12 14 05_Book4 2 5" xfId="8238"/>
    <cellStyle name="_Value Copy 11 30 05 gas 12 09 05 AURORA at 12 14 05_Book4 3" xfId="5508"/>
    <cellStyle name="_Value Copy 11 30 05 gas 12 09 05 AURORA at 12 14 05_Book4 3 2" xfId="21484"/>
    <cellStyle name="_Value Copy 11 30 05 gas 12 09 05 AURORA at 12 14 05_Book4 3 2 2" xfId="28977"/>
    <cellStyle name="_Value Copy 11 30 05 gas 12 09 05 AURORA at 12 14 05_Book4 3 3" xfId="28978"/>
    <cellStyle name="_Value Copy 11 30 05 gas 12 09 05 AURORA at 12 14 05_Book4 3 4" xfId="8240"/>
    <cellStyle name="_Value Copy 11 30 05 gas 12 09 05 AURORA at 12 14 05_Book4 4" xfId="17095"/>
    <cellStyle name="_Value Copy 11 30 05 gas 12 09 05 AURORA at 12 14 05_Book4 4 2" xfId="28979"/>
    <cellStyle name="_Value Copy 11 30 05 gas 12 09 05 AURORA at 12 14 05_Book4 4 2 2" xfId="28980"/>
    <cellStyle name="_Value Copy 11 30 05 gas 12 09 05 AURORA at 12 14 05_Book4 4 3" xfId="28981"/>
    <cellStyle name="_Value Copy 11 30 05 gas 12 09 05 AURORA at 12 14 05_Book4 5" xfId="28982"/>
    <cellStyle name="_Value Copy 11 30 05 gas 12 09 05 AURORA at 12 14 05_Book4 5 2" xfId="28983"/>
    <cellStyle name="_Value Copy 11 30 05 gas 12 09 05 AURORA at 12 14 05_Book4 6" xfId="28984"/>
    <cellStyle name="_Value Copy 11 30 05 gas 12 09 05 AURORA at 12 14 05_Book4 6 2" xfId="28985"/>
    <cellStyle name="_Value Copy 11 30 05 gas 12 09 05 AURORA at 12 14 05_Book4 7" xfId="8237"/>
    <cellStyle name="_Value Copy 11 30 05 gas 12 09 05 AURORA at 12 14 05_Book4_DEM-WP(C) ENERG10C--ctn Mid-C_042010 2010GRC" xfId="13075"/>
    <cellStyle name="_Value Copy 11 30 05 gas 12 09 05 AURORA at 12 14 05_Book4_DEM-WP(C) ENERG10C--ctn Mid-C_042010 2010GRC 2" xfId="41784"/>
    <cellStyle name="_Value Copy 11 30 05 gas 12 09 05 AURORA at 12 14 05_Book9" xfId="2147"/>
    <cellStyle name="_Value Copy 11 30 05 gas 12 09 05 AURORA at 12 14 05_Book9 2" xfId="2148"/>
    <cellStyle name="_Value Copy 11 30 05 gas 12 09 05 AURORA at 12 14 05_Book9 2 2" xfId="5511"/>
    <cellStyle name="_Value Copy 11 30 05 gas 12 09 05 AURORA at 12 14 05_Book9 2 2 2" xfId="21485"/>
    <cellStyle name="_Value Copy 11 30 05 gas 12 09 05 AURORA at 12 14 05_Book9 2 2 2 2" xfId="28986"/>
    <cellStyle name="_Value Copy 11 30 05 gas 12 09 05 AURORA at 12 14 05_Book9 2 2 3" xfId="8243"/>
    <cellStyle name="_Value Copy 11 30 05 gas 12 09 05 AURORA at 12 14 05_Book9 2 3" xfId="17098"/>
    <cellStyle name="_Value Copy 11 30 05 gas 12 09 05 AURORA at 12 14 05_Book9 2 3 2" xfId="28987"/>
    <cellStyle name="_Value Copy 11 30 05 gas 12 09 05 AURORA at 12 14 05_Book9 2 4" xfId="28988"/>
    <cellStyle name="_Value Copy 11 30 05 gas 12 09 05 AURORA at 12 14 05_Book9 2 4 2" xfId="28989"/>
    <cellStyle name="_Value Copy 11 30 05 gas 12 09 05 AURORA at 12 14 05_Book9 2 5" xfId="8242"/>
    <cellStyle name="_Value Copy 11 30 05 gas 12 09 05 AURORA at 12 14 05_Book9 3" xfId="5510"/>
    <cellStyle name="_Value Copy 11 30 05 gas 12 09 05 AURORA at 12 14 05_Book9 3 2" xfId="21486"/>
    <cellStyle name="_Value Copy 11 30 05 gas 12 09 05 AURORA at 12 14 05_Book9 3 2 2" xfId="28990"/>
    <cellStyle name="_Value Copy 11 30 05 gas 12 09 05 AURORA at 12 14 05_Book9 3 3" xfId="28991"/>
    <cellStyle name="_Value Copy 11 30 05 gas 12 09 05 AURORA at 12 14 05_Book9 3 4" xfId="8244"/>
    <cellStyle name="_Value Copy 11 30 05 gas 12 09 05 AURORA at 12 14 05_Book9 4" xfId="17097"/>
    <cellStyle name="_Value Copy 11 30 05 gas 12 09 05 AURORA at 12 14 05_Book9 4 2" xfId="28992"/>
    <cellStyle name="_Value Copy 11 30 05 gas 12 09 05 AURORA at 12 14 05_Book9 4 2 2" xfId="28993"/>
    <cellStyle name="_Value Copy 11 30 05 gas 12 09 05 AURORA at 12 14 05_Book9 4 3" xfId="28994"/>
    <cellStyle name="_Value Copy 11 30 05 gas 12 09 05 AURORA at 12 14 05_Book9 5" xfId="28995"/>
    <cellStyle name="_Value Copy 11 30 05 gas 12 09 05 AURORA at 12 14 05_Book9 5 2" xfId="28996"/>
    <cellStyle name="_Value Copy 11 30 05 gas 12 09 05 AURORA at 12 14 05_Book9 6" xfId="28997"/>
    <cellStyle name="_Value Copy 11 30 05 gas 12 09 05 AURORA at 12 14 05_Book9 6 2" xfId="28998"/>
    <cellStyle name="_Value Copy 11 30 05 gas 12 09 05 AURORA at 12 14 05_Book9 7" xfId="8241"/>
    <cellStyle name="_Value Copy 11 30 05 gas 12 09 05 AURORA at 12 14 05_Book9_DEM-WP(C) ENERG10C--ctn Mid-C_042010 2010GRC" xfId="13076"/>
    <cellStyle name="_Value Copy 11 30 05 gas 12 09 05 AURORA at 12 14 05_Book9_DEM-WP(C) ENERG10C--ctn Mid-C_042010 2010GRC 2" xfId="41785"/>
    <cellStyle name="_Value Copy 11 30 05 gas 12 09 05 AURORA at 12 14 05_Check the Interest Calculation" xfId="15271"/>
    <cellStyle name="_Value Copy 11 30 05 gas 12 09 05 AURORA at 12 14 05_Check the Interest Calculation 2" xfId="28999"/>
    <cellStyle name="_Value Copy 11 30 05 gas 12 09 05 AURORA at 12 14 05_Check the Interest Calculation_Scenario 1 REC vs PTC Offset" xfId="15272"/>
    <cellStyle name="_Value Copy 11 30 05 gas 12 09 05 AURORA at 12 14 05_Check the Interest Calculation_Scenario 1 REC vs PTC Offset 2" xfId="29000"/>
    <cellStyle name="_Value Copy 11 30 05 gas 12 09 05 AURORA at 12 14 05_Check the Interest Calculation_Scenario 3" xfId="15273"/>
    <cellStyle name="_Value Copy 11 30 05 gas 12 09 05 AURORA at 12 14 05_Check the Interest Calculation_Scenario 3 2" xfId="29001"/>
    <cellStyle name="_Value Copy 11 30 05 gas 12 09 05 AURORA at 12 14 05_Chelan PUD Power Costs (8-10)" xfId="13077"/>
    <cellStyle name="_Value Copy 11 30 05 gas 12 09 05 AURORA at 12 14 05_Chelan PUD Power Costs (8-10) 2" xfId="29002"/>
    <cellStyle name="_Value Copy 11 30 05 gas 12 09 05 AURORA at 12 14 05_DEM-WP(C) Chelan Power Costs" xfId="13078"/>
    <cellStyle name="_Value Copy 11 30 05 gas 12 09 05 AURORA at 12 14 05_DEM-WP(C) Chelan Power Costs 2" xfId="29003"/>
    <cellStyle name="_Value Copy 11 30 05 gas 12 09 05 AURORA at 12 14 05_DEM-WP(C) Chelan Power Costs 2 2" xfId="29004"/>
    <cellStyle name="_Value Copy 11 30 05 gas 12 09 05 AURORA at 12 14 05_DEM-WP(C) Chelan Power Costs 2 2 2" xfId="29005"/>
    <cellStyle name="_Value Copy 11 30 05 gas 12 09 05 AURORA at 12 14 05_DEM-WP(C) Chelan Power Costs 2 3" xfId="29006"/>
    <cellStyle name="_Value Copy 11 30 05 gas 12 09 05 AURORA at 12 14 05_DEM-WP(C) Chelan Power Costs 3" xfId="29007"/>
    <cellStyle name="_Value Copy 11 30 05 gas 12 09 05 AURORA at 12 14 05_DEM-WP(C) Chelan Power Costs 3 2" xfId="29008"/>
    <cellStyle name="_Value Copy 11 30 05 gas 12 09 05 AURORA at 12 14 05_DEM-WP(C) Chelan Power Costs 3 2 2" xfId="29009"/>
    <cellStyle name="_Value Copy 11 30 05 gas 12 09 05 AURORA at 12 14 05_DEM-WP(C) Chelan Power Costs 3 3" xfId="29010"/>
    <cellStyle name="_Value Copy 11 30 05 gas 12 09 05 AURORA at 12 14 05_DEM-WP(C) Chelan Power Costs 4" xfId="29011"/>
    <cellStyle name="_Value Copy 11 30 05 gas 12 09 05 AURORA at 12 14 05_DEM-WP(C) Chelan Power Costs 4 2" xfId="29012"/>
    <cellStyle name="_Value Copy 11 30 05 gas 12 09 05 AURORA at 12 14 05_DEM-WP(C) Chelan Power Costs 5" xfId="29013"/>
    <cellStyle name="_Value Copy 11 30 05 gas 12 09 05 AURORA at 12 14 05_DEM-WP(C) Chelan Power Costs 5 2" xfId="29014"/>
    <cellStyle name="_Value Copy 11 30 05 gas 12 09 05 AURORA at 12 14 05_DEM-WP(C) ENERG10C--ctn Mid-C_042010 2010GRC" xfId="13079"/>
    <cellStyle name="_Value Copy 11 30 05 gas 12 09 05 AURORA at 12 14 05_DEM-WP(C) ENERG10C--ctn Mid-C_042010 2010GRC 2" xfId="41786"/>
    <cellStyle name="_Value Copy 11 30 05 gas 12 09 05 AURORA at 12 14 05_DEM-WP(C) Gas Transport 2010GRC" xfId="13080"/>
    <cellStyle name="_Value Copy 11 30 05 gas 12 09 05 AURORA at 12 14 05_DEM-WP(C) Gas Transport 2010GRC 2" xfId="29015"/>
    <cellStyle name="_Value Copy 11 30 05 gas 12 09 05 AURORA at 12 14 05_DEM-WP(C) Gas Transport 2010GRC 2 2" xfId="29016"/>
    <cellStyle name="_Value Copy 11 30 05 gas 12 09 05 AURORA at 12 14 05_DEM-WP(C) Gas Transport 2010GRC 2 2 2" xfId="29017"/>
    <cellStyle name="_Value Copy 11 30 05 gas 12 09 05 AURORA at 12 14 05_DEM-WP(C) Gas Transport 2010GRC 2 3" xfId="29018"/>
    <cellStyle name="_Value Copy 11 30 05 gas 12 09 05 AURORA at 12 14 05_DEM-WP(C) Gas Transport 2010GRC 3" xfId="29019"/>
    <cellStyle name="_Value Copy 11 30 05 gas 12 09 05 AURORA at 12 14 05_DEM-WP(C) Gas Transport 2010GRC 3 2" xfId="29020"/>
    <cellStyle name="_Value Copy 11 30 05 gas 12 09 05 AURORA at 12 14 05_DEM-WP(C) Gas Transport 2010GRC 3 2 2" xfId="29021"/>
    <cellStyle name="_Value Copy 11 30 05 gas 12 09 05 AURORA at 12 14 05_DEM-WP(C) Gas Transport 2010GRC 3 3" xfId="29022"/>
    <cellStyle name="_Value Copy 11 30 05 gas 12 09 05 AURORA at 12 14 05_DEM-WP(C) Gas Transport 2010GRC 4" xfId="29023"/>
    <cellStyle name="_Value Copy 11 30 05 gas 12 09 05 AURORA at 12 14 05_DEM-WP(C) Gas Transport 2010GRC 4 2" xfId="29024"/>
    <cellStyle name="_Value Copy 11 30 05 gas 12 09 05 AURORA at 12 14 05_DEM-WP(C) Gas Transport 2010GRC 5" xfId="29025"/>
    <cellStyle name="_Value Copy 11 30 05 gas 12 09 05 AURORA at 12 14 05_DEM-WP(C) Gas Transport 2010GRC 5 2" xfId="29026"/>
    <cellStyle name="_Value Copy 11 30 05 gas 12 09 05 AURORA at 12 14 05_Direct Assignment Distribution Plant 2008" xfId="8245"/>
    <cellStyle name="_Value Copy 11 30 05 gas 12 09 05 AURORA at 12 14 05_Direct Assignment Distribution Plant 2008 2" xfId="8246"/>
    <cellStyle name="_Value Copy 11 30 05 gas 12 09 05 AURORA at 12 14 05_Direct Assignment Distribution Plant 2008 2 2" xfId="8247"/>
    <cellStyle name="_Value Copy 11 30 05 gas 12 09 05 AURORA at 12 14 05_Direct Assignment Distribution Plant 2008 2 2 2" xfId="8248"/>
    <cellStyle name="_Value Copy 11 30 05 gas 12 09 05 AURORA at 12 14 05_Direct Assignment Distribution Plant 2008 2 2 2 2" xfId="21487"/>
    <cellStyle name="_Value Copy 11 30 05 gas 12 09 05 AURORA at 12 14 05_Direct Assignment Distribution Plant 2008 2 2 3" xfId="18689"/>
    <cellStyle name="_Value Copy 11 30 05 gas 12 09 05 AURORA at 12 14 05_Direct Assignment Distribution Plant 2008 2 3" xfId="8249"/>
    <cellStyle name="_Value Copy 11 30 05 gas 12 09 05 AURORA at 12 14 05_Direct Assignment Distribution Plant 2008 2 3 2" xfId="8250"/>
    <cellStyle name="_Value Copy 11 30 05 gas 12 09 05 AURORA at 12 14 05_Direct Assignment Distribution Plant 2008 2 3 2 2" xfId="21488"/>
    <cellStyle name="_Value Copy 11 30 05 gas 12 09 05 AURORA at 12 14 05_Direct Assignment Distribution Plant 2008 2 3 3" xfId="18690"/>
    <cellStyle name="_Value Copy 11 30 05 gas 12 09 05 AURORA at 12 14 05_Direct Assignment Distribution Plant 2008 2 4" xfId="8251"/>
    <cellStyle name="_Value Copy 11 30 05 gas 12 09 05 AURORA at 12 14 05_Direct Assignment Distribution Plant 2008 2 4 2" xfId="8252"/>
    <cellStyle name="_Value Copy 11 30 05 gas 12 09 05 AURORA at 12 14 05_Direct Assignment Distribution Plant 2008 2 4 2 2" xfId="21489"/>
    <cellStyle name="_Value Copy 11 30 05 gas 12 09 05 AURORA at 12 14 05_Direct Assignment Distribution Plant 2008 2 4 3" xfId="18691"/>
    <cellStyle name="_Value Copy 11 30 05 gas 12 09 05 AURORA at 12 14 05_Direct Assignment Distribution Plant 2008 2 5" xfId="18688"/>
    <cellStyle name="_Value Copy 11 30 05 gas 12 09 05 AURORA at 12 14 05_Direct Assignment Distribution Plant 2008 3" xfId="8253"/>
    <cellStyle name="_Value Copy 11 30 05 gas 12 09 05 AURORA at 12 14 05_Direct Assignment Distribution Plant 2008 3 2" xfId="8254"/>
    <cellStyle name="_Value Copy 11 30 05 gas 12 09 05 AURORA at 12 14 05_Direct Assignment Distribution Plant 2008 3 2 2" xfId="21490"/>
    <cellStyle name="_Value Copy 11 30 05 gas 12 09 05 AURORA at 12 14 05_Direct Assignment Distribution Plant 2008 3 3" xfId="18692"/>
    <cellStyle name="_Value Copy 11 30 05 gas 12 09 05 AURORA at 12 14 05_Direct Assignment Distribution Plant 2008 4" xfId="8255"/>
    <cellStyle name="_Value Copy 11 30 05 gas 12 09 05 AURORA at 12 14 05_Direct Assignment Distribution Plant 2008 4 2" xfId="8256"/>
    <cellStyle name="_Value Copy 11 30 05 gas 12 09 05 AURORA at 12 14 05_Direct Assignment Distribution Plant 2008 4 2 2" xfId="21491"/>
    <cellStyle name="_Value Copy 11 30 05 gas 12 09 05 AURORA at 12 14 05_Direct Assignment Distribution Plant 2008 4 3" xfId="18693"/>
    <cellStyle name="_Value Copy 11 30 05 gas 12 09 05 AURORA at 12 14 05_Direct Assignment Distribution Plant 2008 5" xfId="8257"/>
    <cellStyle name="_Value Copy 11 30 05 gas 12 09 05 AURORA at 12 14 05_Direct Assignment Distribution Plant 2008 5 2" xfId="21492"/>
    <cellStyle name="_Value Copy 11 30 05 gas 12 09 05 AURORA at 12 14 05_Direct Assignment Distribution Plant 2008 6" xfId="18687"/>
    <cellStyle name="_Value Copy 11 30 05 gas 12 09 05 AURORA at 12 14 05_Electric COS Inputs" xfId="8258"/>
    <cellStyle name="_Value Copy 11 30 05 gas 12 09 05 AURORA at 12 14 05_Electric COS Inputs 2" xfId="8259"/>
    <cellStyle name="_Value Copy 11 30 05 gas 12 09 05 AURORA at 12 14 05_Electric COS Inputs 2 2" xfId="8260"/>
    <cellStyle name="_Value Copy 11 30 05 gas 12 09 05 AURORA at 12 14 05_Electric COS Inputs 2 2 2" xfId="8261"/>
    <cellStyle name="_Value Copy 11 30 05 gas 12 09 05 AURORA at 12 14 05_Electric COS Inputs 2 2 2 2" xfId="21493"/>
    <cellStyle name="_Value Copy 11 30 05 gas 12 09 05 AURORA at 12 14 05_Electric COS Inputs 2 2 3" xfId="18696"/>
    <cellStyle name="_Value Copy 11 30 05 gas 12 09 05 AURORA at 12 14 05_Electric COS Inputs 2 3" xfId="8262"/>
    <cellStyle name="_Value Copy 11 30 05 gas 12 09 05 AURORA at 12 14 05_Electric COS Inputs 2 3 2" xfId="8263"/>
    <cellStyle name="_Value Copy 11 30 05 gas 12 09 05 AURORA at 12 14 05_Electric COS Inputs 2 3 2 2" xfId="21494"/>
    <cellStyle name="_Value Copy 11 30 05 gas 12 09 05 AURORA at 12 14 05_Electric COS Inputs 2 3 3" xfId="18697"/>
    <cellStyle name="_Value Copy 11 30 05 gas 12 09 05 AURORA at 12 14 05_Electric COS Inputs 2 4" xfId="8264"/>
    <cellStyle name="_Value Copy 11 30 05 gas 12 09 05 AURORA at 12 14 05_Electric COS Inputs 2 4 2" xfId="8265"/>
    <cellStyle name="_Value Copy 11 30 05 gas 12 09 05 AURORA at 12 14 05_Electric COS Inputs 2 4 2 2" xfId="21495"/>
    <cellStyle name="_Value Copy 11 30 05 gas 12 09 05 AURORA at 12 14 05_Electric COS Inputs 2 4 3" xfId="18698"/>
    <cellStyle name="_Value Copy 11 30 05 gas 12 09 05 AURORA at 12 14 05_Electric COS Inputs 2 5" xfId="18695"/>
    <cellStyle name="_Value Copy 11 30 05 gas 12 09 05 AURORA at 12 14 05_Electric COS Inputs 3" xfId="8266"/>
    <cellStyle name="_Value Copy 11 30 05 gas 12 09 05 AURORA at 12 14 05_Electric COS Inputs 3 2" xfId="8267"/>
    <cellStyle name="_Value Copy 11 30 05 gas 12 09 05 AURORA at 12 14 05_Electric COS Inputs 3 2 2" xfId="21496"/>
    <cellStyle name="_Value Copy 11 30 05 gas 12 09 05 AURORA at 12 14 05_Electric COS Inputs 3 3" xfId="18699"/>
    <cellStyle name="_Value Copy 11 30 05 gas 12 09 05 AURORA at 12 14 05_Electric COS Inputs 4" xfId="8268"/>
    <cellStyle name="_Value Copy 11 30 05 gas 12 09 05 AURORA at 12 14 05_Electric COS Inputs 4 2" xfId="8269"/>
    <cellStyle name="_Value Copy 11 30 05 gas 12 09 05 AURORA at 12 14 05_Electric COS Inputs 4 2 2" xfId="21497"/>
    <cellStyle name="_Value Copy 11 30 05 gas 12 09 05 AURORA at 12 14 05_Electric COS Inputs 4 3" xfId="18700"/>
    <cellStyle name="_Value Copy 11 30 05 gas 12 09 05 AURORA at 12 14 05_Electric COS Inputs 5" xfId="8270"/>
    <cellStyle name="_Value Copy 11 30 05 gas 12 09 05 AURORA at 12 14 05_Electric COS Inputs 5 2" xfId="21498"/>
    <cellStyle name="_Value Copy 11 30 05 gas 12 09 05 AURORA at 12 14 05_Electric COS Inputs 6" xfId="18694"/>
    <cellStyle name="_Value Copy 11 30 05 gas 12 09 05 AURORA at 12 14 05_Electric Rate Spread and Rate Design 3.23.09" xfId="8271"/>
    <cellStyle name="_Value Copy 11 30 05 gas 12 09 05 AURORA at 12 14 05_Electric Rate Spread and Rate Design 3.23.09 2" xfId="8272"/>
    <cellStyle name="_Value Copy 11 30 05 gas 12 09 05 AURORA at 12 14 05_Electric Rate Spread and Rate Design 3.23.09 2 2" xfId="8273"/>
    <cellStyle name="_Value Copy 11 30 05 gas 12 09 05 AURORA at 12 14 05_Electric Rate Spread and Rate Design 3.23.09 2 2 2" xfId="8274"/>
    <cellStyle name="_Value Copy 11 30 05 gas 12 09 05 AURORA at 12 14 05_Electric Rate Spread and Rate Design 3.23.09 2 2 2 2" xfId="21499"/>
    <cellStyle name="_Value Copy 11 30 05 gas 12 09 05 AURORA at 12 14 05_Electric Rate Spread and Rate Design 3.23.09 2 2 3" xfId="18703"/>
    <cellStyle name="_Value Copy 11 30 05 gas 12 09 05 AURORA at 12 14 05_Electric Rate Spread and Rate Design 3.23.09 2 3" xfId="8275"/>
    <cellStyle name="_Value Copy 11 30 05 gas 12 09 05 AURORA at 12 14 05_Electric Rate Spread and Rate Design 3.23.09 2 3 2" xfId="8276"/>
    <cellStyle name="_Value Copy 11 30 05 gas 12 09 05 AURORA at 12 14 05_Electric Rate Spread and Rate Design 3.23.09 2 3 2 2" xfId="21500"/>
    <cellStyle name="_Value Copy 11 30 05 gas 12 09 05 AURORA at 12 14 05_Electric Rate Spread and Rate Design 3.23.09 2 3 3" xfId="18704"/>
    <cellStyle name="_Value Copy 11 30 05 gas 12 09 05 AURORA at 12 14 05_Electric Rate Spread and Rate Design 3.23.09 2 4" xfId="8277"/>
    <cellStyle name="_Value Copy 11 30 05 gas 12 09 05 AURORA at 12 14 05_Electric Rate Spread and Rate Design 3.23.09 2 4 2" xfId="8278"/>
    <cellStyle name="_Value Copy 11 30 05 gas 12 09 05 AURORA at 12 14 05_Electric Rate Spread and Rate Design 3.23.09 2 4 2 2" xfId="21501"/>
    <cellStyle name="_Value Copy 11 30 05 gas 12 09 05 AURORA at 12 14 05_Electric Rate Spread and Rate Design 3.23.09 2 4 3" xfId="18705"/>
    <cellStyle name="_Value Copy 11 30 05 gas 12 09 05 AURORA at 12 14 05_Electric Rate Spread and Rate Design 3.23.09 2 5" xfId="18702"/>
    <cellStyle name="_Value Copy 11 30 05 gas 12 09 05 AURORA at 12 14 05_Electric Rate Spread and Rate Design 3.23.09 3" xfId="8279"/>
    <cellStyle name="_Value Copy 11 30 05 gas 12 09 05 AURORA at 12 14 05_Electric Rate Spread and Rate Design 3.23.09 3 2" xfId="8280"/>
    <cellStyle name="_Value Copy 11 30 05 gas 12 09 05 AURORA at 12 14 05_Electric Rate Spread and Rate Design 3.23.09 3 2 2" xfId="21502"/>
    <cellStyle name="_Value Copy 11 30 05 gas 12 09 05 AURORA at 12 14 05_Electric Rate Spread and Rate Design 3.23.09 3 3" xfId="18706"/>
    <cellStyle name="_Value Copy 11 30 05 gas 12 09 05 AURORA at 12 14 05_Electric Rate Spread and Rate Design 3.23.09 4" xfId="8281"/>
    <cellStyle name="_Value Copy 11 30 05 gas 12 09 05 AURORA at 12 14 05_Electric Rate Spread and Rate Design 3.23.09 4 2" xfId="8282"/>
    <cellStyle name="_Value Copy 11 30 05 gas 12 09 05 AURORA at 12 14 05_Electric Rate Spread and Rate Design 3.23.09 4 2 2" xfId="21503"/>
    <cellStyle name="_Value Copy 11 30 05 gas 12 09 05 AURORA at 12 14 05_Electric Rate Spread and Rate Design 3.23.09 4 3" xfId="18707"/>
    <cellStyle name="_Value Copy 11 30 05 gas 12 09 05 AURORA at 12 14 05_Electric Rate Spread and Rate Design 3.23.09 5" xfId="8283"/>
    <cellStyle name="_Value Copy 11 30 05 gas 12 09 05 AURORA at 12 14 05_Electric Rate Spread and Rate Design 3.23.09 5 2" xfId="21504"/>
    <cellStyle name="_Value Copy 11 30 05 gas 12 09 05 AURORA at 12 14 05_Electric Rate Spread and Rate Design 3.23.09 6" xfId="18701"/>
    <cellStyle name="_Value Copy 11 30 05 gas 12 09 05 AURORA at 12 14 05_Exh A-1 resulting from UE-112050 effective Jan 1 2012" xfId="15274"/>
    <cellStyle name="_Value Copy 11 30 05 gas 12 09 05 AURORA at 12 14 05_Exh A-1 resulting from UE-112050 effective Jan 1 2012 2" xfId="41787"/>
    <cellStyle name="_Value Copy 11 30 05 gas 12 09 05 AURORA at 12 14 05_Exhibit A-1 effective 4-1-11 fr S Free 12-11" xfId="15275"/>
    <cellStyle name="_Value Copy 11 30 05 gas 12 09 05 AURORA at 12 14 05_Exhibit A-1 effective 4-1-11 fr S Free 12-11 2" xfId="41788"/>
    <cellStyle name="_Value Copy 11 30 05 gas 12 09 05 AURORA at 12 14 05_Exhibit D fr R Gho 12-31-08" xfId="2149"/>
    <cellStyle name="_Value Copy 11 30 05 gas 12 09 05 AURORA at 12 14 05_Exhibit D fr R Gho 12-31-08 2" xfId="2150"/>
    <cellStyle name="_Value Copy 11 30 05 gas 12 09 05 AURORA at 12 14 05_Exhibit D fr R Gho 12-31-08 2 2" xfId="5513"/>
    <cellStyle name="_Value Copy 11 30 05 gas 12 09 05 AURORA at 12 14 05_Exhibit D fr R Gho 12-31-08 2 2 2" xfId="29027"/>
    <cellStyle name="_Value Copy 11 30 05 gas 12 09 05 AURORA at 12 14 05_Exhibit D fr R Gho 12-31-08 2 2 2 2" xfId="29028"/>
    <cellStyle name="_Value Copy 11 30 05 gas 12 09 05 AURORA at 12 14 05_Exhibit D fr R Gho 12-31-08 2 3" xfId="29029"/>
    <cellStyle name="_Value Copy 11 30 05 gas 12 09 05 AURORA at 12 14 05_Exhibit D fr R Gho 12-31-08 2 3 2" xfId="29030"/>
    <cellStyle name="_Value Copy 11 30 05 gas 12 09 05 AURORA at 12 14 05_Exhibit D fr R Gho 12-31-08 2 4" xfId="29031"/>
    <cellStyle name="_Value Copy 11 30 05 gas 12 09 05 AURORA at 12 14 05_Exhibit D fr R Gho 12-31-08 2 4 2" xfId="29032"/>
    <cellStyle name="_Value Copy 11 30 05 gas 12 09 05 AURORA at 12 14 05_Exhibit D fr R Gho 12-31-08 2 5" xfId="8285"/>
    <cellStyle name="_Value Copy 11 30 05 gas 12 09 05 AURORA at 12 14 05_Exhibit D fr R Gho 12-31-08 3" xfId="5512"/>
    <cellStyle name="_Value Copy 11 30 05 gas 12 09 05 AURORA at 12 14 05_Exhibit D fr R Gho 12-31-08 3 2" xfId="29033"/>
    <cellStyle name="_Value Copy 11 30 05 gas 12 09 05 AURORA at 12 14 05_Exhibit D fr R Gho 12-31-08 3 2 2" xfId="29034"/>
    <cellStyle name="_Value Copy 11 30 05 gas 12 09 05 AURORA at 12 14 05_Exhibit D fr R Gho 12-31-08 3 3" xfId="29035"/>
    <cellStyle name="_Value Copy 11 30 05 gas 12 09 05 AURORA at 12 14 05_Exhibit D fr R Gho 12-31-08 4" xfId="29036"/>
    <cellStyle name="_Value Copy 11 30 05 gas 12 09 05 AURORA at 12 14 05_Exhibit D fr R Gho 12-31-08 4 2" xfId="29037"/>
    <cellStyle name="_Value Copy 11 30 05 gas 12 09 05 AURORA at 12 14 05_Exhibit D fr R Gho 12-31-08 4 2 2" xfId="29038"/>
    <cellStyle name="_Value Copy 11 30 05 gas 12 09 05 AURORA at 12 14 05_Exhibit D fr R Gho 12-31-08 4 3" xfId="29039"/>
    <cellStyle name="_Value Copy 11 30 05 gas 12 09 05 AURORA at 12 14 05_Exhibit D fr R Gho 12-31-08 5" xfId="29040"/>
    <cellStyle name="_Value Copy 11 30 05 gas 12 09 05 AURORA at 12 14 05_Exhibit D fr R Gho 12-31-08 5 2" xfId="29041"/>
    <cellStyle name="_Value Copy 11 30 05 gas 12 09 05 AURORA at 12 14 05_Exhibit D fr R Gho 12-31-08 6" xfId="29042"/>
    <cellStyle name="_Value Copy 11 30 05 gas 12 09 05 AURORA at 12 14 05_Exhibit D fr R Gho 12-31-08 6 2" xfId="29043"/>
    <cellStyle name="_Value Copy 11 30 05 gas 12 09 05 AURORA at 12 14 05_Exhibit D fr R Gho 12-31-08 7" xfId="8284"/>
    <cellStyle name="_Value Copy 11 30 05 gas 12 09 05 AURORA at 12 14 05_Exhibit D fr R Gho 12-31-08 v2" xfId="2151"/>
    <cellStyle name="_Value Copy 11 30 05 gas 12 09 05 AURORA at 12 14 05_Exhibit D fr R Gho 12-31-08 v2 2" xfId="2152"/>
    <cellStyle name="_Value Copy 11 30 05 gas 12 09 05 AURORA at 12 14 05_Exhibit D fr R Gho 12-31-08 v2 2 2" xfId="5515"/>
    <cellStyle name="_Value Copy 11 30 05 gas 12 09 05 AURORA at 12 14 05_Exhibit D fr R Gho 12-31-08 v2 2 2 2" xfId="29044"/>
    <cellStyle name="_Value Copy 11 30 05 gas 12 09 05 AURORA at 12 14 05_Exhibit D fr R Gho 12-31-08 v2 2 2 2 2" xfId="29045"/>
    <cellStyle name="_Value Copy 11 30 05 gas 12 09 05 AURORA at 12 14 05_Exhibit D fr R Gho 12-31-08 v2 2 3" xfId="29046"/>
    <cellStyle name="_Value Copy 11 30 05 gas 12 09 05 AURORA at 12 14 05_Exhibit D fr R Gho 12-31-08 v2 2 3 2" xfId="29047"/>
    <cellStyle name="_Value Copy 11 30 05 gas 12 09 05 AURORA at 12 14 05_Exhibit D fr R Gho 12-31-08 v2 2 4" xfId="29048"/>
    <cellStyle name="_Value Copy 11 30 05 gas 12 09 05 AURORA at 12 14 05_Exhibit D fr R Gho 12-31-08 v2 2 4 2" xfId="29049"/>
    <cellStyle name="_Value Copy 11 30 05 gas 12 09 05 AURORA at 12 14 05_Exhibit D fr R Gho 12-31-08 v2 2 5" xfId="8287"/>
    <cellStyle name="_Value Copy 11 30 05 gas 12 09 05 AURORA at 12 14 05_Exhibit D fr R Gho 12-31-08 v2 3" xfId="5514"/>
    <cellStyle name="_Value Copy 11 30 05 gas 12 09 05 AURORA at 12 14 05_Exhibit D fr R Gho 12-31-08 v2 3 2" xfId="29050"/>
    <cellStyle name="_Value Copy 11 30 05 gas 12 09 05 AURORA at 12 14 05_Exhibit D fr R Gho 12-31-08 v2 3 2 2" xfId="29051"/>
    <cellStyle name="_Value Copy 11 30 05 gas 12 09 05 AURORA at 12 14 05_Exhibit D fr R Gho 12-31-08 v2 3 3" xfId="29052"/>
    <cellStyle name="_Value Copy 11 30 05 gas 12 09 05 AURORA at 12 14 05_Exhibit D fr R Gho 12-31-08 v2 4" xfId="29053"/>
    <cellStyle name="_Value Copy 11 30 05 gas 12 09 05 AURORA at 12 14 05_Exhibit D fr R Gho 12-31-08 v2 4 2" xfId="29054"/>
    <cellStyle name="_Value Copy 11 30 05 gas 12 09 05 AURORA at 12 14 05_Exhibit D fr R Gho 12-31-08 v2 4 2 2" xfId="29055"/>
    <cellStyle name="_Value Copy 11 30 05 gas 12 09 05 AURORA at 12 14 05_Exhibit D fr R Gho 12-31-08 v2 4 3" xfId="29056"/>
    <cellStyle name="_Value Copy 11 30 05 gas 12 09 05 AURORA at 12 14 05_Exhibit D fr R Gho 12-31-08 v2 5" xfId="29057"/>
    <cellStyle name="_Value Copy 11 30 05 gas 12 09 05 AURORA at 12 14 05_Exhibit D fr R Gho 12-31-08 v2 5 2" xfId="29058"/>
    <cellStyle name="_Value Copy 11 30 05 gas 12 09 05 AURORA at 12 14 05_Exhibit D fr R Gho 12-31-08 v2 6" xfId="29059"/>
    <cellStyle name="_Value Copy 11 30 05 gas 12 09 05 AURORA at 12 14 05_Exhibit D fr R Gho 12-31-08 v2 6 2" xfId="29060"/>
    <cellStyle name="_Value Copy 11 30 05 gas 12 09 05 AURORA at 12 14 05_Exhibit D fr R Gho 12-31-08 v2 7" xfId="8286"/>
    <cellStyle name="_Value Copy 11 30 05 gas 12 09 05 AURORA at 12 14 05_Exhibit D fr R Gho 12-31-08 v2_DEM-WP(C) ENERG10C--ctn Mid-C_042010 2010GRC" xfId="13081"/>
    <cellStyle name="_Value Copy 11 30 05 gas 12 09 05 AURORA at 12 14 05_Exhibit D fr R Gho 12-31-08 v2_DEM-WP(C) ENERG10C--ctn Mid-C_042010 2010GRC 2" xfId="41789"/>
    <cellStyle name="_Value Copy 11 30 05 gas 12 09 05 AURORA at 12 14 05_Exhibit D fr R Gho 12-31-08 v2_NIM Summary" xfId="2153"/>
    <cellStyle name="_Value Copy 11 30 05 gas 12 09 05 AURORA at 12 14 05_Exhibit D fr R Gho 12-31-08 v2_NIM Summary 2" xfId="2154"/>
    <cellStyle name="_Value Copy 11 30 05 gas 12 09 05 AURORA at 12 14 05_Exhibit D fr R Gho 12-31-08 v2_NIM Summary 2 2" xfId="5517"/>
    <cellStyle name="_Value Copy 11 30 05 gas 12 09 05 AURORA at 12 14 05_Exhibit D fr R Gho 12-31-08 v2_NIM Summary 2 2 2" xfId="29061"/>
    <cellStyle name="_Value Copy 11 30 05 gas 12 09 05 AURORA at 12 14 05_Exhibit D fr R Gho 12-31-08 v2_NIM Summary 2 2 2 2" xfId="29062"/>
    <cellStyle name="_Value Copy 11 30 05 gas 12 09 05 AURORA at 12 14 05_Exhibit D fr R Gho 12-31-08 v2_NIM Summary 2 3" xfId="29063"/>
    <cellStyle name="_Value Copy 11 30 05 gas 12 09 05 AURORA at 12 14 05_Exhibit D fr R Gho 12-31-08 v2_NIM Summary 2 3 2" xfId="29064"/>
    <cellStyle name="_Value Copy 11 30 05 gas 12 09 05 AURORA at 12 14 05_Exhibit D fr R Gho 12-31-08 v2_NIM Summary 2 4" xfId="29065"/>
    <cellStyle name="_Value Copy 11 30 05 gas 12 09 05 AURORA at 12 14 05_Exhibit D fr R Gho 12-31-08 v2_NIM Summary 2 4 2" xfId="29066"/>
    <cellStyle name="_Value Copy 11 30 05 gas 12 09 05 AURORA at 12 14 05_Exhibit D fr R Gho 12-31-08 v2_NIM Summary 2 5" xfId="8289"/>
    <cellStyle name="_Value Copy 11 30 05 gas 12 09 05 AURORA at 12 14 05_Exhibit D fr R Gho 12-31-08 v2_NIM Summary 3" xfId="5516"/>
    <cellStyle name="_Value Copy 11 30 05 gas 12 09 05 AURORA at 12 14 05_Exhibit D fr R Gho 12-31-08 v2_NIM Summary 3 2" xfId="29067"/>
    <cellStyle name="_Value Copy 11 30 05 gas 12 09 05 AURORA at 12 14 05_Exhibit D fr R Gho 12-31-08 v2_NIM Summary 3 2 2" xfId="29068"/>
    <cellStyle name="_Value Copy 11 30 05 gas 12 09 05 AURORA at 12 14 05_Exhibit D fr R Gho 12-31-08 v2_NIM Summary 3 3" xfId="29069"/>
    <cellStyle name="_Value Copy 11 30 05 gas 12 09 05 AURORA at 12 14 05_Exhibit D fr R Gho 12-31-08 v2_NIM Summary 4" xfId="29070"/>
    <cellStyle name="_Value Copy 11 30 05 gas 12 09 05 AURORA at 12 14 05_Exhibit D fr R Gho 12-31-08 v2_NIM Summary 4 2" xfId="29071"/>
    <cellStyle name="_Value Copy 11 30 05 gas 12 09 05 AURORA at 12 14 05_Exhibit D fr R Gho 12-31-08 v2_NIM Summary 4 2 2" xfId="29072"/>
    <cellStyle name="_Value Copy 11 30 05 gas 12 09 05 AURORA at 12 14 05_Exhibit D fr R Gho 12-31-08 v2_NIM Summary 4 3" xfId="29073"/>
    <cellStyle name="_Value Copy 11 30 05 gas 12 09 05 AURORA at 12 14 05_Exhibit D fr R Gho 12-31-08 v2_NIM Summary 5" xfId="29074"/>
    <cellStyle name="_Value Copy 11 30 05 gas 12 09 05 AURORA at 12 14 05_Exhibit D fr R Gho 12-31-08 v2_NIM Summary 5 2" xfId="29075"/>
    <cellStyle name="_Value Copy 11 30 05 gas 12 09 05 AURORA at 12 14 05_Exhibit D fr R Gho 12-31-08 v2_NIM Summary 6" xfId="29076"/>
    <cellStyle name="_Value Copy 11 30 05 gas 12 09 05 AURORA at 12 14 05_Exhibit D fr R Gho 12-31-08 v2_NIM Summary 6 2" xfId="29077"/>
    <cellStyle name="_Value Copy 11 30 05 gas 12 09 05 AURORA at 12 14 05_Exhibit D fr R Gho 12-31-08 v2_NIM Summary 7" xfId="8288"/>
    <cellStyle name="_Value Copy 11 30 05 gas 12 09 05 AURORA at 12 14 05_Exhibit D fr R Gho 12-31-08 v2_NIM Summary_DEM-WP(C) ENERG10C--ctn Mid-C_042010 2010GRC" xfId="13082"/>
    <cellStyle name="_Value Copy 11 30 05 gas 12 09 05 AURORA at 12 14 05_Exhibit D fr R Gho 12-31-08 v2_NIM Summary_DEM-WP(C) ENERG10C--ctn Mid-C_042010 2010GRC 2" xfId="41790"/>
    <cellStyle name="_Value Copy 11 30 05 gas 12 09 05 AURORA at 12 14 05_Exhibit D fr R Gho 12-31-08_DEM-WP(C) ENERG10C--ctn Mid-C_042010 2010GRC" xfId="13083"/>
    <cellStyle name="_Value Copy 11 30 05 gas 12 09 05 AURORA at 12 14 05_Exhibit D fr R Gho 12-31-08_DEM-WP(C) ENERG10C--ctn Mid-C_042010 2010GRC 2" xfId="41791"/>
    <cellStyle name="_Value Copy 11 30 05 gas 12 09 05 AURORA at 12 14 05_Exhibit D fr R Gho 12-31-08_NIM Summary" xfId="2155"/>
    <cellStyle name="_Value Copy 11 30 05 gas 12 09 05 AURORA at 12 14 05_Exhibit D fr R Gho 12-31-08_NIM Summary 2" xfId="2156"/>
    <cellStyle name="_Value Copy 11 30 05 gas 12 09 05 AURORA at 12 14 05_Exhibit D fr R Gho 12-31-08_NIM Summary 2 2" xfId="5519"/>
    <cellStyle name="_Value Copy 11 30 05 gas 12 09 05 AURORA at 12 14 05_Exhibit D fr R Gho 12-31-08_NIM Summary 2 2 2" xfId="29078"/>
    <cellStyle name="_Value Copy 11 30 05 gas 12 09 05 AURORA at 12 14 05_Exhibit D fr R Gho 12-31-08_NIM Summary 2 2 2 2" xfId="29079"/>
    <cellStyle name="_Value Copy 11 30 05 gas 12 09 05 AURORA at 12 14 05_Exhibit D fr R Gho 12-31-08_NIM Summary 2 3" xfId="29080"/>
    <cellStyle name="_Value Copy 11 30 05 gas 12 09 05 AURORA at 12 14 05_Exhibit D fr R Gho 12-31-08_NIM Summary 2 3 2" xfId="29081"/>
    <cellStyle name="_Value Copy 11 30 05 gas 12 09 05 AURORA at 12 14 05_Exhibit D fr R Gho 12-31-08_NIM Summary 2 4" xfId="29082"/>
    <cellStyle name="_Value Copy 11 30 05 gas 12 09 05 AURORA at 12 14 05_Exhibit D fr R Gho 12-31-08_NIM Summary 2 4 2" xfId="29083"/>
    <cellStyle name="_Value Copy 11 30 05 gas 12 09 05 AURORA at 12 14 05_Exhibit D fr R Gho 12-31-08_NIM Summary 2 5" xfId="8291"/>
    <cellStyle name="_Value Copy 11 30 05 gas 12 09 05 AURORA at 12 14 05_Exhibit D fr R Gho 12-31-08_NIM Summary 3" xfId="5518"/>
    <cellStyle name="_Value Copy 11 30 05 gas 12 09 05 AURORA at 12 14 05_Exhibit D fr R Gho 12-31-08_NIM Summary 3 2" xfId="29084"/>
    <cellStyle name="_Value Copy 11 30 05 gas 12 09 05 AURORA at 12 14 05_Exhibit D fr R Gho 12-31-08_NIM Summary 3 2 2" xfId="29085"/>
    <cellStyle name="_Value Copy 11 30 05 gas 12 09 05 AURORA at 12 14 05_Exhibit D fr R Gho 12-31-08_NIM Summary 3 3" xfId="29086"/>
    <cellStyle name="_Value Copy 11 30 05 gas 12 09 05 AURORA at 12 14 05_Exhibit D fr R Gho 12-31-08_NIM Summary 4" xfId="29087"/>
    <cellStyle name="_Value Copy 11 30 05 gas 12 09 05 AURORA at 12 14 05_Exhibit D fr R Gho 12-31-08_NIM Summary 4 2" xfId="29088"/>
    <cellStyle name="_Value Copy 11 30 05 gas 12 09 05 AURORA at 12 14 05_Exhibit D fr R Gho 12-31-08_NIM Summary 4 2 2" xfId="29089"/>
    <cellStyle name="_Value Copy 11 30 05 gas 12 09 05 AURORA at 12 14 05_Exhibit D fr R Gho 12-31-08_NIM Summary 4 3" xfId="29090"/>
    <cellStyle name="_Value Copy 11 30 05 gas 12 09 05 AURORA at 12 14 05_Exhibit D fr R Gho 12-31-08_NIM Summary 5" xfId="29091"/>
    <cellStyle name="_Value Copy 11 30 05 gas 12 09 05 AURORA at 12 14 05_Exhibit D fr R Gho 12-31-08_NIM Summary 5 2" xfId="29092"/>
    <cellStyle name="_Value Copy 11 30 05 gas 12 09 05 AURORA at 12 14 05_Exhibit D fr R Gho 12-31-08_NIM Summary 6" xfId="29093"/>
    <cellStyle name="_Value Copy 11 30 05 gas 12 09 05 AURORA at 12 14 05_Exhibit D fr R Gho 12-31-08_NIM Summary 6 2" xfId="29094"/>
    <cellStyle name="_Value Copy 11 30 05 gas 12 09 05 AURORA at 12 14 05_Exhibit D fr R Gho 12-31-08_NIM Summary 7" xfId="8290"/>
    <cellStyle name="_Value Copy 11 30 05 gas 12 09 05 AURORA at 12 14 05_Exhibit D fr R Gho 12-31-08_NIM Summary_DEM-WP(C) ENERG10C--ctn Mid-C_042010 2010GRC" xfId="13084"/>
    <cellStyle name="_Value Copy 11 30 05 gas 12 09 05 AURORA at 12 14 05_Exhibit D fr R Gho 12-31-08_NIM Summary_DEM-WP(C) ENERG10C--ctn Mid-C_042010 2010GRC 2" xfId="41792"/>
    <cellStyle name="_Value Copy 11 30 05 gas 12 09 05 AURORA at 12 14 05_Hopkins Ridge Prepaid Tran - Interest Earned RY 12ME Feb  '11" xfId="2157"/>
    <cellStyle name="_Value Copy 11 30 05 gas 12 09 05 AURORA at 12 14 05_Hopkins Ridge Prepaid Tran - Interest Earned RY 12ME Feb  '11 2" xfId="2158"/>
    <cellStyle name="_Value Copy 11 30 05 gas 12 09 05 AURORA at 12 14 05_Hopkins Ridge Prepaid Tran - Interest Earned RY 12ME Feb  '11 2 2" xfId="5521"/>
    <cellStyle name="_Value Copy 11 30 05 gas 12 09 05 AURORA at 12 14 05_Hopkins Ridge Prepaid Tran - Interest Earned RY 12ME Feb  '11 2 2 2" xfId="29095"/>
    <cellStyle name="_Value Copy 11 30 05 gas 12 09 05 AURORA at 12 14 05_Hopkins Ridge Prepaid Tran - Interest Earned RY 12ME Feb  '11 2 2 2 2" xfId="29096"/>
    <cellStyle name="_Value Copy 11 30 05 gas 12 09 05 AURORA at 12 14 05_Hopkins Ridge Prepaid Tran - Interest Earned RY 12ME Feb  '11 2 3" xfId="29097"/>
    <cellStyle name="_Value Copy 11 30 05 gas 12 09 05 AURORA at 12 14 05_Hopkins Ridge Prepaid Tran - Interest Earned RY 12ME Feb  '11 2 3 2" xfId="29098"/>
    <cellStyle name="_Value Copy 11 30 05 gas 12 09 05 AURORA at 12 14 05_Hopkins Ridge Prepaid Tran - Interest Earned RY 12ME Feb  '11 2 4" xfId="29099"/>
    <cellStyle name="_Value Copy 11 30 05 gas 12 09 05 AURORA at 12 14 05_Hopkins Ridge Prepaid Tran - Interest Earned RY 12ME Feb  '11 2 4 2" xfId="29100"/>
    <cellStyle name="_Value Copy 11 30 05 gas 12 09 05 AURORA at 12 14 05_Hopkins Ridge Prepaid Tran - Interest Earned RY 12ME Feb  '11 2 5" xfId="8293"/>
    <cellStyle name="_Value Copy 11 30 05 gas 12 09 05 AURORA at 12 14 05_Hopkins Ridge Prepaid Tran - Interest Earned RY 12ME Feb  '11 3" xfId="5520"/>
    <cellStyle name="_Value Copy 11 30 05 gas 12 09 05 AURORA at 12 14 05_Hopkins Ridge Prepaid Tran - Interest Earned RY 12ME Feb  '11 3 2" xfId="29101"/>
    <cellStyle name="_Value Copy 11 30 05 gas 12 09 05 AURORA at 12 14 05_Hopkins Ridge Prepaid Tran - Interest Earned RY 12ME Feb  '11 3 2 2" xfId="29102"/>
    <cellStyle name="_Value Copy 11 30 05 gas 12 09 05 AURORA at 12 14 05_Hopkins Ridge Prepaid Tran - Interest Earned RY 12ME Feb  '11 3 3" xfId="29103"/>
    <cellStyle name="_Value Copy 11 30 05 gas 12 09 05 AURORA at 12 14 05_Hopkins Ridge Prepaid Tran - Interest Earned RY 12ME Feb  '11 4" xfId="29104"/>
    <cellStyle name="_Value Copy 11 30 05 gas 12 09 05 AURORA at 12 14 05_Hopkins Ridge Prepaid Tran - Interest Earned RY 12ME Feb  '11 4 2" xfId="29105"/>
    <cellStyle name="_Value Copy 11 30 05 gas 12 09 05 AURORA at 12 14 05_Hopkins Ridge Prepaid Tran - Interest Earned RY 12ME Feb  '11 4 2 2" xfId="29106"/>
    <cellStyle name="_Value Copy 11 30 05 gas 12 09 05 AURORA at 12 14 05_Hopkins Ridge Prepaid Tran - Interest Earned RY 12ME Feb  '11 4 3" xfId="29107"/>
    <cellStyle name="_Value Copy 11 30 05 gas 12 09 05 AURORA at 12 14 05_Hopkins Ridge Prepaid Tran - Interest Earned RY 12ME Feb  '11 5" xfId="29108"/>
    <cellStyle name="_Value Copy 11 30 05 gas 12 09 05 AURORA at 12 14 05_Hopkins Ridge Prepaid Tran - Interest Earned RY 12ME Feb  '11 5 2" xfId="29109"/>
    <cellStyle name="_Value Copy 11 30 05 gas 12 09 05 AURORA at 12 14 05_Hopkins Ridge Prepaid Tran - Interest Earned RY 12ME Feb  '11 6" xfId="29110"/>
    <cellStyle name="_Value Copy 11 30 05 gas 12 09 05 AURORA at 12 14 05_Hopkins Ridge Prepaid Tran - Interest Earned RY 12ME Feb  '11 6 2" xfId="29111"/>
    <cellStyle name="_Value Copy 11 30 05 gas 12 09 05 AURORA at 12 14 05_Hopkins Ridge Prepaid Tran - Interest Earned RY 12ME Feb  '11 7" xfId="8292"/>
    <cellStyle name="_Value Copy 11 30 05 gas 12 09 05 AURORA at 12 14 05_Hopkins Ridge Prepaid Tran - Interest Earned RY 12ME Feb  '11_DEM-WP(C) ENERG10C--ctn Mid-C_042010 2010GRC" xfId="13085"/>
    <cellStyle name="_Value Copy 11 30 05 gas 12 09 05 AURORA at 12 14 05_Hopkins Ridge Prepaid Tran - Interest Earned RY 12ME Feb  '11_DEM-WP(C) ENERG10C--ctn Mid-C_042010 2010GRC 2" xfId="41793"/>
    <cellStyle name="_Value Copy 11 30 05 gas 12 09 05 AURORA at 12 14 05_Hopkins Ridge Prepaid Tran - Interest Earned RY 12ME Feb  '11_NIM Summary" xfId="2159"/>
    <cellStyle name="_Value Copy 11 30 05 gas 12 09 05 AURORA at 12 14 05_Hopkins Ridge Prepaid Tran - Interest Earned RY 12ME Feb  '11_NIM Summary 2" xfId="2160"/>
    <cellStyle name="_Value Copy 11 30 05 gas 12 09 05 AURORA at 12 14 05_Hopkins Ridge Prepaid Tran - Interest Earned RY 12ME Feb  '11_NIM Summary 2 2" xfId="5523"/>
    <cellStyle name="_Value Copy 11 30 05 gas 12 09 05 AURORA at 12 14 05_Hopkins Ridge Prepaid Tran - Interest Earned RY 12ME Feb  '11_NIM Summary 2 2 2" xfId="29112"/>
    <cellStyle name="_Value Copy 11 30 05 gas 12 09 05 AURORA at 12 14 05_Hopkins Ridge Prepaid Tran - Interest Earned RY 12ME Feb  '11_NIM Summary 2 2 2 2" xfId="29113"/>
    <cellStyle name="_Value Copy 11 30 05 gas 12 09 05 AURORA at 12 14 05_Hopkins Ridge Prepaid Tran - Interest Earned RY 12ME Feb  '11_NIM Summary 2 3" xfId="29114"/>
    <cellStyle name="_Value Copy 11 30 05 gas 12 09 05 AURORA at 12 14 05_Hopkins Ridge Prepaid Tran - Interest Earned RY 12ME Feb  '11_NIM Summary 2 3 2" xfId="29115"/>
    <cellStyle name="_Value Copy 11 30 05 gas 12 09 05 AURORA at 12 14 05_Hopkins Ridge Prepaid Tran - Interest Earned RY 12ME Feb  '11_NIM Summary 2 4" xfId="29116"/>
    <cellStyle name="_Value Copy 11 30 05 gas 12 09 05 AURORA at 12 14 05_Hopkins Ridge Prepaid Tran - Interest Earned RY 12ME Feb  '11_NIM Summary 2 4 2" xfId="29117"/>
    <cellStyle name="_Value Copy 11 30 05 gas 12 09 05 AURORA at 12 14 05_Hopkins Ridge Prepaid Tran - Interest Earned RY 12ME Feb  '11_NIM Summary 2 5" xfId="8295"/>
    <cellStyle name="_Value Copy 11 30 05 gas 12 09 05 AURORA at 12 14 05_Hopkins Ridge Prepaid Tran - Interest Earned RY 12ME Feb  '11_NIM Summary 3" xfId="5522"/>
    <cellStyle name="_Value Copy 11 30 05 gas 12 09 05 AURORA at 12 14 05_Hopkins Ridge Prepaid Tran - Interest Earned RY 12ME Feb  '11_NIM Summary 3 2" xfId="29118"/>
    <cellStyle name="_Value Copy 11 30 05 gas 12 09 05 AURORA at 12 14 05_Hopkins Ridge Prepaid Tran - Interest Earned RY 12ME Feb  '11_NIM Summary 3 2 2" xfId="29119"/>
    <cellStyle name="_Value Copy 11 30 05 gas 12 09 05 AURORA at 12 14 05_Hopkins Ridge Prepaid Tran - Interest Earned RY 12ME Feb  '11_NIM Summary 3 3" xfId="29120"/>
    <cellStyle name="_Value Copy 11 30 05 gas 12 09 05 AURORA at 12 14 05_Hopkins Ridge Prepaid Tran - Interest Earned RY 12ME Feb  '11_NIM Summary 4" xfId="29121"/>
    <cellStyle name="_Value Copy 11 30 05 gas 12 09 05 AURORA at 12 14 05_Hopkins Ridge Prepaid Tran - Interest Earned RY 12ME Feb  '11_NIM Summary 4 2" xfId="29122"/>
    <cellStyle name="_Value Copy 11 30 05 gas 12 09 05 AURORA at 12 14 05_Hopkins Ridge Prepaid Tran - Interest Earned RY 12ME Feb  '11_NIM Summary 4 2 2" xfId="29123"/>
    <cellStyle name="_Value Copy 11 30 05 gas 12 09 05 AURORA at 12 14 05_Hopkins Ridge Prepaid Tran - Interest Earned RY 12ME Feb  '11_NIM Summary 4 3" xfId="29124"/>
    <cellStyle name="_Value Copy 11 30 05 gas 12 09 05 AURORA at 12 14 05_Hopkins Ridge Prepaid Tran - Interest Earned RY 12ME Feb  '11_NIM Summary 5" xfId="29125"/>
    <cellStyle name="_Value Copy 11 30 05 gas 12 09 05 AURORA at 12 14 05_Hopkins Ridge Prepaid Tran - Interest Earned RY 12ME Feb  '11_NIM Summary 5 2" xfId="29126"/>
    <cellStyle name="_Value Copy 11 30 05 gas 12 09 05 AURORA at 12 14 05_Hopkins Ridge Prepaid Tran - Interest Earned RY 12ME Feb  '11_NIM Summary 6" xfId="29127"/>
    <cellStyle name="_Value Copy 11 30 05 gas 12 09 05 AURORA at 12 14 05_Hopkins Ridge Prepaid Tran - Interest Earned RY 12ME Feb  '11_NIM Summary 6 2" xfId="29128"/>
    <cellStyle name="_Value Copy 11 30 05 gas 12 09 05 AURORA at 12 14 05_Hopkins Ridge Prepaid Tran - Interest Earned RY 12ME Feb  '11_NIM Summary 7" xfId="8294"/>
    <cellStyle name="_Value Copy 11 30 05 gas 12 09 05 AURORA at 12 14 05_Hopkins Ridge Prepaid Tran - Interest Earned RY 12ME Feb  '11_NIM Summary_DEM-WP(C) ENERG10C--ctn Mid-C_042010 2010GRC" xfId="13086"/>
    <cellStyle name="_Value Copy 11 30 05 gas 12 09 05 AURORA at 12 14 05_Hopkins Ridge Prepaid Tran - Interest Earned RY 12ME Feb  '11_NIM Summary_DEM-WP(C) ENERG10C--ctn Mid-C_042010 2010GRC 2" xfId="41794"/>
    <cellStyle name="_Value Copy 11 30 05 gas 12 09 05 AURORA at 12 14 05_Hopkins Ridge Prepaid Tran - Interest Earned RY 12ME Feb  '11_Transmission Workbook for May BOD" xfId="2161"/>
    <cellStyle name="_Value Copy 11 30 05 gas 12 09 05 AURORA at 12 14 05_Hopkins Ridge Prepaid Tran - Interest Earned RY 12ME Feb  '11_Transmission Workbook for May BOD 2" xfId="2162"/>
    <cellStyle name="_Value Copy 11 30 05 gas 12 09 05 AURORA at 12 14 05_Hopkins Ridge Prepaid Tran - Interest Earned RY 12ME Feb  '11_Transmission Workbook for May BOD 2 2" xfId="5525"/>
    <cellStyle name="_Value Copy 11 30 05 gas 12 09 05 AURORA at 12 14 05_Hopkins Ridge Prepaid Tran - Interest Earned RY 12ME Feb  '11_Transmission Workbook for May BOD 2 2 2" xfId="29129"/>
    <cellStyle name="_Value Copy 11 30 05 gas 12 09 05 AURORA at 12 14 05_Hopkins Ridge Prepaid Tran - Interest Earned RY 12ME Feb  '11_Transmission Workbook for May BOD 2 2 2 2" xfId="29130"/>
    <cellStyle name="_Value Copy 11 30 05 gas 12 09 05 AURORA at 12 14 05_Hopkins Ridge Prepaid Tran - Interest Earned RY 12ME Feb  '11_Transmission Workbook for May BOD 2 3" xfId="29131"/>
    <cellStyle name="_Value Copy 11 30 05 gas 12 09 05 AURORA at 12 14 05_Hopkins Ridge Prepaid Tran - Interest Earned RY 12ME Feb  '11_Transmission Workbook for May BOD 2 3 2" xfId="29132"/>
    <cellStyle name="_Value Copy 11 30 05 gas 12 09 05 AURORA at 12 14 05_Hopkins Ridge Prepaid Tran - Interest Earned RY 12ME Feb  '11_Transmission Workbook for May BOD 2 4" xfId="29133"/>
    <cellStyle name="_Value Copy 11 30 05 gas 12 09 05 AURORA at 12 14 05_Hopkins Ridge Prepaid Tran - Interest Earned RY 12ME Feb  '11_Transmission Workbook for May BOD 2 4 2" xfId="29134"/>
    <cellStyle name="_Value Copy 11 30 05 gas 12 09 05 AURORA at 12 14 05_Hopkins Ridge Prepaid Tran - Interest Earned RY 12ME Feb  '11_Transmission Workbook for May BOD 2 5" xfId="8297"/>
    <cellStyle name="_Value Copy 11 30 05 gas 12 09 05 AURORA at 12 14 05_Hopkins Ridge Prepaid Tran - Interest Earned RY 12ME Feb  '11_Transmission Workbook for May BOD 3" xfId="5524"/>
    <cellStyle name="_Value Copy 11 30 05 gas 12 09 05 AURORA at 12 14 05_Hopkins Ridge Prepaid Tran - Interest Earned RY 12ME Feb  '11_Transmission Workbook for May BOD 3 2" xfId="29135"/>
    <cellStyle name="_Value Copy 11 30 05 gas 12 09 05 AURORA at 12 14 05_Hopkins Ridge Prepaid Tran - Interest Earned RY 12ME Feb  '11_Transmission Workbook for May BOD 3 2 2" xfId="29136"/>
    <cellStyle name="_Value Copy 11 30 05 gas 12 09 05 AURORA at 12 14 05_Hopkins Ridge Prepaid Tran - Interest Earned RY 12ME Feb  '11_Transmission Workbook for May BOD 3 3" xfId="29137"/>
    <cellStyle name="_Value Copy 11 30 05 gas 12 09 05 AURORA at 12 14 05_Hopkins Ridge Prepaid Tran - Interest Earned RY 12ME Feb  '11_Transmission Workbook for May BOD 4" xfId="29138"/>
    <cellStyle name="_Value Copy 11 30 05 gas 12 09 05 AURORA at 12 14 05_Hopkins Ridge Prepaid Tran - Interest Earned RY 12ME Feb  '11_Transmission Workbook for May BOD 4 2" xfId="29139"/>
    <cellStyle name="_Value Copy 11 30 05 gas 12 09 05 AURORA at 12 14 05_Hopkins Ridge Prepaid Tran - Interest Earned RY 12ME Feb  '11_Transmission Workbook for May BOD 4 2 2" xfId="29140"/>
    <cellStyle name="_Value Copy 11 30 05 gas 12 09 05 AURORA at 12 14 05_Hopkins Ridge Prepaid Tran - Interest Earned RY 12ME Feb  '11_Transmission Workbook for May BOD 4 3" xfId="29141"/>
    <cellStyle name="_Value Copy 11 30 05 gas 12 09 05 AURORA at 12 14 05_Hopkins Ridge Prepaid Tran - Interest Earned RY 12ME Feb  '11_Transmission Workbook for May BOD 5" xfId="29142"/>
    <cellStyle name="_Value Copy 11 30 05 gas 12 09 05 AURORA at 12 14 05_Hopkins Ridge Prepaid Tran - Interest Earned RY 12ME Feb  '11_Transmission Workbook for May BOD 5 2" xfId="29143"/>
    <cellStyle name="_Value Copy 11 30 05 gas 12 09 05 AURORA at 12 14 05_Hopkins Ridge Prepaid Tran - Interest Earned RY 12ME Feb  '11_Transmission Workbook for May BOD 6" xfId="29144"/>
    <cellStyle name="_Value Copy 11 30 05 gas 12 09 05 AURORA at 12 14 05_Hopkins Ridge Prepaid Tran - Interest Earned RY 12ME Feb  '11_Transmission Workbook for May BOD 6 2" xfId="29145"/>
    <cellStyle name="_Value Copy 11 30 05 gas 12 09 05 AURORA at 12 14 05_Hopkins Ridge Prepaid Tran - Interest Earned RY 12ME Feb  '11_Transmission Workbook for May BOD 7" xfId="8296"/>
    <cellStyle name="_Value Copy 11 30 05 gas 12 09 05 AURORA at 12 14 05_Hopkins Ridge Prepaid Tran - Interest Earned RY 12ME Feb  '11_Transmission Workbook for May BOD_DEM-WP(C) ENERG10C--ctn Mid-C_042010 2010GRC" xfId="13087"/>
    <cellStyle name="_Value Copy 11 30 05 gas 12 09 05 AURORA at 12 14 05_Hopkins Ridge Prepaid Tran - Interest Earned RY 12ME Feb  '11_Transmission Workbook for May BOD_DEM-WP(C) ENERG10C--ctn Mid-C_042010 2010GRC 2" xfId="41795"/>
    <cellStyle name="_Value Copy 11 30 05 gas 12 09 05 AURORA at 12 14 05_INPUTS" xfId="8298"/>
    <cellStyle name="_Value Copy 11 30 05 gas 12 09 05 AURORA at 12 14 05_INPUTS 2" xfId="8299"/>
    <cellStyle name="_Value Copy 11 30 05 gas 12 09 05 AURORA at 12 14 05_INPUTS 2 2" xfId="8300"/>
    <cellStyle name="_Value Copy 11 30 05 gas 12 09 05 AURORA at 12 14 05_INPUTS 2 2 2" xfId="8301"/>
    <cellStyle name="_Value Copy 11 30 05 gas 12 09 05 AURORA at 12 14 05_INPUTS 2 2 2 2" xfId="21505"/>
    <cellStyle name="_Value Copy 11 30 05 gas 12 09 05 AURORA at 12 14 05_INPUTS 2 2 3" xfId="18710"/>
    <cellStyle name="_Value Copy 11 30 05 gas 12 09 05 AURORA at 12 14 05_INPUTS 2 3" xfId="8302"/>
    <cellStyle name="_Value Copy 11 30 05 gas 12 09 05 AURORA at 12 14 05_INPUTS 2 3 2" xfId="8303"/>
    <cellStyle name="_Value Copy 11 30 05 gas 12 09 05 AURORA at 12 14 05_INPUTS 2 3 2 2" xfId="21506"/>
    <cellStyle name="_Value Copy 11 30 05 gas 12 09 05 AURORA at 12 14 05_INPUTS 2 3 3" xfId="18711"/>
    <cellStyle name="_Value Copy 11 30 05 gas 12 09 05 AURORA at 12 14 05_INPUTS 2 4" xfId="8304"/>
    <cellStyle name="_Value Copy 11 30 05 gas 12 09 05 AURORA at 12 14 05_INPUTS 2 4 2" xfId="8305"/>
    <cellStyle name="_Value Copy 11 30 05 gas 12 09 05 AURORA at 12 14 05_INPUTS 2 4 2 2" xfId="21507"/>
    <cellStyle name="_Value Copy 11 30 05 gas 12 09 05 AURORA at 12 14 05_INPUTS 2 4 3" xfId="18712"/>
    <cellStyle name="_Value Copy 11 30 05 gas 12 09 05 AURORA at 12 14 05_INPUTS 2 5" xfId="18709"/>
    <cellStyle name="_Value Copy 11 30 05 gas 12 09 05 AURORA at 12 14 05_INPUTS 3" xfId="8306"/>
    <cellStyle name="_Value Copy 11 30 05 gas 12 09 05 AURORA at 12 14 05_INPUTS 3 2" xfId="8307"/>
    <cellStyle name="_Value Copy 11 30 05 gas 12 09 05 AURORA at 12 14 05_INPUTS 3 2 2" xfId="21508"/>
    <cellStyle name="_Value Copy 11 30 05 gas 12 09 05 AURORA at 12 14 05_INPUTS 3 3" xfId="18713"/>
    <cellStyle name="_Value Copy 11 30 05 gas 12 09 05 AURORA at 12 14 05_INPUTS 4" xfId="8308"/>
    <cellStyle name="_Value Copy 11 30 05 gas 12 09 05 AURORA at 12 14 05_INPUTS 4 2" xfId="8309"/>
    <cellStyle name="_Value Copy 11 30 05 gas 12 09 05 AURORA at 12 14 05_INPUTS 4 2 2" xfId="21509"/>
    <cellStyle name="_Value Copy 11 30 05 gas 12 09 05 AURORA at 12 14 05_INPUTS 4 3" xfId="18714"/>
    <cellStyle name="_Value Copy 11 30 05 gas 12 09 05 AURORA at 12 14 05_INPUTS 5" xfId="8310"/>
    <cellStyle name="_Value Copy 11 30 05 gas 12 09 05 AURORA at 12 14 05_INPUTS 5 2" xfId="21510"/>
    <cellStyle name="_Value Copy 11 30 05 gas 12 09 05 AURORA at 12 14 05_INPUTS 6" xfId="18708"/>
    <cellStyle name="_Value Copy 11 30 05 gas 12 09 05 AURORA at 12 14 05_Leased Transformer &amp; Substation Plant &amp; Rev 12-2009" xfId="8311"/>
    <cellStyle name="_Value Copy 11 30 05 gas 12 09 05 AURORA at 12 14 05_Leased Transformer &amp; Substation Plant &amp; Rev 12-2009 2" xfId="8312"/>
    <cellStyle name="_Value Copy 11 30 05 gas 12 09 05 AURORA at 12 14 05_Leased Transformer &amp; Substation Plant &amp; Rev 12-2009 2 2" xfId="8313"/>
    <cellStyle name="_Value Copy 11 30 05 gas 12 09 05 AURORA at 12 14 05_Leased Transformer &amp; Substation Plant &amp; Rev 12-2009 2 2 2" xfId="8314"/>
    <cellStyle name="_Value Copy 11 30 05 gas 12 09 05 AURORA at 12 14 05_Leased Transformer &amp; Substation Plant &amp; Rev 12-2009 2 2 2 2" xfId="21511"/>
    <cellStyle name="_Value Copy 11 30 05 gas 12 09 05 AURORA at 12 14 05_Leased Transformer &amp; Substation Plant &amp; Rev 12-2009 2 2 3" xfId="18717"/>
    <cellStyle name="_Value Copy 11 30 05 gas 12 09 05 AURORA at 12 14 05_Leased Transformer &amp; Substation Plant &amp; Rev 12-2009 2 3" xfId="8315"/>
    <cellStyle name="_Value Copy 11 30 05 gas 12 09 05 AURORA at 12 14 05_Leased Transformer &amp; Substation Plant &amp; Rev 12-2009 2 3 2" xfId="8316"/>
    <cellStyle name="_Value Copy 11 30 05 gas 12 09 05 AURORA at 12 14 05_Leased Transformer &amp; Substation Plant &amp; Rev 12-2009 2 3 2 2" xfId="21512"/>
    <cellStyle name="_Value Copy 11 30 05 gas 12 09 05 AURORA at 12 14 05_Leased Transformer &amp; Substation Plant &amp; Rev 12-2009 2 3 3" xfId="18718"/>
    <cellStyle name="_Value Copy 11 30 05 gas 12 09 05 AURORA at 12 14 05_Leased Transformer &amp; Substation Plant &amp; Rev 12-2009 2 4" xfId="8317"/>
    <cellStyle name="_Value Copy 11 30 05 gas 12 09 05 AURORA at 12 14 05_Leased Transformer &amp; Substation Plant &amp; Rev 12-2009 2 4 2" xfId="8318"/>
    <cellStyle name="_Value Copy 11 30 05 gas 12 09 05 AURORA at 12 14 05_Leased Transformer &amp; Substation Plant &amp; Rev 12-2009 2 4 2 2" xfId="21513"/>
    <cellStyle name="_Value Copy 11 30 05 gas 12 09 05 AURORA at 12 14 05_Leased Transformer &amp; Substation Plant &amp; Rev 12-2009 2 4 3" xfId="18719"/>
    <cellStyle name="_Value Copy 11 30 05 gas 12 09 05 AURORA at 12 14 05_Leased Transformer &amp; Substation Plant &amp; Rev 12-2009 2 5" xfId="18716"/>
    <cellStyle name="_Value Copy 11 30 05 gas 12 09 05 AURORA at 12 14 05_Leased Transformer &amp; Substation Plant &amp; Rev 12-2009 3" xfId="8319"/>
    <cellStyle name="_Value Copy 11 30 05 gas 12 09 05 AURORA at 12 14 05_Leased Transformer &amp; Substation Plant &amp; Rev 12-2009 3 2" xfId="8320"/>
    <cellStyle name="_Value Copy 11 30 05 gas 12 09 05 AURORA at 12 14 05_Leased Transformer &amp; Substation Plant &amp; Rev 12-2009 3 2 2" xfId="21514"/>
    <cellStyle name="_Value Copy 11 30 05 gas 12 09 05 AURORA at 12 14 05_Leased Transformer &amp; Substation Plant &amp; Rev 12-2009 3 3" xfId="18720"/>
    <cellStyle name="_Value Copy 11 30 05 gas 12 09 05 AURORA at 12 14 05_Leased Transformer &amp; Substation Plant &amp; Rev 12-2009 4" xfId="8321"/>
    <cellStyle name="_Value Copy 11 30 05 gas 12 09 05 AURORA at 12 14 05_Leased Transformer &amp; Substation Plant &amp; Rev 12-2009 4 2" xfId="8322"/>
    <cellStyle name="_Value Copy 11 30 05 gas 12 09 05 AURORA at 12 14 05_Leased Transformer &amp; Substation Plant &amp; Rev 12-2009 4 2 2" xfId="21515"/>
    <cellStyle name="_Value Copy 11 30 05 gas 12 09 05 AURORA at 12 14 05_Leased Transformer &amp; Substation Plant &amp; Rev 12-2009 4 3" xfId="18721"/>
    <cellStyle name="_Value Copy 11 30 05 gas 12 09 05 AURORA at 12 14 05_Leased Transformer &amp; Substation Plant &amp; Rev 12-2009 5" xfId="8323"/>
    <cellStyle name="_Value Copy 11 30 05 gas 12 09 05 AURORA at 12 14 05_Leased Transformer &amp; Substation Plant &amp; Rev 12-2009 5 2" xfId="21516"/>
    <cellStyle name="_Value Copy 11 30 05 gas 12 09 05 AURORA at 12 14 05_Leased Transformer &amp; Substation Plant &amp; Rev 12-2009 6" xfId="18715"/>
    <cellStyle name="_Value Copy 11 30 05 gas 12 09 05 AURORA at 12 14 05_Mint Farm Generation BPA" xfId="29146"/>
    <cellStyle name="_Value Copy 11 30 05 gas 12 09 05 AURORA at 12 14 05_NIM Summary" xfId="2163"/>
    <cellStyle name="_Value Copy 11 30 05 gas 12 09 05 AURORA at 12 14 05_NIM Summary 09GRC" xfId="2164"/>
    <cellStyle name="_Value Copy 11 30 05 gas 12 09 05 AURORA at 12 14 05_NIM Summary 09GRC 2" xfId="2165"/>
    <cellStyle name="_Value Copy 11 30 05 gas 12 09 05 AURORA at 12 14 05_NIM Summary 09GRC 2 2" xfId="5528"/>
    <cellStyle name="_Value Copy 11 30 05 gas 12 09 05 AURORA at 12 14 05_NIM Summary 09GRC 2 2 2" xfId="29147"/>
    <cellStyle name="_Value Copy 11 30 05 gas 12 09 05 AURORA at 12 14 05_NIM Summary 09GRC 2 2 2 2" xfId="29148"/>
    <cellStyle name="_Value Copy 11 30 05 gas 12 09 05 AURORA at 12 14 05_NIM Summary 09GRC 2 3" xfId="29149"/>
    <cellStyle name="_Value Copy 11 30 05 gas 12 09 05 AURORA at 12 14 05_NIM Summary 09GRC 2 3 2" xfId="29150"/>
    <cellStyle name="_Value Copy 11 30 05 gas 12 09 05 AURORA at 12 14 05_NIM Summary 09GRC 2 4" xfId="29151"/>
    <cellStyle name="_Value Copy 11 30 05 gas 12 09 05 AURORA at 12 14 05_NIM Summary 09GRC 2 4 2" xfId="29152"/>
    <cellStyle name="_Value Copy 11 30 05 gas 12 09 05 AURORA at 12 14 05_NIM Summary 09GRC 2 5" xfId="8326"/>
    <cellStyle name="_Value Copy 11 30 05 gas 12 09 05 AURORA at 12 14 05_NIM Summary 09GRC 3" xfId="5527"/>
    <cellStyle name="_Value Copy 11 30 05 gas 12 09 05 AURORA at 12 14 05_NIM Summary 09GRC 3 2" xfId="29153"/>
    <cellStyle name="_Value Copy 11 30 05 gas 12 09 05 AURORA at 12 14 05_NIM Summary 09GRC 3 2 2" xfId="29154"/>
    <cellStyle name="_Value Copy 11 30 05 gas 12 09 05 AURORA at 12 14 05_NIM Summary 09GRC 3 3" xfId="29155"/>
    <cellStyle name="_Value Copy 11 30 05 gas 12 09 05 AURORA at 12 14 05_NIM Summary 09GRC 4" xfId="29156"/>
    <cellStyle name="_Value Copy 11 30 05 gas 12 09 05 AURORA at 12 14 05_NIM Summary 09GRC 4 2" xfId="29157"/>
    <cellStyle name="_Value Copy 11 30 05 gas 12 09 05 AURORA at 12 14 05_NIM Summary 09GRC 4 2 2" xfId="29158"/>
    <cellStyle name="_Value Copy 11 30 05 gas 12 09 05 AURORA at 12 14 05_NIM Summary 09GRC 4 3" xfId="29159"/>
    <cellStyle name="_Value Copy 11 30 05 gas 12 09 05 AURORA at 12 14 05_NIM Summary 09GRC 5" xfId="29160"/>
    <cellStyle name="_Value Copy 11 30 05 gas 12 09 05 AURORA at 12 14 05_NIM Summary 09GRC 5 2" xfId="29161"/>
    <cellStyle name="_Value Copy 11 30 05 gas 12 09 05 AURORA at 12 14 05_NIM Summary 09GRC 6" xfId="29162"/>
    <cellStyle name="_Value Copy 11 30 05 gas 12 09 05 AURORA at 12 14 05_NIM Summary 09GRC 6 2" xfId="29163"/>
    <cellStyle name="_Value Copy 11 30 05 gas 12 09 05 AURORA at 12 14 05_NIM Summary 09GRC 7" xfId="8325"/>
    <cellStyle name="_Value Copy 11 30 05 gas 12 09 05 AURORA at 12 14 05_NIM Summary 09GRC_DEM-WP(C) ENERG10C--ctn Mid-C_042010 2010GRC" xfId="13088"/>
    <cellStyle name="_Value Copy 11 30 05 gas 12 09 05 AURORA at 12 14 05_NIM Summary 09GRC_DEM-WP(C) ENERG10C--ctn Mid-C_042010 2010GRC 2" xfId="41796"/>
    <cellStyle name="_Value Copy 11 30 05 gas 12 09 05 AURORA at 12 14 05_NIM Summary 10" xfId="5526"/>
    <cellStyle name="_Value Copy 11 30 05 gas 12 09 05 AURORA at 12 14 05_NIM Summary 10 2" xfId="29164"/>
    <cellStyle name="_Value Copy 11 30 05 gas 12 09 05 AURORA at 12 14 05_NIM Summary 10 2 2" xfId="29165"/>
    <cellStyle name="_Value Copy 11 30 05 gas 12 09 05 AURORA at 12 14 05_NIM Summary 10 3" xfId="29166"/>
    <cellStyle name="_Value Copy 11 30 05 gas 12 09 05 AURORA at 12 14 05_NIM Summary 10 4" xfId="29167"/>
    <cellStyle name="_Value Copy 11 30 05 gas 12 09 05 AURORA at 12 14 05_NIM Summary 11" xfId="6255"/>
    <cellStyle name="_Value Copy 11 30 05 gas 12 09 05 AURORA at 12 14 05_NIM Summary 11 2" xfId="29168"/>
    <cellStyle name="_Value Copy 11 30 05 gas 12 09 05 AURORA at 12 14 05_NIM Summary 11 2 2" xfId="29169"/>
    <cellStyle name="_Value Copy 11 30 05 gas 12 09 05 AURORA at 12 14 05_NIM Summary 11 3" xfId="29170"/>
    <cellStyle name="_Value Copy 11 30 05 gas 12 09 05 AURORA at 12 14 05_NIM Summary 11 4" xfId="29171"/>
    <cellStyle name="_Value Copy 11 30 05 gas 12 09 05 AURORA at 12 14 05_NIM Summary 12" xfId="6232"/>
    <cellStyle name="_Value Copy 11 30 05 gas 12 09 05 AURORA at 12 14 05_NIM Summary 12 2" xfId="29172"/>
    <cellStyle name="_Value Copy 11 30 05 gas 12 09 05 AURORA at 12 14 05_NIM Summary 12 2 2" xfId="29173"/>
    <cellStyle name="_Value Copy 11 30 05 gas 12 09 05 AURORA at 12 14 05_NIM Summary 12 3" xfId="29174"/>
    <cellStyle name="_Value Copy 11 30 05 gas 12 09 05 AURORA at 12 14 05_NIM Summary 12 4" xfId="29175"/>
    <cellStyle name="_Value Copy 11 30 05 gas 12 09 05 AURORA at 12 14 05_NIM Summary 13" xfId="6254"/>
    <cellStyle name="_Value Copy 11 30 05 gas 12 09 05 AURORA at 12 14 05_NIM Summary 13 2" xfId="29176"/>
    <cellStyle name="_Value Copy 11 30 05 gas 12 09 05 AURORA at 12 14 05_NIM Summary 13 2 2" xfId="29177"/>
    <cellStyle name="_Value Copy 11 30 05 gas 12 09 05 AURORA at 12 14 05_NIM Summary 13 3" xfId="29178"/>
    <cellStyle name="_Value Copy 11 30 05 gas 12 09 05 AURORA at 12 14 05_NIM Summary 13 4" xfId="29179"/>
    <cellStyle name="_Value Copy 11 30 05 gas 12 09 05 AURORA at 12 14 05_NIM Summary 14" xfId="6325"/>
    <cellStyle name="_Value Copy 11 30 05 gas 12 09 05 AURORA at 12 14 05_NIM Summary 14 2" xfId="29180"/>
    <cellStyle name="_Value Copy 11 30 05 gas 12 09 05 AURORA at 12 14 05_NIM Summary 14 2 2" xfId="29181"/>
    <cellStyle name="_Value Copy 11 30 05 gas 12 09 05 AURORA at 12 14 05_NIM Summary 14 3" xfId="29182"/>
    <cellStyle name="_Value Copy 11 30 05 gas 12 09 05 AURORA at 12 14 05_NIM Summary 14 4" xfId="29183"/>
    <cellStyle name="_Value Copy 11 30 05 gas 12 09 05 AURORA at 12 14 05_NIM Summary 15" xfId="15276"/>
    <cellStyle name="_Value Copy 11 30 05 gas 12 09 05 AURORA at 12 14 05_NIM Summary 15 2" xfId="29184"/>
    <cellStyle name="_Value Copy 11 30 05 gas 12 09 05 AURORA at 12 14 05_NIM Summary 15 2 2" xfId="29185"/>
    <cellStyle name="_Value Copy 11 30 05 gas 12 09 05 AURORA at 12 14 05_NIM Summary 15 3" xfId="29186"/>
    <cellStyle name="_Value Copy 11 30 05 gas 12 09 05 AURORA at 12 14 05_NIM Summary 15 4" xfId="29187"/>
    <cellStyle name="_Value Copy 11 30 05 gas 12 09 05 AURORA at 12 14 05_NIM Summary 16" xfId="15277"/>
    <cellStyle name="_Value Copy 11 30 05 gas 12 09 05 AURORA at 12 14 05_NIM Summary 16 2" xfId="29188"/>
    <cellStyle name="_Value Copy 11 30 05 gas 12 09 05 AURORA at 12 14 05_NIM Summary 16 2 2" xfId="29189"/>
    <cellStyle name="_Value Copy 11 30 05 gas 12 09 05 AURORA at 12 14 05_NIM Summary 16 3" xfId="29190"/>
    <cellStyle name="_Value Copy 11 30 05 gas 12 09 05 AURORA at 12 14 05_NIM Summary 16 4" xfId="29191"/>
    <cellStyle name="_Value Copy 11 30 05 gas 12 09 05 AURORA at 12 14 05_NIM Summary 17" xfId="15278"/>
    <cellStyle name="_Value Copy 11 30 05 gas 12 09 05 AURORA at 12 14 05_NIM Summary 17 2" xfId="29192"/>
    <cellStyle name="_Value Copy 11 30 05 gas 12 09 05 AURORA at 12 14 05_NIM Summary 17 2 2" xfId="29193"/>
    <cellStyle name="_Value Copy 11 30 05 gas 12 09 05 AURORA at 12 14 05_NIM Summary 17 3" xfId="29194"/>
    <cellStyle name="_Value Copy 11 30 05 gas 12 09 05 AURORA at 12 14 05_NIM Summary 17 4" xfId="29195"/>
    <cellStyle name="_Value Copy 11 30 05 gas 12 09 05 AURORA at 12 14 05_NIM Summary 18" xfId="15279"/>
    <cellStyle name="_Value Copy 11 30 05 gas 12 09 05 AURORA at 12 14 05_NIM Summary 18 2" xfId="29196"/>
    <cellStyle name="_Value Copy 11 30 05 gas 12 09 05 AURORA at 12 14 05_NIM Summary 18 3" xfId="29197"/>
    <cellStyle name="_Value Copy 11 30 05 gas 12 09 05 AURORA at 12 14 05_NIM Summary 19" xfId="15280"/>
    <cellStyle name="_Value Copy 11 30 05 gas 12 09 05 AURORA at 12 14 05_NIM Summary 19 2" xfId="29198"/>
    <cellStyle name="_Value Copy 11 30 05 gas 12 09 05 AURORA at 12 14 05_NIM Summary 19 3" xfId="29199"/>
    <cellStyle name="_Value Copy 11 30 05 gas 12 09 05 AURORA at 12 14 05_NIM Summary 2" xfId="2166"/>
    <cellStyle name="_Value Copy 11 30 05 gas 12 09 05 AURORA at 12 14 05_NIM Summary 2 2" xfId="5529"/>
    <cellStyle name="_Value Copy 11 30 05 gas 12 09 05 AURORA at 12 14 05_NIM Summary 2 2 2" xfId="29200"/>
    <cellStyle name="_Value Copy 11 30 05 gas 12 09 05 AURORA at 12 14 05_NIM Summary 2 2 2 2" xfId="29201"/>
    <cellStyle name="_Value Copy 11 30 05 gas 12 09 05 AURORA at 12 14 05_NIM Summary 2 3" xfId="29202"/>
    <cellStyle name="_Value Copy 11 30 05 gas 12 09 05 AURORA at 12 14 05_NIM Summary 2 3 2" xfId="29203"/>
    <cellStyle name="_Value Copy 11 30 05 gas 12 09 05 AURORA at 12 14 05_NIM Summary 2 4" xfId="29204"/>
    <cellStyle name="_Value Copy 11 30 05 gas 12 09 05 AURORA at 12 14 05_NIM Summary 2 4 2" xfId="29205"/>
    <cellStyle name="_Value Copy 11 30 05 gas 12 09 05 AURORA at 12 14 05_NIM Summary 2 5" xfId="8327"/>
    <cellStyle name="_Value Copy 11 30 05 gas 12 09 05 AURORA at 12 14 05_NIM Summary 20" xfId="15281"/>
    <cellStyle name="_Value Copy 11 30 05 gas 12 09 05 AURORA at 12 14 05_NIM Summary 20 2" xfId="29206"/>
    <cellStyle name="_Value Copy 11 30 05 gas 12 09 05 AURORA at 12 14 05_NIM Summary 20 3" xfId="29207"/>
    <cellStyle name="_Value Copy 11 30 05 gas 12 09 05 AURORA at 12 14 05_NIM Summary 21" xfId="15282"/>
    <cellStyle name="_Value Copy 11 30 05 gas 12 09 05 AURORA at 12 14 05_NIM Summary 21 2" xfId="29208"/>
    <cellStyle name="_Value Copy 11 30 05 gas 12 09 05 AURORA at 12 14 05_NIM Summary 21 3" xfId="29209"/>
    <cellStyle name="_Value Copy 11 30 05 gas 12 09 05 AURORA at 12 14 05_NIM Summary 22" xfId="15283"/>
    <cellStyle name="_Value Copy 11 30 05 gas 12 09 05 AURORA at 12 14 05_NIM Summary 22 2" xfId="29210"/>
    <cellStyle name="_Value Copy 11 30 05 gas 12 09 05 AURORA at 12 14 05_NIM Summary 22 3" xfId="29211"/>
    <cellStyle name="_Value Copy 11 30 05 gas 12 09 05 AURORA at 12 14 05_NIM Summary 23" xfId="15284"/>
    <cellStyle name="_Value Copy 11 30 05 gas 12 09 05 AURORA at 12 14 05_NIM Summary 23 2" xfId="29212"/>
    <cellStyle name="_Value Copy 11 30 05 gas 12 09 05 AURORA at 12 14 05_NIM Summary 23 3" xfId="29213"/>
    <cellStyle name="_Value Copy 11 30 05 gas 12 09 05 AURORA at 12 14 05_NIM Summary 24" xfId="15285"/>
    <cellStyle name="_Value Copy 11 30 05 gas 12 09 05 AURORA at 12 14 05_NIM Summary 24 2" xfId="29214"/>
    <cellStyle name="_Value Copy 11 30 05 gas 12 09 05 AURORA at 12 14 05_NIM Summary 24 3" xfId="29215"/>
    <cellStyle name="_Value Copy 11 30 05 gas 12 09 05 AURORA at 12 14 05_NIM Summary 25" xfId="15286"/>
    <cellStyle name="_Value Copy 11 30 05 gas 12 09 05 AURORA at 12 14 05_NIM Summary 25 2" xfId="29216"/>
    <cellStyle name="_Value Copy 11 30 05 gas 12 09 05 AURORA at 12 14 05_NIM Summary 25 3" xfId="29217"/>
    <cellStyle name="_Value Copy 11 30 05 gas 12 09 05 AURORA at 12 14 05_NIM Summary 26" xfId="15287"/>
    <cellStyle name="_Value Copy 11 30 05 gas 12 09 05 AURORA at 12 14 05_NIM Summary 26 2" xfId="29218"/>
    <cellStyle name="_Value Copy 11 30 05 gas 12 09 05 AURORA at 12 14 05_NIM Summary 26 3" xfId="29219"/>
    <cellStyle name="_Value Copy 11 30 05 gas 12 09 05 AURORA at 12 14 05_NIM Summary 27" xfId="15288"/>
    <cellStyle name="_Value Copy 11 30 05 gas 12 09 05 AURORA at 12 14 05_NIM Summary 27 2" xfId="29220"/>
    <cellStyle name="_Value Copy 11 30 05 gas 12 09 05 AURORA at 12 14 05_NIM Summary 27 3" xfId="29221"/>
    <cellStyle name="_Value Copy 11 30 05 gas 12 09 05 AURORA at 12 14 05_NIM Summary 28" xfId="15289"/>
    <cellStyle name="_Value Copy 11 30 05 gas 12 09 05 AURORA at 12 14 05_NIM Summary 28 2" xfId="29222"/>
    <cellStyle name="_Value Copy 11 30 05 gas 12 09 05 AURORA at 12 14 05_NIM Summary 28 3" xfId="29223"/>
    <cellStyle name="_Value Copy 11 30 05 gas 12 09 05 AURORA at 12 14 05_NIM Summary 29" xfId="15290"/>
    <cellStyle name="_Value Copy 11 30 05 gas 12 09 05 AURORA at 12 14 05_NIM Summary 29 2" xfId="29224"/>
    <cellStyle name="_Value Copy 11 30 05 gas 12 09 05 AURORA at 12 14 05_NIM Summary 29 3" xfId="29225"/>
    <cellStyle name="_Value Copy 11 30 05 gas 12 09 05 AURORA at 12 14 05_NIM Summary 3" xfId="2167"/>
    <cellStyle name="_Value Copy 11 30 05 gas 12 09 05 AURORA at 12 14 05_NIM Summary 3 2" xfId="5530"/>
    <cellStyle name="_Value Copy 11 30 05 gas 12 09 05 AURORA at 12 14 05_NIM Summary 3 2 2" xfId="29226"/>
    <cellStyle name="_Value Copy 11 30 05 gas 12 09 05 AURORA at 12 14 05_NIM Summary 3 3" xfId="29227"/>
    <cellStyle name="_Value Copy 11 30 05 gas 12 09 05 AURORA at 12 14 05_NIM Summary 3 4" xfId="8328"/>
    <cellStyle name="_Value Copy 11 30 05 gas 12 09 05 AURORA at 12 14 05_NIM Summary 30" xfId="15291"/>
    <cellStyle name="_Value Copy 11 30 05 gas 12 09 05 AURORA at 12 14 05_NIM Summary 30 2" xfId="29228"/>
    <cellStyle name="_Value Copy 11 30 05 gas 12 09 05 AURORA at 12 14 05_NIM Summary 30 3" xfId="29229"/>
    <cellStyle name="_Value Copy 11 30 05 gas 12 09 05 AURORA at 12 14 05_NIM Summary 31" xfId="15292"/>
    <cellStyle name="_Value Copy 11 30 05 gas 12 09 05 AURORA at 12 14 05_NIM Summary 31 2" xfId="29230"/>
    <cellStyle name="_Value Copy 11 30 05 gas 12 09 05 AURORA at 12 14 05_NIM Summary 31 3" xfId="29231"/>
    <cellStyle name="_Value Copy 11 30 05 gas 12 09 05 AURORA at 12 14 05_NIM Summary 32" xfId="15293"/>
    <cellStyle name="_Value Copy 11 30 05 gas 12 09 05 AURORA at 12 14 05_NIM Summary 32 2" xfId="41797"/>
    <cellStyle name="_Value Copy 11 30 05 gas 12 09 05 AURORA at 12 14 05_NIM Summary 33" xfId="15294"/>
    <cellStyle name="_Value Copy 11 30 05 gas 12 09 05 AURORA at 12 14 05_NIM Summary 33 2" xfId="41798"/>
    <cellStyle name="_Value Copy 11 30 05 gas 12 09 05 AURORA at 12 14 05_NIM Summary 34" xfId="15295"/>
    <cellStyle name="_Value Copy 11 30 05 gas 12 09 05 AURORA at 12 14 05_NIM Summary 34 2" xfId="41799"/>
    <cellStyle name="_Value Copy 11 30 05 gas 12 09 05 AURORA at 12 14 05_NIM Summary 35" xfId="15296"/>
    <cellStyle name="_Value Copy 11 30 05 gas 12 09 05 AURORA at 12 14 05_NIM Summary 35 2" xfId="41800"/>
    <cellStyle name="_Value Copy 11 30 05 gas 12 09 05 AURORA at 12 14 05_NIM Summary 36" xfId="15297"/>
    <cellStyle name="_Value Copy 11 30 05 gas 12 09 05 AURORA at 12 14 05_NIM Summary 36 2" xfId="41801"/>
    <cellStyle name="_Value Copy 11 30 05 gas 12 09 05 AURORA at 12 14 05_NIM Summary 37" xfId="15298"/>
    <cellStyle name="_Value Copy 11 30 05 gas 12 09 05 AURORA at 12 14 05_NIM Summary 37 2" xfId="41802"/>
    <cellStyle name="_Value Copy 11 30 05 gas 12 09 05 AURORA at 12 14 05_NIM Summary 38" xfId="15299"/>
    <cellStyle name="_Value Copy 11 30 05 gas 12 09 05 AURORA at 12 14 05_NIM Summary 38 2" xfId="41803"/>
    <cellStyle name="_Value Copy 11 30 05 gas 12 09 05 AURORA at 12 14 05_NIM Summary 39" xfId="15300"/>
    <cellStyle name="_Value Copy 11 30 05 gas 12 09 05 AURORA at 12 14 05_NIM Summary 39 2" xfId="41804"/>
    <cellStyle name="_Value Copy 11 30 05 gas 12 09 05 AURORA at 12 14 05_NIM Summary 4" xfId="2168"/>
    <cellStyle name="_Value Copy 11 30 05 gas 12 09 05 AURORA at 12 14 05_NIM Summary 4 2" xfId="5531"/>
    <cellStyle name="_Value Copy 11 30 05 gas 12 09 05 AURORA at 12 14 05_NIM Summary 4 2 2" xfId="29232"/>
    <cellStyle name="_Value Copy 11 30 05 gas 12 09 05 AURORA at 12 14 05_NIM Summary 4 3" xfId="29233"/>
    <cellStyle name="_Value Copy 11 30 05 gas 12 09 05 AURORA at 12 14 05_NIM Summary 4 4" xfId="8329"/>
    <cellStyle name="_Value Copy 11 30 05 gas 12 09 05 AURORA at 12 14 05_NIM Summary 40" xfId="15301"/>
    <cellStyle name="_Value Copy 11 30 05 gas 12 09 05 AURORA at 12 14 05_NIM Summary 40 2" xfId="41805"/>
    <cellStyle name="_Value Copy 11 30 05 gas 12 09 05 AURORA at 12 14 05_NIM Summary 41" xfId="15302"/>
    <cellStyle name="_Value Copy 11 30 05 gas 12 09 05 AURORA at 12 14 05_NIM Summary 41 2" xfId="41806"/>
    <cellStyle name="_Value Copy 11 30 05 gas 12 09 05 AURORA at 12 14 05_NIM Summary 42" xfId="17100"/>
    <cellStyle name="_Value Copy 11 30 05 gas 12 09 05 AURORA at 12 14 05_NIM Summary 42 2" xfId="41807"/>
    <cellStyle name="_Value Copy 11 30 05 gas 12 09 05 AURORA at 12 14 05_NIM Summary 43" xfId="22326"/>
    <cellStyle name="_Value Copy 11 30 05 gas 12 09 05 AURORA at 12 14 05_NIM Summary 43 2" xfId="41808"/>
    <cellStyle name="_Value Copy 11 30 05 gas 12 09 05 AURORA at 12 14 05_NIM Summary 44" xfId="29234"/>
    <cellStyle name="_Value Copy 11 30 05 gas 12 09 05 AURORA at 12 14 05_NIM Summary 44 2" xfId="41809"/>
    <cellStyle name="_Value Copy 11 30 05 gas 12 09 05 AURORA at 12 14 05_NIM Summary 45" xfId="29235"/>
    <cellStyle name="_Value Copy 11 30 05 gas 12 09 05 AURORA at 12 14 05_NIM Summary 45 2" xfId="41810"/>
    <cellStyle name="_Value Copy 11 30 05 gas 12 09 05 AURORA at 12 14 05_NIM Summary 46" xfId="29236"/>
    <cellStyle name="_Value Copy 11 30 05 gas 12 09 05 AURORA at 12 14 05_NIM Summary 46 2" xfId="41811"/>
    <cellStyle name="_Value Copy 11 30 05 gas 12 09 05 AURORA at 12 14 05_NIM Summary 47" xfId="29237"/>
    <cellStyle name="_Value Copy 11 30 05 gas 12 09 05 AURORA at 12 14 05_NIM Summary 47 2" xfId="41812"/>
    <cellStyle name="_Value Copy 11 30 05 gas 12 09 05 AURORA at 12 14 05_NIM Summary 48" xfId="29238"/>
    <cellStyle name="_Value Copy 11 30 05 gas 12 09 05 AURORA at 12 14 05_NIM Summary 49" xfId="29239"/>
    <cellStyle name="_Value Copy 11 30 05 gas 12 09 05 AURORA at 12 14 05_NIM Summary 5" xfId="2169"/>
    <cellStyle name="_Value Copy 11 30 05 gas 12 09 05 AURORA at 12 14 05_NIM Summary 5 2" xfId="5532"/>
    <cellStyle name="_Value Copy 11 30 05 gas 12 09 05 AURORA at 12 14 05_NIM Summary 5 2 2" xfId="29240"/>
    <cellStyle name="_Value Copy 11 30 05 gas 12 09 05 AURORA at 12 14 05_NIM Summary 5 3" xfId="29241"/>
    <cellStyle name="_Value Copy 11 30 05 gas 12 09 05 AURORA at 12 14 05_NIM Summary 5 4" xfId="8330"/>
    <cellStyle name="_Value Copy 11 30 05 gas 12 09 05 AURORA at 12 14 05_NIM Summary 50" xfId="29242"/>
    <cellStyle name="_Value Copy 11 30 05 gas 12 09 05 AURORA at 12 14 05_NIM Summary 51" xfId="41813"/>
    <cellStyle name="_Value Copy 11 30 05 gas 12 09 05 AURORA at 12 14 05_NIM Summary 52" xfId="8324"/>
    <cellStyle name="_Value Copy 11 30 05 gas 12 09 05 AURORA at 12 14 05_NIM Summary 6" xfId="2170"/>
    <cellStyle name="_Value Copy 11 30 05 gas 12 09 05 AURORA at 12 14 05_NIM Summary 6 2" xfId="5533"/>
    <cellStyle name="_Value Copy 11 30 05 gas 12 09 05 AURORA at 12 14 05_NIM Summary 6 2 2" xfId="29243"/>
    <cellStyle name="_Value Copy 11 30 05 gas 12 09 05 AURORA at 12 14 05_NIM Summary 6 3" xfId="29244"/>
    <cellStyle name="_Value Copy 11 30 05 gas 12 09 05 AURORA at 12 14 05_NIM Summary 6 4" xfId="8331"/>
    <cellStyle name="_Value Copy 11 30 05 gas 12 09 05 AURORA at 12 14 05_NIM Summary 7" xfId="2171"/>
    <cellStyle name="_Value Copy 11 30 05 gas 12 09 05 AURORA at 12 14 05_NIM Summary 7 2" xfId="5534"/>
    <cellStyle name="_Value Copy 11 30 05 gas 12 09 05 AURORA at 12 14 05_NIM Summary 7 2 2" xfId="29245"/>
    <cellStyle name="_Value Copy 11 30 05 gas 12 09 05 AURORA at 12 14 05_NIM Summary 7 3" xfId="29246"/>
    <cellStyle name="_Value Copy 11 30 05 gas 12 09 05 AURORA at 12 14 05_NIM Summary 7 4" xfId="29247"/>
    <cellStyle name="_Value Copy 11 30 05 gas 12 09 05 AURORA at 12 14 05_NIM Summary 7 5" xfId="8332"/>
    <cellStyle name="_Value Copy 11 30 05 gas 12 09 05 AURORA at 12 14 05_NIM Summary 8" xfId="2172"/>
    <cellStyle name="_Value Copy 11 30 05 gas 12 09 05 AURORA at 12 14 05_NIM Summary 8 2" xfId="5535"/>
    <cellStyle name="_Value Copy 11 30 05 gas 12 09 05 AURORA at 12 14 05_NIM Summary 8 2 2" xfId="29248"/>
    <cellStyle name="_Value Copy 11 30 05 gas 12 09 05 AURORA at 12 14 05_NIM Summary 8 3" xfId="29249"/>
    <cellStyle name="_Value Copy 11 30 05 gas 12 09 05 AURORA at 12 14 05_NIM Summary 8 4" xfId="29250"/>
    <cellStyle name="_Value Copy 11 30 05 gas 12 09 05 AURORA at 12 14 05_NIM Summary 8 5" xfId="8333"/>
    <cellStyle name="_Value Copy 11 30 05 gas 12 09 05 AURORA at 12 14 05_NIM Summary 9" xfId="2173"/>
    <cellStyle name="_Value Copy 11 30 05 gas 12 09 05 AURORA at 12 14 05_NIM Summary 9 2" xfId="5536"/>
    <cellStyle name="_Value Copy 11 30 05 gas 12 09 05 AURORA at 12 14 05_NIM Summary 9 2 2" xfId="29251"/>
    <cellStyle name="_Value Copy 11 30 05 gas 12 09 05 AURORA at 12 14 05_NIM Summary 9 3" xfId="29252"/>
    <cellStyle name="_Value Copy 11 30 05 gas 12 09 05 AURORA at 12 14 05_NIM Summary 9 4" xfId="29253"/>
    <cellStyle name="_Value Copy 11 30 05 gas 12 09 05 AURORA at 12 14 05_NIM Summary 9 5" xfId="8334"/>
    <cellStyle name="_Value Copy 11 30 05 gas 12 09 05 AURORA at 12 14 05_NIM Summary_DEM-WP(C) ENERG10C--ctn Mid-C_042010 2010GRC" xfId="13089"/>
    <cellStyle name="_Value Copy 11 30 05 gas 12 09 05 AURORA at 12 14 05_NIM Summary_DEM-WP(C) ENERG10C--ctn Mid-C_042010 2010GRC 2" xfId="41814"/>
    <cellStyle name="_Value Copy 11 30 05 gas 12 09 05 AURORA at 12 14 05_PCA 10 -  Exhibit D Dec 2011" xfId="15303"/>
    <cellStyle name="_Value Copy 11 30 05 gas 12 09 05 AURORA at 12 14 05_PCA 10 -  Exhibit D Dec 2011 2" xfId="41815"/>
    <cellStyle name="_Value Copy 11 30 05 gas 12 09 05 AURORA at 12 14 05_PCA 10 -  Exhibit D from A Kellogg Jan 2011" xfId="14179"/>
    <cellStyle name="_Value Copy 11 30 05 gas 12 09 05 AURORA at 12 14 05_PCA 10 -  Exhibit D from A Kellogg Jan 2011 2" xfId="41816"/>
    <cellStyle name="_Value Copy 11 30 05 gas 12 09 05 AURORA at 12 14 05_PCA 10 -  Exhibit D from A Kellogg July 2011" xfId="14180"/>
    <cellStyle name="_Value Copy 11 30 05 gas 12 09 05 AURORA at 12 14 05_PCA 10 -  Exhibit D from A Kellogg July 2011 2" xfId="41817"/>
    <cellStyle name="_Value Copy 11 30 05 gas 12 09 05 AURORA at 12 14 05_PCA 10 -  Exhibit D from S Free Rcv'd 12-11" xfId="14181"/>
    <cellStyle name="_Value Copy 11 30 05 gas 12 09 05 AURORA at 12 14 05_PCA 10 -  Exhibit D from S Free Rcv'd 12-11 2" xfId="41818"/>
    <cellStyle name="_Value Copy 11 30 05 gas 12 09 05 AURORA at 12 14 05_PCA 11 -  Exhibit D Jan 2012 fr A Kellogg" xfId="15304"/>
    <cellStyle name="_Value Copy 11 30 05 gas 12 09 05 AURORA at 12 14 05_PCA 11 -  Exhibit D Jan 2012 fr A Kellogg 2" xfId="41819"/>
    <cellStyle name="_Value Copy 11 30 05 gas 12 09 05 AURORA at 12 14 05_PCA 11 -  Exhibit D Jan 2012 WF" xfId="15305"/>
    <cellStyle name="_Value Copy 11 30 05 gas 12 09 05 AURORA at 12 14 05_PCA 11 -  Exhibit D Jan 2012 WF 2" xfId="41820"/>
    <cellStyle name="_Value Copy 11 30 05 gas 12 09 05 AURORA at 12 14 05_PCA 7 - Exhibit D update 11_30_08 (2)" xfId="2174"/>
    <cellStyle name="_Value Copy 11 30 05 gas 12 09 05 AURORA at 12 14 05_PCA 7 - Exhibit D update 11_30_08 (2) 2" xfId="2175"/>
    <cellStyle name="_Value Copy 11 30 05 gas 12 09 05 AURORA at 12 14 05_PCA 7 - Exhibit D update 11_30_08 (2) 2 2" xfId="2176"/>
    <cellStyle name="_Value Copy 11 30 05 gas 12 09 05 AURORA at 12 14 05_PCA 7 - Exhibit D update 11_30_08 (2) 2 2 2" xfId="5539"/>
    <cellStyle name="_Value Copy 11 30 05 gas 12 09 05 AURORA at 12 14 05_PCA 7 - Exhibit D update 11_30_08 (2) 2 2 2 2" xfId="29254"/>
    <cellStyle name="_Value Copy 11 30 05 gas 12 09 05 AURORA at 12 14 05_PCA 7 - Exhibit D update 11_30_08 (2) 2 2 2 2 2" xfId="29255"/>
    <cellStyle name="_Value Copy 11 30 05 gas 12 09 05 AURORA at 12 14 05_PCA 7 - Exhibit D update 11_30_08 (2) 2 2 3" xfId="29256"/>
    <cellStyle name="_Value Copy 11 30 05 gas 12 09 05 AURORA at 12 14 05_PCA 7 - Exhibit D update 11_30_08 (2) 2 2 3 2" xfId="29257"/>
    <cellStyle name="_Value Copy 11 30 05 gas 12 09 05 AURORA at 12 14 05_PCA 7 - Exhibit D update 11_30_08 (2) 2 2 4" xfId="29258"/>
    <cellStyle name="_Value Copy 11 30 05 gas 12 09 05 AURORA at 12 14 05_PCA 7 - Exhibit D update 11_30_08 (2) 2 2 4 2" xfId="29259"/>
    <cellStyle name="_Value Copy 11 30 05 gas 12 09 05 AURORA at 12 14 05_PCA 7 - Exhibit D update 11_30_08 (2) 2 2 5" xfId="8337"/>
    <cellStyle name="_Value Copy 11 30 05 gas 12 09 05 AURORA at 12 14 05_PCA 7 - Exhibit D update 11_30_08 (2) 2 3" xfId="5538"/>
    <cellStyle name="_Value Copy 11 30 05 gas 12 09 05 AURORA at 12 14 05_PCA 7 - Exhibit D update 11_30_08 (2) 2 3 2" xfId="29260"/>
    <cellStyle name="_Value Copy 11 30 05 gas 12 09 05 AURORA at 12 14 05_PCA 7 - Exhibit D update 11_30_08 (2) 2 3 2 2" xfId="29261"/>
    <cellStyle name="_Value Copy 11 30 05 gas 12 09 05 AURORA at 12 14 05_PCA 7 - Exhibit D update 11_30_08 (2) 2 4" xfId="29262"/>
    <cellStyle name="_Value Copy 11 30 05 gas 12 09 05 AURORA at 12 14 05_PCA 7 - Exhibit D update 11_30_08 (2) 2 4 2" xfId="29263"/>
    <cellStyle name="_Value Copy 11 30 05 gas 12 09 05 AURORA at 12 14 05_PCA 7 - Exhibit D update 11_30_08 (2) 2 4 2 2" xfId="29264"/>
    <cellStyle name="_Value Copy 11 30 05 gas 12 09 05 AURORA at 12 14 05_PCA 7 - Exhibit D update 11_30_08 (2) 2 4 3" xfId="29265"/>
    <cellStyle name="_Value Copy 11 30 05 gas 12 09 05 AURORA at 12 14 05_PCA 7 - Exhibit D update 11_30_08 (2) 2 5" xfId="29266"/>
    <cellStyle name="_Value Copy 11 30 05 gas 12 09 05 AURORA at 12 14 05_PCA 7 - Exhibit D update 11_30_08 (2) 2 5 2" xfId="29267"/>
    <cellStyle name="_Value Copy 11 30 05 gas 12 09 05 AURORA at 12 14 05_PCA 7 - Exhibit D update 11_30_08 (2) 2 6" xfId="29268"/>
    <cellStyle name="_Value Copy 11 30 05 gas 12 09 05 AURORA at 12 14 05_PCA 7 - Exhibit D update 11_30_08 (2) 2 6 2" xfId="29269"/>
    <cellStyle name="_Value Copy 11 30 05 gas 12 09 05 AURORA at 12 14 05_PCA 7 - Exhibit D update 11_30_08 (2) 2 7" xfId="8336"/>
    <cellStyle name="_Value Copy 11 30 05 gas 12 09 05 AURORA at 12 14 05_PCA 7 - Exhibit D update 11_30_08 (2) 3" xfId="2177"/>
    <cellStyle name="_Value Copy 11 30 05 gas 12 09 05 AURORA at 12 14 05_PCA 7 - Exhibit D update 11_30_08 (2) 3 2" xfId="5540"/>
    <cellStyle name="_Value Copy 11 30 05 gas 12 09 05 AURORA at 12 14 05_PCA 7 - Exhibit D update 11_30_08 (2) 3 2 2" xfId="29270"/>
    <cellStyle name="_Value Copy 11 30 05 gas 12 09 05 AURORA at 12 14 05_PCA 7 - Exhibit D update 11_30_08 (2) 3 2 2 2" xfId="29271"/>
    <cellStyle name="_Value Copy 11 30 05 gas 12 09 05 AURORA at 12 14 05_PCA 7 - Exhibit D update 11_30_08 (2) 3 3" xfId="29272"/>
    <cellStyle name="_Value Copy 11 30 05 gas 12 09 05 AURORA at 12 14 05_PCA 7 - Exhibit D update 11_30_08 (2) 3 3 2" xfId="29273"/>
    <cellStyle name="_Value Copy 11 30 05 gas 12 09 05 AURORA at 12 14 05_PCA 7 - Exhibit D update 11_30_08 (2) 3 4" xfId="29274"/>
    <cellStyle name="_Value Copy 11 30 05 gas 12 09 05 AURORA at 12 14 05_PCA 7 - Exhibit D update 11_30_08 (2) 3 4 2" xfId="29275"/>
    <cellStyle name="_Value Copy 11 30 05 gas 12 09 05 AURORA at 12 14 05_PCA 7 - Exhibit D update 11_30_08 (2) 3 5" xfId="8338"/>
    <cellStyle name="_Value Copy 11 30 05 gas 12 09 05 AURORA at 12 14 05_PCA 7 - Exhibit D update 11_30_08 (2) 4" xfId="5537"/>
    <cellStyle name="_Value Copy 11 30 05 gas 12 09 05 AURORA at 12 14 05_PCA 7 - Exhibit D update 11_30_08 (2) 4 2" xfId="29276"/>
    <cellStyle name="_Value Copy 11 30 05 gas 12 09 05 AURORA at 12 14 05_PCA 7 - Exhibit D update 11_30_08 (2) 4 2 2" xfId="29277"/>
    <cellStyle name="_Value Copy 11 30 05 gas 12 09 05 AURORA at 12 14 05_PCA 7 - Exhibit D update 11_30_08 (2) 4 3" xfId="29278"/>
    <cellStyle name="_Value Copy 11 30 05 gas 12 09 05 AURORA at 12 14 05_PCA 7 - Exhibit D update 11_30_08 (2) 5" xfId="29279"/>
    <cellStyle name="_Value Copy 11 30 05 gas 12 09 05 AURORA at 12 14 05_PCA 7 - Exhibit D update 11_30_08 (2) 5 2" xfId="29280"/>
    <cellStyle name="_Value Copy 11 30 05 gas 12 09 05 AURORA at 12 14 05_PCA 7 - Exhibit D update 11_30_08 (2) 5 2 2" xfId="29281"/>
    <cellStyle name="_Value Copy 11 30 05 gas 12 09 05 AURORA at 12 14 05_PCA 7 - Exhibit D update 11_30_08 (2) 5 3" xfId="29282"/>
    <cellStyle name="_Value Copy 11 30 05 gas 12 09 05 AURORA at 12 14 05_PCA 7 - Exhibit D update 11_30_08 (2) 6" xfId="29283"/>
    <cellStyle name="_Value Copy 11 30 05 gas 12 09 05 AURORA at 12 14 05_PCA 7 - Exhibit D update 11_30_08 (2) 6 2" xfId="29284"/>
    <cellStyle name="_Value Copy 11 30 05 gas 12 09 05 AURORA at 12 14 05_PCA 7 - Exhibit D update 11_30_08 (2) 7" xfId="29285"/>
    <cellStyle name="_Value Copy 11 30 05 gas 12 09 05 AURORA at 12 14 05_PCA 7 - Exhibit D update 11_30_08 (2) 7 2" xfId="29286"/>
    <cellStyle name="_Value Copy 11 30 05 gas 12 09 05 AURORA at 12 14 05_PCA 7 - Exhibit D update 11_30_08 (2) 8" xfId="8335"/>
    <cellStyle name="_Value Copy 11 30 05 gas 12 09 05 AURORA at 12 14 05_PCA 7 - Exhibit D update 11_30_08 (2)_DEM-WP(C) ENERG10C--ctn Mid-C_042010 2010GRC" xfId="13090"/>
    <cellStyle name="_Value Copy 11 30 05 gas 12 09 05 AURORA at 12 14 05_PCA 7 - Exhibit D update 11_30_08 (2)_DEM-WP(C) ENERG10C--ctn Mid-C_042010 2010GRC 2" xfId="41821"/>
    <cellStyle name="_Value Copy 11 30 05 gas 12 09 05 AURORA at 12 14 05_PCA 7 - Exhibit D update 11_30_08 (2)_NIM Summary" xfId="2178"/>
    <cellStyle name="_Value Copy 11 30 05 gas 12 09 05 AURORA at 12 14 05_PCA 7 - Exhibit D update 11_30_08 (2)_NIM Summary 2" xfId="2179"/>
    <cellStyle name="_Value Copy 11 30 05 gas 12 09 05 AURORA at 12 14 05_PCA 7 - Exhibit D update 11_30_08 (2)_NIM Summary 2 2" xfId="5542"/>
    <cellStyle name="_Value Copy 11 30 05 gas 12 09 05 AURORA at 12 14 05_PCA 7 - Exhibit D update 11_30_08 (2)_NIM Summary 2 2 2" xfId="29287"/>
    <cellStyle name="_Value Copy 11 30 05 gas 12 09 05 AURORA at 12 14 05_PCA 7 - Exhibit D update 11_30_08 (2)_NIM Summary 2 2 2 2" xfId="29288"/>
    <cellStyle name="_Value Copy 11 30 05 gas 12 09 05 AURORA at 12 14 05_PCA 7 - Exhibit D update 11_30_08 (2)_NIM Summary 2 3" xfId="29289"/>
    <cellStyle name="_Value Copy 11 30 05 gas 12 09 05 AURORA at 12 14 05_PCA 7 - Exhibit D update 11_30_08 (2)_NIM Summary 2 3 2" xfId="29290"/>
    <cellStyle name="_Value Copy 11 30 05 gas 12 09 05 AURORA at 12 14 05_PCA 7 - Exhibit D update 11_30_08 (2)_NIM Summary 2 4" xfId="29291"/>
    <cellStyle name="_Value Copy 11 30 05 gas 12 09 05 AURORA at 12 14 05_PCA 7 - Exhibit D update 11_30_08 (2)_NIM Summary 2 4 2" xfId="29292"/>
    <cellStyle name="_Value Copy 11 30 05 gas 12 09 05 AURORA at 12 14 05_PCA 7 - Exhibit D update 11_30_08 (2)_NIM Summary 2 5" xfId="8340"/>
    <cellStyle name="_Value Copy 11 30 05 gas 12 09 05 AURORA at 12 14 05_PCA 7 - Exhibit D update 11_30_08 (2)_NIM Summary 3" xfId="5541"/>
    <cellStyle name="_Value Copy 11 30 05 gas 12 09 05 AURORA at 12 14 05_PCA 7 - Exhibit D update 11_30_08 (2)_NIM Summary 3 2" xfId="29293"/>
    <cellStyle name="_Value Copy 11 30 05 gas 12 09 05 AURORA at 12 14 05_PCA 7 - Exhibit D update 11_30_08 (2)_NIM Summary 3 2 2" xfId="29294"/>
    <cellStyle name="_Value Copy 11 30 05 gas 12 09 05 AURORA at 12 14 05_PCA 7 - Exhibit D update 11_30_08 (2)_NIM Summary 3 3" xfId="29295"/>
    <cellStyle name="_Value Copy 11 30 05 gas 12 09 05 AURORA at 12 14 05_PCA 7 - Exhibit D update 11_30_08 (2)_NIM Summary 4" xfId="29296"/>
    <cellStyle name="_Value Copy 11 30 05 gas 12 09 05 AURORA at 12 14 05_PCA 7 - Exhibit D update 11_30_08 (2)_NIM Summary 4 2" xfId="29297"/>
    <cellStyle name="_Value Copy 11 30 05 gas 12 09 05 AURORA at 12 14 05_PCA 7 - Exhibit D update 11_30_08 (2)_NIM Summary 4 2 2" xfId="29298"/>
    <cellStyle name="_Value Copy 11 30 05 gas 12 09 05 AURORA at 12 14 05_PCA 7 - Exhibit D update 11_30_08 (2)_NIM Summary 4 3" xfId="29299"/>
    <cellStyle name="_Value Copy 11 30 05 gas 12 09 05 AURORA at 12 14 05_PCA 7 - Exhibit D update 11_30_08 (2)_NIM Summary 5" xfId="29300"/>
    <cellStyle name="_Value Copy 11 30 05 gas 12 09 05 AURORA at 12 14 05_PCA 7 - Exhibit D update 11_30_08 (2)_NIM Summary 5 2" xfId="29301"/>
    <cellStyle name="_Value Copy 11 30 05 gas 12 09 05 AURORA at 12 14 05_PCA 7 - Exhibit D update 11_30_08 (2)_NIM Summary 6" xfId="29302"/>
    <cellStyle name="_Value Copy 11 30 05 gas 12 09 05 AURORA at 12 14 05_PCA 7 - Exhibit D update 11_30_08 (2)_NIM Summary 6 2" xfId="29303"/>
    <cellStyle name="_Value Copy 11 30 05 gas 12 09 05 AURORA at 12 14 05_PCA 7 - Exhibit D update 11_30_08 (2)_NIM Summary 7" xfId="8339"/>
    <cellStyle name="_Value Copy 11 30 05 gas 12 09 05 AURORA at 12 14 05_PCA 7 - Exhibit D update 11_30_08 (2)_NIM Summary_DEM-WP(C) ENERG10C--ctn Mid-C_042010 2010GRC" xfId="13091"/>
    <cellStyle name="_Value Copy 11 30 05 gas 12 09 05 AURORA at 12 14 05_PCA 7 - Exhibit D update 11_30_08 (2)_NIM Summary_DEM-WP(C) ENERG10C--ctn Mid-C_042010 2010GRC 2" xfId="41822"/>
    <cellStyle name="_Value Copy 11 30 05 gas 12 09 05 AURORA at 12 14 05_PCA 8 - Exhibit D update 12_31_09" xfId="14182"/>
    <cellStyle name="_Value Copy 11 30 05 gas 12 09 05 AURORA at 12 14 05_PCA 8 - Exhibit D update 12_31_09 2" xfId="15306"/>
    <cellStyle name="_Value Copy 11 30 05 gas 12 09 05 AURORA at 12 14 05_PCA 8 - Exhibit D update 12_31_09 2 2" xfId="41823"/>
    <cellStyle name="_Value Copy 11 30 05 gas 12 09 05 AURORA at 12 14 05_PCA 8 - Exhibit D update 12_31_09 3" xfId="41824"/>
    <cellStyle name="_Value Copy 11 30 05 gas 12 09 05 AURORA at 12 14 05_PCA 9 -  Exhibit D April 2010" xfId="14183"/>
    <cellStyle name="_Value Copy 11 30 05 gas 12 09 05 AURORA at 12 14 05_PCA 9 -  Exhibit D April 2010 (3)" xfId="2180"/>
    <cellStyle name="_Value Copy 11 30 05 gas 12 09 05 AURORA at 12 14 05_PCA 9 -  Exhibit D April 2010 (3) 2" xfId="2181"/>
    <cellStyle name="_Value Copy 11 30 05 gas 12 09 05 AURORA at 12 14 05_PCA 9 -  Exhibit D April 2010 (3) 2 2" xfId="5544"/>
    <cellStyle name="_Value Copy 11 30 05 gas 12 09 05 AURORA at 12 14 05_PCA 9 -  Exhibit D April 2010 (3) 2 2 2" xfId="29304"/>
    <cellStyle name="_Value Copy 11 30 05 gas 12 09 05 AURORA at 12 14 05_PCA 9 -  Exhibit D April 2010 (3) 2 2 2 2" xfId="29305"/>
    <cellStyle name="_Value Copy 11 30 05 gas 12 09 05 AURORA at 12 14 05_PCA 9 -  Exhibit D April 2010 (3) 2 3" xfId="29306"/>
    <cellStyle name="_Value Copy 11 30 05 gas 12 09 05 AURORA at 12 14 05_PCA 9 -  Exhibit D April 2010 (3) 2 3 2" xfId="29307"/>
    <cellStyle name="_Value Copy 11 30 05 gas 12 09 05 AURORA at 12 14 05_PCA 9 -  Exhibit D April 2010 (3) 2 4" xfId="29308"/>
    <cellStyle name="_Value Copy 11 30 05 gas 12 09 05 AURORA at 12 14 05_PCA 9 -  Exhibit D April 2010 (3) 2 4 2" xfId="29309"/>
    <cellStyle name="_Value Copy 11 30 05 gas 12 09 05 AURORA at 12 14 05_PCA 9 -  Exhibit D April 2010 (3) 2 5" xfId="8342"/>
    <cellStyle name="_Value Copy 11 30 05 gas 12 09 05 AURORA at 12 14 05_PCA 9 -  Exhibit D April 2010 (3) 3" xfId="5543"/>
    <cellStyle name="_Value Copy 11 30 05 gas 12 09 05 AURORA at 12 14 05_PCA 9 -  Exhibit D April 2010 (3) 3 2" xfId="29310"/>
    <cellStyle name="_Value Copy 11 30 05 gas 12 09 05 AURORA at 12 14 05_PCA 9 -  Exhibit D April 2010 (3) 3 2 2" xfId="29311"/>
    <cellStyle name="_Value Copy 11 30 05 gas 12 09 05 AURORA at 12 14 05_PCA 9 -  Exhibit D April 2010 (3) 3 3" xfId="29312"/>
    <cellStyle name="_Value Copy 11 30 05 gas 12 09 05 AURORA at 12 14 05_PCA 9 -  Exhibit D April 2010 (3) 4" xfId="29313"/>
    <cellStyle name="_Value Copy 11 30 05 gas 12 09 05 AURORA at 12 14 05_PCA 9 -  Exhibit D April 2010 (3) 4 2" xfId="29314"/>
    <cellStyle name="_Value Copy 11 30 05 gas 12 09 05 AURORA at 12 14 05_PCA 9 -  Exhibit D April 2010 (3) 4 2 2" xfId="29315"/>
    <cellStyle name="_Value Copy 11 30 05 gas 12 09 05 AURORA at 12 14 05_PCA 9 -  Exhibit D April 2010 (3) 4 3" xfId="29316"/>
    <cellStyle name="_Value Copy 11 30 05 gas 12 09 05 AURORA at 12 14 05_PCA 9 -  Exhibit D April 2010 (3) 5" xfId="29317"/>
    <cellStyle name="_Value Copy 11 30 05 gas 12 09 05 AURORA at 12 14 05_PCA 9 -  Exhibit D April 2010 (3) 5 2" xfId="29318"/>
    <cellStyle name="_Value Copy 11 30 05 gas 12 09 05 AURORA at 12 14 05_PCA 9 -  Exhibit D April 2010 (3) 6" xfId="29319"/>
    <cellStyle name="_Value Copy 11 30 05 gas 12 09 05 AURORA at 12 14 05_PCA 9 -  Exhibit D April 2010 (3) 6 2" xfId="29320"/>
    <cellStyle name="_Value Copy 11 30 05 gas 12 09 05 AURORA at 12 14 05_PCA 9 -  Exhibit D April 2010 (3) 7" xfId="8341"/>
    <cellStyle name="_Value Copy 11 30 05 gas 12 09 05 AURORA at 12 14 05_PCA 9 -  Exhibit D April 2010 (3)_DEM-WP(C) ENERG10C--ctn Mid-C_042010 2010GRC" xfId="13092"/>
    <cellStyle name="_Value Copy 11 30 05 gas 12 09 05 AURORA at 12 14 05_PCA 9 -  Exhibit D April 2010 (3)_DEM-WP(C) ENERG10C--ctn Mid-C_042010 2010GRC 2" xfId="41825"/>
    <cellStyle name="_Value Copy 11 30 05 gas 12 09 05 AURORA at 12 14 05_PCA 9 -  Exhibit D April 2010 2" xfId="15307"/>
    <cellStyle name="_Value Copy 11 30 05 gas 12 09 05 AURORA at 12 14 05_PCA 9 -  Exhibit D April 2010 2 2" xfId="41826"/>
    <cellStyle name="_Value Copy 11 30 05 gas 12 09 05 AURORA at 12 14 05_PCA 9 -  Exhibit D April 2010 3" xfId="15308"/>
    <cellStyle name="_Value Copy 11 30 05 gas 12 09 05 AURORA at 12 14 05_PCA 9 -  Exhibit D April 2010 3 2" xfId="41827"/>
    <cellStyle name="_Value Copy 11 30 05 gas 12 09 05 AURORA at 12 14 05_PCA 9 -  Exhibit D April 2010 4" xfId="15309"/>
    <cellStyle name="_Value Copy 11 30 05 gas 12 09 05 AURORA at 12 14 05_PCA 9 -  Exhibit D April 2010 4 2" xfId="41828"/>
    <cellStyle name="_Value Copy 11 30 05 gas 12 09 05 AURORA at 12 14 05_PCA 9 -  Exhibit D April 2010 5" xfId="15310"/>
    <cellStyle name="_Value Copy 11 30 05 gas 12 09 05 AURORA at 12 14 05_PCA 9 -  Exhibit D April 2010 5 2" xfId="41829"/>
    <cellStyle name="_Value Copy 11 30 05 gas 12 09 05 AURORA at 12 14 05_PCA 9 -  Exhibit D April 2010 6" xfId="15311"/>
    <cellStyle name="_Value Copy 11 30 05 gas 12 09 05 AURORA at 12 14 05_PCA 9 -  Exhibit D April 2010 6 2" xfId="41830"/>
    <cellStyle name="_Value Copy 11 30 05 gas 12 09 05 AURORA at 12 14 05_PCA 9 -  Exhibit D April 2010 7" xfId="41831"/>
    <cellStyle name="_Value Copy 11 30 05 gas 12 09 05 AURORA at 12 14 05_PCA 9 -  Exhibit D Feb 2010" xfId="14184"/>
    <cellStyle name="_Value Copy 11 30 05 gas 12 09 05 AURORA at 12 14 05_PCA 9 -  Exhibit D Feb 2010 2" xfId="15312"/>
    <cellStyle name="_Value Copy 11 30 05 gas 12 09 05 AURORA at 12 14 05_PCA 9 -  Exhibit D Feb 2010 2 2" xfId="41832"/>
    <cellStyle name="_Value Copy 11 30 05 gas 12 09 05 AURORA at 12 14 05_PCA 9 -  Exhibit D Feb 2010 3" xfId="41833"/>
    <cellStyle name="_Value Copy 11 30 05 gas 12 09 05 AURORA at 12 14 05_PCA 9 -  Exhibit D Feb 2010 v2" xfId="14185"/>
    <cellStyle name="_Value Copy 11 30 05 gas 12 09 05 AURORA at 12 14 05_PCA 9 -  Exhibit D Feb 2010 v2 2" xfId="15313"/>
    <cellStyle name="_Value Copy 11 30 05 gas 12 09 05 AURORA at 12 14 05_PCA 9 -  Exhibit D Feb 2010 v2 2 2" xfId="41834"/>
    <cellStyle name="_Value Copy 11 30 05 gas 12 09 05 AURORA at 12 14 05_PCA 9 -  Exhibit D Feb 2010 v2 3" xfId="41835"/>
    <cellStyle name="_Value Copy 11 30 05 gas 12 09 05 AURORA at 12 14 05_PCA 9 -  Exhibit D Feb 2010 WF" xfId="14186"/>
    <cellStyle name="_Value Copy 11 30 05 gas 12 09 05 AURORA at 12 14 05_PCA 9 -  Exhibit D Feb 2010 WF 2" xfId="15314"/>
    <cellStyle name="_Value Copy 11 30 05 gas 12 09 05 AURORA at 12 14 05_PCA 9 -  Exhibit D Feb 2010 WF 2 2" xfId="41836"/>
    <cellStyle name="_Value Copy 11 30 05 gas 12 09 05 AURORA at 12 14 05_PCA 9 -  Exhibit D Feb 2010 WF 3" xfId="41837"/>
    <cellStyle name="_Value Copy 11 30 05 gas 12 09 05 AURORA at 12 14 05_PCA 9 -  Exhibit D Jan 2010" xfId="14187"/>
    <cellStyle name="_Value Copy 11 30 05 gas 12 09 05 AURORA at 12 14 05_PCA 9 -  Exhibit D Jan 2010 2" xfId="15315"/>
    <cellStyle name="_Value Copy 11 30 05 gas 12 09 05 AURORA at 12 14 05_PCA 9 -  Exhibit D Jan 2010 2 2" xfId="41838"/>
    <cellStyle name="_Value Copy 11 30 05 gas 12 09 05 AURORA at 12 14 05_PCA 9 -  Exhibit D Jan 2010 3" xfId="41839"/>
    <cellStyle name="_Value Copy 11 30 05 gas 12 09 05 AURORA at 12 14 05_PCA 9 -  Exhibit D March 2010 (2)" xfId="14188"/>
    <cellStyle name="_Value Copy 11 30 05 gas 12 09 05 AURORA at 12 14 05_PCA 9 -  Exhibit D March 2010 (2) 2" xfId="15316"/>
    <cellStyle name="_Value Copy 11 30 05 gas 12 09 05 AURORA at 12 14 05_PCA 9 -  Exhibit D March 2010 (2) 2 2" xfId="41840"/>
    <cellStyle name="_Value Copy 11 30 05 gas 12 09 05 AURORA at 12 14 05_PCA 9 -  Exhibit D March 2010 (2) 3" xfId="41841"/>
    <cellStyle name="_Value Copy 11 30 05 gas 12 09 05 AURORA at 12 14 05_PCA 9 -  Exhibit D Nov 2010" xfId="14189"/>
    <cellStyle name="_Value Copy 11 30 05 gas 12 09 05 AURORA at 12 14 05_PCA 9 -  Exhibit D Nov 2010 2" xfId="15317"/>
    <cellStyle name="_Value Copy 11 30 05 gas 12 09 05 AURORA at 12 14 05_PCA 9 -  Exhibit D Nov 2010 2 2" xfId="41842"/>
    <cellStyle name="_Value Copy 11 30 05 gas 12 09 05 AURORA at 12 14 05_PCA 9 -  Exhibit D Nov 2010 3" xfId="41843"/>
    <cellStyle name="_Value Copy 11 30 05 gas 12 09 05 AURORA at 12 14 05_PCA 9 - Exhibit D at August 2010" xfId="14190"/>
    <cellStyle name="_Value Copy 11 30 05 gas 12 09 05 AURORA at 12 14 05_PCA 9 - Exhibit D at August 2010 2" xfId="15318"/>
    <cellStyle name="_Value Copy 11 30 05 gas 12 09 05 AURORA at 12 14 05_PCA 9 - Exhibit D at August 2010 2 2" xfId="41844"/>
    <cellStyle name="_Value Copy 11 30 05 gas 12 09 05 AURORA at 12 14 05_PCA 9 - Exhibit D at August 2010 3" xfId="41845"/>
    <cellStyle name="_Value Copy 11 30 05 gas 12 09 05 AURORA at 12 14 05_PCA 9 - Exhibit D June 2010 GRC" xfId="14191"/>
    <cellStyle name="_Value Copy 11 30 05 gas 12 09 05 AURORA at 12 14 05_PCA 9 - Exhibit D June 2010 GRC 2" xfId="15319"/>
    <cellStyle name="_Value Copy 11 30 05 gas 12 09 05 AURORA at 12 14 05_PCA 9 - Exhibit D June 2010 GRC 2 2" xfId="41846"/>
    <cellStyle name="_Value Copy 11 30 05 gas 12 09 05 AURORA at 12 14 05_PCA 9 - Exhibit D June 2010 GRC 3" xfId="41847"/>
    <cellStyle name="_Value Copy 11 30 05 gas 12 09 05 AURORA at 12 14 05_Power Costs - Comparison bx Rbtl-Staff-Jt-PC" xfId="2182"/>
    <cellStyle name="_Value Copy 11 30 05 gas 12 09 05 AURORA at 12 14 05_Power Costs - Comparison bx Rbtl-Staff-Jt-PC 2" xfId="2183"/>
    <cellStyle name="_Value Copy 11 30 05 gas 12 09 05 AURORA at 12 14 05_Power Costs - Comparison bx Rbtl-Staff-Jt-PC 2 2" xfId="5546"/>
    <cellStyle name="_Value Copy 11 30 05 gas 12 09 05 AURORA at 12 14 05_Power Costs - Comparison bx Rbtl-Staff-Jt-PC 2 2 2" xfId="21517"/>
    <cellStyle name="_Value Copy 11 30 05 gas 12 09 05 AURORA at 12 14 05_Power Costs - Comparison bx Rbtl-Staff-Jt-PC 2 2 2 2" xfId="29321"/>
    <cellStyle name="_Value Copy 11 30 05 gas 12 09 05 AURORA at 12 14 05_Power Costs - Comparison bx Rbtl-Staff-Jt-PC 2 2 3" xfId="8345"/>
    <cellStyle name="_Value Copy 11 30 05 gas 12 09 05 AURORA at 12 14 05_Power Costs - Comparison bx Rbtl-Staff-Jt-PC 2 3" xfId="17102"/>
    <cellStyle name="_Value Copy 11 30 05 gas 12 09 05 AURORA at 12 14 05_Power Costs - Comparison bx Rbtl-Staff-Jt-PC 2 3 2" xfId="29322"/>
    <cellStyle name="_Value Copy 11 30 05 gas 12 09 05 AURORA at 12 14 05_Power Costs - Comparison bx Rbtl-Staff-Jt-PC 2 4" xfId="29323"/>
    <cellStyle name="_Value Copy 11 30 05 gas 12 09 05 AURORA at 12 14 05_Power Costs - Comparison bx Rbtl-Staff-Jt-PC 2 4 2" xfId="29324"/>
    <cellStyle name="_Value Copy 11 30 05 gas 12 09 05 AURORA at 12 14 05_Power Costs - Comparison bx Rbtl-Staff-Jt-PC 2 5" xfId="8344"/>
    <cellStyle name="_Value Copy 11 30 05 gas 12 09 05 AURORA at 12 14 05_Power Costs - Comparison bx Rbtl-Staff-Jt-PC 3" xfId="5545"/>
    <cellStyle name="_Value Copy 11 30 05 gas 12 09 05 AURORA at 12 14 05_Power Costs - Comparison bx Rbtl-Staff-Jt-PC 3 2" xfId="21518"/>
    <cellStyle name="_Value Copy 11 30 05 gas 12 09 05 AURORA at 12 14 05_Power Costs - Comparison bx Rbtl-Staff-Jt-PC 3 2 2" xfId="29325"/>
    <cellStyle name="_Value Copy 11 30 05 gas 12 09 05 AURORA at 12 14 05_Power Costs - Comparison bx Rbtl-Staff-Jt-PC 3 3" xfId="29326"/>
    <cellStyle name="_Value Copy 11 30 05 gas 12 09 05 AURORA at 12 14 05_Power Costs - Comparison bx Rbtl-Staff-Jt-PC 3 4" xfId="8346"/>
    <cellStyle name="_Value Copy 11 30 05 gas 12 09 05 AURORA at 12 14 05_Power Costs - Comparison bx Rbtl-Staff-Jt-PC 4" xfId="17101"/>
    <cellStyle name="_Value Copy 11 30 05 gas 12 09 05 AURORA at 12 14 05_Power Costs - Comparison bx Rbtl-Staff-Jt-PC 4 2" xfId="29327"/>
    <cellStyle name="_Value Copy 11 30 05 gas 12 09 05 AURORA at 12 14 05_Power Costs - Comparison bx Rbtl-Staff-Jt-PC 4 2 2" xfId="29328"/>
    <cellStyle name="_Value Copy 11 30 05 gas 12 09 05 AURORA at 12 14 05_Power Costs - Comparison bx Rbtl-Staff-Jt-PC 4 3" xfId="29329"/>
    <cellStyle name="_Value Copy 11 30 05 gas 12 09 05 AURORA at 12 14 05_Power Costs - Comparison bx Rbtl-Staff-Jt-PC 5" xfId="29330"/>
    <cellStyle name="_Value Copy 11 30 05 gas 12 09 05 AURORA at 12 14 05_Power Costs - Comparison bx Rbtl-Staff-Jt-PC 5 2" xfId="29331"/>
    <cellStyle name="_Value Copy 11 30 05 gas 12 09 05 AURORA at 12 14 05_Power Costs - Comparison bx Rbtl-Staff-Jt-PC 6" xfId="29332"/>
    <cellStyle name="_Value Copy 11 30 05 gas 12 09 05 AURORA at 12 14 05_Power Costs - Comparison bx Rbtl-Staff-Jt-PC 6 2" xfId="29333"/>
    <cellStyle name="_Value Copy 11 30 05 gas 12 09 05 AURORA at 12 14 05_Power Costs - Comparison bx Rbtl-Staff-Jt-PC 7" xfId="8343"/>
    <cellStyle name="_Value Copy 11 30 05 gas 12 09 05 AURORA at 12 14 05_Power Costs - Comparison bx Rbtl-Staff-Jt-PC_Adj Bench DR 3 for Initial Briefs (Electric)" xfId="2184"/>
    <cellStyle name="_Value Copy 11 30 05 gas 12 09 05 AURORA at 12 14 05_Power Costs - Comparison bx Rbtl-Staff-Jt-PC_Adj Bench DR 3 for Initial Briefs (Electric) 2" xfId="2185"/>
    <cellStyle name="_Value Copy 11 30 05 gas 12 09 05 AURORA at 12 14 05_Power Costs - Comparison bx Rbtl-Staff-Jt-PC_Adj Bench DR 3 for Initial Briefs (Electric) 2 2" xfId="5548"/>
    <cellStyle name="_Value Copy 11 30 05 gas 12 09 05 AURORA at 12 14 05_Power Costs - Comparison bx Rbtl-Staff-Jt-PC_Adj Bench DR 3 for Initial Briefs (Electric) 2 2 2" xfId="21519"/>
    <cellStyle name="_Value Copy 11 30 05 gas 12 09 05 AURORA at 12 14 05_Power Costs - Comparison bx Rbtl-Staff-Jt-PC_Adj Bench DR 3 for Initial Briefs (Electric) 2 2 2 2" xfId="29334"/>
    <cellStyle name="_Value Copy 11 30 05 gas 12 09 05 AURORA at 12 14 05_Power Costs - Comparison bx Rbtl-Staff-Jt-PC_Adj Bench DR 3 for Initial Briefs (Electric) 2 2 3" xfId="8349"/>
    <cellStyle name="_Value Copy 11 30 05 gas 12 09 05 AURORA at 12 14 05_Power Costs - Comparison bx Rbtl-Staff-Jt-PC_Adj Bench DR 3 for Initial Briefs (Electric) 2 3" xfId="17104"/>
    <cellStyle name="_Value Copy 11 30 05 gas 12 09 05 AURORA at 12 14 05_Power Costs - Comparison bx Rbtl-Staff-Jt-PC_Adj Bench DR 3 for Initial Briefs (Electric) 2 3 2" xfId="29335"/>
    <cellStyle name="_Value Copy 11 30 05 gas 12 09 05 AURORA at 12 14 05_Power Costs - Comparison bx Rbtl-Staff-Jt-PC_Adj Bench DR 3 for Initial Briefs (Electric) 2 4" xfId="29336"/>
    <cellStyle name="_Value Copy 11 30 05 gas 12 09 05 AURORA at 12 14 05_Power Costs - Comparison bx Rbtl-Staff-Jt-PC_Adj Bench DR 3 for Initial Briefs (Electric) 2 4 2" xfId="29337"/>
    <cellStyle name="_Value Copy 11 30 05 gas 12 09 05 AURORA at 12 14 05_Power Costs - Comparison bx Rbtl-Staff-Jt-PC_Adj Bench DR 3 for Initial Briefs (Electric) 2 5" xfId="8348"/>
    <cellStyle name="_Value Copy 11 30 05 gas 12 09 05 AURORA at 12 14 05_Power Costs - Comparison bx Rbtl-Staff-Jt-PC_Adj Bench DR 3 for Initial Briefs (Electric) 3" xfId="5547"/>
    <cellStyle name="_Value Copy 11 30 05 gas 12 09 05 AURORA at 12 14 05_Power Costs - Comparison bx Rbtl-Staff-Jt-PC_Adj Bench DR 3 for Initial Briefs (Electric) 3 2" xfId="21520"/>
    <cellStyle name="_Value Copy 11 30 05 gas 12 09 05 AURORA at 12 14 05_Power Costs - Comparison bx Rbtl-Staff-Jt-PC_Adj Bench DR 3 for Initial Briefs (Electric) 3 2 2" xfId="29338"/>
    <cellStyle name="_Value Copy 11 30 05 gas 12 09 05 AURORA at 12 14 05_Power Costs - Comparison bx Rbtl-Staff-Jt-PC_Adj Bench DR 3 for Initial Briefs (Electric) 3 3" xfId="29339"/>
    <cellStyle name="_Value Copy 11 30 05 gas 12 09 05 AURORA at 12 14 05_Power Costs - Comparison bx Rbtl-Staff-Jt-PC_Adj Bench DR 3 for Initial Briefs (Electric) 3 4" xfId="8350"/>
    <cellStyle name="_Value Copy 11 30 05 gas 12 09 05 AURORA at 12 14 05_Power Costs - Comparison bx Rbtl-Staff-Jt-PC_Adj Bench DR 3 for Initial Briefs (Electric) 4" xfId="17103"/>
    <cellStyle name="_Value Copy 11 30 05 gas 12 09 05 AURORA at 12 14 05_Power Costs - Comparison bx Rbtl-Staff-Jt-PC_Adj Bench DR 3 for Initial Briefs (Electric) 4 2" xfId="29340"/>
    <cellStyle name="_Value Copy 11 30 05 gas 12 09 05 AURORA at 12 14 05_Power Costs - Comparison bx Rbtl-Staff-Jt-PC_Adj Bench DR 3 for Initial Briefs (Electric) 4 2 2" xfId="29341"/>
    <cellStyle name="_Value Copy 11 30 05 gas 12 09 05 AURORA at 12 14 05_Power Costs - Comparison bx Rbtl-Staff-Jt-PC_Adj Bench DR 3 for Initial Briefs (Electric) 4 3" xfId="29342"/>
    <cellStyle name="_Value Copy 11 30 05 gas 12 09 05 AURORA at 12 14 05_Power Costs - Comparison bx Rbtl-Staff-Jt-PC_Adj Bench DR 3 for Initial Briefs (Electric) 5" xfId="29343"/>
    <cellStyle name="_Value Copy 11 30 05 gas 12 09 05 AURORA at 12 14 05_Power Costs - Comparison bx Rbtl-Staff-Jt-PC_Adj Bench DR 3 for Initial Briefs (Electric) 5 2" xfId="29344"/>
    <cellStyle name="_Value Copy 11 30 05 gas 12 09 05 AURORA at 12 14 05_Power Costs - Comparison bx Rbtl-Staff-Jt-PC_Adj Bench DR 3 for Initial Briefs (Electric) 6" xfId="29345"/>
    <cellStyle name="_Value Copy 11 30 05 gas 12 09 05 AURORA at 12 14 05_Power Costs - Comparison bx Rbtl-Staff-Jt-PC_Adj Bench DR 3 for Initial Briefs (Electric) 6 2" xfId="29346"/>
    <cellStyle name="_Value Copy 11 30 05 gas 12 09 05 AURORA at 12 14 05_Power Costs - Comparison bx Rbtl-Staff-Jt-PC_Adj Bench DR 3 for Initial Briefs (Electric) 7" xfId="8347"/>
    <cellStyle name="_Value Copy 11 30 05 gas 12 09 05 AURORA at 12 14 05_Power Costs - Comparison bx Rbtl-Staff-Jt-PC_Adj Bench DR 3 for Initial Briefs (Electric)_DEM-WP(C) ENERG10C--ctn Mid-C_042010 2010GRC" xfId="13093"/>
    <cellStyle name="_Value Copy 11 30 05 gas 12 09 05 AURORA at 12 14 05_Power Costs - Comparison bx Rbtl-Staff-Jt-PC_Adj Bench DR 3 for Initial Briefs (Electric)_DEM-WP(C) ENERG10C--ctn Mid-C_042010 2010GRC 2" xfId="41848"/>
    <cellStyle name="_Value Copy 11 30 05 gas 12 09 05 AURORA at 12 14 05_Power Costs - Comparison bx Rbtl-Staff-Jt-PC_DEM-WP(C) ENERG10C--ctn Mid-C_042010 2010GRC" xfId="13094"/>
    <cellStyle name="_Value Copy 11 30 05 gas 12 09 05 AURORA at 12 14 05_Power Costs - Comparison bx Rbtl-Staff-Jt-PC_DEM-WP(C) ENERG10C--ctn Mid-C_042010 2010GRC 2" xfId="41849"/>
    <cellStyle name="_Value Copy 11 30 05 gas 12 09 05 AURORA at 12 14 05_Power Costs - Comparison bx Rbtl-Staff-Jt-PC_Electric Rev Req Model (2009 GRC) Rebuttal" xfId="2186"/>
    <cellStyle name="_Value Copy 11 30 05 gas 12 09 05 AURORA at 12 14 05_Power Costs - Comparison bx Rbtl-Staff-Jt-PC_Electric Rev Req Model (2009 GRC) Rebuttal 2" xfId="5549"/>
    <cellStyle name="_Value Copy 11 30 05 gas 12 09 05 AURORA at 12 14 05_Power Costs - Comparison bx Rbtl-Staff-Jt-PC_Electric Rev Req Model (2009 GRC) Rebuttal 2 2" xfId="8353"/>
    <cellStyle name="_Value Copy 11 30 05 gas 12 09 05 AURORA at 12 14 05_Power Costs - Comparison bx Rbtl-Staff-Jt-PC_Electric Rev Req Model (2009 GRC) Rebuttal 2 2 2" xfId="21521"/>
    <cellStyle name="_Value Copy 11 30 05 gas 12 09 05 AURORA at 12 14 05_Power Costs - Comparison bx Rbtl-Staff-Jt-PC_Electric Rev Req Model (2009 GRC) Rebuttal 2 3" xfId="18722"/>
    <cellStyle name="_Value Copy 11 30 05 gas 12 09 05 AURORA at 12 14 05_Power Costs - Comparison bx Rbtl-Staff-Jt-PC_Electric Rev Req Model (2009 GRC) Rebuttal 2 4" xfId="8352"/>
    <cellStyle name="_Value Copy 11 30 05 gas 12 09 05 AURORA at 12 14 05_Power Costs - Comparison bx Rbtl-Staff-Jt-PC_Electric Rev Req Model (2009 GRC) Rebuttal 3" xfId="8354"/>
    <cellStyle name="_Value Copy 11 30 05 gas 12 09 05 AURORA at 12 14 05_Power Costs - Comparison bx Rbtl-Staff-Jt-PC_Electric Rev Req Model (2009 GRC) Rebuttal 3 2" xfId="21522"/>
    <cellStyle name="_Value Copy 11 30 05 gas 12 09 05 AURORA at 12 14 05_Power Costs - Comparison bx Rbtl-Staff-Jt-PC_Electric Rev Req Model (2009 GRC) Rebuttal 4" xfId="17105"/>
    <cellStyle name="_Value Copy 11 30 05 gas 12 09 05 AURORA at 12 14 05_Power Costs - Comparison bx Rbtl-Staff-Jt-PC_Electric Rev Req Model (2009 GRC) Rebuttal 5" xfId="8351"/>
    <cellStyle name="_Value Copy 11 30 05 gas 12 09 05 AURORA at 12 14 05_Power Costs - Comparison bx Rbtl-Staff-Jt-PC_Electric Rev Req Model (2009 GRC) Rebuttal REmoval of New  WH Solar AdjustMI" xfId="2187"/>
    <cellStyle name="_Value Copy 11 30 05 gas 12 09 05 AURORA at 12 14 05_Power Costs - Comparison bx Rbtl-Staff-Jt-PC_Electric Rev Req Model (2009 GRC) Rebuttal REmoval of New  WH Solar AdjustMI 2" xfId="2188"/>
    <cellStyle name="_Value Copy 11 30 05 gas 12 09 05 AURORA at 12 14 05_Power Costs - Comparison bx Rbtl-Staff-Jt-PC_Electric Rev Req Model (2009 GRC) Rebuttal REmoval of New  WH Solar AdjustMI 2 2" xfId="5551"/>
    <cellStyle name="_Value Copy 11 30 05 gas 12 09 05 AURORA at 12 14 05_Power Costs - Comparison bx Rbtl-Staff-Jt-PC_Electric Rev Req Model (2009 GRC) Rebuttal REmoval of New  WH Solar AdjustMI 2 2 2" xfId="21523"/>
    <cellStyle name="_Value Copy 11 30 05 gas 12 09 05 AURORA at 12 14 05_Power Costs - Comparison bx Rbtl-Staff-Jt-PC_Electric Rev Req Model (2009 GRC) Rebuttal REmoval of New  WH Solar AdjustMI 2 2 2 2" xfId="29347"/>
    <cellStyle name="_Value Copy 11 30 05 gas 12 09 05 AURORA at 12 14 05_Power Costs - Comparison bx Rbtl-Staff-Jt-PC_Electric Rev Req Model (2009 GRC) Rebuttal REmoval of New  WH Solar AdjustMI 2 2 3" xfId="8357"/>
    <cellStyle name="_Value Copy 11 30 05 gas 12 09 05 AURORA at 12 14 05_Power Costs - Comparison bx Rbtl-Staff-Jt-PC_Electric Rev Req Model (2009 GRC) Rebuttal REmoval of New  WH Solar AdjustMI 2 3" xfId="17107"/>
    <cellStyle name="_Value Copy 11 30 05 gas 12 09 05 AURORA at 12 14 05_Power Costs - Comparison bx Rbtl-Staff-Jt-PC_Electric Rev Req Model (2009 GRC) Rebuttal REmoval of New  WH Solar AdjustMI 2 3 2" xfId="29348"/>
    <cellStyle name="_Value Copy 11 30 05 gas 12 09 05 AURORA at 12 14 05_Power Costs - Comparison bx Rbtl-Staff-Jt-PC_Electric Rev Req Model (2009 GRC) Rebuttal REmoval of New  WH Solar AdjustMI 2 4" xfId="29349"/>
    <cellStyle name="_Value Copy 11 30 05 gas 12 09 05 AURORA at 12 14 05_Power Costs - Comparison bx Rbtl-Staff-Jt-PC_Electric Rev Req Model (2009 GRC) Rebuttal REmoval of New  WH Solar AdjustMI 2 4 2" xfId="29350"/>
    <cellStyle name="_Value Copy 11 30 05 gas 12 09 05 AURORA at 12 14 05_Power Costs - Comparison bx Rbtl-Staff-Jt-PC_Electric Rev Req Model (2009 GRC) Rebuttal REmoval of New  WH Solar AdjustMI 2 5" xfId="8356"/>
    <cellStyle name="_Value Copy 11 30 05 gas 12 09 05 AURORA at 12 14 05_Power Costs - Comparison bx Rbtl-Staff-Jt-PC_Electric Rev Req Model (2009 GRC) Rebuttal REmoval of New  WH Solar AdjustMI 3" xfId="5550"/>
    <cellStyle name="_Value Copy 11 30 05 gas 12 09 05 AURORA at 12 14 05_Power Costs - Comparison bx Rbtl-Staff-Jt-PC_Electric Rev Req Model (2009 GRC) Rebuttal REmoval of New  WH Solar AdjustMI 3 2" xfId="21524"/>
    <cellStyle name="_Value Copy 11 30 05 gas 12 09 05 AURORA at 12 14 05_Power Costs - Comparison bx Rbtl-Staff-Jt-PC_Electric Rev Req Model (2009 GRC) Rebuttal REmoval of New  WH Solar AdjustMI 3 2 2" xfId="29351"/>
    <cellStyle name="_Value Copy 11 30 05 gas 12 09 05 AURORA at 12 14 05_Power Costs - Comparison bx Rbtl-Staff-Jt-PC_Electric Rev Req Model (2009 GRC) Rebuttal REmoval of New  WH Solar AdjustMI 3 3" xfId="29352"/>
    <cellStyle name="_Value Copy 11 30 05 gas 12 09 05 AURORA at 12 14 05_Power Costs - Comparison bx Rbtl-Staff-Jt-PC_Electric Rev Req Model (2009 GRC) Rebuttal REmoval of New  WH Solar AdjustMI 3 4" xfId="8358"/>
    <cellStyle name="_Value Copy 11 30 05 gas 12 09 05 AURORA at 12 14 05_Power Costs - Comparison bx Rbtl-Staff-Jt-PC_Electric Rev Req Model (2009 GRC) Rebuttal REmoval of New  WH Solar AdjustMI 4" xfId="17106"/>
    <cellStyle name="_Value Copy 11 30 05 gas 12 09 05 AURORA at 12 14 05_Power Costs - Comparison bx Rbtl-Staff-Jt-PC_Electric Rev Req Model (2009 GRC) Rebuttal REmoval of New  WH Solar AdjustMI 4 2" xfId="29353"/>
    <cellStyle name="_Value Copy 11 30 05 gas 12 09 05 AURORA at 12 14 05_Power Costs - Comparison bx Rbtl-Staff-Jt-PC_Electric Rev Req Model (2009 GRC) Rebuttal REmoval of New  WH Solar AdjustMI 4 2 2" xfId="29354"/>
    <cellStyle name="_Value Copy 11 30 05 gas 12 09 05 AURORA at 12 14 05_Power Costs - Comparison bx Rbtl-Staff-Jt-PC_Electric Rev Req Model (2009 GRC) Rebuttal REmoval of New  WH Solar AdjustMI 4 3" xfId="29355"/>
    <cellStyle name="_Value Copy 11 30 05 gas 12 09 05 AURORA at 12 14 05_Power Costs - Comparison bx Rbtl-Staff-Jt-PC_Electric Rev Req Model (2009 GRC) Rebuttal REmoval of New  WH Solar AdjustMI 5" xfId="29356"/>
    <cellStyle name="_Value Copy 11 30 05 gas 12 09 05 AURORA at 12 14 05_Power Costs - Comparison bx Rbtl-Staff-Jt-PC_Electric Rev Req Model (2009 GRC) Rebuttal REmoval of New  WH Solar AdjustMI 5 2" xfId="29357"/>
    <cellStyle name="_Value Copy 11 30 05 gas 12 09 05 AURORA at 12 14 05_Power Costs - Comparison bx Rbtl-Staff-Jt-PC_Electric Rev Req Model (2009 GRC) Rebuttal REmoval of New  WH Solar AdjustMI 6" xfId="29358"/>
    <cellStyle name="_Value Copy 11 30 05 gas 12 09 05 AURORA at 12 14 05_Power Costs - Comparison bx Rbtl-Staff-Jt-PC_Electric Rev Req Model (2009 GRC) Rebuttal REmoval of New  WH Solar AdjustMI 6 2" xfId="29359"/>
    <cellStyle name="_Value Copy 11 30 05 gas 12 09 05 AURORA at 12 14 05_Power Costs - Comparison bx Rbtl-Staff-Jt-PC_Electric Rev Req Model (2009 GRC) Rebuttal REmoval of New  WH Solar AdjustMI 7" xfId="8355"/>
    <cellStyle name="_Value Copy 11 30 05 gas 12 09 05 AURORA at 12 14 05_Power Costs - Comparison bx Rbtl-Staff-Jt-PC_Electric Rev Req Model (2009 GRC) Rebuttal REmoval of New  WH Solar AdjustMI_DEM-WP(C) ENERG10C--ctn Mid-C_042010 2010GRC" xfId="13095"/>
    <cellStyle name="_Value Copy 11 30 05 gas 12 09 05 AURORA at 12 14 05_Power Costs - Comparison bx Rbtl-Staff-Jt-PC_Electric Rev Req Model (2009 GRC) Rebuttal REmoval of New  WH Solar AdjustMI_DEM-WP(C) ENERG10C--ctn Mid-C_042010 2010GRC 2" xfId="41850"/>
    <cellStyle name="_Value Copy 11 30 05 gas 12 09 05 AURORA at 12 14 05_Power Costs - Comparison bx Rbtl-Staff-Jt-PC_Electric Rev Req Model (2009 GRC) Revised 01-18-2010" xfId="2189"/>
    <cellStyle name="_Value Copy 11 30 05 gas 12 09 05 AURORA at 12 14 05_Power Costs - Comparison bx Rbtl-Staff-Jt-PC_Electric Rev Req Model (2009 GRC) Revised 01-18-2010 2" xfId="2190"/>
    <cellStyle name="_Value Copy 11 30 05 gas 12 09 05 AURORA at 12 14 05_Power Costs - Comparison bx Rbtl-Staff-Jt-PC_Electric Rev Req Model (2009 GRC) Revised 01-18-2010 2 2" xfId="5553"/>
    <cellStyle name="_Value Copy 11 30 05 gas 12 09 05 AURORA at 12 14 05_Power Costs - Comparison bx Rbtl-Staff-Jt-PC_Electric Rev Req Model (2009 GRC) Revised 01-18-2010 2 2 2" xfId="21525"/>
    <cellStyle name="_Value Copy 11 30 05 gas 12 09 05 AURORA at 12 14 05_Power Costs - Comparison bx Rbtl-Staff-Jt-PC_Electric Rev Req Model (2009 GRC) Revised 01-18-2010 2 2 2 2" xfId="29360"/>
    <cellStyle name="_Value Copy 11 30 05 gas 12 09 05 AURORA at 12 14 05_Power Costs - Comparison bx Rbtl-Staff-Jt-PC_Electric Rev Req Model (2009 GRC) Revised 01-18-2010 2 2 3" xfId="8361"/>
    <cellStyle name="_Value Copy 11 30 05 gas 12 09 05 AURORA at 12 14 05_Power Costs - Comparison bx Rbtl-Staff-Jt-PC_Electric Rev Req Model (2009 GRC) Revised 01-18-2010 2 3" xfId="17109"/>
    <cellStyle name="_Value Copy 11 30 05 gas 12 09 05 AURORA at 12 14 05_Power Costs - Comparison bx Rbtl-Staff-Jt-PC_Electric Rev Req Model (2009 GRC) Revised 01-18-2010 2 3 2" xfId="29361"/>
    <cellStyle name="_Value Copy 11 30 05 gas 12 09 05 AURORA at 12 14 05_Power Costs - Comparison bx Rbtl-Staff-Jt-PC_Electric Rev Req Model (2009 GRC) Revised 01-18-2010 2 4" xfId="29362"/>
    <cellStyle name="_Value Copy 11 30 05 gas 12 09 05 AURORA at 12 14 05_Power Costs - Comparison bx Rbtl-Staff-Jt-PC_Electric Rev Req Model (2009 GRC) Revised 01-18-2010 2 4 2" xfId="29363"/>
    <cellStyle name="_Value Copy 11 30 05 gas 12 09 05 AURORA at 12 14 05_Power Costs - Comparison bx Rbtl-Staff-Jt-PC_Electric Rev Req Model (2009 GRC) Revised 01-18-2010 2 5" xfId="8360"/>
    <cellStyle name="_Value Copy 11 30 05 gas 12 09 05 AURORA at 12 14 05_Power Costs - Comparison bx Rbtl-Staff-Jt-PC_Electric Rev Req Model (2009 GRC) Revised 01-18-2010 3" xfId="5552"/>
    <cellStyle name="_Value Copy 11 30 05 gas 12 09 05 AURORA at 12 14 05_Power Costs - Comparison bx Rbtl-Staff-Jt-PC_Electric Rev Req Model (2009 GRC) Revised 01-18-2010 3 2" xfId="21526"/>
    <cellStyle name="_Value Copy 11 30 05 gas 12 09 05 AURORA at 12 14 05_Power Costs - Comparison bx Rbtl-Staff-Jt-PC_Electric Rev Req Model (2009 GRC) Revised 01-18-2010 3 2 2" xfId="29364"/>
    <cellStyle name="_Value Copy 11 30 05 gas 12 09 05 AURORA at 12 14 05_Power Costs - Comparison bx Rbtl-Staff-Jt-PC_Electric Rev Req Model (2009 GRC) Revised 01-18-2010 3 3" xfId="29365"/>
    <cellStyle name="_Value Copy 11 30 05 gas 12 09 05 AURORA at 12 14 05_Power Costs - Comparison bx Rbtl-Staff-Jt-PC_Electric Rev Req Model (2009 GRC) Revised 01-18-2010 3 4" xfId="8362"/>
    <cellStyle name="_Value Copy 11 30 05 gas 12 09 05 AURORA at 12 14 05_Power Costs - Comparison bx Rbtl-Staff-Jt-PC_Electric Rev Req Model (2009 GRC) Revised 01-18-2010 4" xfId="17108"/>
    <cellStyle name="_Value Copy 11 30 05 gas 12 09 05 AURORA at 12 14 05_Power Costs - Comparison bx Rbtl-Staff-Jt-PC_Electric Rev Req Model (2009 GRC) Revised 01-18-2010 4 2" xfId="29366"/>
    <cellStyle name="_Value Copy 11 30 05 gas 12 09 05 AURORA at 12 14 05_Power Costs - Comparison bx Rbtl-Staff-Jt-PC_Electric Rev Req Model (2009 GRC) Revised 01-18-2010 4 2 2" xfId="29367"/>
    <cellStyle name="_Value Copy 11 30 05 gas 12 09 05 AURORA at 12 14 05_Power Costs - Comparison bx Rbtl-Staff-Jt-PC_Electric Rev Req Model (2009 GRC) Revised 01-18-2010 4 3" xfId="29368"/>
    <cellStyle name="_Value Copy 11 30 05 gas 12 09 05 AURORA at 12 14 05_Power Costs - Comparison bx Rbtl-Staff-Jt-PC_Electric Rev Req Model (2009 GRC) Revised 01-18-2010 5" xfId="29369"/>
    <cellStyle name="_Value Copy 11 30 05 gas 12 09 05 AURORA at 12 14 05_Power Costs - Comparison bx Rbtl-Staff-Jt-PC_Electric Rev Req Model (2009 GRC) Revised 01-18-2010 5 2" xfId="29370"/>
    <cellStyle name="_Value Copy 11 30 05 gas 12 09 05 AURORA at 12 14 05_Power Costs - Comparison bx Rbtl-Staff-Jt-PC_Electric Rev Req Model (2009 GRC) Revised 01-18-2010 6" xfId="29371"/>
    <cellStyle name="_Value Copy 11 30 05 gas 12 09 05 AURORA at 12 14 05_Power Costs - Comparison bx Rbtl-Staff-Jt-PC_Electric Rev Req Model (2009 GRC) Revised 01-18-2010 6 2" xfId="29372"/>
    <cellStyle name="_Value Copy 11 30 05 gas 12 09 05 AURORA at 12 14 05_Power Costs - Comparison bx Rbtl-Staff-Jt-PC_Electric Rev Req Model (2009 GRC) Revised 01-18-2010 7" xfId="8359"/>
    <cellStyle name="_Value Copy 11 30 05 gas 12 09 05 AURORA at 12 14 05_Power Costs - Comparison bx Rbtl-Staff-Jt-PC_Electric Rev Req Model (2009 GRC) Revised 01-18-2010_DEM-WP(C) ENERG10C--ctn Mid-C_042010 2010GRC" xfId="13096"/>
    <cellStyle name="_Value Copy 11 30 05 gas 12 09 05 AURORA at 12 14 05_Power Costs - Comparison bx Rbtl-Staff-Jt-PC_Electric Rev Req Model (2009 GRC) Revised 01-18-2010_DEM-WP(C) ENERG10C--ctn Mid-C_042010 2010GRC 2" xfId="41851"/>
    <cellStyle name="_Value Copy 11 30 05 gas 12 09 05 AURORA at 12 14 05_Power Costs - Comparison bx Rbtl-Staff-Jt-PC_Final Order Electric EXHIBIT A-1" xfId="2191"/>
    <cellStyle name="_Value Copy 11 30 05 gas 12 09 05 AURORA at 12 14 05_Power Costs - Comparison bx Rbtl-Staff-Jt-PC_Final Order Electric EXHIBIT A-1 2" xfId="5554"/>
    <cellStyle name="_Value Copy 11 30 05 gas 12 09 05 AURORA at 12 14 05_Power Costs - Comparison bx Rbtl-Staff-Jt-PC_Final Order Electric EXHIBIT A-1 2 2" xfId="8365"/>
    <cellStyle name="_Value Copy 11 30 05 gas 12 09 05 AURORA at 12 14 05_Power Costs - Comparison bx Rbtl-Staff-Jt-PC_Final Order Electric EXHIBIT A-1 2 2 2" xfId="21527"/>
    <cellStyle name="_Value Copy 11 30 05 gas 12 09 05 AURORA at 12 14 05_Power Costs - Comparison bx Rbtl-Staff-Jt-PC_Final Order Electric EXHIBIT A-1 2 3" xfId="18723"/>
    <cellStyle name="_Value Copy 11 30 05 gas 12 09 05 AURORA at 12 14 05_Power Costs - Comparison bx Rbtl-Staff-Jt-PC_Final Order Electric EXHIBIT A-1 2 4" xfId="8364"/>
    <cellStyle name="_Value Copy 11 30 05 gas 12 09 05 AURORA at 12 14 05_Power Costs - Comparison bx Rbtl-Staff-Jt-PC_Final Order Electric EXHIBIT A-1 3" xfId="8366"/>
    <cellStyle name="_Value Copy 11 30 05 gas 12 09 05 AURORA at 12 14 05_Power Costs - Comparison bx Rbtl-Staff-Jt-PC_Final Order Electric EXHIBIT A-1 3 2" xfId="21528"/>
    <cellStyle name="_Value Copy 11 30 05 gas 12 09 05 AURORA at 12 14 05_Power Costs - Comparison bx Rbtl-Staff-Jt-PC_Final Order Electric EXHIBIT A-1 3 2 2" xfId="29373"/>
    <cellStyle name="_Value Copy 11 30 05 gas 12 09 05 AURORA at 12 14 05_Power Costs - Comparison bx Rbtl-Staff-Jt-PC_Final Order Electric EXHIBIT A-1 3 3" xfId="29374"/>
    <cellStyle name="_Value Copy 11 30 05 gas 12 09 05 AURORA at 12 14 05_Power Costs - Comparison bx Rbtl-Staff-Jt-PC_Final Order Electric EXHIBIT A-1 4" xfId="17110"/>
    <cellStyle name="_Value Copy 11 30 05 gas 12 09 05 AURORA at 12 14 05_Power Costs - Comparison bx Rbtl-Staff-Jt-PC_Final Order Electric EXHIBIT A-1 4 2" xfId="29375"/>
    <cellStyle name="_Value Copy 11 30 05 gas 12 09 05 AURORA at 12 14 05_Power Costs - Comparison bx Rbtl-Staff-Jt-PC_Final Order Electric EXHIBIT A-1 5" xfId="29376"/>
    <cellStyle name="_Value Copy 11 30 05 gas 12 09 05 AURORA at 12 14 05_Power Costs - Comparison bx Rbtl-Staff-Jt-PC_Final Order Electric EXHIBIT A-1 6" xfId="29377"/>
    <cellStyle name="_Value Copy 11 30 05 gas 12 09 05 AURORA at 12 14 05_Power Costs - Comparison bx Rbtl-Staff-Jt-PC_Final Order Electric EXHIBIT A-1 7" xfId="8363"/>
    <cellStyle name="_Value Copy 11 30 05 gas 12 09 05 AURORA at 12 14 05_Production Adj 4.37" xfId="8367"/>
    <cellStyle name="_Value Copy 11 30 05 gas 12 09 05 AURORA at 12 14 05_Production Adj 4.37 2" xfId="8368"/>
    <cellStyle name="_Value Copy 11 30 05 gas 12 09 05 AURORA at 12 14 05_Production Adj 4.37 2 2" xfId="8369"/>
    <cellStyle name="_Value Copy 11 30 05 gas 12 09 05 AURORA at 12 14 05_Production Adj 4.37 2 2 2" xfId="21529"/>
    <cellStyle name="_Value Copy 11 30 05 gas 12 09 05 AURORA at 12 14 05_Production Adj 4.37 2 3" xfId="18725"/>
    <cellStyle name="_Value Copy 11 30 05 gas 12 09 05 AURORA at 12 14 05_Production Adj 4.37 3" xfId="8370"/>
    <cellStyle name="_Value Copy 11 30 05 gas 12 09 05 AURORA at 12 14 05_Production Adj 4.37 3 2" xfId="21530"/>
    <cellStyle name="_Value Copy 11 30 05 gas 12 09 05 AURORA at 12 14 05_Production Adj 4.37 4" xfId="18724"/>
    <cellStyle name="_Value Copy 11 30 05 gas 12 09 05 AURORA at 12 14 05_Purchased Power Adj 4.03" xfId="8371"/>
    <cellStyle name="_Value Copy 11 30 05 gas 12 09 05 AURORA at 12 14 05_Purchased Power Adj 4.03 2" xfId="8372"/>
    <cellStyle name="_Value Copy 11 30 05 gas 12 09 05 AURORA at 12 14 05_Purchased Power Adj 4.03 2 2" xfId="8373"/>
    <cellStyle name="_Value Copy 11 30 05 gas 12 09 05 AURORA at 12 14 05_Purchased Power Adj 4.03 2 2 2" xfId="21531"/>
    <cellStyle name="_Value Copy 11 30 05 gas 12 09 05 AURORA at 12 14 05_Purchased Power Adj 4.03 2 3" xfId="18727"/>
    <cellStyle name="_Value Copy 11 30 05 gas 12 09 05 AURORA at 12 14 05_Purchased Power Adj 4.03 3" xfId="8374"/>
    <cellStyle name="_Value Copy 11 30 05 gas 12 09 05 AURORA at 12 14 05_Purchased Power Adj 4.03 3 2" xfId="21532"/>
    <cellStyle name="_Value Copy 11 30 05 gas 12 09 05 AURORA at 12 14 05_Purchased Power Adj 4.03 4" xfId="18726"/>
    <cellStyle name="_Value Copy 11 30 05 gas 12 09 05 AURORA at 12 14 05_Rate Design Sch 24" xfId="8375"/>
    <cellStyle name="_Value Copy 11 30 05 gas 12 09 05 AURORA at 12 14 05_Rate Design Sch 24 2" xfId="8376"/>
    <cellStyle name="_Value Copy 11 30 05 gas 12 09 05 AURORA at 12 14 05_Rate Design Sch 24 2 2" xfId="21533"/>
    <cellStyle name="_Value Copy 11 30 05 gas 12 09 05 AURORA at 12 14 05_Rate Design Sch 24 3" xfId="18728"/>
    <cellStyle name="_Value Copy 11 30 05 gas 12 09 05 AURORA at 12 14 05_Rate Design Sch 25" xfId="8377"/>
    <cellStyle name="_Value Copy 11 30 05 gas 12 09 05 AURORA at 12 14 05_Rate Design Sch 25 2" xfId="8378"/>
    <cellStyle name="_Value Copy 11 30 05 gas 12 09 05 AURORA at 12 14 05_Rate Design Sch 25 2 2" xfId="8379"/>
    <cellStyle name="_Value Copy 11 30 05 gas 12 09 05 AURORA at 12 14 05_Rate Design Sch 25 2 2 2" xfId="21534"/>
    <cellStyle name="_Value Copy 11 30 05 gas 12 09 05 AURORA at 12 14 05_Rate Design Sch 25 2 3" xfId="18730"/>
    <cellStyle name="_Value Copy 11 30 05 gas 12 09 05 AURORA at 12 14 05_Rate Design Sch 25 3" xfId="8380"/>
    <cellStyle name="_Value Copy 11 30 05 gas 12 09 05 AURORA at 12 14 05_Rate Design Sch 25 3 2" xfId="21535"/>
    <cellStyle name="_Value Copy 11 30 05 gas 12 09 05 AURORA at 12 14 05_Rate Design Sch 25 4" xfId="18729"/>
    <cellStyle name="_Value Copy 11 30 05 gas 12 09 05 AURORA at 12 14 05_Rate Design Sch 26" xfId="8381"/>
    <cellStyle name="_Value Copy 11 30 05 gas 12 09 05 AURORA at 12 14 05_Rate Design Sch 26 2" xfId="8382"/>
    <cellStyle name="_Value Copy 11 30 05 gas 12 09 05 AURORA at 12 14 05_Rate Design Sch 26 2 2" xfId="8383"/>
    <cellStyle name="_Value Copy 11 30 05 gas 12 09 05 AURORA at 12 14 05_Rate Design Sch 26 2 2 2" xfId="21536"/>
    <cellStyle name="_Value Copy 11 30 05 gas 12 09 05 AURORA at 12 14 05_Rate Design Sch 26 2 3" xfId="18732"/>
    <cellStyle name="_Value Copy 11 30 05 gas 12 09 05 AURORA at 12 14 05_Rate Design Sch 26 3" xfId="8384"/>
    <cellStyle name="_Value Copy 11 30 05 gas 12 09 05 AURORA at 12 14 05_Rate Design Sch 26 3 2" xfId="21537"/>
    <cellStyle name="_Value Copy 11 30 05 gas 12 09 05 AURORA at 12 14 05_Rate Design Sch 26 4" xfId="18731"/>
    <cellStyle name="_Value Copy 11 30 05 gas 12 09 05 AURORA at 12 14 05_Rate Design Sch 31" xfId="8385"/>
    <cellStyle name="_Value Copy 11 30 05 gas 12 09 05 AURORA at 12 14 05_Rate Design Sch 31 2" xfId="8386"/>
    <cellStyle name="_Value Copy 11 30 05 gas 12 09 05 AURORA at 12 14 05_Rate Design Sch 31 2 2" xfId="8387"/>
    <cellStyle name="_Value Copy 11 30 05 gas 12 09 05 AURORA at 12 14 05_Rate Design Sch 31 2 2 2" xfId="21538"/>
    <cellStyle name="_Value Copy 11 30 05 gas 12 09 05 AURORA at 12 14 05_Rate Design Sch 31 2 3" xfId="18734"/>
    <cellStyle name="_Value Copy 11 30 05 gas 12 09 05 AURORA at 12 14 05_Rate Design Sch 31 3" xfId="8388"/>
    <cellStyle name="_Value Copy 11 30 05 gas 12 09 05 AURORA at 12 14 05_Rate Design Sch 31 3 2" xfId="21539"/>
    <cellStyle name="_Value Copy 11 30 05 gas 12 09 05 AURORA at 12 14 05_Rate Design Sch 31 4" xfId="18733"/>
    <cellStyle name="_Value Copy 11 30 05 gas 12 09 05 AURORA at 12 14 05_Rate Design Sch 43" xfId="8389"/>
    <cellStyle name="_Value Copy 11 30 05 gas 12 09 05 AURORA at 12 14 05_Rate Design Sch 43 2" xfId="8390"/>
    <cellStyle name="_Value Copy 11 30 05 gas 12 09 05 AURORA at 12 14 05_Rate Design Sch 43 2 2" xfId="8391"/>
    <cellStyle name="_Value Copy 11 30 05 gas 12 09 05 AURORA at 12 14 05_Rate Design Sch 43 2 2 2" xfId="21540"/>
    <cellStyle name="_Value Copy 11 30 05 gas 12 09 05 AURORA at 12 14 05_Rate Design Sch 43 2 3" xfId="18736"/>
    <cellStyle name="_Value Copy 11 30 05 gas 12 09 05 AURORA at 12 14 05_Rate Design Sch 43 3" xfId="8392"/>
    <cellStyle name="_Value Copy 11 30 05 gas 12 09 05 AURORA at 12 14 05_Rate Design Sch 43 3 2" xfId="21541"/>
    <cellStyle name="_Value Copy 11 30 05 gas 12 09 05 AURORA at 12 14 05_Rate Design Sch 43 4" xfId="18735"/>
    <cellStyle name="_Value Copy 11 30 05 gas 12 09 05 AURORA at 12 14 05_Rate Design Sch 448-449" xfId="8393"/>
    <cellStyle name="_Value Copy 11 30 05 gas 12 09 05 AURORA at 12 14 05_Rate Design Sch 448-449 2" xfId="8394"/>
    <cellStyle name="_Value Copy 11 30 05 gas 12 09 05 AURORA at 12 14 05_Rate Design Sch 448-449 2 2" xfId="21542"/>
    <cellStyle name="_Value Copy 11 30 05 gas 12 09 05 AURORA at 12 14 05_Rate Design Sch 448-449 3" xfId="18737"/>
    <cellStyle name="_Value Copy 11 30 05 gas 12 09 05 AURORA at 12 14 05_Rate Design Sch 46" xfId="8395"/>
    <cellStyle name="_Value Copy 11 30 05 gas 12 09 05 AURORA at 12 14 05_Rate Design Sch 46 2" xfId="8396"/>
    <cellStyle name="_Value Copy 11 30 05 gas 12 09 05 AURORA at 12 14 05_Rate Design Sch 46 2 2" xfId="8397"/>
    <cellStyle name="_Value Copy 11 30 05 gas 12 09 05 AURORA at 12 14 05_Rate Design Sch 46 2 2 2" xfId="21543"/>
    <cellStyle name="_Value Copy 11 30 05 gas 12 09 05 AURORA at 12 14 05_Rate Design Sch 46 2 3" xfId="18739"/>
    <cellStyle name="_Value Copy 11 30 05 gas 12 09 05 AURORA at 12 14 05_Rate Design Sch 46 3" xfId="8398"/>
    <cellStyle name="_Value Copy 11 30 05 gas 12 09 05 AURORA at 12 14 05_Rate Design Sch 46 3 2" xfId="21544"/>
    <cellStyle name="_Value Copy 11 30 05 gas 12 09 05 AURORA at 12 14 05_Rate Design Sch 46 4" xfId="18738"/>
    <cellStyle name="_Value Copy 11 30 05 gas 12 09 05 AURORA at 12 14 05_Rate Spread" xfId="8399"/>
    <cellStyle name="_Value Copy 11 30 05 gas 12 09 05 AURORA at 12 14 05_Rate Spread 2" xfId="8400"/>
    <cellStyle name="_Value Copy 11 30 05 gas 12 09 05 AURORA at 12 14 05_Rate Spread 2 2" xfId="8401"/>
    <cellStyle name="_Value Copy 11 30 05 gas 12 09 05 AURORA at 12 14 05_Rate Spread 2 2 2" xfId="21545"/>
    <cellStyle name="_Value Copy 11 30 05 gas 12 09 05 AURORA at 12 14 05_Rate Spread 2 3" xfId="18741"/>
    <cellStyle name="_Value Copy 11 30 05 gas 12 09 05 AURORA at 12 14 05_Rate Spread 3" xfId="8402"/>
    <cellStyle name="_Value Copy 11 30 05 gas 12 09 05 AURORA at 12 14 05_Rate Spread 3 2" xfId="21546"/>
    <cellStyle name="_Value Copy 11 30 05 gas 12 09 05 AURORA at 12 14 05_Rate Spread 4" xfId="18740"/>
    <cellStyle name="_Value Copy 11 30 05 gas 12 09 05 AURORA at 12 14 05_Rebuttal Power Costs" xfId="2192"/>
    <cellStyle name="_Value Copy 11 30 05 gas 12 09 05 AURORA at 12 14 05_Rebuttal Power Costs 2" xfId="2193"/>
    <cellStyle name="_Value Copy 11 30 05 gas 12 09 05 AURORA at 12 14 05_Rebuttal Power Costs 2 2" xfId="5556"/>
    <cellStyle name="_Value Copy 11 30 05 gas 12 09 05 AURORA at 12 14 05_Rebuttal Power Costs 2 2 2" xfId="21547"/>
    <cellStyle name="_Value Copy 11 30 05 gas 12 09 05 AURORA at 12 14 05_Rebuttal Power Costs 2 2 2 2" xfId="29378"/>
    <cellStyle name="_Value Copy 11 30 05 gas 12 09 05 AURORA at 12 14 05_Rebuttal Power Costs 2 2 3" xfId="8405"/>
    <cellStyle name="_Value Copy 11 30 05 gas 12 09 05 AURORA at 12 14 05_Rebuttal Power Costs 2 3" xfId="17112"/>
    <cellStyle name="_Value Copy 11 30 05 gas 12 09 05 AURORA at 12 14 05_Rebuttal Power Costs 2 3 2" xfId="29379"/>
    <cellStyle name="_Value Copy 11 30 05 gas 12 09 05 AURORA at 12 14 05_Rebuttal Power Costs 2 4" xfId="29380"/>
    <cellStyle name="_Value Copy 11 30 05 gas 12 09 05 AURORA at 12 14 05_Rebuttal Power Costs 2 4 2" xfId="29381"/>
    <cellStyle name="_Value Copy 11 30 05 gas 12 09 05 AURORA at 12 14 05_Rebuttal Power Costs 2 5" xfId="8404"/>
    <cellStyle name="_Value Copy 11 30 05 gas 12 09 05 AURORA at 12 14 05_Rebuttal Power Costs 3" xfId="5555"/>
    <cellStyle name="_Value Copy 11 30 05 gas 12 09 05 AURORA at 12 14 05_Rebuttal Power Costs 3 2" xfId="21548"/>
    <cellStyle name="_Value Copy 11 30 05 gas 12 09 05 AURORA at 12 14 05_Rebuttal Power Costs 3 2 2" xfId="29382"/>
    <cellStyle name="_Value Copy 11 30 05 gas 12 09 05 AURORA at 12 14 05_Rebuttal Power Costs 3 3" xfId="29383"/>
    <cellStyle name="_Value Copy 11 30 05 gas 12 09 05 AURORA at 12 14 05_Rebuttal Power Costs 3 4" xfId="8406"/>
    <cellStyle name="_Value Copy 11 30 05 gas 12 09 05 AURORA at 12 14 05_Rebuttal Power Costs 4" xfId="17111"/>
    <cellStyle name="_Value Copy 11 30 05 gas 12 09 05 AURORA at 12 14 05_Rebuttal Power Costs 4 2" xfId="29384"/>
    <cellStyle name="_Value Copy 11 30 05 gas 12 09 05 AURORA at 12 14 05_Rebuttal Power Costs 4 2 2" xfId="29385"/>
    <cellStyle name="_Value Copy 11 30 05 gas 12 09 05 AURORA at 12 14 05_Rebuttal Power Costs 4 3" xfId="29386"/>
    <cellStyle name="_Value Copy 11 30 05 gas 12 09 05 AURORA at 12 14 05_Rebuttal Power Costs 5" xfId="29387"/>
    <cellStyle name="_Value Copy 11 30 05 gas 12 09 05 AURORA at 12 14 05_Rebuttal Power Costs 5 2" xfId="29388"/>
    <cellStyle name="_Value Copy 11 30 05 gas 12 09 05 AURORA at 12 14 05_Rebuttal Power Costs 6" xfId="29389"/>
    <cellStyle name="_Value Copy 11 30 05 gas 12 09 05 AURORA at 12 14 05_Rebuttal Power Costs 6 2" xfId="29390"/>
    <cellStyle name="_Value Copy 11 30 05 gas 12 09 05 AURORA at 12 14 05_Rebuttal Power Costs 7" xfId="8403"/>
    <cellStyle name="_Value Copy 11 30 05 gas 12 09 05 AURORA at 12 14 05_Rebuttal Power Costs_Adj Bench DR 3 for Initial Briefs (Electric)" xfId="2194"/>
    <cellStyle name="_Value Copy 11 30 05 gas 12 09 05 AURORA at 12 14 05_Rebuttal Power Costs_Adj Bench DR 3 for Initial Briefs (Electric) 2" xfId="2195"/>
    <cellStyle name="_Value Copy 11 30 05 gas 12 09 05 AURORA at 12 14 05_Rebuttal Power Costs_Adj Bench DR 3 for Initial Briefs (Electric) 2 2" xfId="5558"/>
    <cellStyle name="_Value Copy 11 30 05 gas 12 09 05 AURORA at 12 14 05_Rebuttal Power Costs_Adj Bench DR 3 for Initial Briefs (Electric) 2 2 2" xfId="21549"/>
    <cellStyle name="_Value Copy 11 30 05 gas 12 09 05 AURORA at 12 14 05_Rebuttal Power Costs_Adj Bench DR 3 for Initial Briefs (Electric) 2 2 2 2" xfId="29391"/>
    <cellStyle name="_Value Copy 11 30 05 gas 12 09 05 AURORA at 12 14 05_Rebuttal Power Costs_Adj Bench DR 3 for Initial Briefs (Electric) 2 2 3" xfId="8409"/>
    <cellStyle name="_Value Copy 11 30 05 gas 12 09 05 AURORA at 12 14 05_Rebuttal Power Costs_Adj Bench DR 3 for Initial Briefs (Electric) 2 3" xfId="17114"/>
    <cellStyle name="_Value Copy 11 30 05 gas 12 09 05 AURORA at 12 14 05_Rebuttal Power Costs_Adj Bench DR 3 for Initial Briefs (Electric) 2 3 2" xfId="29392"/>
    <cellStyle name="_Value Copy 11 30 05 gas 12 09 05 AURORA at 12 14 05_Rebuttal Power Costs_Adj Bench DR 3 for Initial Briefs (Electric) 2 4" xfId="29393"/>
    <cellStyle name="_Value Copy 11 30 05 gas 12 09 05 AURORA at 12 14 05_Rebuttal Power Costs_Adj Bench DR 3 for Initial Briefs (Electric) 2 4 2" xfId="29394"/>
    <cellStyle name="_Value Copy 11 30 05 gas 12 09 05 AURORA at 12 14 05_Rebuttal Power Costs_Adj Bench DR 3 for Initial Briefs (Electric) 2 5" xfId="8408"/>
    <cellStyle name="_Value Copy 11 30 05 gas 12 09 05 AURORA at 12 14 05_Rebuttal Power Costs_Adj Bench DR 3 for Initial Briefs (Electric) 3" xfId="5557"/>
    <cellStyle name="_Value Copy 11 30 05 gas 12 09 05 AURORA at 12 14 05_Rebuttal Power Costs_Adj Bench DR 3 for Initial Briefs (Electric) 3 2" xfId="21550"/>
    <cellStyle name="_Value Copy 11 30 05 gas 12 09 05 AURORA at 12 14 05_Rebuttal Power Costs_Adj Bench DR 3 for Initial Briefs (Electric) 3 2 2" xfId="29395"/>
    <cellStyle name="_Value Copy 11 30 05 gas 12 09 05 AURORA at 12 14 05_Rebuttal Power Costs_Adj Bench DR 3 for Initial Briefs (Electric) 3 3" xfId="29396"/>
    <cellStyle name="_Value Copy 11 30 05 gas 12 09 05 AURORA at 12 14 05_Rebuttal Power Costs_Adj Bench DR 3 for Initial Briefs (Electric) 3 4" xfId="8410"/>
    <cellStyle name="_Value Copy 11 30 05 gas 12 09 05 AURORA at 12 14 05_Rebuttal Power Costs_Adj Bench DR 3 for Initial Briefs (Electric) 4" xfId="17113"/>
    <cellStyle name="_Value Copy 11 30 05 gas 12 09 05 AURORA at 12 14 05_Rebuttal Power Costs_Adj Bench DR 3 for Initial Briefs (Electric) 4 2" xfId="29397"/>
    <cellStyle name="_Value Copy 11 30 05 gas 12 09 05 AURORA at 12 14 05_Rebuttal Power Costs_Adj Bench DR 3 for Initial Briefs (Electric) 4 2 2" xfId="29398"/>
    <cellStyle name="_Value Copy 11 30 05 gas 12 09 05 AURORA at 12 14 05_Rebuttal Power Costs_Adj Bench DR 3 for Initial Briefs (Electric) 4 3" xfId="29399"/>
    <cellStyle name="_Value Copy 11 30 05 gas 12 09 05 AURORA at 12 14 05_Rebuttal Power Costs_Adj Bench DR 3 for Initial Briefs (Electric) 5" xfId="29400"/>
    <cellStyle name="_Value Copy 11 30 05 gas 12 09 05 AURORA at 12 14 05_Rebuttal Power Costs_Adj Bench DR 3 for Initial Briefs (Electric) 5 2" xfId="29401"/>
    <cellStyle name="_Value Copy 11 30 05 gas 12 09 05 AURORA at 12 14 05_Rebuttal Power Costs_Adj Bench DR 3 for Initial Briefs (Electric) 6" xfId="29402"/>
    <cellStyle name="_Value Copy 11 30 05 gas 12 09 05 AURORA at 12 14 05_Rebuttal Power Costs_Adj Bench DR 3 for Initial Briefs (Electric) 6 2" xfId="29403"/>
    <cellStyle name="_Value Copy 11 30 05 gas 12 09 05 AURORA at 12 14 05_Rebuttal Power Costs_Adj Bench DR 3 for Initial Briefs (Electric) 7" xfId="8407"/>
    <cellStyle name="_Value Copy 11 30 05 gas 12 09 05 AURORA at 12 14 05_Rebuttal Power Costs_Adj Bench DR 3 for Initial Briefs (Electric)_DEM-WP(C) ENERG10C--ctn Mid-C_042010 2010GRC" xfId="13097"/>
    <cellStyle name="_Value Copy 11 30 05 gas 12 09 05 AURORA at 12 14 05_Rebuttal Power Costs_Adj Bench DR 3 for Initial Briefs (Electric)_DEM-WP(C) ENERG10C--ctn Mid-C_042010 2010GRC 2" xfId="41852"/>
    <cellStyle name="_Value Copy 11 30 05 gas 12 09 05 AURORA at 12 14 05_Rebuttal Power Costs_DEM-WP(C) ENERG10C--ctn Mid-C_042010 2010GRC" xfId="13098"/>
    <cellStyle name="_Value Copy 11 30 05 gas 12 09 05 AURORA at 12 14 05_Rebuttal Power Costs_DEM-WP(C) ENERG10C--ctn Mid-C_042010 2010GRC 2" xfId="41853"/>
    <cellStyle name="_Value Copy 11 30 05 gas 12 09 05 AURORA at 12 14 05_Rebuttal Power Costs_Electric Rev Req Model (2009 GRC) Rebuttal" xfId="2196"/>
    <cellStyle name="_Value Copy 11 30 05 gas 12 09 05 AURORA at 12 14 05_Rebuttal Power Costs_Electric Rev Req Model (2009 GRC) Rebuttal 2" xfId="5559"/>
    <cellStyle name="_Value Copy 11 30 05 gas 12 09 05 AURORA at 12 14 05_Rebuttal Power Costs_Electric Rev Req Model (2009 GRC) Rebuttal 2 2" xfId="8413"/>
    <cellStyle name="_Value Copy 11 30 05 gas 12 09 05 AURORA at 12 14 05_Rebuttal Power Costs_Electric Rev Req Model (2009 GRC) Rebuttal 2 2 2" xfId="21551"/>
    <cellStyle name="_Value Copy 11 30 05 gas 12 09 05 AURORA at 12 14 05_Rebuttal Power Costs_Electric Rev Req Model (2009 GRC) Rebuttal 2 3" xfId="18742"/>
    <cellStyle name="_Value Copy 11 30 05 gas 12 09 05 AURORA at 12 14 05_Rebuttal Power Costs_Electric Rev Req Model (2009 GRC) Rebuttal 2 4" xfId="8412"/>
    <cellStyle name="_Value Copy 11 30 05 gas 12 09 05 AURORA at 12 14 05_Rebuttal Power Costs_Electric Rev Req Model (2009 GRC) Rebuttal 3" xfId="8414"/>
    <cellStyle name="_Value Copy 11 30 05 gas 12 09 05 AURORA at 12 14 05_Rebuttal Power Costs_Electric Rev Req Model (2009 GRC) Rebuttal 3 2" xfId="21552"/>
    <cellStyle name="_Value Copy 11 30 05 gas 12 09 05 AURORA at 12 14 05_Rebuttal Power Costs_Electric Rev Req Model (2009 GRC) Rebuttal 4" xfId="17115"/>
    <cellStyle name="_Value Copy 11 30 05 gas 12 09 05 AURORA at 12 14 05_Rebuttal Power Costs_Electric Rev Req Model (2009 GRC) Rebuttal 5" xfId="8411"/>
    <cellStyle name="_Value Copy 11 30 05 gas 12 09 05 AURORA at 12 14 05_Rebuttal Power Costs_Electric Rev Req Model (2009 GRC) Rebuttal REmoval of New  WH Solar AdjustMI" xfId="2197"/>
    <cellStyle name="_Value Copy 11 30 05 gas 12 09 05 AURORA at 12 14 05_Rebuttal Power Costs_Electric Rev Req Model (2009 GRC) Rebuttal REmoval of New  WH Solar AdjustMI 2" xfId="2198"/>
    <cellStyle name="_Value Copy 11 30 05 gas 12 09 05 AURORA at 12 14 05_Rebuttal Power Costs_Electric Rev Req Model (2009 GRC) Rebuttal REmoval of New  WH Solar AdjustMI 2 2" xfId="5561"/>
    <cellStyle name="_Value Copy 11 30 05 gas 12 09 05 AURORA at 12 14 05_Rebuttal Power Costs_Electric Rev Req Model (2009 GRC) Rebuttal REmoval of New  WH Solar AdjustMI 2 2 2" xfId="21553"/>
    <cellStyle name="_Value Copy 11 30 05 gas 12 09 05 AURORA at 12 14 05_Rebuttal Power Costs_Electric Rev Req Model (2009 GRC) Rebuttal REmoval of New  WH Solar AdjustMI 2 2 2 2" xfId="29404"/>
    <cellStyle name="_Value Copy 11 30 05 gas 12 09 05 AURORA at 12 14 05_Rebuttal Power Costs_Electric Rev Req Model (2009 GRC) Rebuttal REmoval of New  WH Solar AdjustMI 2 2 3" xfId="8417"/>
    <cellStyle name="_Value Copy 11 30 05 gas 12 09 05 AURORA at 12 14 05_Rebuttal Power Costs_Electric Rev Req Model (2009 GRC) Rebuttal REmoval of New  WH Solar AdjustMI 2 3" xfId="17117"/>
    <cellStyle name="_Value Copy 11 30 05 gas 12 09 05 AURORA at 12 14 05_Rebuttal Power Costs_Electric Rev Req Model (2009 GRC) Rebuttal REmoval of New  WH Solar AdjustMI 2 3 2" xfId="29405"/>
    <cellStyle name="_Value Copy 11 30 05 gas 12 09 05 AURORA at 12 14 05_Rebuttal Power Costs_Electric Rev Req Model (2009 GRC) Rebuttal REmoval of New  WH Solar AdjustMI 2 4" xfId="29406"/>
    <cellStyle name="_Value Copy 11 30 05 gas 12 09 05 AURORA at 12 14 05_Rebuttal Power Costs_Electric Rev Req Model (2009 GRC) Rebuttal REmoval of New  WH Solar AdjustMI 2 4 2" xfId="29407"/>
    <cellStyle name="_Value Copy 11 30 05 gas 12 09 05 AURORA at 12 14 05_Rebuttal Power Costs_Electric Rev Req Model (2009 GRC) Rebuttal REmoval of New  WH Solar AdjustMI 2 5" xfId="8416"/>
    <cellStyle name="_Value Copy 11 30 05 gas 12 09 05 AURORA at 12 14 05_Rebuttal Power Costs_Electric Rev Req Model (2009 GRC) Rebuttal REmoval of New  WH Solar AdjustMI 3" xfId="5560"/>
    <cellStyle name="_Value Copy 11 30 05 gas 12 09 05 AURORA at 12 14 05_Rebuttal Power Costs_Electric Rev Req Model (2009 GRC) Rebuttal REmoval of New  WH Solar AdjustMI 3 2" xfId="21554"/>
    <cellStyle name="_Value Copy 11 30 05 gas 12 09 05 AURORA at 12 14 05_Rebuttal Power Costs_Electric Rev Req Model (2009 GRC) Rebuttal REmoval of New  WH Solar AdjustMI 3 2 2" xfId="29408"/>
    <cellStyle name="_Value Copy 11 30 05 gas 12 09 05 AURORA at 12 14 05_Rebuttal Power Costs_Electric Rev Req Model (2009 GRC) Rebuttal REmoval of New  WH Solar AdjustMI 3 3" xfId="29409"/>
    <cellStyle name="_Value Copy 11 30 05 gas 12 09 05 AURORA at 12 14 05_Rebuttal Power Costs_Electric Rev Req Model (2009 GRC) Rebuttal REmoval of New  WH Solar AdjustMI 3 4" xfId="8418"/>
    <cellStyle name="_Value Copy 11 30 05 gas 12 09 05 AURORA at 12 14 05_Rebuttal Power Costs_Electric Rev Req Model (2009 GRC) Rebuttal REmoval of New  WH Solar AdjustMI 4" xfId="17116"/>
    <cellStyle name="_Value Copy 11 30 05 gas 12 09 05 AURORA at 12 14 05_Rebuttal Power Costs_Electric Rev Req Model (2009 GRC) Rebuttal REmoval of New  WH Solar AdjustMI 4 2" xfId="29410"/>
    <cellStyle name="_Value Copy 11 30 05 gas 12 09 05 AURORA at 12 14 05_Rebuttal Power Costs_Electric Rev Req Model (2009 GRC) Rebuttal REmoval of New  WH Solar AdjustMI 4 2 2" xfId="29411"/>
    <cellStyle name="_Value Copy 11 30 05 gas 12 09 05 AURORA at 12 14 05_Rebuttal Power Costs_Electric Rev Req Model (2009 GRC) Rebuttal REmoval of New  WH Solar AdjustMI 4 3" xfId="29412"/>
    <cellStyle name="_Value Copy 11 30 05 gas 12 09 05 AURORA at 12 14 05_Rebuttal Power Costs_Electric Rev Req Model (2009 GRC) Rebuttal REmoval of New  WH Solar AdjustMI 5" xfId="29413"/>
    <cellStyle name="_Value Copy 11 30 05 gas 12 09 05 AURORA at 12 14 05_Rebuttal Power Costs_Electric Rev Req Model (2009 GRC) Rebuttal REmoval of New  WH Solar AdjustMI 5 2" xfId="29414"/>
    <cellStyle name="_Value Copy 11 30 05 gas 12 09 05 AURORA at 12 14 05_Rebuttal Power Costs_Electric Rev Req Model (2009 GRC) Rebuttal REmoval of New  WH Solar AdjustMI 6" xfId="29415"/>
    <cellStyle name="_Value Copy 11 30 05 gas 12 09 05 AURORA at 12 14 05_Rebuttal Power Costs_Electric Rev Req Model (2009 GRC) Rebuttal REmoval of New  WH Solar AdjustMI 6 2" xfId="29416"/>
    <cellStyle name="_Value Copy 11 30 05 gas 12 09 05 AURORA at 12 14 05_Rebuttal Power Costs_Electric Rev Req Model (2009 GRC) Rebuttal REmoval of New  WH Solar AdjustMI 7" xfId="8415"/>
    <cellStyle name="_Value Copy 11 30 05 gas 12 09 05 AURORA at 12 14 05_Rebuttal Power Costs_Electric Rev Req Model (2009 GRC) Rebuttal REmoval of New  WH Solar AdjustMI_DEM-WP(C) ENERG10C--ctn Mid-C_042010 2010GRC" xfId="13099"/>
    <cellStyle name="_Value Copy 11 30 05 gas 12 09 05 AURORA at 12 14 05_Rebuttal Power Costs_Electric Rev Req Model (2009 GRC) Rebuttal REmoval of New  WH Solar AdjustMI_DEM-WP(C) ENERG10C--ctn Mid-C_042010 2010GRC 2" xfId="41854"/>
    <cellStyle name="_Value Copy 11 30 05 gas 12 09 05 AURORA at 12 14 05_Rebuttal Power Costs_Electric Rev Req Model (2009 GRC) Revised 01-18-2010" xfId="2199"/>
    <cellStyle name="_Value Copy 11 30 05 gas 12 09 05 AURORA at 12 14 05_Rebuttal Power Costs_Electric Rev Req Model (2009 GRC) Revised 01-18-2010 2" xfId="2200"/>
    <cellStyle name="_Value Copy 11 30 05 gas 12 09 05 AURORA at 12 14 05_Rebuttal Power Costs_Electric Rev Req Model (2009 GRC) Revised 01-18-2010 2 2" xfId="5563"/>
    <cellStyle name="_Value Copy 11 30 05 gas 12 09 05 AURORA at 12 14 05_Rebuttal Power Costs_Electric Rev Req Model (2009 GRC) Revised 01-18-2010 2 2 2" xfId="21555"/>
    <cellStyle name="_Value Copy 11 30 05 gas 12 09 05 AURORA at 12 14 05_Rebuttal Power Costs_Electric Rev Req Model (2009 GRC) Revised 01-18-2010 2 2 2 2" xfId="29417"/>
    <cellStyle name="_Value Copy 11 30 05 gas 12 09 05 AURORA at 12 14 05_Rebuttal Power Costs_Electric Rev Req Model (2009 GRC) Revised 01-18-2010 2 2 3" xfId="8421"/>
    <cellStyle name="_Value Copy 11 30 05 gas 12 09 05 AURORA at 12 14 05_Rebuttal Power Costs_Electric Rev Req Model (2009 GRC) Revised 01-18-2010 2 3" xfId="17119"/>
    <cellStyle name="_Value Copy 11 30 05 gas 12 09 05 AURORA at 12 14 05_Rebuttal Power Costs_Electric Rev Req Model (2009 GRC) Revised 01-18-2010 2 3 2" xfId="29418"/>
    <cellStyle name="_Value Copy 11 30 05 gas 12 09 05 AURORA at 12 14 05_Rebuttal Power Costs_Electric Rev Req Model (2009 GRC) Revised 01-18-2010 2 4" xfId="29419"/>
    <cellStyle name="_Value Copy 11 30 05 gas 12 09 05 AURORA at 12 14 05_Rebuttal Power Costs_Electric Rev Req Model (2009 GRC) Revised 01-18-2010 2 4 2" xfId="29420"/>
    <cellStyle name="_Value Copy 11 30 05 gas 12 09 05 AURORA at 12 14 05_Rebuttal Power Costs_Electric Rev Req Model (2009 GRC) Revised 01-18-2010 2 5" xfId="8420"/>
    <cellStyle name="_Value Copy 11 30 05 gas 12 09 05 AURORA at 12 14 05_Rebuttal Power Costs_Electric Rev Req Model (2009 GRC) Revised 01-18-2010 3" xfId="5562"/>
    <cellStyle name="_Value Copy 11 30 05 gas 12 09 05 AURORA at 12 14 05_Rebuttal Power Costs_Electric Rev Req Model (2009 GRC) Revised 01-18-2010 3 2" xfId="21556"/>
    <cellStyle name="_Value Copy 11 30 05 gas 12 09 05 AURORA at 12 14 05_Rebuttal Power Costs_Electric Rev Req Model (2009 GRC) Revised 01-18-2010 3 2 2" xfId="29421"/>
    <cellStyle name="_Value Copy 11 30 05 gas 12 09 05 AURORA at 12 14 05_Rebuttal Power Costs_Electric Rev Req Model (2009 GRC) Revised 01-18-2010 3 3" xfId="29422"/>
    <cellStyle name="_Value Copy 11 30 05 gas 12 09 05 AURORA at 12 14 05_Rebuttal Power Costs_Electric Rev Req Model (2009 GRC) Revised 01-18-2010 3 4" xfId="8422"/>
    <cellStyle name="_Value Copy 11 30 05 gas 12 09 05 AURORA at 12 14 05_Rebuttal Power Costs_Electric Rev Req Model (2009 GRC) Revised 01-18-2010 4" xfId="17118"/>
    <cellStyle name="_Value Copy 11 30 05 gas 12 09 05 AURORA at 12 14 05_Rebuttal Power Costs_Electric Rev Req Model (2009 GRC) Revised 01-18-2010 4 2" xfId="29423"/>
    <cellStyle name="_Value Copy 11 30 05 gas 12 09 05 AURORA at 12 14 05_Rebuttal Power Costs_Electric Rev Req Model (2009 GRC) Revised 01-18-2010 4 2 2" xfId="29424"/>
    <cellStyle name="_Value Copy 11 30 05 gas 12 09 05 AURORA at 12 14 05_Rebuttal Power Costs_Electric Rev Req Model (2009 GRC) Revised 01-18-2010 4 3" xfId="29425"/>
    <cellStyle name="_Value Copy 11 30 05 gas 12 09 05 AURORA at 12 14 05_Rebuttal Power Costs_Electric Rev Req Model (2009 GRC) Revised 01-18-2010 5" xfId="29426"/>
    <cellStyle name="_Value Copy 11 30 05 gas 12 09 05 AURORA at 12 14 05_Rebuttal Power Costs_Electric Rev Req Model (2009 GRC) Revised 01-18-2010 5 2" xfId="29427"/>
    <cellStyle name="_Value Copy 11 30 05 gas 12 09 05 AURORA at 12 14 05_Rebuttal Power Costs_Electric Rev Req Model (2009 GRC) Revised 01-18-2010 6" xfId="29428"/>
    <cellStyle name="_Value Copy 11 30 05 gas 12 09 05 AURORA at 12 14 05_Rebuttal Power Costs_Electric Rev Req Model (2009 GRC) Revised 01-18-2010 6 2" xfId="29429"/>
    <cellStyle name="_Value Copy 11 30 05 gas 12 09 05 AURORA at 12 14 05_Rebuttal Power Costs_Electric Rev Req Model (2009 GRC) Revised 01-18-2010 7" xfId="8419"/>
    <cellStyle name="_Value Copy 11 30 05 gas 12 09 05 AURORA at 12 14 05_Rebuttal Power Costs_Electric Rev Req Model (2009 GRC) Revised 01-18-2010_DEM-WP(C) ENERG10C--ctn Mid-C_042010 2010GRC" xfId="13100"/>
    <cellStyle name="_Value Copy 11 30 05 gas 12 09 05 AURORA at 12 14 05_Rebuttal Power Costs_Electric Rev Req Model (2009 GRC) Revised 01-18-2010_DEM-WP(C) ENERG10C--ctn Mid-C_042010 2010GRC 2" xfId="41855"/>
    <cellStyle name="_Value Copy 11 30 05 gas 12 09 05 AURORA at 12 14 05_Rebuttal Power Costs_Final Order Electric EXHIBIT A-1" xfId="2201"/>
    <cellStyle name="_Value Copy 11 30 05 gas 12 09 05 AURORA at 12 14 05_Rebuttal Power Costs_Final Order Electric EXHIBIT A-1 2" xfId="5564"/>
    <cellStyle name="_Value Copy 11 30 05 gas 12 09 05 AURORA at 12 14 05_Rebuttal Power Costs_Final Order Electric EXHIBIT A-1 2 2" xfId="8425"/>
    <cellStyle name="_Value Copy 11 30 05 gas 12 09 05 AURORA at 12 14 05_Rebuttal Power Costs_Final Order Electric EXHIBIT A-1 2 2 2" xfId="21557"/>
    <cellStyle name="_Value Copy 11 30 05 gas 12 09 05 AURORA at 12 14 05_Rebuttal Power Costs_Final Order Electric EXHIBIT A-1 2 3" xfId="18743"/>
    <cellStyle name="_Value Copy 11 30 05 gas 12 09 05 AURORA at 12 14 05_Rebuttal Power Costs_Final Order Electric EXHIBIT A-1 2 4" xfId="8424"/>
    <cellStyle name="_Value Copy 11 30 05 gas 12 09 05 AURORA at 12 14 05_Rebuttal Power Costs_Final Order Electric EXHIBIT A-1 3" xfId="8426"/>
    <cellStyle name="_Value Copy 11 30 05 gas 12 09 05 AURORA at 12 14 05_Rebuttal Power Costs_Final Order Electric EXHIBIT A-1 3 2" xfId="21558"/>
    <cellStyle name="_Value Copy 11 30 05 gas 12 09 05 AURORA at 12 14 05_Rebuttal Power Costs_Final Order Electric EXHIBIT A-1 3 2 2" xfId="29430"/>
    <cellStyle name="_Value Copy 11 30 05 gas 12 09 05 AURORA at 12 14 05_Rebuttal Power Costs_Final Order Electric EXHIBIT A-1 3 3" xfId="29431"/>
    <cellStyle name="_Value Copy 11 30 05 gas 12 09 05 AURORA at 12 14 05_Rebuttal Power Costs_Final Order Electric EXHIBIT A-1 4" xfId="17120"/>
    <cellStyle name="_Value Copy 11 30 05 gas 12 09 05 AURORA at 12 14 05_Rebuttal Power Costs_Final Order Electric EXHIBIT A-1 4 2" xfId="29432"/>
    <cellStyle name="_Value Copy 11 30 05 gas 12 09 05 AURORA at 12 14 05_Rebuttal Power Costs_Final Order Electric EXHIBIT A-1 5" xfId="29433"/>
    <cellStyle name="_Value Copy 11 30 05 gas 12 09 05 AURORA at 12 14 05_Rebuttal Power Costs_Final Order Electric EXHIBIT A-1 6" xfId="29434"/>
    <cellStyle name="_Value Copy 11 30 05 gas 12 09 05 AURORA at 12 14 05_Rebuttal Power Costs_Final Order Electric EXHIBIT A-1 7" xfId="8423"/>
    <cellStyle name="_Value Copy 11 30 05 gas 12 09 05 AURORA at 12 14 05_ROR 5.02" xfId="8427"/>
    <cellStyle name="_Value Copy 11 30 05 gas 12 09 05 AURORA at 12 14 05_ROR 5.02 2" xfId="8428"/>
    <cellStyle name="_Value Copy 11 30 05 gas 12 09 05 AURORA at 12 14 05_ROR 5.02 2 2" xfId="8429"/>
    <cellStyle name="_Value Copy 11 30 05 gas 12 09 05 AURORA at 12 14 05_ROR 5.02 2 2 2" xfId="21559"/>
    <cellStyle name="_Value Copy 11 30 05 gas 12 09 05 AURORA at 12 14 05_ROR 5.02 2 3" xfId="18745"/>
    <cellStyle name="_Value Copy 11 30 05 gas 12 09 05 AURORA at 12 14 05_ROR 5.02 3" xfId="8430"/>
    <cellStyle name="_Value Copy 11 30 05 gas 12 09 05 AURORA at 12 14 05_ROR 5.02 3 2" xfId="21560"/>
    <cellStyle name="_Value Copy 11 30 05 gas 12 09 05 AURORA at 12 14 05_ROR 5.02 4" xfId="18744"/>
    <cellStyle name="_Value Copy 11 30 05 gas 12 09 05 AURORA at 12 14 05_Sch 40 Feeder OH 2008" xfId="8431"/>
    <cellStyle name="_Value Copy 11 30 05 gas 12 09 05 AURORA at 12 14 05_Sch 40 Feeder OH 2008 2" xfId="8432"/>
    <cellStyle name="_Value Copy 11 30 05 gas 12 09 05 AURORA at 12 14 05_Sch 40 Feeder OH 2008 2 2" xfId="8433"/>
    <cellStyle name="_Value Copy 11 30 05 gas 12 09 05 AURORA at 12 14 05_Sch 40 Feeder OH 2008 2 2 2" xfId="21561"/>
    <cellStyle name="_Value Copy 11 30 05 gas 12 09 05 AURORA at 12 14 05_Sch 40 Feeder OH 2008 2 3" xfId="18747"/>
    <cellStyle name="_Value Copy 11 30 05 gas 12 09 05 AURORA at 12 14 05_Sch 40 Feeder OH 2008 3" xfId="8434"/>
    <cellStyle name="_Value Copy 11 30 05 gas 12 09 05 AURORA at 12 14 05_Sch 40 Feeder OH 2008 3 2" xfId="21562"/>
    <cellStyle name="_Value Copy 11 30 05 gas 12 09 05 AURORA at 12 14 05_Sch 40 Feeder OH 2008 4" xfId="18746"/>
    <cellStyle name="_Value Copy 11 30 05 gas 12 09 05 AURORA at 12 14 05_Sch 40 Interim Energy Rates " xfId="8435"/>
    <cellStyle name="_Value Copy 11 30 05 gas 12 09 05 AURORA at 12 14 05_Sch 40 Interim Energy Rates  2" xfId="8436"/>
    <cellStyle name="_Value Copy 11 30 05 gas 12 09 05 AURORA at 12 14 05_Sch 40 Interim Energy Rates  2 2" xfId="8437"/>
    <cellStyle name="_Value Copy 11 30 05 gas 12 09 05 AURORA at 12 14 05_Sch 40 Interim Energy Rates  2 2 2" xfId="21563"/>
    <cellStyle name="_Value Copy 11 30 05 gas 12 09 05 AURORA at 12 14 05_Sch 40 Interim Energy Rates  2 3" xfId="18749"/>
    <cellStyle name="_Value Copy 11 30 05 gas 12 09 05 AURORA at 12 14 05_Sch 40 Interim Energy Rates  3" xfId="8438"/>
    <cellStyle name="_Value Copy 11 30 05 gas 12 09 05 AURORA at 12 14 05_Sch 40 Interim Energy Rates  3 2" xfId="21564"/>
    <cellStyle name="_Value Copy 11 30 05 gas 12 09 05 AURORA at 12 14 05_Sch 40 Interim Energy Rates  4" xfId="18748"/>
    <cellStyle name="_Value Copy 11 30 05 gas 12 09 05 AURORA at 12 14 05_Sch 40 Substation A&amp;G 2008" xfId="8439"/>
    <cellStyle name="_Value Copy 11 30 05 gas 12 09 05 AURORA at 12 14 05_Sch 40 Substation A&amp;G 2008 2" xfId="8440"/>
    <cellStyle name="_Value Copy 11 30 05 gas 12 09 05 AURORA at 12 14 05_Sch 40 Substation A&amp;G 2008 2 2" xfId="8441"/>
    <cellStyle name="_Value Copy 11 30 05 gas 12 09 05 AURORA at 12 14 05_Sch 40 Substation A&amp;G 2008 2 2 2" xfId="21565"/>
    <cellStyle name="_Value Copy 11 30 05 gas 12 09 05 AURORA at 12 14 05_Sch 40 Substation A&amp;G 2008 2 3" xfId="18751"/>
    <cellStyle name="_Value Copy 11 30 05 gas 12 09 05 AURORA at 12 14 05_Sch 40 Substation A&amp;G 2008 3" xfId="8442"/>
    <cellStyle name="_Value Copy 11 30 05 gas 12 09 05 AURORA at 12 14 05_Sch 40 Substation A&amp;G 2008 3 2" xfId="21566"/>
    <cellStyle name="_Value Copy 11 30 05 gas 12 09 05 AURORA at 12 14 05_Sch 40 Substation A&amp;G 2008 4" xfId="18750"/>
    <cellStyle name="_Value Copy 11 30 05 gas 12 09 05 AURORA at 12 14 05_Sch 40 Substation O&amp;M 2008" xfId="8443"/>
    <cellStyle name="_Value Copy 11 30 05 gas 12 09 05 AURORA at 12 14 05_Sch 40 Substation O&amp;M 2008 2" xfId="8444"/>
    <cellStyle name="_Value Copy 11 30 05 gas 12 09 05 AURORA at 12 14 05_Sch 40 Substation O&amp;M 2008 2 2" xfId="8445"/>
    <cellStyle name="_Value Copy 11 30 05 gas 12 09 05 AURORA at 12 14 05_Sch 40 Substation O&amp;M 2008 2 2 2" xfId="21567"/>
    <cellStyle name="_Value Copy 11 30 05 gas 12 09 05 AURORA at 12 14 05_Sch 40 Substation O&amp;M 2008 2 3" xfId="18753"/>
    <cellStyle name="_Value Copy 11 30 05 gas 12 09 05 AURORA at 12 14 05_Sch 40 Substation O&amp;M 2008 3" xfId="8446"/>
    <cellStyle name="_Value Copy 11 30 05 gas 12 09 05 AURORA at 12 14 05_Sch 40 Substation O&amp;M 2008 3 2" xfId="21568"/>
    <cellStyle name="_Value Copy 11 30 05 gas 12 09 05 AURORA at 12 14 05_Sch 40 Substation O&amp;M 2008 4" xfId="18752"/>
    <cellStyle name="_Value Copy 11 30 05 gas 12 09 05 AURORA at 12 14 05_Subs 2008" xfId="8447"/>
    <cellStyle name="_Value Copy 11 30 05 gas 12 09 05 AURORA at 12 14 05_Subs 2008 2" xfId="8448"/>
    <cellStyle name="_Value Copy 11 30 05 gas 12 09 05 AURORA at 12 14 05_Subs 2008 2 2" xfId="8449"/>
    <cellStyle name="_Value Copy 11 30 05 gas 12 09 05 AURORA at 12 14 05_Subs 2008 2 2 2" xfId="21569"/>
    <cellStyle name="_Value Copy 11 30 05 gas 12 09 05 AURORA at 12 14 05_Subs 2008 2 3" xfId="18755"/>
    <cellStyle name="_Value Copy 11 30 05 gas 12 09 05 AURORA at 12 14 05_Subs 2008 3" xfId="8450"/>
    <cellStyle name="_Value Copy 11 30 05 gas 12 09 05 AURORA at 12 14 05_Subs 2008 3 2" xfId="21570"/>
    <cellStyle name="_Value Copy 11 30 05 gas 12 09 05 AURORA at 12 14 05_Subs 2008 4" xfId="18754"/>
    <cellStyle name="_Value Copy 11 30 05 gas 12 09 05 AURORA at 12 14 05_Transmission Workbook for May BOD" xfId="2202"/>
    <cellStyle name="_Value Copy 11 30 05 gas 12 09 05 AURORA at 12 14 05_Transmission Workbook for May BOD 2" xfId="2203"/>
    <cellStyle name="_Value Copy 11 30 05 gas 12 09 05 AURORA at 12 14 05_Transmission Workbook for May BOD 2 2" xfId="5566"/>
    <cellStyle name="_Value Copy 11 30 05 gas 12 09 05 AURORA at 12 14 05_Transmission Workbook for May BOD 2 2 2" xfId="29435"/>
    <cellStyle name="_Value Copy 11 30 05 gas 12 09 05 AURORA at 12 14 05_Transmission Workbook for May BOD 2 2 2 2" xfId="29436"/>
    <cellStyle name="_Value Copy 11 30 05 gas 12 09 05 AURORA at 12 14 05_Transmission Workbook for May BOD 2 3" xfId="29437"/>
    <cellStyle name="_Value Copy 11 30 05 gas 12 09 05 AURORA at 12 14 05_Transmission Workbook for May BOD 2 3 2" xfId="29438"/>
    <cellStyle name="_Value Copy 11 30 05 gas 12 09 05 AURORA at 12 14 05_Transmission Workbook for May BOD 2 4" xfId="29439"/>
    <cellStyle name="_Value Copy 11 30 05 gas 12 09 05 AURORA at 12 14 05_Transmission Workbook for May BOD 2 4 2" xfId="29440"/>
    <cellStyle name="_Value Copy 11 30 05 gas 12 09 05 AURORA at 12 14 05_Transmission Workbook for May BOD 2 5" xfId="8452"/>
    <cellStyle name="_Value Copy 11 30 05 gas 12 09 05 AURORA at 12 14 05_Transmission Workbook for May BOD 3" xfId="5565"/>
    <cellStyle name="_Value Copy 11 30 05 gas 12 09 05 AURORA at 12 14 05_Transmission Workbook for May BOD 3 2" xfId="29441"/>
    <cellStyle name="_Value Copy 11 30 05 gas 12 09 05 AURORA at 12 14 05_Transmission Workbook for May BOD 3 2 2" xfId="29442"/>
    <cellStyle name="_Value Copy 11 30 05 gas 12 09 05 AURORA at 12 14 05_Transmission Workbook for May BOD 3 3" xfId="29443"/>
    <cellStyle name="_Value Copy 11 30 05 gas 12 09 05 AURORA at 12 14 05_Transmission Workbook for May BOD 4" xfId="29444"/>
    <cellStyle name="_Value Copy 11 30 05 gas 12 09 05 AURORA at 12 14 05_Transmission Workbook for May BOD 4 2" xfId="29445"/>
    <cellStyle name="_Value Copy 11 30 05 gas 12 09 05 AURORA at 12 14 05_Transmission Workbook for May BOD 4 2 2" xfId="29446"/>
    <cellStyle name="_Value Copy 11 30 05 gas 12 09 05 AURORA at 12 14 05_Transmission Workbook for May BOD 4 3" xfId="29447"/>
    <cellStyle name="_Value Copy 11 30 05 gas 12 09 05 AURORA at 12 14 05_Transmission Workbook for May BOD 5" xfId="29448"/>
    <cellStyle name="_Value Copy 11 30 05 gas 12 09 05 AURORA at 12 14 05_Transmission Workbook for May BOD 5 2" xfId="29449"/>
    <cellStyle name="_Value Copy 11 30 05 gas 12 09 05 AURORA at 12 14 05_Transmission Workbook for May BOD 6" xfId="29450"/>
    <cellStyle name="_Value Copy 11 30 05 gas 12 09 05 AURORA at 12 14 05_Transmission Workbook for May BOD 6 2" xfId="29451"/>
    <cellStyle name="_Value Copy 11 30 05 gas 12 09 05 AURORA at 12 14 05_Transmission Workbook for May BOD 7" xfId="8451"/>
    <cellStyle name="_Value Copy 11 30 05 gas 12 09 05 AURORA at 12 14 05_Transmission Workbook for May BOD_DEM-WP(C) ENERG10C--ctn Mid-C_042010 2010GRC" xfId="13101"/>
    <cellStyle name="_Value Copy 11 30 05 gas 12 09 05 AURORA at 12 14 05_Transmission Workbook for May BOD_DEM-WP(C) ENERG10C--ctn Mid-C_042010 2010GRC 2" xfId="41856"/>
    <cellStyle name="_Value Copy 11 30 05 gas 12 09 05 AURORA at 12 14 05_Wind Integration 10GRC" xfId="2204"/>
    <cellStyle name="_Value Copy 11 30 05 gas 12 09 05 AURORA at 12 14 05_Wind Integration 10GRC 2" xfId="2205"/>
    <cellStyle name="_Value Copy 11 30 05 gas 12 09 05 AURORA at 12 14 05_Wind Integration 10GRC 2 2" xfId="5568"/>
    <cellStyle name="_Value Copy 11 30 05 gas 12 09 05 AURORA at 12 14 05_Wind Integration 10GRC 2 2 2" xfId="29452"/>
    <cellStyle name="_Value Copy 11 30 05 gas 12 09 05 AURORA at 12 14 05_Wind Integration 10GRC 2 2 2 2" xfId="29453"/>
    <cellStyle name="_Value Copy 11 30 05 gas 12 09 05 AURORA at 12 14 05_Wind Integration 10GRC 2 3" xfId="29454"/>
    <cellStyle name="_Value Copy 11 30 05 gas 12 09 05 AURORA at 12 14 05_Wind Integration 10GRC 2 3 2" xfId="29455"/>
    <cellStyle name="_Value Copy 11 30 05 gas 12 09 05 AURORA at 12 14 05_Wind Integration 10GRC 2 4" xfId="29456"/>
    <cellStyle name="_Value Copy 11 30 05 gas 12 09 05 AURORA at 12 14 05_Wind Integration 10GRC 2 4 2" xfId="29457"/>
    <cellStyle name="_Value Copy 11 30 05 gas 12 09 05 AURORA at 12 14 05_Wind Integration 10GRC 2 5" xfId="8454"/>
    <cellStyle name="_Value Copy 11 30 05 gas 12 09 05 AURORA at 12 14 05_Wind Integration 10GRC 3" xfId="5567"/>
    <cellStyle name="_Value Copy 11 30 05 gas 12 09 05 AURORA at 12 14 05_Wind Integration 10GRC 3 2" xfId="29458"/>
    <cellStyle name="_Value Copy 11 30 05 gas 12 09 05 AURORA at 12 14 05_Wind Integration 10GRC 3 2 2" xfId="29459"/>
    <cellStyle name="_Value Copy 11 30 05 gas 12 09 05 AURORA at 12 14 05_Wind Integration 10GRC 3 3" xfId="29460"/>
    <cellStyle name="_Value Copy 11 30 05 gas 12 09 05 AURORA at 12 14 05_Wind Integration 10GRC 4" xfId="29461"/>
    <cellStyle name="_Value Copy 11 30 05 gas 12 09 05 AURORA at 12 14 05_Wind Integration 10GRC 4 2" xfId="29462"/>
    <cellStyle name="_Value Copy 11 30 05 gas 12 09 05 AURORA at 12 14 05_Wind Integration 10GRC 4 2 2" xfId="29463"/>
    <cellStyle name="_Value Copy 11 30 05 gas 12 09 05 AURORA at 12 14 05_Wind Integration 10GRC 4 3" xfId="29464"/>
    <cellStyle name="_Value Copy 11 30 05 gas 12 09 05 AURORA at 12 14 05_Wind Integration 10GRC 5" xfId="29465"/>
    <cellStyle name="_Value Copy 11 30 05 gas 12 09 05 AURORA at 12 14 05_Wind Integration 10GRC 5 2" xfId="29466"/>
    <cellStyle name="_Value Copy 11 30 05 gas 12 09 05 AURORA at 12 14 05_Wind Integration 10GRC 6" xfId="29467"/>
    <cellStyle name="_Value Copy 11 30 05 gas 12 09 05 AURORA at 12 14 05_Wind Integration 10GRC 6 2" xfId="29468"/>
    <cellStyle name="_Value Copy 11 30 05 gas 12 09 05 AURORA at 12 14 05_Wind Integration 10GRC 7" xfId="8453"/>
    <cellStyle name="_Value Copy 11 30 05 gas 12 09 05 AURORA at 12 14 05_Wind Integration 10GRC_DEM-WP(C) ENERG10C--ctn Mid-C_042010 2010GRC" xfId="13102"/>
    <cellStyle name="_Value Copy 11 30 05 gas 12 09 05 AURORA at 12 14 05_Wind Integration 10GRC_DEM-WP(C) ENERG10C--ctn Mid-C_042010 2010GRC 2" xfId="41857"/>
    <cellStyle name="_VC 2007GRC PC 10312007" xfId="2206"/>
    <cellStyle name="_VC 2007GRC PC 10312007 2" xfId="5569"/>
    <cellStyle name="_VC 2007GRC PC 10312007 2 2" xfId="29469"/>
    <cellStyle name="_VC 6.15.06 update on 06GRC power costs.xls Chart 1" xfId="2207"/>
    <cellStyle name="_VC 6.15.06 update on 06GRC power costs.xls Chart 1 10" xfId="29470"/>
    <cellStyle name="_VC 6.15.06 update on 06GRC power costs.xls Chart 1 10 2" xfId="29471"/>
    <cellStyle name="_VC 6.15.06 update on 06GRC power costs.xls Chart 1 11" xfId="29472"/>
    <cellStyle name="_VC 6.15.06 update on 06GRC power costs.xls Chart 1 11 2" xfId="29473"/>
    <cellStyle name="_VC 6.15.06 update on 06GRC power costs.xls Chart 1 11 3" xfId="29474"/>
    <cellStyle name="_VC 6.15.06 update on 06GRC power costs.xls Chart 1 12" xfId="8455"/>
    <cellStyle name="_VC 6.15.06 update on 06GRC power costs.xls Chart 1 2" xfId="2208"/>
    <cellStyle name="_VC 6.15.06 update on 06GRC power costs.xls Chart 1 2 2" xfId="2209"/>
    <cellStyle name="_VC 6.15.06 update on 06GRC power costs.xls Chart 1 2 2 2" xfId="5572"/>
    <cellStyle name="_VC 6.15.06 update on 06GRC power costs.xls Chart 1 2 2 2 2" xfId="21571"/>
    <cellStyle name="_VC 6.15.06 update on 06GRC power costs.xls Chart 1 2 2 2 2 2" xfId="29475"/>
    <cellStyle name="_VC 6.15.06 update on 06GRC power costs.xls Chart 1 2 2 2 3" xfId="8458"/>
    <cellStyle name="_VC 6.15.06 update on 06GRC power costs.xls Chart 1 2 2 3" xfId="17122"/>
    <cellStyle name="_VC 6.15.06 update on 06GRC power costs.xls Chart 1 2 2 3 2" xfId="29476"/>
    <cellStyle name="_VC 6.15.06 update on 06GRC power costs.xls Chart 1 2 2 4" xfId="29477"/>
    <cellStyle name="_VC 6.15.06 update on 06GRC power costs.xls Chart 1 2 2 4 2" xfId="29478"/>
    <cellStyle name="_VC 6.15.06 update on 06GRC power costs.xls Chart 1 2 2 5" xfId="8457"/>
    <cellStyle name="_VC 6.15.06 update on 06GRC power costs.xls Chart 1 2 3" xfId="5571"/>
    <cellStyle name="_VC 6.15.06 update on 06GRC power costs.xls Chart 1 2 3 2" xfId="21572"/>
    <cellStyle name="_VC 6.15.06 update on 06GRC power costs.xls Chart 1 2 3 2 2" xfId="29479"/>
    <cellStyle name="_VC 6.15.06 update on 06GRC power costs.xls Chart 1 2 3 3" xfId="29480"/>
    <cellStyle name="_VC 6.15.06 update on 06GRC power costs.xls Chart 1 2 3 4" xfId="8459"/>
    <cellStyle name="_VC 6.15.06 update on 06GRC power costs.xls Chart 1 2 4" xfId="17121"/>
    <cellStyle name="_VC 6.15.06 update on 06GRC power costs.xls Chart 1 2 4 2" xfId="29481"/>
    <cellStyle name="_VC 6.15.06 update on 06GRC power costs.xls Chart 1 2 4 2 2" xfId="29482"/>
    <cellStyle name="_VC 6.15.06 update on 06GRC power costs.xls Chart 1 2 4 3" xfId="29483"/>
    <cellStyle name="_VC 6.15.06 update on 06GRC power costs.xls Chart 1 2 5" xfId="29484"/>
    <cellStyle name="_VC 6.15.06 update on 06GRC power costs.xls Chart 1 2 5 2" xfId="29485"/>
    <cellStyle name="_VC 6.15.06 update on 06GRC power costs.xls Chart 1 2 6" xfId="29486"/>
    <cellStyle name="_VC 6.15.06 update on 06GRC power costs.xls Chart 1 2 6 2" xfId="29487"/>
    <cellStyle name="_VC 6.15.06 update on 06GRC power costs.xls Chart 1 2 7" xfId="8456"/>
    <cellStyle name="_VC 6.15.06 update on 06GRC power costs.xls Chart 1 3" xfId="2210"/>
    <cellStyle name="_VC 6.15.06 update on 06GRC power costs.xls Chart 1 3 2" xfId="5573"/>
    <cellStyle name="_VC 6.15.06 update on 06GRC power costs.xls Chart 1 3 2 2" xfId="8462"/>
    <cellStyle name="_VC 6.15.06 update on 06GRC power costs.xls Chart 1 3 2 2 2" xfId="21573"/>
    <cellStyle name="_VC 6.15.06 update on 06GRC power costs.xls Chart 1 3 2 3" xfId="18756"/>
    <cellStyle name="_VC 6.15.06 update on 06GRC power costs.xls Chart 1 3 2 4" xfId="8461"/>
    <cellStyle name="_VC 6.15.06 update on 06GRC power costs.xls Chart 1 3 3" xfId="8463"/>
    <cellStyle name="_VC 6.15.06 update on 06GRC power costs.xls Chart 1 3 3 2" xfId="8464"/>
    <cellStyle name="_VC 6.15.06 update on 06GRC power costs.xls Chart 1 3 3 2 2" xfId="21574"/>
    <cellStyle name="_VC 6.15.06 update on 06GRC power costs.xls Chart 1 3 3 3" xfId="18757"/>
    <cellStyle name="_VC 6.15.06 update on 06GRC power costs.xls Chart 1 3 4" xfId="8465"/>
    <cellStyle name="_VC 6.15.06 update on 06GRC power costs.xls Chart 1 3 4 2" xfId="8466"/>
    <cellStyle name="_VC 6.15.06 update on 06GRC power costs.xls Chart 1 3 4 2 2" xfId="21575"/>
    <cellStyle name="_VC 6.15.06 update on 06GRC power costs.xls Chart 1 3 4 3" xfId="18758"/>
    <cellStyle name="_VC 6.15.06 update on 06GRC power costs.xls Chart 1 3 5" xfId="17123"/>
    <cellStyle name="_VC 6.15.06 update on 06GRC power costs.xls Chart 1 3 5 2" xfId="29488"/>
    <cellStyle name="_VC 6.15.06 update on 06GRC power costs.xls Chart 1 3 6" xfId="8460"/>
    <cellStyle name="_VC 6.15.06 update on 06GRC power costs.xls Chart 1 4" xfId="2211"/>
    <cellStyle name="_VC 6.15.06 update on 06GRC power costs.xls Chart 1 4 2" xfId="2212"/>
    <cellStyle name="_VC 6.15.06 update on 06GRC power costs.xls Chart 1 4 2 2" xfId="5575"/>
    <cellStyle name="_VC 6.15.06 update on 06GRC power costs.xls Chart 1 4 2 2 2" xfId="29489"/>
    <cellStyle name="_VC 6.15.06 update on 06GRC power costs.xls Chart 1 4 2 2 2 2" xfId="29490"/>
    <cellStyle name="_VC 6.15.06 update on 06GRC power costs.xls Chart 1 4 2 3" xfId="29491"/>
    <cellStyle name="_VC 6.15.06 update on 06GRC power costs.xls Chart 1 4 2 3 2" xfId="29492"/>
    <cellStyle name="_VC 6.15.06 update on 06GRC power costs.xls Chart 1 4 2 4" xfId="29493"/>
    <cellStyle name="_VC 6.15.06 update on 06GRC power costs.xls Chart 1 4 2 4 2" xfId="29494"/>
    <cellStyle name="_VC 6.15.06 update on 06GRC power costs.xls Chart 1 4 2 5" xfId="8468"/>
    <cellStyle name="_VC 6.15.06 update on 06GRC power costs.xls Chart 1 4 3" xfId="5574"/>
    <cellStyle name="_VC 6.15.06 update on 06GRC power costs.xls Chart 1 4 3 2" xfId="29495"/>
    <cellStyle name="_VC 6.15.06 update on 06GRC power costs.xls Chart 1 4 3 2 2" xfId="29496"/>
    <cellStyle name="_VC 6.15.06 update on 06GRC power costs.xls Chart 1 4 3 3" xfId="29497"/>
    <cellStyle name="_VC 6.15.06 update on 06GRC power costs.xls Chart 1 4 4" xfId="29498"/>
    <cellStyle name="_VC 6.15.06 update on 06GRC power costs.xls Chart 1 4 4 2" xfId="29499"/>
    <cellStyle name="_VC 6.15.06 update on 06GRC power costs.xls Chart 1 4 4 2 2" xfId="29500"/>
    <cellStyle name="_VC 6.15.06 update on 06GRC power costs.xls Chart 1 4 4 3" xfId="29501"/>
    <cellStyle name="_VC 6.15.06 update on 06GRC power costs.xls Chart 1 4 5" xfId="29502"/>
    <cellStyle name="_VC 6.15.06 update on 06GRC power costs.xls Chart 1 4 5 2" xfId="29503"/>
    <cellStyle name="_VC 6.15.06 update on 06GRC power costs.xls Chart 1 4 6" xfId="29504"/>
    <cellStyle name="_VC 6.15.06 update on 06GRC power costs.xls Chart 1 4 6 2" xfId="29505"/>
    <cellStyle name="_VC 6.15.06 update on 06GRC power costs.xls Chart 1 4 7" xfId="8467"/>
    <cellStyle name="_VC 6.15.06 update on 06GRC power costs.xls Chart 1 5" xfId="5570"/>
    <cellStyle name="_VC 6.15.06 update on 06GRC power costs.xls Chart 1 5 2" xfId="21576"/>
    <cellStyle name="_VC 6.15.06 update on 06GRC power costs.xls Chart 1 5 2 2" xfId="29506"/>
    <cellStyle name="_VC 6.15.06 update on 06GRC power costs.xls Chart 1 5 2 2 2" xfId="29507"/>
    <cellStyle name="_VC 6.15.06 update on 06GRC power costs.xls Chart 1 5 2 2 2 2" xfId="29508"/>
    <cellStyle name="_VC 6.15.06 update on 06GRC power costs.xls Chart 1 5 2 3" xfId="29509"/>
    <cellStyle name="_VC 6.15.06 update on 06GRC power costs.xls Chart 1 5 2 3 2" xfId="29510"/>
    <cellStyle name="_VC 6.15.06 update on 06GRC power costs.xls Chart 1 5 2 4" xfId="29511"/>
    <cellStyle name="_VC 6.15.06 update on 06GRC power costs.xls Chart 1 5 2 4 2" xfId="29512"/>
    <cellStyle name="_VC 6.15.06 update on 06GRC power costs.xls Chart 1 5 2 5" xfId="29513"/>
    <cellStyle name="_VC 6.15.06 update on 06GRC power costs.xls Chart 1 5 3" xfId="29514"/>
    <cellStyle name="_VC 6.15.06 update on 06GRC power costs.xls Chart 1 5 3 2" xfId="29515"/>
    <cellStyle name="_VC 6.15.06 update on 06GRC power costs.xls Chart 1 5 3 2 2" xfId="29516"/>
    <cellStyle name="_VC 6.15.06 update on 06GRC power costs.xls Chart 1 5 4" xfId="29517"/>
    <cellStyle name="_VC 6.15.06 update on 06GRC power costs.xls Chart 1 5 4 2" xfId="29518"/>
    <cellStyle name="_VC 6.15.06 update on 06GRC power costs.xls Chart 1 5 5" xfId="29519"/>
    <cellStyle name="_VC 6.15.06 update on 06GRC power costs.xls Chart 1 5 5 2" xfId="29520"/>
    <cellStyle name="_VC 6.15.06 update on 06GRC power costs.xls Chart 1 5 6" xfId="8469"/>
    <cellStyle name="_VC 6.15.06 update on 06GRC power costs.xls Chart 1 6" xfId="8470"/>
    <cellStyle name="_VC 6.15.06 update on 06GRC power costs.xls Chart 1 6 2" xfId="13103"/>
    <cellStyle name="_VC 6.15.06 update on 06GRC power costs.xls Chart 1 6 2 2" xfId="29521"/>
    <cellStyle name="_VC 6.15.06 update on 06GRC power costs.xls Chart 1 6 2 2 2" xfId="29522"/>
    <cellStyle name="_VC 6.15.06 update on 06GRC power costs.xls Chart 1 6 3" xfId="29523"/>
    <cellStyle name="_VC 6.15.06 update on 06GRC power costs.xls Chart 1 6 3 2" xfId="29524"/>
    <cellStyle name="_VC 6.15.06 update on 06GRC power costs.xls Chart 1 6 4" xfId="29525"/>
    <cellStyle name="_VC 6.15.06 update on 06GRC power costs.xls Chart 1 6 4 2" xfId="29526"/>
    <cellStyle name="_VC 6.15.06 update on 06GRC power costs.xls Chart 1 7" xfId="13104"/>
    <cellStyle name="_VC 6.15.06 update on 06GRC power costs.xls Chart 1 7 2" xfId="13105"/>
    <cellStyle name="_VC 6.15.06 update on 06GRC power costs.xls Chart 1 7 2 2" xfId="29527"/>
    <cellStyle name="_VC 6.15.06 update on 06GRC power costs.xls Chart 1 7 3" xfId="41858"/>
    <cellStyle name="_VC 6.15.06 update on 06GRC power costs.xls Chart 1 8" xfId="29528"/>
    <cellStyle name="_VC 6.15.06 update on 06GRC power costs.xls Chart 1 8 2" xfId="29529"/>
    <cellStyle name="_VC 6.15.06 update on 06GRC power costs.xls Chart 1 8 2 2" xfId="29530"/>
    <cellStyle name="_VC 6.15.06 update on 06GRC power costs.xls Chart 1 8 3" xfId="29531"/>
    <cellStyle name="_VC 6.15.06 update on 06GRC power costs.xls Chart 1 9" xfId="29532"/>
    <cellStyle name="_VC 6.15.06 update on 06GRC power costs.xls Chart 1 9 2" xfId="29533"/>
    <cellStyle name="_VC 6.15.06 update on 06GRC power costs.xls Chart 1 9 2 2" xfId="29534"/>
    <cellStyle name="_VC 6.15.06 update on 06GRC power costs.xls Chart 1 9 2 2 2" xfId="29535"/>
    <cellStyle name="_VC 6.15.06 update on 06GRC power costs.xls Chart 1 9 2 3" xfId="29536"/>
    <cellStyle name="_VC 6.15.06 update on 06GRC power costs.xls Chart 1 9 3" xfId="29537"/>
    <cellStyle name="_VC 6.15.06 update on 06GRC power costs.xls Chart 1 9 3 2" xfId="29538"/>
    <cellStyle name="_VC 6.15.06 update on 06GRC power costs.xls Chart 1 9 4" xfId="29539"/>
    <cellStyle name="_VC 6.15.06 update on 06GRC power costs.xls Chart 1_04 07E Wild Horse Wind Expansion (C) (2)" xfId="2213"/>
    <cellStyle name="_VC 6.15.06 update on 06GRC power costs.xls Chart 1_04 07E Wild Horse Wind Expansion (C) (2) 2" xfId="2214"/>
    <cellStyle name="_VC 6.15.06 update on 06GRC power costs.xls Chart 1_04 07E Wild Horse Wind Expansion (C) (2) 2 2" xfId="5577"/>
    <cellStyle name="_VC 6.15.06 update on 06GRC power costs.xls Chart 1_04 07E Wild Horse Wind Expansion (C) (2) 2 2 2" xfId="21577"/>
    <cellStyle name="_VC 6.15.06 update on 06GRC power costs.xls Chart 1_04 07E Wild Horse Wind Expansion (C) (2) 2 2 2 2" xfId="29540"/>
    <cellStyle name="_VC 6.15.06 update on 06GRC power costs.xls Chart 1_04 07E Wild Horse Wind Expansion (C) (2) 2 2 3" xfId="8473"/>
    <cellStyle name="_VC 6.15.06 update on 06GRC power costs.xls Chart 1_04 07E Wild Horse Wind Expansion (C) (2) 2 3" xfId="17125"/>
    <cellStyle name="_VC 6.15.06 update on 06GRC power costs.xls Chart 1_04 07E Wild Horse Wind Expansion (C) (2) 2 3 2" xfId="29541"/>
    <cellStyle name="_VC 6.15.06 update on 06GRC power costs.xls Chart 1_04 07E Wild Horse Wind Expansion (C) (2) 2 4" xfId="29542"/>
    <cellStyle name="_VC 6.15.06 update on 06GRC power costs.xls Chart 1_04 07E Wild Horse Wind Expansion (C) (2) 2 4 2" xfId="29543"/>
    <cellStyle name="_VC 6.15.06 update on 06GRC power costs.xls Chart 1_04 07E Wild Horse Wind Expansion (C) (2) 2 5" xfId="8472"/>
    <cellStyle name="_VC 6.15.06 update on 06GRC power costs.xls Chart 1_04 07E Wild Horse Wind Expansion (C) (2) 3" xfId="5576"/>
    <cellStyle name="_VC 6.15.06 update on 06GRC power costs.xls Chart 1_04 07E Wild Horse Wind Expansion (C) (2) 3 2" xfId="21578"/>
    <cellStyle name="_VC 6.15.06 update on 06GRC power costs.xls Chart 1_04 07E Wild Horse Wind Expansion (C) (2) 3 2 2" xfId="29544"/>
    <cellStyle name="_VC 6.15.06 update on 06GRC power costs.xls Chart 1_04 07E Wild Horse Wind Expansion (C) (2) 3 3" xfId="29545"/>
    <cellStyle name="_VC 6.15.06 update on 06GRC power costs.xls Chart 1_04 07E Wild Horse Wind Expansion (C) (2) 3 4" xfId="8474"/>
    <cellStyle name="_VC 6.15.06 update on 06GRC power costs.xls Chart 1_04 07E Wild Horse Wind Expansion (C) (2) 4" xfId="17124"/>
    <cellStyle name="_VC 6.15.06 update on 06GRC power costs.xls Chart 1_04 07E Wild Horse Wind Expansion (C) (2) 4 2" xfId="29546"/>
    <cellStyle name="_VC 6.15.06 update on 06GRC power costs.xls Chart 1_04 07E Wild Horse Wind Expansion (C) (2) 4 2 2" xfId="29547"/>
    <cellStyle name="_VC 6.15.06 update on 06GRC power costs.xls Chart 1_04 07E Wild Horse Wind Expansion (C) (2) 4 3" xfId="29548"/>
    <cellStyle name="_VC 6.15.06 update on 06GRC power costs.xls Chart 1_04 07E Wild Horse Wind Expansion (C) (2) 5" xfId="29549"/>
    <cellStyle name="_VC 6.15.06 update on 06GRC power costs.xls Chart 1_04 07E Wild Horse Wind Expansion (C) (2) 5 2" xfId="29550"/>
    <cellStyle name="_VC 6.15.06 update on 06GRC power costs.xls Chart 1_04 07E Wild Horse Wind Expansion (C) (2) 6" xfId="29551"/>
    <cellStyle name="_VC 6.15.06 update on 06GRC power costs.xls Chart 1_04 07E Wild Horse Wind Expansion (C) (2) 6 2" xfId="29552"/>
    <cellStyle name="_VC 6.15.06 update on 06GRC power costs.xls Chart 1_04 07E Wild Horse Wind Expansion (C) (2) 7" xfId="8471"/>
    <cellStyle name="_VC 6.15.06 update on 06GRC power costs.xls Chart 1_04 07E Wild Horse Wind Expansion (C) (2)_Adj Bench DR 3 for Initial Briefs (Electric)" xfId="2215"/>
    <cellStyle name="_VC 6.15.06 update on 06GRC power costs.xls Chart 1_04 07E Wild Horse Wind Expansion (C) (2)_Adj Bench DR 3 for Initial Briefs (Electric) 2" xfId="2216"/>
    <cellStyle name="_VC 6.15.06 update on 06GRC power costs.xls Chart 1_04 07E Wild Horse Wind Expansion (C) (2)_Adj Bench DR 3 for Initial Briefs (Electric) 2 2" xfId="5579"/>
    <cellStyle name="_VC 6.15.06 update on 06GRC power costs.xls Chart 1_04 07E Wild Horse Wind Expansion (C) (2)_Adj Bench DR 3 for Initial Briefs (Electric) 2 2 2" xfId="21579"/>
    <cellStyle name="_VC 6.15.06 update on 06GRC power costs.xls Chart 1_04 07E Wild Horse Wind Expansion (C) (2)_Adj Bench DR 3 for Initial Briefs (Electric) 2 2 2 2" xfId="29553"/>
    <cellStyle name="_VC 6.15.06 update on 06GRC power costs.xls Chart 1_04 07E Wild Horse Wind Expansion (C) (2)_Adj Bench DR 3 for Initial Briefs (Electric) 2 2 3" xfId="8477"/>
    <cellStyle name="_VC 6.15.06 update on 06GRC power costs.xls Chart 1_04 07E Wild Horse Wind Expansion (C) (2)_Adj Bench DR 3 for Initial Briefs (Electric) 2 3" xfId="17127"/>
    <cellStyle name="_VC 6.15.06 update on 06GRC power costs.xls Chart 1_04 07E Wild Horse Wind Expansion (C) (2)_Adj Bench DR 3 for Initial Briefs (Electric) 2 3 2" xfId="29554"/>
    <cellStyle name="_VC 6.15.06 update on 06GRC power costs.xls Chart 1_04 07E Wild Horse Wind Expansion (C) (2)_Adj Bench DR 3 for Initial Briefs (Electric) 2 4" xfId="29555"/>
    <cellStyle name="_VC 6.15.06 update on 06GRC power costs.xls Chart 1_04 07E Wild Horse Wind Expansion (C) (2)_Adj Bench DR 3 for Initial Briefs (Electric) 2 4 2" xfId="29556"/>
    <cellStyle name="_VC 6.15.06 update on 06GRC power costs.xls Chart 1_04 07E Wild Horse Wind Expansion (C) (2)_Adj Bench DR 3 for Initial Briefs (Electric) 2 5" xfId="8476"/>
    <cellStyle name="_VC 6.15.06 update on 06GRC power costs.xls Chart 1_04 07E Wild Horse Wind Expansion (C) (2)_Adj Bench DR 3 for Initial Briefs (Electric) 3" xfId="5578"/>
    <cellStyle name="_VC 6.15.06 update on 06GRC power costs.xls Chart 1_04 07E Wild Horse Wind Expansion (C) (2)_Adj Bench DR 3 for Initial Briefs (Electric) 3 2" xfId="21580"/>
    <cellStyle name="_VC 6.15.06 update on 06GRC power costs.xls Chart 1_04 07E Wild Horse Wind Expansion (C) (2)_Adj Bench DR 3 for Initial Briefs (Electric) 3 2 2" xfId="29557"/>
    <cellStyle name="_VC 6.15.06 update on 06GRC power costs.xls Chart 1_04 07E Wild Horse Wind Expansion (C) (2)_Adj Bench DR 3 for Initial Briefs (Electric) 3 3" xfId="29558"/>
    <cellStyle name="_VC 6.15.06 update on 06GRC power costs.xls Chart 1_04 07E Wild Horse Wind Expansion (C) (2)_Adj Bench DR 3 for Initial Briefs (Electric) 3 4" xfId="8478"/>
    <cellStyle name="_VC 6.15.06 update on 06GRC power costs.xls Chart 1_04 07E Wild Horse Wind Expansion (C) (2)_Adj Bench DR 3 for Initial Briefs (Electric) 4" xfId="17126"/>
    <cellStyle name="_VC 6.15.06 update on 06GRC power costs.xls Chart 1_04 07E Wild Horse Wind Expansion (C) (2)_Adj Bench DR 3 for Initial Briefs (Electric) 4 2" xfId="29559"/>
    <cellStyle name="_VC 6.15.06 update on 06GRC power costs.xls Chart 1_04 07E Wild Horse Wind Expansion (C) (2)_Adj Bench DR 3 for Initial Briefs (Electric) 4 2 2" xfId="29560"/>
    <cellStyle name="_VC 6.15.06 update on 06GRC power costs.xls Chart 1_04 07E Wild Horse Wind Expansion (C) (2)_Adj Bench DR 3 for Initial Briefs (Electric) 4 3" xfId="29561"/>
    <cellStyle name="_VC 6.15.06 update on 06GRC power costs.xls Chart 1_04 07E Wild Horse Wind Expansion (C) (2)_Adj Bench DR 3 for Initial Briefs (Electric) 5" xfId="29562"/>
    <cellStyle name="_VC 6.15.06 update on 06GRC power costs.xls Chart 1_04 07E Wild Horse Wind Expansion (C) (2)_Adj Bench DR 3 for Initial Briefs (Electric) 5 2" xfId="29563"/>
    <cellStyle name="_VC 6.15.06 update on 06GRC power costs.xls Chart 1_04 07E Wild Horse Wind Expansion (C) (2)_Adj Bench DR 3 for Initial Briefs (Electric) 6" xfId="29564"/>
    <cellStyle name="_VC 6.15.06 update on 06GRC power costs.xls Chart 1_04 07E Wild Horse Wind Expansion (C) (2)_Adj Bench DR 3 for Initial Briefs (Electric) 6 2" xfId="29565"/>
    <cellStyle name="_VC 6.15.06 update on 06GRC power costs.xls Chart 1_04 07E Wild Horse Wind Expansion (C) (2)_Adj Bench DR 3 for Initial Briefs (Electric) 7" xfId="8475"/>
    <cellStyle name="_VC 6.15.06 update on 06GRC power costs.xls Chart 1_04 07E Wild Horse Wind Expansion (C) (2)_Adj Bench DR 3 for Initial Briefs (Electric)_DEM-WP(C) ENERG10C--ctn Mid-C_042010 2010GRC" xfId="13106"/>
    <cellStyle name="_VC 6.15.06 update on 06GRC power costs.xls Chart 1_04 07E Wild Horse Wind Expansion (C) (2)_Adj Bench DR 3 for Initial Briefs (Electric)_DEM-WP(C) ENERG10C--ctn Mid-C_042010 2010GRC 2" xfId="41859"/>
    <cellStyle name="_VC 6.15.06 update on 06GRC power costs.xls Chart 1_04 07E Wild Horse Wind Expansion (C) (2)_Book1" xfId="14290"/>
    <cellStyle name="_VC 6.15.06 update on 06GRC power costs.xls Chart 1_04 07E Wild Horse Wind Expansion (C) (2)_Book1 2" xfId="41860"/>
    <cellStyle name="_VC 6.15.06 update on 06GRC power costs.xls Chart 1_04 07E Wild Horse Wind Expansion (C) (2)_DEM-WP(C) ENERG10C--ctn Mid-C_042010 2010GRC" xfId="13107"/>
    <cellStyle name="_VC 6.15.06 update on 06GRC power costs.xls Chart 1_04 07E Wild Horse Wind Expansion (C) (2)_DEM-WP(C) ENERG10C--ctn Mid-C_042010 2010GRC 2" xfId="41861"/>
    <cellStyle name="_VC 6.15.06 update on 06GRC power costs.xls Chart 1_04 07E Wild Horse Wind Expansion (C) (2)_Electric Rev Req Model (2009 GRC) " xfId="2217"/>
    <cellStyle name="_VC 6.15.06 update on 06GRC power costs.xls Chart 1_04 07E Wild Horse Wind Expansion (C) (2)_Electric Rev Req Model (2009 GRC)  2" xfId="2218"/>
    <cellStyle name="_VC 6.15.06 update on 06GRC power costs.xls Chart 1_04 07E Wild Horse Wind Expansion (C) (2)_Electric Rev Req Model (2009 GRC)  2 2" xfId="5581"/>
    <cellStyle name="_VC 6.15.06 update on 06GRC power costs.xls Chart 1_04 07E Wild Horse Wind Expansion (C) (2)_Electric Rev Req Model (2009 GRC)  2 2 2" xfId="21581"/>
    <cellStyle name="_VC 6.15.06 update on 06GRC power costs.xls Chart 1_04 07E Wild Horse Wind Expansion (C) (2)_Electric Rev Req Model (2009 GRC)  2 2 2 2" xfId="29566"/>
    <cellStyle name="_VC 6.15.06 update on 06GRC power costs.xls Chart 1_04 07E Wild Horse Wind Expansion (C) (2)_Electric Rev Req Model (2009 GRC)  2 2 3" xfId="8481"/>
    <cellStyle name="_VC 6.15.06 update on 06GRC power costs.xls Chart 1_04 07E Wild Horse Wind Expansion (C) (2)_Electric Rev Req Model (2009 GRC)  2 3" xfId="17129"/>
    <cellStyle name="_VC 6.15.06 update on 06GRC power costs.xls Chart 1_04 07E Wild Horse Wind Expansion (C) (2)_Electric Rev Req Model (2009 GRC)  2 3 2" xfId="29567"/>
    <cellStyle name="_VC 6.15.06 update on 06GRC power costs.xls Chart 1_04 07E Wild Horse Wind Expansion (C) (2)_Electric Rev Req Model (2009 GRC)  2 4" xfId="29568"/>
    <cellStyle name="_VC 6.15.06 update on 06GRC power costs.xls Chart 1_04 07E Wild Horse Wind Expansion (C) (2)_Electric Rev Req Model (2009 GRC)  2 4 2" xfId="29569"/>
    <cellStyle name="_VC 6.15.06 update on 06GRC power costs.xls Chart 1_04 07E Wild Horse Wind Expansion (C) (2)_Electric Rev Req Model (2009 GRC)  2 5" xfId="8480"/>
    <cellStyle name="_VC 6.15.06 update on 06GRC power costs.xls Chart 1_04 07E Wild Horse Wind Expansion (C) (2)_Electric Rev Req Model (2009 GRC)  3" xfId="5580"/>
    <cellStyle name="_VC 6.15.06 update on 06GRC power costs.xls Chart 1_04 07E Wild Horse Wind Expansion (C) (2)_Electric Rev Req Model (2009 GRC)  3 2" xfId="21582"/>
    <cellStyle name="_VC 6.15.06 update on 06GRC power costs.xls Chart 1_04 07E Wild Horse Wind Expansion (C) (2)_Electric Rev Req Model (2009 GRC)  3 2 2" xfId="29570"/>
    <cellStyle name="_VC 6.15.06 update on 06GRC power costs.xls Chart 1_04 07E Wild Horse Wind Expansion (C) (2)_Electric Rev Req Model (2009 GRC)  3 3" xfId="29571"/>
    <cellStyle name="_VC 6.15.06 update on 06GRC power costs.xls Chart 1_04 07E Wild Horse Wind Expansion (C) (2)_Electric Rev Req Model (2009 GRC)  3 4" xfId="8482"/>
    <cellStyle name="_VC 6.15.06 update on 06GRC power costs.xls Chart 1_04 07E Wild Horse Wind Expansion (C) (2)_Electric Rev Req Model (2009 GRC)  4" xfId="17128"/>
    <cellStyle name="_VC 6.15.06 update on 06GRC power costs.xls Chart 1_04 07E Wild Horse Wind Expansion (C) (2)_Electric Rev Req Model (2009 GRC)  4 2" xfId="29572"/>
    <cellStyle name="_VC 6.15.06 update on 06GRC power costs.xls Chart 1_04 07E Wild Horse Wind Expansion (C) (2)_Electric Rev Req Model (2009 GRC)  4 2 2" xfId="29573"/>
    <cellStyle name="_VC 6.15.06 update on 06GRC power costs.xls Chart 1_04 07E Wild Horse Wind Expansion (C) (2)_Electric Rev Req Model (2009 GRC)  4 3" xfId="29574"/>
    <cellStyle name="_VC 6.15.06 update on 06GRC power costs.xls Chart 1_04 07E Wild Horse Wind Expansion (C) (2)_Electric Rev Req Model (2009 GRC)  5" xfId="29575"/>
    <cellStyle name="_VC 6.15.06 update on 06GRC power costs.xls Chart 1_04 07E Wild Horse Wind Expansion (C) (2)_Electric Rev Req Model (2009 GRC)  5 2" xfId="29576"/>
    <cellStyle name="_VC 6.15.06 update on 06GRC power costs.xls Chart 1_04 07E Wild Horse Wind Expansion (C) (2)_Electric Rev Req Model (2009 GRC)  6" xfId="29577"/>
    <cellStyle name="_VC 6.15.06 update on 06GRC power costs.xls Chart 1_04 07E Wild Horse Wind Expansion (C) (2)_Electric Rev Req Model (2009 GRC)  6 2" xfId="29578"/>
    <cellStyle name="_VC 6.15.06 update on 06GRC power costs.xls Chart 1_04 07E Wild Horse Wind Expansion (C) (2)_Electric Rev Req Model (2009 GRC)  7" xfId="8479"/>
    <cellStyle name="_VC 6.15.06 update on 06GRC power costs.xls Chart 1_04 07E Wild Horse Wind Expansion (C) (2)_Electric Rev Req Model (2009 GRC) _DEM-WP(C) ENERG10C--ctn Mid-C_042010 2010GRC" xfId="13108"/>
    <cellStyle name="_VC 6.15.06 update on 06GRC power costs.xls Chart 1_04 07E Wild Horse Wind Expansion (C) (2)_Electric Rev Req Model (2009 GRC) _DEM-WP(C) ENERG10C--ctn Mid-C_042010 2010GRC 2" xfId="41862"/>
    <cellStyle name="_VC 6.15.06 update on 06GRC power costs.xls Chart 1_04 07E Wild Horse Wind Expansion (C) (2)_Electric Rev Req Model (2009 GRC) Rebuttal" xfId="2219"/>
    <cellStyle name="_VC 6.15.06 update on 06GRC power costs.xls Chart 1_04 07E Wild Horse Wind Expansion (C) (2)_Electric Rev Req Model (2009 GRC) Rebuttal 2" xfId="5582"/>
    <cellStyle name="_VC 6.15.06 update on 06GRC power costs.xls Chart 1_04 07E Wild Horse Wind Expansion (C) (2)_Electric Rev Req Model (2009 GRC) Rebuttal 2 2" xfId="8485"/>
    <cellStyle name="_VC 6.15.06 update on 06GRC power costs.xls Chart 1_04 07E Wild Horse Wind Expansion (C) (2)_Electric Rev Req Model (2009 GRC) Rebuttal 2 2 2" xfId="21583"/>
    <cellStyle name="_VC 6.15.06 update on 06GRC power costs.xls Chart 1_04 07E Wild Horse Wind Expansion (C) (2)_Electric Rev Req Model (2009 GRC) Rebuttal 2 3" xfId="18759"/>
    <cellStyle name="_VC 6.15.06 update on 06GRC power costs.xls Chart 1_04 07E Wild Horse Wind Expansion (C) (2)_Electric Rev Req Model (2009 GRC) Rebuttal 2 4" xfId="8484"/>
    <cellStyle name="_VC 6.15.06 update on 06GRC power costs.xls Chart 1_04 07E Wild Horse Wind Expansion (C) (2)_Electric Rev Req Model (2009 GRC) Rebuttal 3" xfId="8486"/>
    <cellStyle name="_VC 6.15.06 update on 06GRC power costs.xls Chart 1_04 07E Wild Horse Wind Expansion (C) (2)_Electric Rev Req Model (2009 GRC) Rebuttal 3 2" xfId="21584"/>
    <cellStyle name="_VC 6.15.06 update on 06GRC power costs.xls Chart 1_04 07E Wild Horse Wind Expansion (C) (2)_Electric Rev Req Model (2009 GRC) Rebuttal 4" xfId="17130"/>
    <cellStyle name="_VC 6.15.06 update on 06GRC power costs.xls Chart 1_04 07E Wild Horse Wind Expansion (C) (2)_Electric Rev Req Model (2009 GRC) Rebuttal 5" xfId="8483"/>
    <cellStyle name="_VC 6.15.06 update on 06GRC power costs.xls Chart 1_04 07E Wild Horse Wind Expansion (C) (2)_Electric Rev Req Model (2009 GRC) Rebuttal REmoval of New  WH Solar AdjustMI" xfId="2220"/>
    <cellStyle name="_VC 6.15.06 update on 06GRC power costs.xls Chart 1_04 07E Wild Horse Wind Expansion (C) (2)_Electric Rev Req Model (2009 GRC) Rebuttal REmoval of New  WH Solar AdjustMI 2" xfId="2221"/>
    <cellStyle name="_VC 6.15.06 update on 06GRC power costs.xls Chart 1_04 07E Wild Horse Wind Expansion (C) (2)_Electric Rev Req Model (2009 GRC) Rebuttal REmoval of New  WH Solar AdjustMI 2 2" xfId="5584"/>
    <cellStyle name="_VC 6.15.06 update on 06GRC power costs.xls Chart 1_04 07E Wild Horse Wind Expansion (C) (2)_Electric Rev Req Model (2009 GRC) Rebuttal REmoval of New  WH Solar AdjustMI 2 2 2" xfId="21585"/>
    <cellStyle name="_VC 6.15.06 update on 06GRC power costs.xls Chart 1_04 07E Wild Horse Wind Expansion (C) (2)_Electric Rev Req Model (2009 GRC) Rebuttal REmoval of New  WH Solar AdjustMI 2 2 2 2" xfId="29579"/>
    <cellStyle name="_VC 6.15.06 update on 06GRC power costs.xls Chart 1_04 07E Wild Horse Wind Expansion (C) (2)_Electric Rev Req Model (2009 GRC) Rebuttal REmoval of New  WH Solar AdjustMI 2 2 3" xfId="8489"/>
    <cellStyle name="_VC 6.15.06 update on 06GRC power costs.xls Chart 1_04 07E Wild Horse Wind Expansion (C) (2)_Electric Rev Req Model (2009 GRC) Rebuttal REmoval of New  WH Solar AdjustMI 2 3" xfId="17132"/>
    <cellStyle name="_VC 6.15.06 update on 06GRC power costs.xls Chart 1_04 07E Wild Horse Wind Expansion (C) (2)_Electric Rev Req Model (2009 GRC) Rebuttal REmoval of New  WH Solar AdjustMI 2 3 2" xfId="29580"/>
    <cellStyle name="_VC 6.15.06 update on 06GRC power costs.xls Chart 1_04 07E Wild Horse Wind Expansion (C) (2)_Electric Rev Req Model (2009 GRC) Rebuttal REmoval of New  WH Solar AdjustMI 2 4" xfId="29581"/>
    <cellStyle name="_VC 6.15.06 update on 06GRC power costs.xls Chart 1_04 07E Wild Horse Wind Expansion (C) (2)_Electric Rev Req Model (2009 GRC) Rebuttal REmoval of New  WH Solar AdjustMI 2 4 2" xfId="29582"/>
    <cellStyle name="_VC 6.15.06 update on 06GRC power costs.xls Chart 1_04 07E Wild Horse Wind Expansion (C) (2)_Electric Rev Req Model (2009 GRC) Rebuttal REmoval of New  WH Solar AdjustMI 2 5" xfId="8488"/>
    <cellStyle name="_VC 6.15.06 update on 06GRC power costs.xls Chart 1_04 07E Wild Horse Wind Expansion (C) (2)_Electric Rev Req Model (2009 GRC) Rebuttal REmoval of New  WH Solar AdjustMI 3" xfId="5583"/>
    <cellStyle name="_VC 6.15.06 update on 06GRC power costs.xls Chart 1_04 07E Wild Horse Wind Expansion (C) (2)_Electric Rev Req Model (2009 GRC) Rebuttal REmoval of New  WH Solar AdjustMI 3 2" xfId="21586"/>
    <cellStyle name="_VC 6.15.06 update on 06GRC power costs.xls Chart 1_04 07E Wild Horse Wind Expansion (C) (2)_Electric Rev Req Model (2009 GRC) Rebuttal REmoval of New  WH Solar AdjustMI 3 2 2" xfId="29583"/>
    <cellStyle name="_VC 6.15.06 update on 06GRC power costs.xls Chart 1_04 07E Wild Horse Wind Expansion (C) (2)_Electric Rev Req Model (2009 GRC) Rebuttal REmoval of New  WH Solar AdjustMI 3 3" xfId="29584"/>
    <cellStyle name="_VC 6.15.06 update on 06GRC power costs.xls Chart 1_04 07E Wild Horse Wind Expansion (C) (2)_Electric Rev Req Model (2009 GRC) Rebuttal REmoval of New  WH Solar AdjustMI 3 4" xfId="8490"/>
    <cellStyle name="_VC 6.15.06 update on 06GRC power costs.xls Chart 1_04 07E Wild Horse Wind Expansion (C) (2)_Electric Rev Req Model (2009 GRC) Rebuttal REmoval of New  WH Solar AdjustMI 4" xfId="17131"/>
    <cellStyle name="_VC 6.15.06 update on 06GRC power costs.xls Chart 1_04 07E Wild Horse Wind Expansion (C) (2)_Electric Rev Req Model (2009 GRC) Rebuttal REmoval of New  WH Solar AdjustMI 4 2" xfId="29585"/>
    <cellStyle name="_VC 6.15.06 update on 06GRC power costs.xls Chart 1_04 07E Wild Horse Wind Expansion (C) (2)_Electric Rev Req Model (2009 GRC) Rebuttal REmoval of New  WH Solar AdjustMI 4 2 2" xfId="29586"/>
    <cellStyle name="_VC 6.15.06 update on 06GRC power costs.xls Chart 1_04 07E Wild Horse Wind Expansion (C) (2)_Electric Rev Req Model (2009 GRC) Rebuttal REmoval of New  WH Solar AdjustMI 4 3" xfId="29587"/>
    <cellStyle name="_VC 6.15.06 update on 06GRC power costs.xls Chart 1_04 07E Wild Horse Wind Expansion (C) (2)_Electric Rev Req Model (2009 GRC) Rebuttal REmoval of New  WH Solar AdjustMI 5" xfId="29588"/>
    <cellStyle name="_VC 6.15.06 update on 06GRC power costs.xls Chart 1_04 07E Wild Horse Wind Expansion (C) (2)_Electric Rev Req Model (2009 GRC) Rebuttal REmoval of New  WH Solar AdjustMI 5 2" xfId="29589"/>
    <cellStyle name="_VC 6.15.06 update on 06GRC power costs.xls Chart 1_04 07E Wild Horse Wind Expansion (C) (2)_Electric Rev Req Model (2009 GRC) Rebuttal REmoval of New  WH Solar AdjustMI 6" xfId="29590"/>
    <cellStyle name="_VC 6.15.06 update on 06GRC power costs.xls Chart 1_04 07E Wild Horse Wind Expansion (C) (2)_Electric Rev Req Model (2009 GRC) Rebuttal REmoval of New  WH Solar AdjustMI 6 2" xfId="29591"/>
    <cellStyle name="_VC 6.15.06 update on 06GRC power costs.xls Chart 1_04 07E Wild Horse Wind Expansion (C) (2)_Electric Rev Req Model (2009 GRC) Rebuttal REmoval of New  WH Solar AdjustMI 7" xfId="8487"/>
    <cellStyle name="_VC 6.15.06 update on 06GRC power costs.xls Chart 1_04 07E Wild Horse Wind Expansion (C) (2)_Electric Rev Req Model (2009 GRC) Rebuttal REmoval of New  WH Solar AdjustMI_DEM-WP(C) ENERG10C--ctn Mid-C_042010 2010GRC" xfId="13109"/>
    <cellStyle name="_VC 6.15.06 update on 06GRC power costs.xls Chart 1_04 07E Wild Horse Wind Expansion (C) (2)_Electric Rev Req Model (2009 GRC) Rebuttal REmoval of New  WH Solar AdjustMI_DEM-WP(C) ENERG10C--ctn Mid-C_042010 2010GRC 2" xfId="41863"/>
    <cellStyle name="_VC 6.15.06 update on 06GRC power costs.xls Chart 1_04 07E Wild Horse Wind Expansion (C) (2)_Electric Rev Req Model (2009 GRC) Revised 01-18-2010" xfId="2222"/>
    <cellStyle name="_VC 6.15.06 update on 06GRC power costs.xls Chart 1_04 07E Wild Horse Wind Expansion (C) (2)_Electric Rev Req Model (2009 GRC) Revised 01-18-2010 2" xfId="2223"/>
    <cellStyle name="_VC 6.15.06 update on 06GRC power costs.xls Chart 1_04 07E Wild Horse Wind Expansion (C) (2)_Electric Rev Req Model (2009 GRC) Revised 01-18-2010 2 2" xfId="5586"/>
    <cellStyle name="_VC 6.15.06 update on 06GRC power costs.xls Chart 1_04 07E Wild Horse Wind Expansion (C) (2)_Electric Rev Req Model (2009 GRC) Revised 01-18-2010 2 2 2" xfId="21587"/>
    <cellStyle name="_VC 6.15.06 update on 06GRC power costs.xls Chart 1_04 07E Wild Horse Wind Expansion (C) (2)_Electric Rev Req Model (2009 GRC) Revised 01-18-2010 2 2 2 2" xfId="29592"/>
    <cellStyle name="_VC 6.15.06 update on 06GRC power costs.xls Chart 1_04 07E Wild Horse Wind Expansion (C) (2)_Electric Rev Req Model (2009 GRC) Revised 01-18-2010 2 2 3" xfId="8493"/>
    <cellStyle name="_VC 6.15.06 update on 06GRC power costs.xls Chart 1_04 07E Wild Horse Wind Expansion (C) (2)_Electric Rev Req Model (2009 GRC) Revised 01-18-2010 2 3" xfId="17134"/>
    <cellStyle name="_VC 6.15.06 update on 06GRC power costs.xls Chart 1_04 07E Wild Horse Wind Expansion (C) (2)_Electric Rev Req Model (2009 GRC) Revised 01-18-2010 2 3 2" xfId="29593"/>
    <cellStyle name="_VC 6.15.06 update on 06GRC power costs.xls Chart 1_04 07E Wild Horse Wind Expansion (C) (2)_Electric Rev Req Model (2009 GRC) Revised 01-18-2010 2 4" xfId="29594"/>
    <cellStyle name="_VC 6.15.06 update on 06GRC power costs.xls Chart 1_04 07E Wild Horse Wind Expansion (C) (2)_Electric Rev Req Model (2009 GRC) Revised 01-18-2010 2 4 2" xfId="29595"/>
    <cellStyle name="_VC 6.15.06 update on 06GRC power costs.xls Chart 1_04 07E Wild Horse Wind Expansion (C) (2)_Electric Rev Req Model (2009 GRC) Revised 01-18-2010 2 5" xfId="8492"/>
    <cellStyle name="_VC 6.15.06 update on 06GRC power costs.xls Chart 1_04 07E Wild Horse Wind Expansion (C) (2)_Electric Rev Req Model (2009 GRC) Revised 01-18-2010 3" xfId="5585"/>
    <cellStyle name="_VC 6.15.06 update on 06GRC power costs.xls Chart 1_04 07E Wild Horse Wind Expansion (C) (2)_Electric Rev Req Model (2009 GRC) Revised 01-18-2010 3 2" xfId="21588"/>
    <cellStyle name="_VC 6.15.06 update on 06GRC power costs.xls Chart 1_04 07E Wild Horse Wind Expansion (C) (2)_Electric Rev Req Model (2009 GRC) Revised 01-18-2010 3 2 2" xfId="29596"/>
    <cellStyle name="_VC 6.15.06 update on 06GRC power costs.xls Chart 1_04 07E Wild Horse Wind Expansion (C) (2)_Electric Rev Req Model (2009 GRC) Revised 01-18-2010 3 3" xfId="29597"/>
    <cellStyle name="_VC 6.15.06 update on 06GRC power costs.xls Chart 1_04 07E Wild Horse Wind Expansion (C) (2)_Electric Rev Req Model (2009 GRC) Revised 01-18-2010 3 4" xfId="8494"/>
    <cellStyle name="_VC 6.15.06 update on 06GRC power costs.xls Chart 1_04 07E Wild Horse Wind Expansion (C) (2)_Electric Rev Req Model (2009 GRC) Revised 01-18-2010 4" xfId="17133"/>
    <cellStyle name="_VC 6.15.06 update on 06GRC power costs.xls Chart 1_04 07E Wild Horse Wind Expansion (C) (2)_Electric Rev Req Model (2009 GRC) Revised 01-18-2010 4 2" xfId="29598"/>
    <cellStyle name="_VC 6.15.06 update on 06GRC power costs.xls Chart 1_04 07E Wild Horse Wind Expansion (C) (2)_Electric Rev Req Model (2009 GRC) Revised 01-18-2010 4 2 2" xfId="29599"/>
    <cellStyle name="_VC 6.15.06 update on 06GRC power costs.xls Chart 1_04 07E Wild Horse Wind Expansion (C) (2)_Electric Rev Req Model (2009 GRC) Revised 01-18-2010 4 3" xfId="29600"/>
    <cellStyle name="_VC 6.15.06 update on 06GRC power costs.xls Chart 1_04 07E Wild Horse Wind Expansion (C) (2)_Electric Rev Req Model (2009 GRC) Revised 01-18-2010 5" xfId="29601"/>
    <cellStyle name="_VC 6.15.06 update on 06GRC power costs.xls Chart 1_04 07E Wild Horse Wind Expansion (C) (2)_Electric Rev Req Model (2009 GRC) Revised 01-18-2010 5 2" xfId="29602"/>
    <cellStyle name="_VC 6.15.06 update on 06GRC power costs.xls Chart 1_04 07E Wild Horse Wind Expansion (C) (2)_Electric Rev Req Model (2009 GRC) Revised 01-18-2010 6" xfId="29603"/>
    <cellStyle name="_VC 6.15.06 update on 06GRC power costs.xls Chart 1_04 07E Wild Horse Wind Expansion (C) (2)_Electric Rev Req Model (2009 GRC) Revised 01-18-2010 6 2" xfId="29604"/>
    <cellStyle name="_VC 6.15.06 update on 06GRC power costs.xls Chart 1_04 07E Wild Horse Wind Expansion (C) (2)_Electric Rev Req Model (2009 GRC) Revised 01-18-2010 7" xfId="8491"/>
    <cellStyle name="_VC 6.15.06 update on 06GRC power costs.xls Chart 1_04 07E Wild Horse Wind Expansion (C) (2)_Electric Rev Req Model (2009 GRC) Revised 01-18-2010_DEM-WP(C) ENERG10C--ctn Mid-C_042010 2010GRC" xfId="13110"/>
    <cellStyle name="_VC 6.15.06 update on 06GRC power costs.xls Chart 1_04 07E Wild Horse Wind Expansion (C) (2)_Electric Rev Req Model (2009 GRC) Revised 01-18-2010_DEM-WP(C) ENERG10C--ctn Mid-C_042010 2010GRC 2" xfId="41864"/>
    <cellStyle name="_VC 6.15.06 update on 06GRC power costs.xls Chart 1_04 07E Wild Horse Wind Expansion (C) (2)_Electric Rev Req Model (2010 GRC)" xfId="14291"/>
    <cellStyle name="_VC 6.15.06 update on 06GRC power costs.xls Chart 1_04 07E Wild Horse Wind Expansion (C) (2)_Electric Rev Req Model (2010 GRC) 2" xfId="41865"/>
    <cellStyle name="_VC 6.15.06 update on 06GRC power costs.xls Chart 1_04 07E Wild Horse Wind Expansion (C) (2)_Electric Rev Req Model (2010 GRC) SF" xfId="14292"/>
    <cellStyle name="_VC 6.15.06 update on 06GRC power costs.xls Chart 1_04 07E Wild Horse Wind Expansion (C) (2)_Electric Rev Req Model (2010 GRC) SF 2" xfId="41866"/>
    <cellStyle name="_VC 6.15.06 update on 06GRC power costs.xls Chart 1_04 07E Wild Horse Wind Expansion (C) (2)_Final Order Electric EXHIBIT A-1" xfId="2224"/>
    <cellStyle name="_VC 6.15.06 update on 06GRC power costs.xls Chart 1_04 07E Wild Horse Wind Expansion (C) (2)_Final Order Electric EXHIBIT A-1 2" xfId="5587"/>
    <cellStyle name="_VC 6.15.06 update on 06GRC power costs.xls Chart 1_04 07E Wild Horse Wind Expansion (C) (2)_Final Order Electric EXHIBIT A-1 2 2" xfId="8497"/>
    <cellStyle name="_VC 6.15.06 update on 06GRC power costs.xls Chart 1_04 07E Wild Horse Wind Expansion (C) (2)_Final Order Electric EXHIBIT A-1 2 2 2" xfId="21589"/>
    <cellStyle name="_VC 6.15.06 update on 06GRC power costs.xls Chart 1_04 07E Wild Horse Wind Expansion (C) (2)_Final Order Electric EXHIBIT A-1 2 3" xfId="18760"/>
    <cellStyle name="_VC 6.15.06 update on 06GRC power costs.xls Chart 1_04 07E Wild Horse Wind Expansion (C) (2)_Final Order Electric EXHIBIT A-1 2 4" xfId="8496"/>
    <cellStyle name="_VC 6.15.06 update on 06GRC power costs.xls Chart 1_04 07E Wild Horse Wind Expansion (C) (2)_Final Order Electric EXHIBIT A-1 3" xfId="8498"/>
    <cellStyle name="_VC 6.15.06 update on 06GRC power costs.xls Chart 1_04 07E Wild Horse Wind Expansion (C) (2)_Final Order Electric EXHIBIT A-1 3 2" xfId="21590"/>
    <cellStyle name="_VC 6.15.06 update on 06GRC power costs.xls Chart 1_04 07E Wild Horse Wind Expansion (C) (2)_Final Order Electric EXHIBIT A-1 3 2 2" xfId="29605"/>
    <cellStyle name="_VC 6.15.06 update on 06GRC power costs.xls Chart 1_04 07E Wild Horse Wind Expansion (C) (2)_Final Order Electric EXHIBIT A-1 3 3" xfId="29606"/>
    <cellStyle name="_VC 6.15.06 update on 06GRC power costs.xls Chart 1_04 07E Wild Horse Wind Expansion (C) (2)_Final Order Electric EXHIBIT A-1 4" xfId="17135"/>
    <cellStyle name="_VC 6.15.06 update on 06GRC power costs.xls Chart 1_04 07E Wild Horse Wind Expansion (C) (2)_Final Order Electric EXHIBIT A-1 4 2" xfId="29607"/>
    <cellStyle name="_VC 6.15.06 update on 06GRC power costs.xls Chart 1_04 07E Wild Horse Wind Expansion (C) (2)_Final Order Electric EXHIBIT A-1 5" xfId="29608"/>
    <cellStyle name="_VC 6.15.06 update on 06GRC power costs.xls Chart 1_04 07E Wild Horse Wind Expansion (C) (2)_Final Order Electric EXHIBIT A-1 6" xfId="29609"/>
    <cellStyle name="_VC 6.15.06 update on 06GRC power costs.xls Chart 1_04 07E Wild Horse Wind Expansion (C) (2)_Final Order Electric EXHIBIT A-1 7" xfId="8495"/>
    <cellStyle name="_VC 6.15.06 update on 06GRC power costs.xls Chart 1_04 07E Wild Horse Wind Expansion (C) (2)_TENASKA REGULATORY ASSET" xfId="2225"/>
    <cellStyle name="_VC 6.15.06 update on 06GRC power costs.xls Chart 1_04 07E Wild Horse Wind Expansion (C) (2)_TENASKA REGULATORY ASSET 2" xfId="5588"/>
    <cellStyle name="_VC 6.15.06 update on 06GRC power costs.xls Chart 1_04 07E Wild Horse Wind Expansion (C) (2)_TENASKA REGULATORY ASSET 2 2" xfId="8501"/>
    <cellStyle name="_VC 6.15.06 update on 06GRC power costs.xls Chart 1_04 07E Wild Horse Wind Expansion (C) (2)_TENASKA REGULATORY ASSET 2 2 2" xfId="21591"/>
    <cellStyle name="_VC 6.15.06 update on 06GRC power costs.xls Chart 1_04 07E Wild Horse Wind Expansion (C) (2)_TENASKA REGULATORY ASSET 2 3" xfId="18761"/>
    <cellStyle name="_VC 6.15.06 update on 06GRC power costs.xls Chart 1_04 07E Wild Horse Wind Expansion (C) (2)_TENASKA REGULATORY ASSET 2 4" xfId="8500"/>
    <cellStyle name="_VC 6.15.06 update on 06GRC power costs.xls Chart 1_04 07E Wild Horse Wind Expansion (C) (2)_TENASKA REGULATORY ASSET 3" xfId="8502"/>
    <cellStyle name="_VC 6.15.06 update on 06GRC power costs.xls Chart 1_04 07E Wild Horse Wind Expansion (C) (2)_TENASKA REGULATORY ASSET 3 2" xfId="21592"/>
    <cellStyle name="_VC 6.15.06 update on 06GRC power costs.xls Chart 1_04 07E Wild Horse Wind Expansion (C) (2)_TENASKA REGULATORY ASSET 3 2 2" xfId="29610"/>
    <cellStyle name="_VC 6.15.06 update on 06GRC power costs.xls Chart 1_04 07E Wild Horse Wind Expansion (C) (2)_TENASKA REGULATORY ASSET 3 3" xfId="29611"/>
    <cellStyle name="_VC 6.15.06 update on 06GRC power costs.xls Chart 1_04 07E Wild Horse Wind Expansion (C) (2)_TENASKA REGULATORY ASSET 4" xfId="17136"/>
    <cellStyle name="_VC 6.15.06 update on 06GRC power costs.xls Chart 1_04 07E Wild Horse Wind Expansion (C) (2)_TENASKA REGULATORY ASSET 4 2" xfId="29612"/>
    <cellStyle name="_VC 6.15.06 update on 06GRC power costs.xls Chart 1_04 07E Wild Horse Wind Expansion (C) (2)_TENASKA REGULATORY ASSET 5" xfId="29613"/>
    <cellStyle name="_VC 6.15.06 update on 06GRC power costs.xls Chart 1_04 07E Wild Horse Wind Expansion (C) (2)_TENASKA REGULATORY ASSET 6" xfId="29614"/>
    <cellStyle name="_VC 6.15.06 update on 06GRC power costs.xls Chart 1_04 07E Wild Horse Wind Expansion (C) (2)_TENASKA REGULATORY ASSET 7" xfId="8499"/>
    <cellStyle name="_VC 6.15.06 update on 06GRC power costs.xls Chart 1_16.37E Wild Horse Expansion DeferralRevwrkingfile SF" xfId="2226"/>
    <cellStyle name="_VC 6.15.06 update on 06GRC power costs.xls Chart 1_16.37E Wild Horse Expansion DeferralRevwrkingfile SF 2" xfId="2227"/>
    <cellStyle name="_VC 6.15.06 update on 06GRC power costs.xls Chart 1_16.37E Wild Horse Expansion DeferralRevwrkingfile SF 2 2" xfId="5590"/>
    <cellStyle name="_VC 6.15.06 update on 06GRC power costs.xls Chart 1_16.37E Wild Horse Expansion DeferralRevwrkingfile SF 2 2 2" xfId="21593"/>
    <cellStyle name="_VC 6.15.06 update on 06GRC power costs.xls Chart 1_16.37E Wild Horse Expansion DeferralRevwrkingfile SF 2 2 2 2" xfId="29615"/>
    <cellStyle name="_VC 6.15.06 update on 06GRC power costs.xls Chart 1_16.37E Wild Horse Expansion DeferralRevwrkingfile SF 2 2 3" xfId="8505"/>
    <cellStyle name="_VC 6.15.06 update on 06GRC power costs.xls Chart 1_16.37E Wild Horse Expansion DeferralRevwrkingfile SF 2 3" xfId="17138"/>
    <cellStyle name="_VC 6.15.06 update on 06GRC power costs.xls Chart 1_16.37E Wild Horse Expansion DeferralRevwrkingfile SF 2 3 2" xfId="29616"/>
    <cellStyle name="_VC 6.15.06 update on 06GRC power costs.xls Chart 1_16.37E Wild Horse Expansion DeferralRevwrkingfile SF 2 4" xfId="29617"/>
    <cellStyle name="_VC 6.15.06 update on 06GRC power costs.xls Chart 1_16.37E Wild Horse Expansion DeferralRevwrkingfile SF 2 4 2" xfId="29618"/>
    <cellStyle name="_VC 6.15.06 update on 06GRC power costs.xls Chart 1_16.37E Wild Horse Expansion DeferralRevwrkingfile SF 2 5" xfId="8504"/>
    <cellStyle name="_VC 6.15.06 update on 06GRC power costs.xls Chart 1_16.37E Wild Horse Expansion DeferralRevwrkingfile SF 3" xfId="5589"/>
    <cellStyle name="_VC 6.15.06 update on 06GRC power costs.xls Chart 1_16.37E Wild Horse Expansion DeferralRevwrkingfile SF 3 2" xfId="21594"/>
    <cellStyle name="_VC 6.15.06 update on 06GRC power costs.xls Chart 1_16.37E Wild Horse Expansion DeferralRevwrkingfile SF 3 2 2" xfId="29619"/>
    <cellStyle name="_VC 6.15.06 update on 06GRC power costs.xls Chart 1_16.37E Wild Horse Expansion DeferralRevwrkingfile SF 3 3" xfId="29620"/>
    <cellStyle name="_VC 6.15.06 update on 06GRC power costs.xls Chart 1_16.37E Wild Horse Expansion DeferralRevwrkingfile SF 3 4" xfId="8506"/>
    <cellStyle name="_VC 6.15.06 update on 06GRC power costs.xls Chart 1_16.37E Wild Horse Expansion DeferralRevwrkingfile SF 4" xfId="17137"/>
    <cellStyle name="_VC 6.15.06 update on 06GRC power costs.xls Chart 1_16.37E Wild Horse Expansion DeferralRevwrkingfile SF 4 2" xfId="29621"/>
    <cellStyle name="_VC 6.15.06 update on 06GRC power costs.xls Chart 1_16.37E Wild Horse Expansion DeferralRevwrkingfile SF 4 2 2" xfId="29622"/>
    <cellStyle name="_VC 6.15.06 update on 06GRC power costs.xls Chart 1_16.37E Wild Horse Expansion DeferralRevwrkingfile SF 4 3" xfId="29623"/>
    <cellStyle name="_VC 6.15.06 update on 06GRC power costs.xls Chart 1_16.37E Wild Horse Expansion DeferralRevwrkingfile SF 5" xfId="29624"/>
    <cellStyle name="_VC 6.15.06 update on 06GRC power costs.xls Chart 1_16.37E Wild Horse Expansion DeferralRevwrkingfile SF 5 2" xfId="29625"/>
    <cellStyle name="_VC 6.15.06 update on 06GRC power costs.xls Chart 1_16.37E Wild Horse Expansion DeferralRevwrkingfile SF 6" xfId="29626"/>
    <cellStyle name="_VC 6.15.06 update on 06GRC power costs.xls Chart 1_16.37E Wild Horse Expansion DeferralRevwrkingfile SF 6 2" xfId="29627"/>
    <cellStyle name="_VC 6.15.06 update on 06GRC power costs.xls Chart 1_16.37E Wild Horse Expansion DeferralRevwrkingfile SF 7" xfId="8503"/>
    <cellStyle name="_VC 6.15.06 update on 06GRC power costs.xls Chart 1_16.37E Wild Horse Expansion DeferralRevwrkingfile SF_DEM-WP(C) ENERG10C--ctn Mid-C_042010 2010GRC" xfId="13111"/>
    <cellStyle name="_VC 6.15.06 update on 06GRC power costs.xls Chart 1_16.37E Wild Horse Expansion DeferralRevwrkingfile SF_DEM-WP(C) ENERG10C--ctn Mid-C_042010 2010GRC 2" xfId="41867"/>
    <cellStyle name="_VC 6.15.06 update on 06GRC power costs.xls Chart 1_2009 Compliance Filing PCA Exhibits for GRC" xfId="14192"/>
    <cellStyle name="_VC 6.15.06 update on 06GRC power costs.xls Chart 1_2009 Compliance Filing PCA Exhibits for GRC 2" xfId="15320"/>
    <cellStyle name="_VC 6.15.06 update on 06GRC power costs.xls Chart 1_2009 Compliance Filing PCA Exhibits for GRC 2 2" xfId="41868"/>
    <cellStyle name="_VC 6.15.06 update on 06GRC power costs.xls Chart 1_2009 Compliance Filing PCA Exhibits for GRC 3" xfId="41869"/>
    <cellStyle name="_VC 6.15.06 update on 06GRC power costs.xls Chart 1_2009 GRC Compl Filing - Exhibit D" xfId="2228"/>
    <cellStyle name="_VC 6.15.06 update on 06GRC power costs.xls Chart 1_2009 GRC Compl Filing - Exhibit D 2" xfId="2229"/>
    <cellStyle name="_VC 6.15.06 update on 06GRC power costs.xls Chart 1_2009 GRC Compl Filing - Exhibit D 2 2" xfId="5592"/>
    <cellStyle name="_VC 6.15.06 update on 06GRC power costs.xls Chart 1_2009 GRC Compl Filing - Exhibit D 2 2 2" xfId="29628"/>
    <cellStyle name="_VC 6.15.06 update on 06GRC power costs.xls Chart 1_2009 GRC Compl Filing - Exhibit D 2 2 2 2" xfId="29629"/>
    <cellStyle name="_VC 6.15.06 update on 06GRC power costs.xls Chart 1_2009 GRC Compl Filing - Exhibit D 2 3" xfId="29630"/>
    <cellStyle name="_VC 6.15.06 update on 06GRC power costs.xls Chart 1_2009 GRC Compl Filing - Exhibit D 2 3 2" xfId="29631"/>
    <cellStyle name="_VC 6.15.06 update on 06GRC power costs.xls Chart 1_2009 GRC Compl Filing - Exhibit D 2 4" xfId="29632"/>
    <cellStyle name="_VC 6.15.06 update on 06GRC power costs.xls Chart 1_2009 GRC Compl Filing - Exhibit D 2 4 2" xfId="29633"/>
    <cellStyle name="_VC 6.15.06 update on 06GRC power costs.xls Chart 1_2009 GRC Compl Filing - Exhibit D 2 5" xfId="8508"/>
    <cellStyle name="_VC 6.15.06 update on 06GRC power costs.xls Chart 1_2009 GRC Compl Filing - Exhibit D 3" xfId="5591"/>
    <cellStyle name="_VC 6.15.06 update on 06GRC power costs.xls Chart 1_2009 GRC Compl Filing - Exhibit D 3 2" xfId="29634"/>
    <cellStyle name="_VC 6.15.06 update on 06GRC power costs.xls Chart 1_2009 GRC Compl Filing - Exhibit D 3 2 2" xfId="29635"/>
    <cellStyle name="_VC 6.15.06 update on 06GRC power costs.xls Chart 1_2009 GRC Compl Filing - Exhibit D 3 3" xfId="29636"/>
    <cellStyle name="_VC 6.15.06 update on 06GRC power costs.xls Chart 1_2009 GRC Compl Filing - Exhibit D 4" xfId="29637"/>
    <cellStyle name="_VC 6.15.06 update on 06GRC power costs.xls Chart 1_2009 GRC Compl Filing - Exhibit D 4 2" xfId="29638"/>
    <cellStyle name="_VC 6.15.06 update on 06GRC power costs.xls Chart 1_2009 GRC Compl Filing - Exhibit D 4 2 2" xfId="29639"/>
    <cellStyle name="_VC 6.15.06 update on 06GRC power costs.xls Chart 1_2009 GRC Compl Filing - Exhibit D 4 3" xfId="29640"/>
    <cellStyle name="_VC 6.15.06 update on 06GRC power costs.xls Chart 1_2009 GRC Compl Filing - Exhibit D 5" xfId="29641"/>
    <cellStyle name="_VC 6.15.06 update on 06GRC power costs.xls Chart 1_2009 GRC Compl Filing - Exhibit D 5 2" xfId="29642"/>
    <cellStyle name="_VC 6.15.06 update on 06GRC power costs.xls Chart 1_2009 GRC Compl Filing - Exhibit D 6" xfId="29643"/>
    <cellStyle name="_VC 6.15.06 update on 06GRC power costs.xls Chart 1_2009 GRC Compl Filing - Exhibit D 6 2" xfId="29644"/>
    <cellStyle name="_VC 6.15.06 update on 06GRC power costs.xls Chart 1_2009 GRC Compl Filing - Exhibit D 7" xfId="8507"/>
    <cellStyle name="_VC 6.15.06 update on 06GRC power costs.xls Chart 1_2009 GRC Compl Filing - Exhibit D_DEM-WP(C) ENERG10C--ctn Mid-C_042010 2010GRC" xfId="13112"/>
    <cellStyle name="_VC 6.15.06 update on 06GRC power costs.xls Chart 1_2009 GRC Compl Filing - Exhibit D_DEM-WP(C) ENERG10C--ctn Mid-C_042010 2010GRC 2" xfId="41870"/>
    <cellStyle name="_VC 6.15.06 update on 06GRC power costs.xls Chart 1_3.01 Income Statement" xfId="14193"/>
    <cellStyle name="_VC 6.15.06 update on 06GRC power costs.xls Chart 1_4 31 Regulatory Assets and Liabilities  7 06- Exhibit D" xfId="2230"/>
    <cellStyle name="_VC 6.15.06 update on 06GRC power costs.xls Chart 1_4 31 Regulatory Assets and Liabilities  7 06- Exhibit D 2" xfId="2231"/>
    <cellStyle name="_VC 6.15.06 update on 06GRC power costs.xls Chart 1_4 31 Regulatory Assets and Liabilities  7 06- Exhibit D 2 2" xfId="5594"/>
    <cellStyle name="_VC 6.15.06 update on 06GRC power costs.xls Chart 1_4 31 Regulatory Assets and Liabilities  7 06- Exhibit D 2 2 2" xfId="21595"/>
    <cellStyle name="_VC 6.15.06 update on 06GRC power costs.xls Chart 1_4 31 Regulatory Assets and Liabilities  7 06- Exhibit D 2 2 2 2" xfId="29645"/>
    <cellStyle name="_VC 6.15.06 update on 06GRC power costs.xls Chart 1_4 31 Regulatory Assets and Liabilities  7 06- Exhibit D 2 2 3" xfId="8511"/>
    <cellStyle name="_VC 6.15.06 update on 06GRC power costs.xls Chart 1_4 31 Regulatory Assets and Liabilities  7 06- Exhibit D 2 3" xfId="17140"/>
    <cellStyle name="_VC 6.15.06 update on 06GRC power costs.xls Chart 1_4 31 Regulatory Assets and Liabilities  7 06- Exhibit D 2 3 2" xfId="29646"/>
    <cellStyle name="_VC 6.15.06 update on 06GRC power costs.xls Chart 1_4 31 Regulatory Assets and Liabilities  7 06- Exhibit D 2 4" xfId="29647"/>
    <cellStyle name="_VC 6.15.06 update on 06GRC power costs.xls Chart 1_4 31 Regulatory Assets and Liabilities  7 06- Exhibit D 2 4 2" xfId="29648"/>
    <cellStyle name="_VC 6.15.06 update on 06GRC power costs.xls Chart 1_4 31 Regulatory Assets and Liabilities  7 06- Exhibit D 2 5" xfId="8510"/>
    <cellStyle name="_VC 6.15.06 update on 06GRC power costs.xls Chart 1_4 31 Regulatory Assets and Liabilities  7 06- Exhibit D 3" xfId="5593"/>
    <cellStyle name="_VC 6.15.06 update on 06GRC power costs.xls Chart 1_4 31 Regulatory Assets and Liabilities  7 06- Exhibit D 3 2" xfId="21596"/>
    <cellStyle name="_VC 6.15.06 update on 06GRC power costs.xls Chart 1_4 31 Regulatory Assets and Liabilities  7 06- Exhibit D 3 2 2" xfId="29649"/>
    <cellStyle name="_VC 6.15.06 update on 06GRC power costs.xls Chart 1_4 31 Regulatory Assets and Liabilities  7 06- Exhibit D 3 3" xfId="29650"/>
    <cellStyle name="_VC 6.15.06 update on 06GRC power costs.xls Chart 1_4 31 Regulatory Assets and Liabilities  7 06- Exhibit D 3 4" xfId="8512"/>
    <cellStyle name="_VC 6.15.06 update on 06GRC power costs.xls Chart 1_4 31 Regulatory Assets and Liabilities  7 06- Exhibit D 4" xfId="17139"/>
    <cellStyle name="_VC 6.15.06 update on 06GRC power costs.xls Chart 1_4 31 Regulatory Assets and Liabilities  7 06- Exhibit D 4 2" xfId="29651"/>
    <cellStyle name="_VC 6.15.06 update on 06GRC power costs.xls Chart 1_4 31 Regulatory Assets and Liabilities  7 06- Exhibit D 4 2 2" xfId="29652"/>
    <cellStyle name="_VC 6.15.06 update on 06GRC power costs.xls Chart 1_4 31 Regulatory Assets and Liabilities  7 06- Exhibit D 4 3" xfId="29653"/>
    <cellStyle name="_VC 6.15.06 update on 06GRC power costs.xls Chart 1_4 31 Regulatory Assets and Liabilities  7 06- Exhibit D 5" xfId="29654"/>
    <cellStyle name="_VC 6.15.06 update on 06GRC power costs.xls Chart 1_4 31 Regulatory Assets and Liabilities  7 06- Exhibit D 5 2" xfId="29655"/>
    <cellStyle name="_VC 6.15.06 update on 06GRC power costs.xls Chart 1_4 31 Regulatory Assets and Liabilities  7 06- Exhibit D 6" xfId="29656"/>
    <cellStyle name="_VC 6.15.06 update on 06GRC power costs.xls Chart 1_4 31 Regulatory Assets and Liabilities  7 06- Exhibit D 6 2" xfId="29657"/>
    <cellStyle name="_VC 6.15.06 update on 06GRC power costs.xls Chart 1_4 31 Regulatory Assets and Liabilities  7 06- Exhibit D 7" xfId="8509"/>
    <cellStyle name="_VC 6.15.06 update on 06GRC power costs.xls Chart 1_4 31 Regulatory Assets and Liabilities  7 06- Exhibit D_DEM-WP(C) ENERG10C--ctn Mid-C_042010 2010GRC" xfId="13113"/>
    <cellStyle name="_VC 6.15.06 update on 06GRC power costs.xls Chart 1_4 31 Regulatory Assets and Liabilities  7 06- Exhibit D_DEM-WP(C) ENERG10C--ctn Mid-C_042010 2010GRC 2" xfId="41871"/>
    <cellStyle name="_VC 6.15.06 update on 06GRC power costs.xls Chart 1_4 31 Regulatory Assets and Liabilities  7 06- Exhibit D_NIM Summary" xfId="2232"/>
    <cellStyle name="_VC 6.15.06 update on 06GRC power costs.xls Chart 1_4 31 Regulatory Assets and Liabilities  7 06- Exhibit D_NIM Summary 2" xfId="2233"/>
    <cellStyle name="_VC 6.15.06 update on 06GRC power costs.xls Chart 1_4 31 Regulatory Assets and Liabilities  7 06- Exhibit D_NIM Summary 2 2" xfId="5596"/>
    <cellStyle name="_VC 6.15.06 update on 06GRC power costs.xls Chart 1_4 31 Regulatory Assets and Liabilities  7 06- Exhibit D_NIM Summary 2 2 2" xfId="29658"/>
    <cellStyle name="_VC 6.15.06 update on 06GRC power costs.xls Chart 1_4 31 Regulatory Assets and Liabilities  7 06- Exhibit D_NIM Summary 2 2 2 2" xfId="29659"/>
    <cellStyle name="_VC 6.15.06 update on 06GRC power costs.xls Chart 1_4 31 Regulatory Assets and Liabilities  7 06- Exhibit D_NIM Summary 2 3" xfId="29660"/>
    <cellStyle name="_VC 6.15.06 update on 06GRC power costs.xls Chart 1_4 31 Regulatory Assets and Liabilities  7 06- Exhibit D_NIM Summary 2 3 2" xfId="29661"/>
    <cellStyle name="_VC 6.15.06 update on 06GRC power costs.xls Chart 1_4 31 Regulatory Assets and Liabilities  7 06- Exhibit D_NIM Summary 2 4" xfId="29662"/>
    <cellStyle name="_VC 6.15.06 update on 06GRC power costs.xls Chart 1_4 31 Regulatory Assets and Liabilities  7 06- Exhibit D_NIM Summary 2 4 2" xfId="29663"/>
    <cellStyle name="_VC 6.15.06 update on 06GRC power costs.xls Chart 1_4 31 Regulatory Assets and Liabilities  7 06- Exhibit D_NIM Summary 2 5" xfId="8514"/>
    <cellStyle name="_VC 6.15.06 update on 06GRC power costs.xls Chart 1_4 31 Regulatory Assets and Liabilities  7 06- Exhibit D_NIM Summary 3" xfId="5595"/>
    <cellStyle name="_VC 6.15.06 update on 06GRC power costs.xls Chart 1_4 31 Regulatory Assets and Liabilities  7 06- Exhibit D_NIM Summary 3 2" xfId="29664"/>
    <cellStyle name="_VC 6.15.06 update on 06GRC power costs.xls Chart 1_4 31 Regulatory Assets and Liabilities  7 06- Exhibit D_NIM Summary 3 2 2" xfId="29665"/>
    <cellStyle name="_VC 6.15.06 update on 06GRC power costs.xls Chart 1_4 31 Regulatory Assets and Liabilities  7 06- Exhibit D_NIM Summary 3 3" xfId="29666"/>
    <cellStyle name="_VC 6.15.06 update on 06GRC power costs.xls Chart 1_4 31 Regulatory Assets and Liabilities  7 06- Exhibit D_NIM Summary 4" xfId="29667"/>
    <cellStyle name="_VC 6.15.06 update on 06GRC power costs.xls Chart 1_4 31 Regulatory Assets and Liabilities  7 06- Exhibit D_NIM Summary 4 2" xfId="29668"/>
    <cellStyle name="_VC 6.15.06 update on 06GRC power costs.xls Chart 1_4 31 Regulatory Assets and Liabilities  7 06- Exhibit D_NIM Summary 4 2 2" xfId="29669"/>
    <cellStyle name="_VC 6.15.06 update on 06GRC power costs.xls Chart 1_4 31 Regulatory Assets and Liabilities  7 06- Exhibit D_NIM Summary 4 3" xfId="29670"/>
    <cellStyle name="_VC 6.15.06 update on 06GRC power costs.xls Chart 1_4 31 Regulatory Assets and Liabilities  7 06- Exhibit D_NIM Summary 5" xfId="29671"/>
    <cellStyle name="_VC 6.15.06 update on 06GRC power costs.xls Chart 1_4 31 Regulatory Assets and Liabilities  7 06- Exhibit D_NIM Summary 5 2" xfId="29672"/>
    <cellStyle name="_VC 6.15.06 update on 06GRC power costs.xls Chart 1_4 31 Regulatory Assets and Liabilities  7 06- Exhibit D_NIM Summary 6" xfId="29673"/>
    <cellStyle name="_VC 6.15.06 update on 06GRC power costs.xls Chart 1_4 31 Regulatory Assets and Liabilities  7 06- Exhibit D_NIM Summary 6 2" xfId="29674"/>
    <cellStyle name="_VC 6.15.06 update on 06GRC power costs.xls Chart 1_4 31 Regulatory Assets and Liabilities  7 06- Exhibit D_NIM Summary 7" xfId="8513"/>
    <cellStyle name="_VC 6.15.06 update on 06GRC power costs.xls Chart 1_4 31 Regulatory Assets and Liabilities  7 06- Exhibit D_NIM Summary_DEM-WP(C) ENERG10C--ctn Mid-C_042010 2010GRC" xfId="13114"/>
    <cellStyle name="_VC 6.15.06 update on 06GRC power costs.xls Chart 1_4 31 Regulatory Assets and Liabilities  7 06- Exhibit D_NIM Summary_DEM-WP(C) ENERG10C--ctn Mid-C_042010 2010GRC 2" xfId="41872"/>
    <cellStyle name="_VC 6.15.06 update on 06GRC power costs.xls Chart 1_4 31E Reg Asset  Liab and EXH D" xfId="13115"/>
    <cellStyle name="_VC 6.15.06 update on 06GRC power costs.xls Chart 1_4 31E Reg Asset  Liab and EXH D _ Aug 10 Filing (2)" xfId="13116"/>
    <cellStyle name="_VC 6.15.06 update on 06GRC power costs.xls Chart 1_4 31E Reg Asset  Liab and EXH D _ Aug 10 Filing (2) 2" xfId="29675"/>
    <cellStyle name="_VC 6.15.06 update on 06GRC power costs.xls Chart 1_4 31E Reg Asset  Liab and EXH D _ Aug 10 Filing (2) 2 2" xfId="29676"/>
    <cellStyle name="_VC 6.15.06 update on 06GRC power costs.xls Chart 1_4 31E Reg Asset  Liab and EXH D _ Aug 10 Filing (2) 2 2 2" xfId="29677"/>
    <cellStyle name="_VC 6.15.06 update on 06GRC power costs.xls Chart 1_4 31E Reg Asset  Liab and EXH D _ Aug 10 Filing (2) 2 3" xfId="29678"/>
    <cellStyle name="_VC 6.15.06 update on 06GRC power costs.xls Chart 1_4 31E Reg Asset  Liab and EXH D _ Aug 10 Filing (2) 3" xfId="29679"/>
    <cellStyle name="_VC 6.15.06 update on 06GRC power costs.xls Chart 1_4 31E Reg Asset  Liab and EXH D _ Aug 10 Filing (2) 3 2" xfId="29680"/>
    <cellStyle name="_VC 6.15.06 update on 06GRC power costs.xls Chart 1_4 31E Reg Asset  Liab and EXH D _ Aug 10 Filing (2) 3 2 2" xfId="29681"/>
    <cellStyle name="_VC 6.15.06 update on 06GRC power costs.xls Chart 1_4 31E Reg Asset  Liab and EXH D _ Aug 10 Filing (2) 3 3" xfId="29682"/>
    <cellStyle name="_VC 6.15.06 update on 06GRC power costs.xls Chart 1_4 31E Reg Asset  Liab and EXH D _ Aug 10 Filing (2) 4" xfId="29683"/>
    <cellStyle name="_VC 6.15.06 update on 06GRC power costs.xls Chart 1_4 31E Reg Asset  Liab and EXH D _ Aug 10 Filing (2) 4 2" xfId="29684"/>
    <cellStyle name="_VC 6.15.06 update on 06GRC power costs.xls Chart 1_4 31E Reg Asset  Liab and EXH D _ Aug 10 Filing (2) 5" xfId="29685"/>
    <cellStyle name="_VC 6.15.06 update on 06GRC power costs.xls Chart 1_4 31E Reg Asset  Liab and EXH D _ Aug 10 Filing (2) 5 2" xfId="29686"/>
    <cellStyle name="_VC 6.15.06 update on 06GRC power costs.xls Chart 1_4 31E Reg Asset  Liab and EXH D 10" xfId="29687"/>
    <cellStyle name="_VC 6.15.06 update on 06GRC power costs.xls Chart 1_4 31E Reg Asset  Liab and EXH D 10 2" xfId="29688"/>
    <cellStyle name="_VC 6.15.06 update on 06GRC power costs.xls Chart 1_4 31E Reg Asset  Liab and EXH D 10 2 2" xfId="29689"/>
    <cellStyle name="_VC 6.15.06 update on 06GRC power costs.xls Chart 1_4 31E Reg Asset  Liab and EXH D 10 3" xfId="29690"/>
    <cellStyle name="_VC 6.15.06 update on 06GRC power costs.xls Chart 1_4 31E Reg Asset  Liab and EXH D 11" xfId="29691"/>
    <cellStyle name="_VC 6.15.06 update on 06GRC power costs.xls Chart 1_4 31E Reg Asset  Liab and EXH D 11 2" xfId="29692"/>
    <cellStyle name="_VC 6.15.06 update on 06GRC power costs.xls Chart 1_4 31E Reg Asset  Liab and EXH D 11 2 2" xfId="29693"/>
    <cellStyle name="_VC 6.15.06 update on 06GRC power costs.xls Chart 1_4 31E Reg Asset  Liab and EXH D 11 3" xfId="29694"/>
    <cellStyle name="_VC 6.15.06 update on 06GRC power costs.xls Chart 1_4 31E Reg Asset  Liab and EXH D 12" xfId="29695"/>
    <cellStyle name="_VC 6.15.06 update on 06GRC power costs.xls Chart 1_4 31E Reg Asset  Liab and EXH D 12 2" xfId="29696"/>
    <cellStyle name="_VC 6.15.06 update on 06GRC power costs.xls Chart 1_4 31E Reg Asset  Liab and EXH D 12 2 2" xfId="29697"/>
    <cellStyle name="_VC 6.15.06 update on 06GRC power costs.xls Chart 1_4 31E Reg Asset  Liab and EXH D 12 3" xfId="29698"/>
    <cellStyle name="_VC 6.15.06 update on 06GRC power costs.xls Chart 1_4 31E Reg Asset  Liab and EXH D 13" xfId="29699"/>
    <cellStyle name="_VC 6.15.06 update on 06GRC power costs.xls Chart 1_4 31E Reg Asset  Liab and EXH D 13 2" xfId="29700"/>
    <cellStyle name="_VC 6.15.06 update on 06GRC power costs.xls Chart 1_4 31E Reg Asset  Liab and EXH D 13 2 2" xfId="29701"/>
    <cellStyle name="_VC 6.15.06 update on 06GRC power costs.xls Chart 1_4 31E Reg Asset  Liab and EXH D 13 3" xfId="29702"/>
    <cellStyle name="_VC 6.15.06 update on 06GRC power costs.xls Chart 1_4 31E Reg Asset  Liab and EXH D 14" xfId="29703"/>
    <cellStyle name="_VC 6.15.06 update on 06GRC power costs.xls Chart 1_4 31E Reg Asset  Liab and EXH D 14 2" xfId="29704"/>
    <cellStyle name="_VC 6.15.06 update on 06GRC power costs.xls Chart 1_4 31E Reg Asset  Liab and EXH D 14 2 2" xfId="29705"/>
    <cellStyle name="_VC 6.15.06 update on 06GRC power costs.xls Chart 1_4 31E Reg Asset  Liab and EXH D 14 3" xfId="29706"/>
    <cellStyle name="_VC 6.15.06 update on 06GRC power costs.xls Chart 1_4 31E Reg Asset  Liab and EXH D 15" xfId="29707"/>
    <cellStyle name="_VC 6.15.06 update on 06GRC power costs.xls Chart 1_4 31E Reg Asset  Liab and EXH D 15 2" xfId="29708"/>
    <cellStyle name="_VC 6.15.06 update on 06GRC power costs.xls Chart 1_4 31E Reg Asset  Liab and EXH D 15 2 2" xfId="29709"/>
    <cellStyle name="_VC 6.15.06 update on 06GRC power costs.xls Chart 1_4 31E Reg Asset  Liab and EXH D 15 3" xfId="29710"/>
    <cellStyle name="_VC 6.15.06 update on 06GRC power costs.xls Chart 1_4 31E Reg Asset  Liab and EXH D 16" xfId="29711"/>
    <cellStyle name="_VC 6.15.06 update on 06GRC power costs.xls Chart 1_4 31E Reg Asset  Liab and EXH D 16 2" xfId="29712"/>
    <cellStyle name="_VC 6.15.06 update on 06GRC power costs.xls Chart 1_4 31E Reg Asset  Liab and EXH D 16 2 2" xfId="29713"/>
    <cellStyle name="_VC 6.15.06 update on 06GRC power costs.xls Chart 1_4 31E Reg Asset  Liab and EXH D 16 3" xfId="29714"/>
    <cellStyle name="_VC 6.15.06 update on 06GRC power costs.xls Chart 1_4 31E Reg Asset  Liab and EXH D 17" xfId="29715"/>
    <cellStyle name="_VC 6.15.06 update on 06GRC power costs.xls Chart 1_4 31E Reg Asset  Liab and EXH D 17 2" xfId="29716"/>
    <cellStyle name="_VC 6.15.06 update on 06GRC power costs.xls Chart 1_4 31E Reg Asset  Liab and EXH D 18" xfId="29717"/>
    <cellStyle name="_VC 6.15.06 update on 06GRC power costs.xls Chart 1_4 31E Reg Asset  Liab and EXH D 18 2" xfId="29718"/>
    <cellStyle name="_VC 6.15.06 update on 06GRC power costs.xls Chart 1_4 31E Reg Asset  Liab and EXH D 19" xfId="29719"/>
    <cellStyle name="_VC 6.15.06 update on 06GRC power costs.xls Chart 1_4 31E Reg Asset  Liab and EXH D 19 2" xfId="29720"/>
    <cellStyle name="_VC 6.15.06 update on 06GRC power costs.xls Chart 1_4 31E Reg Asset  Liab and EXH D 2" xfId="29721"/>
    <cellStyle name="_VC 6.15.06 update on 06GRC power costs.xls Chart 1_4 31E Reg Asset  Liab and EXH D 2 2" xfId="29722"/>
    <cellStyle name="_VC 6.15.06 update on 06GRC power costs.xls Chart 1_4 31E Reg Asset  Liab and EXH D 2 2 2" xfId="29723"/>
    <cellStyle name="_VC 6.15.06 update on 06GRC power costs.xls Chart 1_4 31E Reg Asset  Liab and EXH D 2 3" xfId="29724"/>
    <cellStyle name="_VC 6.15.06 update on 06GRC power costs.xls Chart 1_4 31E Reg Asset  Liab and EXH D 20" xfId="29725"/>
    <cellStyle name="_VC 6.15.06 update on 06GRC power costs.xls Chart 1_4 31E Reg Asset  Liab and EXH D 20 2" xfId="29726"/>
    <cellStyle name="_VC 6.15.06 update on 06GRC power costs.xls Chart 1_4 31E Reg Asset  Liab and EXH D 21" xfId="29727"/>
    <cellStyle name="_VC 6.15.06 update on 06GRC power costs.xls Chart 1_4 31E Reg Asset  Liab and EXH D 21 2" xfId="29728"/>
    <cellStyle name="_VC 6.15.06 update on 06GRC power costs.xls Chart 1_4 31E Reg Asset  Liab and EXH D 22" xfId="29729"/>
    <cellStyle name="_VC 6.15.06 update on 06GRC power costs.xls Chart 1_4 31E Reg Asset  Liab and EXH D 22 2" xfId="29730"/>
    <cellStyle name="_VC 6.15.06 update on 06GRC power costs.xls Chart 1_4 31E Reg Asset  Liab and EXH D 23" xfId="29731"/>
    <cellStyle name="_VC 6.15.06 update on 06GRC power costs.xls Chart 1_4 31E Reg Asset  Liab and EXH D 23 2" xfId="29732"/>
    <cellStyle name="_VC 6.15.06 update on 06GRC power costs.xls Chart 1_4 31E Reg Asset  Liab and EXH D 24" xfId="29733"/>
    <cellStyle name="_VC 6.15.06 update on 06GRC power costs.xls Chart 1_4 31E Reg Asset  Liab and EXH D 24 2" xfId="29734"/>
    <cellStyle name="_VC 6.15.06 update on 06GRC power costs.xls Chart 1_4 31E Reg Asset  Liab and EXH D 25" xfId="29735"/>
    <cellStyle name="_VC 6.15.06 update on 06GRC power costs.xls Chart 1_4 31E Reg Asset  Liab and EXH D 25 2" xfId="29736"/>
    <cellStyle name="_VC 6.15.06 update on 06GRC power costs.xls Chart 1_4 31E Reg Asset  Liab and EXH D 26" xfId="29737"/>
    <cellStyle name="_VC 6.15.06 update on 06GRC power costs.xls Chart 1_4 31E Reg Asset  Liab and EXH D 26 2" xfId="29738"/>
    <cellStyle name="_VC 6.15.06 update on 06GRC power costs.xls Chart 1_4 31E Reg Asset  Liab and EXH D 27" xfId="29739"/>
    <cellStyle name="_VC 6.15.06 update on 06GRC power costs.xls Chart 1_4 31E Reg Asset  Liab and EXH D 27 2" xfId="29740"/>
    <cellStyle name="_VC 6.15.06 update on 06GRC power costs.xls Chart 1_4 31E Reg Asset  Liab and EXH D 28" xfId="29741"/>
    <cellStyle name="_VC 6.15.06 update on 06GRC power costs.xls Chart 1_4 31E Reg Asset  Liab and EXH D 28 2" xfId="29742"/>
    <cellStyle name="_VC 6.15.06 update on 06GRC power costs.xls Chart 1_4 31E Reg Asset  Liab and EXH D 29" xfId="29743"/>
    <cellStyle name="_VC 6.15.06 update on 06GRC power costs.xls Chart 1_4 31E Reg Asset  Liab and EXH D 29 2" xfId="29744"/>
    <cellStyle name="_VC 6.15.06 update on 06GRC power costs.xls Chart 1_4 31E Reg Asset  Liab and EXH D 3" xfId="29745"/>
    <cellStyle name="_VC 6.15.06 update on 06GRC power costs.xls Chart 1_4 31E Reg Asset  Liab and EXH D 3 2" xfId="29746"/>
    <cellStyle name="_VC 6.15.06 update on 06GRC power costs.xls Chart 1_4 31E Reg Asset  Liab and EXH D 3 2 2" xfId="29747"/>
    <cellStyle name="_VC 6.15.06 update on 06GRC power costs.xls Chart 1_4 31E Reg Asset  Liab and EXH D 3 3" xfId="29748"/>
    <cellStyle name="_VC 6.15.06 update on 06GRC power costs.xls Chart 1_4 31E Reg Asset  Liab and EXH D 30" xfId="29749"/>
    <cellStyle name="_VC 6.15.06 update on 06GRC power costs.xls Chart 1_4 31E Reg Asset  Liab and EXH D 30 2" xfId="29750"/>
    <cellStyle name="_VC 6.15.06 update on 06GRC power costs.xls Chart 1_4 31E Reg Asset  Liab and EXH D 4" xfId="29751"/>
    <cellStyle name="_VC 6.15.06 update on 06GRC power costs.xls Chart 1_4 31E Reg Asset  Liab and EXH D 4 2" xfId="29752"/>
    <cellStyle name="_VC 6.15.06 update on 06GRC power costs.xls Chart 1_4 31E Reg Asset  Liab and EXH D 4 2 2" xfId="29753"/>
    <cellStyle name="_VC 6.15.06 update on 06GRC power costs.xls Chart 1_4 31E Reg Asset  Liab and EXH D 5" xfId="29754"/>
    <cellStyle name="_VC 6.15.06 update on 06GRC power costs.xls Chart 1_4 31E Reg Asset  Liab and EXH D 5 2" xfId="29755"/>
    <cellStyle name="_VC 6.15.06 update on 06GRC power costs.xls Chart 1_4 31E Reg Asset  Liab and EXH D 5 2 2" xfId="29756"/>
    <cellStyle name="_VC 6.15.06 update on 06GRC power costs.xls Chart 1_4 31E Reg Asset  Liab and EXH D 6" xfId="29757"/>
    <cellStyle name="_VC 6.15.06 update on 06GRC power costs.xls Chart 1_4 31E Reg Asset  Liab and EXH D 6 2" xfId="29758"/>
    <cellStyle name="_VC 6.15.06 update on 06GRC power costs.xls Chart 1_4 31E Reg Asset  Liab and EXH D 6 2 2" xfId="29759"/>
    <cellStyle name="_VC 6.15.06 update on 06GRC power costs.xls Chart 1_4 31E Reg Asset  Liab and EXH D 6 3" xfId="29760"/>
    <cellStyle name="_VC 6.15.06 update on 06GRC power costs.xls Chart 1_4 31E Reg Asset  Liab and EXH D 7" xfId="29761"/>
    <cellStyle name="_VC 6.15.06 update on 06GRC power costs.xls Chart 1_4 31E Reg Asset  Liab and EXH D 7 2" xfId="29762"/>
    <cellStyle name="_VC 6.15.06 update on 06GRC power costs.xls Chart 1_4 31E Reg Asset  Liab and EXH D 7 2 2" xfId="29763"/>
    <cellStyle name="_VC 6.15.06 update on 06GRC power costs.xls Chart 1_4 31E Reg Asset  Liab and EXH D 7 3" xfId="29764"/>
    <cellStyle name="_VC 6.15.06 update on 06GRC power costs.xls Chart 1_4 31E Reg Asset  Liab and EXH D 8" xfId="29765"/>
    <cellStyle name="_VC 6.15.06 update on 06GRC power costs.xls Chart 1_4 31E Reg Asset  Liab and EXH D 8 2" xfId="29766"/>
    <cellStyle name="_VC 6.15.06 update on 06GRC power costs.xls Chart 1_4 31E Reg Asset  Liab and EXH D 8 2 2" xfId="29767"/>
    <cellStyle name="_VC 6.15.06 update on 06GRC power costs.xls Chart 1_4 31E Reg Asset  Liab and EXH D 8 3" xfId="29768"/>
    <cellStyle name="_VC 6.15.06 update on 06GRC power costs.xls Chart 1_4 31E Reg Asset  Liab and EXH D 9" xfId="29769"/>
    <cellStyle name="_VC 6.15.06 update on 06GRC power costs.xls Chart 1_4 31E Reg Asset  Liab and EXH D 9 2" xfId="29770"/>
    <cellStyle name="_VC 6.15.06 update on 06GRC power costs.xls Chart 1_4 31E Reg Asset  Liab and EXH D 9 2 2" xfId="29771"/>
    <cellStyle name="_VC 6.15.06 update on 06GRC power costs.xls Chart 1_4 31E Reg Asset  Liab and EXH D 9 3" xfId="29772"/>
    <cellStyle name="_VC 6.15.06 update on 06GRC power costs.xls Chart 1_4 32 Regulatory Assets and Liabilities  7 06- Exhibit D" xfId="2234"/>
    <cellStyle name="_VC 6.15.06 update on 06GRC power costs.xls Chart 1_4 32 Regulatory Assets and Liabilities  7 06- Exhibit D 2" xfId="2235"/>
    <cellStyle name="_VC 6.15.06 update on 06GRC power costs.xls Chart 1_4 32 Regulatory Assets and Liabilities  7 06- Exhibit D 2 2" xfId="5598"/>
    <cellStyle name="_VC 6.15.06 update on 06GRC power costs.xls Chart 1_4 32 Regulatory Assets and Liabilities  7 06- Exhibit D 2 2 2" xfId="21597"/>
    <cellStyle name="_VC 6.15.06 update on 06GRC power costs.xls Chart 1_4 32 Regulatory Assets and Liabilities  7 06- Exhibit D 2 2 2 2" xfId="29773"/>
    <cellStyle name="_VC 6.15.06 update on 06GRC power costs.xls Chart 1_4 32 Regulatory Assets and Liabilities  7 06- Exhibit D 2 2 3" xfId="8517"/>
    <cellStyle name="_VC 6.15.06 update on 06GRC power costs.xls Chart 1_4 32 Regulatory Assets and Liabilities  7 06- Exhibit D 2 3" xfId="17142"/>
    <cellStyle name="_VC 6.15.06 update on 06GRC power costs.xls Chart 1_4 32 Regulatory Assets and Liabilities  7 06- Exhibit D 2 3 2" xfId="29774"/>
    <cellStyle name="_VC 6.15.06 update on 06GRC power costs.xls Chart 1_4 32 Regulatory Assets and Liabilities  7 06- Exhibit D 2 4" xfId="29775"/>
    <cellStyle name="_VC 6.15.06 update on 06GRC power costs.xls Chart 1_4 32 Regulatory Assets and Liabilities  7 06- Exhibit D 2 4 2" xfId="29776"/>
    <cellStyle name="_VC 6.15.06 update on 06GRC power costs.xls Chart 1_4 32 Regulatory Assets and Liabilities  7 06- Exhibit D 2 5" xfId="8516"/>
    <cellStyle name="_VC 6.15.06 update on 06GRC power costs.xls Chart 1_4 32 Regulatory Assets and Liabilities  7 06- Exhibit D 3" xfId="5597"/>
    <cellStyle name="_VC 6.15.06 update on 06GRC power costs.xls Chart 1_4 32 Regulatory Assets and Liabilities  7 06- Exhibit D 3 2" xfId="21598"/>
    <cellStyle name="_VC 6.15.06 update on 06GRC power costs.xls Chart 1_4 32 Regulatory Assets and Liabilities  7 06- Exhibit D 3 2 2" xfId="29777"/>
    <cellStyle name="_VC 6.15.06 update on 06GRC power costs.xls Chart 1_4 32 Regulatory Assets and Liabilities  7 06- Exhibit D 3 3" xfId="29778"/>
    <cellStyle name="_VC 6.15.06 update on 06GRC power costs.xls Chart 1_4 32 Regulatory Assets and Liabilities  7 06- Exhibit D 3 4" xfId="8518"/>
    <cellStyle name="_VC 6.15.06 update on 06GRC power costs.xls Chart 1_4 32 Regulatory Assets and Liabilities  7 06- Exhibit D 4" xfId="17141"/>
    <cellStyle name="_VC 6.15.06 update on 06GRC power costs.xls Chart 1_4 32 Regulatory Assets and Liabilities  7 06- Exhibit D 4 2" xfId="29779"/>
    <cellStyle name="_VC 6.15.06 update on 06GRC power costs.xls Chart 1_4 32 Regulatory Assets and Liabilities  7 06- Exhibit D 4 2 2" xfId="29780"/>
    <cellStyle name="_VC 6.15.06 update on 06GRC power costs.xls Chart 1_4 32 Regulatory Assets and Liabilities  7 06- Exhibit D 4 3" xfId="29781"/>
    <cellStyle name="_VC 6.15.06 update on 06GRC power costs.xls Chart 1_4 32 Regulatory Assets and Liabilities  7 06- Exhibit D 5" xfId="29782"/>
    <cellStyle name="_VC 6.15.06 update on 06GRC power costs.xls Chart 1_4 32 Regulatory Assets and Liabilities  7 06- Exhibit D 5 2" xfId="29783"/>
    <cellStyle name="_VC 6.15.06 update on 06GRC power costs.xls Chart 1_4 32 Regulatory Assets and Liabilities  7 06- Exhibit D 6" xfId="29784"/>
    <cellStyle name="_VC 6.15.06 update on 06GRC power costs.xls Chart 1_4 32 Regulatory Assets and Liabilities  7 06- Exhibit D 6 2" xfId="29785"/>
    <cellStyle name="_VC 6.15.06 update on 06GRC power costs.xls Chart 1_4 32 Regulatory Assets and Liabilities  7 06- Exhibit D 7" xfId="8515"/>
    <cellStyle name="_VC 6.15.06 update on 06GRC power costs.xls Chart 1_4 32 Regulatory Assets and Liabilities  7 06- Exhibit D_DEM-WP(C) ENERG10C--ctn Mid-C_042010 2010GRC" xfId="13117"/>
    <cellStyle name="_VC 6.15.06 update on 06GRC power costs.xls Chart 1_4 32 Regulatory Assets and Liabilities  7 06- Exhibit D_DEM-WP(C) ENERG10C--ctn Mid-C_042010 2010GRC 2" xfId="41873"/>
    <cellStyle name="_VC 6.15.06 update on 06GRC power costs.xls Chart 1_4 32 Regulatory Assets and Liabilities  7 06- Exhibit D_NIM Summary" xfId="2236"/>
    <cellStyle name="_VC 6.15.06 update on 06GRC power costs.xls Chart 1_4 32 Regulatory Assets and Liabilities  7 06- Exhibit D_NIM Summary 2" xfId="2237"/>
    <cellStyle name="_VC 6.15.06 update on 06GRC power costs.xls Chart 1_4 32 Regulatory Assets and Liabilities  7 06- Exhibit D_NIM Summary 2 2" xfId="5600"/>
    <cellStyle name="_VC 6.15.06 update on 06GRC power costs.xls Chart 1_4 32 Regulatory Assets and Liabilities  7 06- Exhibit D_NIM Summary 2 2 2" xfId="29786"/>
    <cellStyle name="_VC 6.15.06 update on 06GRC power costs.xls Chart 1_4 32 Regulatory Assets and Liabilities  7 06- Exhibit D_NIM Summary 2 2 2 2" xfId="29787"/>
    <cellStyle name="_VC 6.15.06 update on 06GRC power costs.xls Chart 1_4 32 Regulatory Assets and Liabilities  7 06- Exhibit D_NIM Summary 2 3" xfId="29788"/>
    <cellStyle name="_VC 6.15.06 update on 06GRC power costs.xls Chart 1_4 32 Regulatory Assets and Liabilities  7 06- Exhibit D_NIM Summary 2 3 2" xfId="29789"/>
    <cellStyle name="_VC 6.15.06 update on 06GRC power costs.xls Chart 1_4 32 Regulatory Assets and Liabilities  7 06- Exhibit D_NIM Summary 2 4" xfId="29790"/>
    <cellStyle name="_VC 6.15.06 update on 06GRC power costs.xls Chart 1_4 32 Regulatory Assets and Liabilities  7 06- Exhibit D_NIM Summary 2 4 2" xfId="29791"/>
    <cellStyle name="_VC 6.15.06 update on 06GRC power costs.xls Chart 1_4 32 Regulatory Assets and Liabilities  7 06- Exhibit D_NIM Summary 2 5" xfId="8520"/>
    <cellStyle name="_VC 6.15.06 update on 06GRC power costs.xls Chart 1_4 32 Regulatory Assets and Liabilities  7 06- Exhibit D_NIM Summary 3" xfId="5599"/>
    <cellStyle name="_VC 6.15.06 update on 06GRC power costs.xls Chart 1_4 32 Regulatory Assets and Liabilities  7 06- Exhibit D_NIM Summary 3 2" xfId="29792"/>
    <cellStyle name="_VC 6.15.06 update on 06GRC power costs.xls Chart 1_4 32 Regulatory Assets and Liabilities  7 06- Exhibit D_NIM Summary 3 2 2" xfId="29793"/>
    <cellStyle name="_VC 6.15.06 update on 06GRC power costs.xls Chart 1_4 32 Regulatory Assets and Liabilities  7 06- Exhibit D_NIM Summary 3 3" xfId="29794"/>
    <cellStyle name="_VC 6.15.06 update on 06GRC power costs.xls Chart 1_4 32 Regulatory Assets and Liabilities  7 06- Exhibit D_NIM Summary 4" xfId="29795"/>
    <cellStyle name="_VC 6.15.06 update on 06GRC power costs.xls Chart 1_4 32 Regulatory Assets and Liabilities  7 06- Exhibit D_NIM Summary 4 2" xfId="29796"/>
    <cellStyle name="_VC 6.15.06 update on 06GRC power costs.xls Chart 1_4 32 Regulatory Assets and Liabilities  7 06- Exhibit D_NIM Summary 4 2 2" xfId="29797"/>
    <cellStyle name="_VC 6.15.06 update on 06GRC power costs.xls Chart 1_4 32 Regulatory Assets and Liabilities  7 06- Exhibit D_NIM Summary 4 3" xfId="29798"/>
    <cellStyle name="_VC 6.15.06 update on 06GRC power costs.xls Chart 1_4 32 Regulatory Assets and Liabilities  7 06- Exhibit D_NIM Summary 5" xfId="29799"/>
    <cellStyle name="_VC 6.15.06 update on 06GRC power costs.xls Chart 1_4 32 Regulatory Assets and Liabilities  7 06- Exhibit D_NIM Summary 5 2" xfId="29800"/>
    <cellStyle name="_VC 6.15.06 update on 06GRC power costs.xls Chart 1_4 32 Regulatory Assets and Liabilities  7 06- Exhibit D_NIM Summary 6" xfId="29801"/>
    <cellStyle name="_VC 6.15.06 update on 06GRC power costs.xls Chart 1_4 32 Regulatory Assets and Liabilities  7 06- Exhibit D_NIM Summary 6 2" xfId="29802"/>
    <cellStyle name="_VC 6.15.06 update on 06GRC power costs.xls Chart 1_4 32 Regulatory Assets and Liabilities  7 06- Exhibit D_NIM Summary 7" xfId="8519"/>
    <cellStyle name="_VC 6.15.06 update on 06GRC power costs.xls Chart 1_4 32 Regulatory Assets and Liabilities  7 06- Exhibit D_NIM Summary_DEM-WP(C) ENERG10C--ctn Mid-C_042010 2010GRC" xfId="13118"/>
    <cellStyle name="_VC 6.15.06 update on 06GRC power costs.xls Chart 1_4 32 Regulatory Assets and Liabilities  7 06- Exhibit D_NIM Summary_DEM-WP(C) ENERG10C--ctn Mid-C_042010 2010GRC 2" xfId="41874"/>
    <cellStyle name="_VC 6.15.06 update on 06GRC power costs.xls Chart 1_AURORA Total New" xfId="2238"/>
    <cellStyle name="_VC 6.15.06 update on 06GRC power costs.xls Chart 1_AURORA Total New 2" xfId="2239"/>
    <cellStyle name="_VC 6.15.06 update on 06GRC power costs.xls Chart 1_AURORA Total New 2 2" xfId="5602"/>
    <cellStyle name="_VC 6.15.06 update on 06GRC power costs.xls Chart 1_AURORA Total New 2 2 2" xfId="29803"/>
    <cellStyle name="_VC 6.15.06 update on 06GRC power costs.xls Chart 1_AURORA Total New 2 2 2 2" xfId="29804"/>
    <cellStyle name="_VC 6.15.06 update on 06GRC power costs.xls Chart 1_AURORA Total New 2 3" xfId="29805"/>
    <cellStyle name="_VC 6.15.06 update on 06GRC power costs.xls Chart 1_AURORA Total New 2 3 2" xfId="29806"/>
    <cellStyle name="_VC 6.15.06 update on 06GRC power costs.xls Chart 1_AURORA Total New 2 4" xfId="29807"/>
    <cellStyle name="_VC 6.15.06 update on 06GRC power costs.xls Chart 1_AURORA Total New 2 4 2" xfId="29808"/>
    <cellStyle name="_VC 6.15.06 update on 06GRC power costs.xls Chart 1_AURORA Total New 2 5" xfId="8522"/>
    <cellStyle name="_VC 6.15.06 update on 06GRC power costs.xls Chart 1_AURORA Total New 3" xfId="5601"/>
    <cellStyle name="_VC 6.15.06 update on 06GRC power costs.xls Chart 1_AURORA Total New 3 2" xfId="29809"/>
    <cellStyle name="_VC 6.15.06 update on 06GRC power costs.xls Chart 1_AURORA Total New 3 2 2" xfId="29810"/>
    <cellStyle name="_VC 6.15.06 update on 06GRC power costs.xls Chart 1_AURORA Total New 4" xfId="29811"/>
    <cellStyle name="_VC 6.15.06 update on 06GRC power costs.xls Chart 1_AURORA Total New 4 2" xfId="29812"/>
    <cellStyle name="_VC 6.15.06 update on 06GRC power costs.xls Chart 1_AURORA Total New 5" xfId="29813"/>
    <cellStyle name="_VC 6.15.06 update on 06GRC power costs.xls Chart 1_AURORA Total New 5 2" xfId="29814"/>
    <cellStyle name="_VC 6.15.06 update on 06GRC power costs.xls Chart 1_AURORA Total New 6" xfId="8521"/>
    <cellStyle name="_VC 6.15.06 update on 06GRC power costs.xls Chart 1_Book2" xfId="2240"/>
    <cellStyle name="_VC 6.15.06 update on 06GRC power costs.xls Chart 1_Book2 2" xfId="2241"/>
    <cellStyle name="_VC 6.15.06 update on 06GRC power costs.xls Chart 1_Book2 2 2" xfId="5604"/>
    <cellStyle name="_VC 6.15.06 update on 06GRC power costs.xls Chart 1_Book2 2 2 2" xfId="21599"/>
    <cellStyle name="_VC 6.15.06 update on 06GRC power costs.xls Chart 1_Book2 2 2 2 2" xfId="29815"/>
    <cellStyle name="_VC 6.15.06 update on 06GRC power costs.xls Chart 1_Book2 2 2 3" xfId="8525"/>
    <cellStyle name="_VC 6.15.06 update on 06GRC power costs.xls Chart 1_Book2 2 3" xfId="17144"/>
    <cellStyle name="_VC 6.15.06 update on 06GRC power costs.xls Chart 1_Book2 2 3 2" xfId="29816"/>
    <cellStyle name="_VC 6.15.06 update on 06GRC power costs.xls Chart 1_Book2 2 4" xfId="29817"/>
    <cellStyle name="_VC 6.15.06 update on 06GRC power costs.xls Chart 1_Book2 2 4 2" xfId="29818"/>
    <cellStyle name="_VC 6.15.06 update on 06GRC power costs.xls Chart 1_Book2 2 5" xfId="8524"/>
    <cellStyle name="_VC 6.15.06 update on 06GRC power costs.xls Chart 1_Book2 3" xfId="5603"/>
    <cellStyle name="_VC 6.15.06 update on 06GRC power costs.xls Chart 1_Book2 3 2" xfId="21600"/>
    <cellStyle name="_VC 6.15.06 update on 06GRC power costs.xls Chart 1_Book2 3 2 2" xfId="29819"/>
    <cellStyle name="_VC 6.15.06 update on 06GRC power costs.xls Chart 1_Book2 3 3" xfId="29820"/>
    <cellStyle name="_VC 6.15.06 update on 06GRC power costs.xls Chart 1_Book2 3 4" xfId="8526"/>
    <cellStyle name="_VC 6.15.06 update on 06GRC power costs.xls Chart 1_Book2 4" xfId="17143"/>
    <cellStyle name="_VC 6.15.06 update on 06GRC power costs.xls Chart 1_Book2 4 2" xfId="29821"/>
    <cellStyle name="_VC 6.15.06 update on 06GRC power costs.xls Chart 1_Book2 4 2 2" xfId="29822"/>
    <cellStyle name="_VC 6.15.06 update on 06GRC power costs.xls Chart 1_Book2 4 3" xfId="29823"/>
    <cellStyle name="_VC 6.15.06 update on 06GRC power costs.xls Chart 1_Book2 5" xfId="29824"/>
    <cellStyle name="_VC 6.15.06 update on 06GRC power costs.xls Chart 1_Book2 5 2" xfId="29825"/>
    <cellStyle name="_VC 6.15.06 update on 06GRC power costs.xls Chart 1_Book2 6" xfId="29826"/>
    <cellStyle name="_VC 6.15.06 update on 06GRC power costs.xls Chart 1_Book2 6 2" xfId="29827"/>
    <cellStyle name="_VC 6.15.06 update on 06GRC power costs.xls Chart 1_Book2 7" xfId="8523"/>
    <cellStyle name="_VC 6.15.06 update on 06GRC power costs.xls Chart 1_Book2_Adj Bench DR 3 for Initial Briefs (Electric)" xfId="2242"/>
    <cellStyle name="_VC 6.15.06 update on 06GRC power costs.xls Chart 1_Book2_Adj Bench DR 3 for Initial Briefs (Electric) 2" xfId="2243"/>
    <cellStyle name="_VC 6.15.06 update on 06GRC power costs.xls Chart 1_Book2_Adj Bench DR 3 for Initial Briefs (Electric) 2 2" xfId="5606"/>
    <cellStyle name="_VC 6.15.06 update on 06GRC power costs.xls Chart 1_Book2_Adj Bench DR 3 for Initial Briefs (Electric) 2 2 2" xfId="21601"/>
    <cellStyle name="_VC 6.15.06 update on 06GRC power costs.xls Chart 1_Book2_Adj Bench DR 3 for Initial Briefs (Electric) 2 2 2 2" xfId="29828"/>
    <cellStyle name="_VC 6.15.06 update on 06GRC power costs.xls Chart 1_Book2_Adj Bench DR 3 for Initial Briefs (Electric) 2 2 3" xfId="8529"/>
    <cellStyle name="_VC 6.15.06 update on 06GRC power costs.xls Chart 1_Book2_Adj Bench DR 3 for Initial Briefs (Electric) 2 3" xfId="17146"/>
    <cellStyle name="_VC 6.15.06 update on 06GRC power costs.xls Chart 1_Book2_Adj Bench DR 3 for Initial Briefs (Electric) 2 3 2" xfId="29829"/>
    <cellStyle name="_VC 6.15.06 update on 06GRC power costs.xls Chart 1_Book2_Adj Bench DR 3 for Initial Briefs (Electric) 2 4" xfId="29830"/>
    <cellStyle name="_VC 6.15.06 update on 06GRC power costs.xls Chart 1_Book2_Adj Bench DR 3 for Initial Briefs (Electric) 2 4 2" xfId="29831"/>
    <cellStyle name="_VC 6.15.06 update on 06GRC power costs.xls Chart 1_Book2_Adj Bench DR 3 for Initial Briefs (Electric) 2 5" xfId="8528"/>
    <cellStyle name="_VC 6.15.06 update on 06GRC power costs.xls Chart 1_Book2_Adj Bench DR 3 for Initial Briefs (Electric) 3" xfId="5605"/>
    <cellStyle name="_VC 6.15.06 update on 06GRC power costs.xls Chart 1_Book2_Adj Bench DR 3 for Initial Briefs (Electric) 3 2" xfId="21602"/>
    <cellStyle name="_VC 6.15.06 update on 06GRC power costs.xls Chart 1_Book2_Adj Bench DR 3 for Initial Briefs (Electric) 3 2 2" xfId="29832"/>
    <cellStyle name="_VC 6.15.06 update on 06GRC power costs.xls Chart 1_Book2_Adj Bench DR 3 for Initial Briefs (Electric) 3 3" xfId="29833"/>
    <cellStyle name="_VC 6.15.06 update on 06GRC power costs.xls Chart 1_Book2_Adj Bench DR 3 for Initial Briefs (Electric) 3 4" xfId="8530"/>
    <cellStyle name="_VC 6.15.06 update on 06GRC power costs.xls Chart 1_Book2_Adj Bench DR 3 for Initial Briefs (Electric) 4" xfId="17145"/>
    <cellStyle name="_VC 6.15.06 update on 06GRC power costs.xls Chart 1_Book2_Adj Bench DR 3 for Initial Briefs (Electric) 4 2" xfId="29834"/>
    <cellStyle name="_VC 6.15.06 update on 06GRC power costs.xls Chart 1_Book2_Adj Bench DR 3 for Initial Briefs (Electric) 4 2 2" xfId="29835"/>
    <cellStyle name="_VC 6.15.06 update on 06GRC power costs.xls Chart 1_Book2_Adj Bench DR 3 for Initial Briefs (Electric) 4 3" xfId="29836"/>
    <cellStyle name="_VC 6.15.06 update on 06GRC power costs.xls Chart 1_Book2_Adj Bench DR 3 for Initial Briefs (Electric) 5" xfId="29837"/>
    <cellStyle name="_VC 6.15.06 update on 06GRC power costs.xls Chart 1_Book2_Adj Bench DR 3 for Initial Briefs (Electric) 5 2" xfId="29838"/>
    <cellStyle name="_VC 6.15.06 update on 06GRC power costs.xls Chart 1_Book2_Adj Bench DR 3 for Initial Briefs (Electric) 6" xfId="29839"/>
    <cellStyle name="_VC 6.15.06 update on 06GRC power costs.xls Chart 1_Book2_Adj Bench DR 3 for Initial Briefs (Electric) 6 2" xfId="29840"/>
    <cellStyle name="_VC 6.15.06 update on 06GRC power costs.xls Chart 1_Book2_Adj Bench DR 3 for Initial Briefs (Electric) 7" xfId="8527"/>
    <cellStyle name="_VC 6.15.06 update on 06GRC power costs.xls Chart 1_Book2_Adj Bench DR 3 for Initial Briefs (Electric)_DEM-WP(C) ENERG10C--ctn Mid-C_042010 2010GRC" xfId="13119"/>
    <cellStyle name="_VC 6.15.06 update on 06GRC power costs.xls Chart 1_Book2_Adj Bench DR 3 for Initial Briefs (Electric)_DEM-WP(C) ENERG10C--ctn Mid-C_042010 2010GRC 2" xfId="41875"/>
    <cellStyle name="_VC 6.15.06 update on 06GRC power costs.xls Chart 1_Book2_DEM-WP(C) ENERG10C--ctn Mid-C_042010 2010GRC" xfId="13120"/>
    <cellStyle name="_VC 6.15.06 update on 06GRC power costs.xls Chart 1_Book2_DEM-WP(C) ENERG10C--ctn Mid-C_042010 2010GRC 2" xfId="41876"/>
    <cellStyle name="_VC 6.15.06 update on 06GRC power costs.xls Chart 1_Book2_Electric Rev Req Model (2009 GRC) Rebuttal" xfId="2244"/>
    <cellStyle name="_VC 6.15.06 update on 06GRC power costs.xls Chart 1_Book2_Electric Rev Req Model (2009 GRC) Rebuttal 2" xfId="5607"/>
    <cellStyle name="_VC 6.15.06 update on 06GRC power costs.xls Chart 1_Book2_Electric Rev Req Model (2009 GRC) Rebuttal 2 2" xfId="8533"/>
    <cellStyle name="_VC 6.15.06 update on 06GRC power costs.xls Chart 1_Book2_Electric Rev Req Model (2009 GRC) Rebuttal 2 2 2" xfId="21603"/>
    <cellStyle name="_VC 6.15.06 update on 06GRC power costs.xls Chart 1_Book2_Electric Rev Req Model (2009 GRC) Rebuttal 2 3" xfId="18762"/>
    <cellStyle name="_VC 6.15.06 update on 06GRC power costs.xls Chart 1_Book2_Electric Rev Req Model (2009 GRC) Rebuttal 2 4" xfId="8532"/>
    <cellStyle name="_VC 6.15.06 update on 06GRC power costs.xls Chart 1_Book2_Electric Rev Req Model (2009 GRC) Rebuttal 3" xfId="8534"/>
    <cellStyle name="_VC 6.15.06 update on 06GRC power costs.xls Chart 1_Book2_Electric Rev Req Model (2009 GRC) Rebuttal 3 2" xfId="21604"/>
    <cellStyle name="_VC 6.15.06 update on 06GRC power costs.xls Chart 1_Book2_Electric Rev Req Model (2009 GRC) Rebuttal 4" xfId="17147"/>
    <cellStyle name="_VC 6.15.06 update on 06GRC power costs.xls Chart 1_Book2_Electric Rev Req Model (2009 GRC) Rebuttal 5" xfId="8531"/>
    <cellStyle name="_VC 6.15.06 update on 06GRC power costs.xls Chart 1_Book2_Electric Rev Req Model (2009 GRC) Rebuttal REmoval of New  WH Solar AdjustMI" xfId="2245"/>
    <cellStyle name="_VC 6.15.06 update on 06GRC power costs.xls Chart 1_Book2_Electric Rev Req Model (2009 GRC) Rebuttal REmoval of New  WH Solar AdjustMI 2" xfId="2246"/>
    <cellStyle name="_VC 6.15.06 update on 06GRC power costs.xls Chart 1_Book2_Electric Rev Req Model (2009 GRC) Rebuttal REmoval of New  WH Solar AdjustMI 2 2" xfId="5609"/>
    <cellStyle name="_VC 6.15.06 update on 06GRC power costs.xls Chart 1_Book2_Electric Rev Req Model (2009 GRC) Rebuttal REmoval of New  WH Solar AdjustMI 2 2 2" xfId="21605"/>
    <cellStyle name="_VC 6.15.06 update on 06GRC power costs.xls Chart 1_Book2_Electric Rev Req Model (2009 GRC) Rebuttal REmoval of New  WH Solar AdjustMI 2 2 2 2" xfId="29841"/>
    <cellStyle name="_VC 6.15.06 update on 06GRC power costs.xls Chart 1_Book2_Electric Rev Req Model (2009 GRC) Rebuttal REmoval of New  WH Solar AdjustMI 2 2 3" xfId="8537"/>
    <cellStyle name="_VC 6.15.06 update on 06GRC power costs.xls Chart 1_Book2_Electric Rev Req Model (2009 GRC) Rebuttal REmoval of New  WH Solar AdjustMI 2 3" xfId="17149"/>
    <cellStyle name="_VC 6.15.06 update on 06GRC power costs.xls Chart 1_Book2_Electric Rev Req Model (2009 GRC) Rebuttal REmoval of New  WH Solar AdjustMI 2 3 2" xfId="29842"/>
    <cellStyle name="_VC 6.15.06 update on 06GRC power costs.xls Chart 1_Book2_Electric Rev Req Model (2009 GRC) Rebuttal REmoval of New  WH Solar AdjustMI 2 4" xfId="29843"/>
    <cellStyle name="_VC 6.15.06 update on 06GRC power costs.xls Chart 1_Book2_Electric Rev Req Model (2009 GRC) Rebuttal REmoval of New  WH Solar AdjustMI 2 4 2" xfId="29844"/>
    <cellStyle name="_VC 6.15.06 update on 06GRC power costs.xls Chart 1_Book2_Electric Rev Req Model (2009 GRC) Rebuttal REmoval of New  WH Solar AdjustMI 2 5" xfId="8536"/>
    <cellStyle name="_VC 6.15.06 update on 06GRC power costs.xls Chart 1_Book2_Electric Rev Req Model (2009 GRC) Rebuttal REmoval of New  WH Solar AdjustMI 3" xfId="5608"/>
    <cellStyle name="_VC 6.15.06 update on 06GRC power costs.xls Chart 1_Book2_Electric Rev Req Model (2009 GRC) Rebuttal REmoval of New  WH Solar AdjustMI 3 2" xfId="21606"/>
    <cellStyle name="_VC 6.15.06 update on 06GRC power costs.xls Chart 1_Book2_Electric Rev Req Model (2009 GRC) Rebuttal REmoval of New  WH Solar AdjustMI 3 2 2" xfId="29845"/>
    <cellStyle name="_VC 6.15.06 update on 06GRC power costs.xls Chart 1_Book2_Electric Rev Req Model (2009 GRC) Rebuttal REmoval of New  WH Solar AdjustMI 3 3" xfId="29846"/>
    <cellStyle name="_VC 6.15.06 update on 06GRC power costs.xls Chart 1_Book2_Electric Rev Req Model (2009 GRC) Rebuttal REmoval of New  WH Solar AdjustMI 3 4" xfId="8538"/>
    <cellStyle name="_VC 6.15.06 update on 06GRC power costs.xls Chart 1_Book2_Electric Rev Req Model (2009 GRC) Rebuttal REmoval of New  WH Solar AdjustMI 4" xfId="17148"/>
    <cellStyle name="_VC 6.15.06 update on 06GRC power costs.xls Chart 1_Book2_Electric Rev Req Model (2009 GRC) Rebuttal REmoval of New  WH Solar AdjustMI 4 2" xfId="29847"/>
    <cellStyle name="_VC 6.15.06 update on 06GRC power costs.xls Chart 1_Book2_Electric Rev Req Model (2009 GRC) Rebuttal REmoval of New  WH Solar AdjustMI 4 2 2" xfId="29848"/>
    <cellStyle name="_VC 6.15.06 update on 06GRC power costs.xls Chart 1_Book2_Electric Rev Req Model (2009 GRC) Rebuttal REmoval of New  WH Solar AdjustMI 4 3" xfId="29849"/>
    <cellStyle name="_VC 6.15.06 update on 06GRC power costs.xls Chart 1_Book2_Electric Rev Req Model (2009 GRC) Rebuttal REmoval of New  WH Solar AdjustMI 5" xfId="29850"/>
    <cellStyle name="_VC 6.15.06 update on 06GRC power costs.xls Chart 1_Book2_Electric Rev Req Model (2009 GRC) Rebuttal REmoval of New  WH Solar AdjustMI 5 2" xfId="29851"/>
    <cellStyle name="_VC 6.15.06 update on 06GRC power costs.xls Chart 1_Book2_Electric Rev Req Model (2009 GRC) Rebuttal REmoval of New  WH Solar AdjustMI 6" xfId="29852"/>
    <cellStyle name="_VC 6.15.06 update on 06GRC power costs.xls Chart 1_Book2_Electric Rev Req Model (2009 GRC) Rebuttal REmoval of New  WH Solar AdjustMI 6 2" xfId="29853"/>
    <cellStyle name="_VC 6.15.06 update on 06GRC power costs.xls Chart 1_Book2_Electric Rev Req Model (2009 GRC) Rebuttal REmoval of New  WH Solar AdjustMI 7" xfId="8535"/>
    <cellStyle name="_VC 6.15.06 update on 06GRC power costs.xls Chart 1_Book2_Electric Rev Req Model (2009 GRC) Rebuttal REmoval of New  WH Solar AdjustMI_DEM-WP(C) ENERG10C--ctn Mid-C_042010 2010GRC" xfId="13121"/>
    <cellStyle name="_VC 6.15.06 update on 06GRC power costs.xls Chart 1_Book2_Electric Rev Req Model (2009 GRC) Rebuttal REmoval of New  WH Solar AdjustMI_DEM-WP(C) ENERG10C--ctn Mid-C_042010 2010GRC 2" xfId="41877"/>
    <cellStyle name="_VC 6.15.06 update on 06GRC power costs.xls Chart 1_Book2_Electric Rev Req Model (2009 GRC) Revised 01-18-2010" xfId="2247"/>
    <cellStyle name="_VC 6.15.06 update on 06GRC power costs.xls Chart 1_Book2_Electric Rev Req Model (2009 GRC) Revised 01-18-2010 2" xfId="2248"/>
    <cellStyle name="_VC 6.15.06 update on 06GRC power costs.xls Chart 1_Book2_Electric Rev Req Model (2009 GRC) Revised 01-18-2010 2 2" xfId="5611"/>
    <cellStyle name="_VC 6.15.06 update on 06GRC power costs.xls Chart 1_Book2_Electric Rev Req Model (2009 GRC) Revised 01-18-2010 2 2 2" xfId="21607"/>
    <cellStyle name="_VC 6.15.06 update on 06GRC power costs.xls Chart 1_Book2_Electric Rev Req Model (2009 GRC) Revised 01-18-2010 2 2 2 2" xfId="29854"/>
    <cellStyle name="_VC 6.15.06 update on 06GRC power costs.xls Chart 1_Book2_Electric Rev Req Model (2009 GRC) Revised 01-18-2010 2 2 3" xfId="8541"/>
    <cellStyle name="_VC 6.15.06 update on 06GRC power costs.xls Chart 1_Book2_Electric Rev Req Model (2009 GRC) Revised 01-18-2010 2 3" xfId="17151"/>
    <cellStyle name="_VC 6.15.06 update on 06GRC power costs.xls Chart 1_Book2_Electric Rev Req Model (2009 GRC) Revised 01-18-2010 2 3 2" xfId="29855"/>
    <cellStyle name="_VC 6.15.06 update on 06GRC power costs.xls Chart 1_Book2_Electric Rev Req Model (2009 GRC) Revised 01-18-2010 2 4" xfId="29856"/>
    <cellStyle name="_VC 6.15.06 update on 06GRC power costs.xls Chart 1_Book2_Electric Rev Req Model (2009 GRC) Revised 01-18-2010 2 4 2" xfId="29857"/>
    <cellStyle name="_VC 6.15.06 update on 06GRC power costs.xls Chart 1_Book2_Electric Rev Req Model (2009 GRC) Revised 01-18-2010 2 5" xfId="8540"/>
    <cellStyle name="_VC 6.15.06 update on 06GRC power costs.xls Chart 1_Book2_Electric Rev Req Model (2009 GRC) Revised 01-18-2010 3" xfId="5610"/>
    <cellStyle name="_VC 6.15.06 update on 06GRC power costs.xls Chart 1_Book2_Electric Rev Req Model (2009 GRC) Revised 01-18-2010 3 2" xfId="21608"/>
    <cellStyle name="_VC 6.15.06 update on 06GRC power costs.xls Chart 1_Book2_Electric Rev Req Model (2009 GRC) Revised 01-18-2010 3 2 2" xfId="29858"/>
    <cellStyle name="_VC 6.15.06 update on 06GRC power costs.xls Chart 1_Book2_Electric Rev Req Model (2009 GRC) Revised 01-18-2010 3 3" xfId="29859"/>
    <cellStyle name="_VC 6.15.06 update on 06GRC power costs.xls Chart 1_Book2_Electric Rev Req Model (2009 GRC) Revised 01-18-2010 3 4" xfId="8542"/>
    <cellStyle name="_VC 6.15.06 update on 06GRC power costs.xls Chart 1_Book2_Electric Rev Req Model (2009 GRC) Revised 01-18-2010 4" xfId="17150"/>
    <cellStyle name="_VC 6.15.06 update on 06GRC power costs.xls Chart 1_Book2_Electric Rev Req Model (2009 GRC) Revised 01-18-2010 4 2" xfId="29860"/>
    <cellStyle name="_VC 6.15.06 update on 06GRC power costs.xls Chart 1_Book2_Electric Rev Req Model (2009 GRC) Revised 01-18-2010 4 2 2" xfId="29861"/>
    <cellStyle name="_VC 6.15.06 update on 06GRC power costs.xls Chart 1_Book2_Electric Rev Req Model (2009 GRC) Revised 01-18-2010 4 3" xfId="29862"/>
    <cellStyle name="_VC 6.15.06 update on 06GRC power costs.xls Chart 1_Book2_Electric Rev Req Model (2009 GRC) Revised 01-18-2010 5" xfId="29863"/>
    <cellStyle name="_VC 6.15.06 update on 06GRC power costs.xls Chart 1_Book2_Electric Rev Req Model (2009 GRC) Revised 01-18-2010 5 2" xfId="29864"/>
    <cellStyle name="_VC 6.15.06 update on 06GRC power costs.xls Chart 1_Book2_Electric Rev Req Model (2009 GRC) Revised 01-18-2010 6" xfId="29865"/>
    <cellStyle name="_VC 6.15.06 update on 06GRC power costs.xls Chart 1_Book2_Electric Rev Req Model (2009 GRC) Revised 01-18-2010 6 2" xfId="29866"/>
    <cellStyle name="_VC 6.15.06 update on 06GRC power costs.xls Chart 1_Book2_Electric Rev Req Model (2009 GRC) Revised 01-18-2010 7" xfId="8539"/>
    <cellStyle name="_VC 6.15.06 update on 06GRC power costs.xls Chart 1_Book2_Electric Rev Req Model (2009 GRC) Revised 01-18-2010_DEM-WP(C) ENERG10C--ctn Mid-C_042010 2010GRC" xfId="13122"/>
    <cellStyle name="_VC 6.15.06 update on 06GRC power costs.xls Chart 1_Book2_Electric Rev Req Model (2009 GRC) Revised 01-18-2010_DEM-WP(C) ENERG10C--ctn Mid-C_042010 2010GRC 2" xfId="41878"/>
    <cellStyle name="_VC 6.15.06 update on 06GRC power costs.xls Chart 1_Book2_Final Order Electric EXHIBIT A-1" xfId="2249"/>
    <cellStyle name="_VC 6.15.06 update on 06GRC power costs.xls Chart 1_Book2_Final Order Electric EXHIBIT A-1 2" xfId="5612"/>
    <cellStyle name="_VC 6.15.06 update on 06GRC power costs.xls Chart 1_Book2_Final Order Electric EXHIBIT A-1 2 2" xfId="8545"/>
    <cellStyle name="_VC 6.15.06 update on 06GRC power costs.xls Chart 1_Book2_Final Order Electric EXHIBIT A-1 2 2 2" xfId="21609"/>
    <cellStyle name="_VC 6.15.06 update on 06GRC power costs.xls Chart 1_Book2_Final Order Electric EXHIBIT A-1 2 3" xfId="18763"/>
    <cellStyle name="_VC 6.15.06 update on 06GRC power costs.xls Chart 1_Book2_Final Order Electric EXHIBIT A-1 2 4" xfId="8544"/>
    <cellStyle name="_VC 6.15.06 update on 06GRC power costs.xls Chart 1_Book2_Final Order Electric EXHIBIT A-1 3" xfId="8546"/>
    <cellStyle name="_VC 6.15.06 update on 06GRC power costs.xls Chart 1_Book2_Final Order Electric EXHIBIT A-1 3 2" xfId="21610"/>
    <cellStyle name="_VC 6.15.06 update on 06GRC power costs.xls Chart 1_Book2_Final Order Electric EXHIBIT A-1 3 2 2" xfId="29867"/>
    <cellStyle name="_VC 6.15.06 update on 06GRC power costs.xls Chart 1_Book2_Final Order Electric EXHIBIT A-1 3 3" xfId="29868"/>
    <cellStyle name="_VC 6.15.06 update on 06GRC power costs.xls Chart 1_Book2_Final Order Electric EXHIBIT A-1 4" xfId="17152"/>
    <cellStyle name="_VC 6.15.06 update on 06GRC power costs.xls Chart 1_Book2_Final Order Electric EXHIBIT A-1 4 2" xfId="29869"/>
    <cellStyle name="_VC 6.15.06 update on 06GRC power costs.xls Chart 1_Book2_Final Order Electric EXHIBIT A-1 5" xfId="29870"/>
    <cellStyle name="_VC 6.15.06 update on 06GRC power costs.xls Chart 1_Book2_Final Order Electric EXHIBIT A-1 6" xfId="29871"/>
    <cellStyle name="_VC 6.15.06 update on 06GRC power costs.xls Chart 1_Book2_Final Order Electric EXHIBIT A-1 7" xfId="8543"/>
    <cellStyle name="_VC 6.15.06 update on 06GRC power costs.xls Chart 1_Book4" xfId="2250"/>
    <cellStyle name="_VC 6.15.06 update on 06GRC power costs.xls Chart 1_Book4 2" xfId="2251"/>
    <cellStyle name="_VC 6.15.06 update on 06GRC power costs.xls Chart 1_Book4 2 2" xfId="5614"/>
    <cellStyle name="_VC 6.15.06 update on 06GRC power costs.xls Chart 1_Book4 2 2 2" xfId="21611"/>
    <cellStyle name="_VC 6.15.06 update on 06GRC power costs.xls Chart 1_Book4 2 2 2 2" xfId="29872"/>
    <cellStyle name="_VC 6.15.06 update on 06GRC power costs.xls Chart 1_Book4 2 2 3" xfId="8549"/>
    <cellStyle name="_VC 6.15.06 update on 06GRC power costs.xls Chart 1_Book4 2 3" xfId="17154"/>
    <cellStyle name="_VC 6.15.06 update on 06GRC power costs.xls Chart 1_Book4 2 3 2" xfId="29873"/>
    <cellStyle name="_VC 6.15.06 update on 06GRC power costs.xls Chart 1_Book4 2 4" xfId="29874"/>
    <cellStyle name="_VC 6.15.06 update on 06GRC power costs.xls Chart 1_Book4 2 4 2" xfId="29875"/>
    <cellStyle name="_VC 6.15.06 update on 06GRC power costs.xls Chart 1_Book4 2 5" xfId="8548"/>
    <cellStyle name="_VC 6.15.06 update on 06GRC power costs.xls Chart 1_Book4 3" xfId="5613"/>
    <cellStyle name="_VC 6.15.06 update on 06GRC power costs.xls Chart 1_Book4 3 2" xfId="21612"/>
    <cellStyle name="_VC 6.15.06 update on 06GRC power costs.xls Chart 1_Book4 3 2 2" xfId="29876"/>
    <cellStyle name="_VC 6.15.06 update on 06GRC power costs.xls Chart 1_Book4 3 3" xfId="29877"/>
    <cellStyle name="_VC 6.15.06 update on 06GRC power costs.xls Chart 1_Book4 3 4" xfId="8550"/>
    <cellStyle name="_VC 6.15.06 update on 06GRC power costs.xls Chart 1_Book4 4" xfId="17153"/>
    <cellStyle name="_VC 6.15.06 update on 06GRC power costs.xls Chart 1_Book4 4 2" xfId="29878"/>
    <cellStyle name="_VC 6.15.06 update on 06GRC power costs.xls Chart 1_Book4 4 2 2" xfId="29879"/>
    <cellStyle name="_VC 6.15.06 update on 06GRC power costs.xls Chart 1_Book4 4 3" xfId="29880"/>
    <cellStyle name="_VC 6.15.06 update on 06GRC power costs.xls Chart 1_Book4 5" xfId="29881"/>
    <cellStyle name="_VC 6.15.06 update on 06GRC power costs.xls Chart 1_Book4 5 2" xfId="29882"/>
    <cellStyle name="_VC 6.15.06 update on 06GRC power costs.xls Chart 1_Book4 6" xfId="29883"/>
    <cellStyle name="_VC 6.15.06 update on 06GRC power costs.xls Chart 1_Book4 6 2" xfId="29884"/>
    <cellStyle name="_VC 6.15.06 update on 06GRC power costs.xls Chart 1_Book4 7" xfId="8547"/>
    <cellStyle name="_VC 6.15.06 update on 06GRC power costs.xls Chart 1_Book4_DEM-WP(C) ENERG10C--ctn Mid-C_042010 2010GRC" xfId="13123"/>
    <cellStyle name="_VC 6.15.06 update on 06GRC power costs.xls Chart 1_Book4_DEM-WP(C) ENERG10C--ctn Mid-C_042010 2010GRC 2" xfId="41879"/>
    <cellStyle name="_VC 6.15.06 update on 06GRC power costs.xls Chart 1_Book9" xfId="2252"/>
    <cellStyle name="_VC 6.15.06 update on 06GRC power costs.xls Chart 1_Book9 2" xfId="2253"/>
    <cellStyle name="_VC 6.15.06 update on 06GRC power costs.xls Chart 1_Book9 2 2" xfId="5616"/>
    <cellStyle name="_VC 6.15.06 update on 06GRC power costs.xls Chart 1_Book9 2 2 2" xfId="21613"/>
    <cellStyle name="_VC 6.15.06 update on 06GRC power costs.xls Chart 1_Book9 2 2 2 2" xfId="29885"/>
    <cellStyle name="_VC 6.15.06 update on 06GRC power costs.xls Chart 1_Book9 2 2 3" xfId="8553"/>
    <cellStyle name="_VC 6.15.06 update on 06GRC power costs.xls Chart 1_Book9 2 3" xfId="17156"/>
    <cellStyle name="_VC 6.15.06 update on 06GRC power costs.xls Chart 1_Book9 2 3 2" xfId="29886"/>
    <cellStyle name="_VC 6.15.06 update on 06GRC power costs.xls Chart 1_Book9 2 4" xfId="29887"/>
    <cellStyle name="_VC 6.15.06 update on 06GRC power costs.xls Chart 1_Book9 2 4 2" xfId="29888"/>
    <cellStyle name="_VC 6.15.06 update on 06GRC power costs.xls Chart 1_Book9 2 5" xfId="8552"/>
    <cellStyle name="_VC 6.15.06 update on 06GRC power costs.xls Chart 1_Book9 3" xfId="5615"/>
    <cellStyle name="_VC 6.15.06 update on 06GRC power costs.xls Chart 1_Book9 3 2" xfId="21614"/>
    <cellStyle name="_VC 6.15.06 update on 06GRC power costs.xls Chart 1_Book9 3 2 2" xfId="29889"/>
    <cellStyle name="_VC 6.15.06 update on 06GRC power costs.xls Chart 1_Book9 3 3" xfId="29890"/>
    <cellStyle name="_VC 6.15.06 update on 06GRC power costs.xls Chart 1_Book9 3 4" xfId="8554"/>
    <cellStyle name="_VC 6.15.06 update on 06GRC power costs.xls Chart 1_Book9 4" xfId="17155"/>
    <cellStyle name="_VC 6.15.06 update on 06GRC power costs.xls Chart 1_Book9 4 2" xfId="29891"/>
    <cellStyle name="_VC 6.15.06 update on 06GRC power costs.xls Chart 1_Book9 4 2 2" xfId="29892"/>
    <cellStyle name="_VC 6.15.06 update on 06GRC power costs.xls Chart 1_Book9 4 3" xfId="29893"/>
    <cellStyle name="_VC 6.15.06 update on 06GRC power costs.xls Chart 1_Book9 5" xfId="29894"/>
    <cellStyle name="_VC 6.15.06 update on 06GRC power costs.xls Chart 1_Book9 5 2" xfId="29895"/>
    <cellStyle name="_VC 6.15.06 update on 06GRC power costs.xls Chart 1_Book9 6" xfId="29896"/>
    <cellStyle name="_VC 6.15.06 update on 06GRC power costs.xls Chart 1_Book9 6 2" xfId="29897"/>
    <cellStyle name="_VC 6.15.06 update on 06GRC power costs.xls Chart 1_Book9 7" xfId="8551"/>
    <cellStyle name="_VC 6.15.06 update on 06GRC power costs.xls Chart 1_Book9_DEM-WP(C) ENERG10C--ctn Mid-C_042010 2010GRC" xfId="13124"/>
    <cellStyle name="_VC 6.15.06 update on 06GRC power costs.xls Chart 1_Book9_DEM-WP(C) ENERG10C--ctn Mid-C_042010 2010GRC 2" xfId="41880"/>
    <cellStyle name="_VC 6.15.06 update on 06GRC power costs.xls Chart 1_Chelan PUD Power Costs (8-10)" xfId="13125"/>
    <cellStyle name="_VC 6.15.06 update on 06GRC power costs.xls Chart 1_Chelan PUD Power Costs (8-10) 2" xfId="29898"/>
    <cellStyle name="_VC 6.15.06 update on 06GRC power costs.xls Chart 1_DEM-WP(C) Chelan Power Costs" xfId="13126"/>
    <cellStyle name="_VC 6.15.06 update on 06GRC power costs.xls Chart 1_DEM-WP(C) Chelan Power Costs 2" xfId="29899"/>
    <cellStyle name="_VC 6.15.06 update on 06GRC power costs.xls Chart 1_DEM-WP(C) Chelan Power Costs 2 2" xfId="29900"/>
    <cellStyle name="_VC 6.15.06 update on 06GRC power costs.xls Chart 1_DEM-WP(C) Chelan Power Costs 2 2 2" xfId="29901"/>
    <cellStyle name="_VC 6.15.06 update on 06GRC power costs.xls Chart 1_DEM-WP(C) Chelan Power Costs 2 3" xfId="29902"/>
    <cellStyle name="_VC 6.15.06 update on 06GRC power costs.xls Chart 1_DEM-WP(C) Chelan Power Costs 3" xfId="29903"/>
    <cellStyle name="_VC 6.15.06 update on 06GRC power costs.xls Chart 1_DEM-WP(C) Chelan Power Costs 3 2" xfId="29904"/>
    <cellStyle name="_VC 6.15.06 update on 06GRC power costs.xls Chart 1_DEM-WP(C) Chelan Power Costs 3 2 2" xfId="29905"/>
    <cellStyle name="_VC 6.15.06 update on 06GRC power costs.xls Chart 1_DEM-WP(C) Chelan Power Costs 3 3" xfId="29906"/>
    <cellStyle name="_VC 6.15.06 update on 06GRC power costs.xls Chart 1_DEM-WP(C) Chelan Power Costs 4" xfId="29907"/>
    <cellStyle name="_VC 6.15.06 update on 06GRC power costs.xls Chart 1_DEM-WP(C) Chelan Power Costs 4 2" xfId="29908"/>
    <cellStyle name="_VC 6.15.06 update on 06GRC power costs.xls Chart 1_DEM-WP(C) Chelan Power Costs 5" xfId="29909"/>
    <cellStyle name="_VC 6.15.06 update on 06GRC power costs.xls Chart 1_DEM-WP(C) Chelan Power Costs 5 2" xfId="29910"/>
    <cellStyle name="_VC 6.15.06 update on 06GRC power costs.xls Chart 1_DEM-WP(C) ENERG10C--ctn Mid-C_042010 2010GRC" xfId="13127"/>
    <cellStyle name="_VC 6.15.06 update on 06GRC power costs.xls Chart 1_DEM-WP(C) ENERG10C--ctn Mid-C_042010 2010GRC 2" xfId="41881"/>
    <cellStyle name="_VC 6.15.06 update on 06GRC power costs.xls Chart 1_DEM-WP(C) Gas Transport 2010GRC" xfId="13128"/>
    <cellStyle name="_VC 6.15.06 update on 06GRC power costs.xls Chart 1_DEM-WP(C) Gas Transport 2010GRC 2" xfId="29911"/>
    <cellStyle name="_VC 6.15.06 update on 06GRC power costs.xls Chart 1_DEM-WP(C) Gas Transport 2010GRC 2 2" xfId="29912"/>
    <cellStyle name="_VC 6.15.06 update on 06GRC power costs.xls Chart 1_DEM-WP(C) Gas Transport 2010GRC 2 2 2" xfId="29913"/>
    <cellStyle name="_VC 6.15.06 update on 06GRC power costs.xls Chart 1_DEM-WP(C) Gas Transport 2010GRC 2 3" xfId="29914"/>
    <cellStyle name="_VC 6.15.06 update on 06GRC power costs.xls Chart 1_DEM-WP(C) Gas Transport 2010GRC 3" xfId="29915"/>
    <cellStyle name="_VC 6.15.06 update on 06GRC power costs.xls Chart 1_DEM-WP(C) Gas Transport 2010GRC 3 2" xfId="29916"/>
    <cellStyle name="_VC 6.15.06 update on 06GRC power costs.xls Chart 1_DEM-WP(C) Gas Transport 2010GRC 3 2 2" xfId="29917"/>
    <cellStyle name="_VC 6.15.06 update on 06GRC power costs.xls Chart 1_DEM-WP(C) Gas Transport 2010GRC 3 3" xfId="29918"/>
    <cellStyle name="_VC 6.15.06 update on 06GRC power costs.xls Chart 1_DEM-WP(C) Gas Transport 2010GRC 4" xfId="29919"/>
    <cellStyle name="_VC 6.15.06 update on 06GRC power costs.xls Chart 1_DEM-WP(C) Gas Transport 2010GRC 4 2" xfId="29920"/>
    <cellStyle name="_VC 6.15.06 update on 06GRC power costs.xls Chart 1_DEM-WP(C) Gas Transport 2010GRC 5" xfId="29921"/>
    <cellStyle name="_VC 6.15.06 update on 06GRC power costs.xls Chart 1_DEM-WP(C) Gas Transport 2010GRC 5 2" xfId="29922"/>
    <cellStyle name="_VC 6.15.06 update on 06GRC power costs.xls Chart 1_Exh A-1 resulting from UE-112050 effective Jan 1 2012" xfId="15321"/>
    <cellStyle name="_VC 6.15.06 update on 06GRC power costs.xls Chart 1_Exh A-1 resulting from UE-112050 effective Jan 1 2012 2" xfId="41882"/>
    <cellStyle name="_VC 6.15.06 update on 06GRC power costs.xls Chart 1_Exhibit A-1 effective 4-1-11 fr S Free 12-11" xfId="15322"/>
    <cellStyle name="_VC 6.15.06 update on 06GRC power costs.xls Chart 1_Exhibit A-1 effective 4-1-11 fr S Free 12-11 2" xfId="41883"/>
    <cellStyle name="_VC 6.15.06 update on 06GRC power costs.xls Chart 1_INPUTS" xfId="8555"/>
    <cellStyle name="_VC 6.15.06 update on 06GRC power costs.xls Chart 1_INPUTS 2" xfId="8556"/>
    <cellStyle name="_VC 6.15.06 update on 06GRC power costs.xls Chart 1_INPUTS 2 2" xfId="8557"/>
    <cellStyle name="_VC 6.15.06 update on 06GRC power costs.xls Chart 1_INPUTS 2 2 2" xfId="21615"/>
    <cellStyle name="_VC 6.15.06 update on 06GRC power costs.xls Chart 1_INPUTS 2 3" xfId="18765"/>
    <cellStyle name="_VC 6.15.06 update on 06GRC power costs.xls Chart 1_INPUTS 3" xfId="8558"/>
    <cellStyle name="_VC 6.15.06 update on 06GRC power costs.xls Chart 1_INPUTS 3 2" xfId="21616"/>
    <cellStyle name="_VC 6.15.06 update on 06GRC power costs.xls Chart 1_INPUTS 4" xfId="18764"/>
    <cellStyle name="_VC 6.15.06 update on 06GRC power costs.xls Chart 1_Mint Farm Generation BPA" xfId="29923"/>
    <cellStyle name="_VC 6.15.06 update on 06GRC power costs.xls Chart 1_NIM Summary" xfId="2254"/>
    <cellStyle name="_VC 6.15.06 update on 06GRC power costs.xls Chart 1_NIM Summary 09GRC" xfId="2255"/>
    <cellStyle name="_VC 6.15.06 update on 06GRC power costs.xls Chart 1_NIM Summary 09GRC 2" xfId="2256"/>
    <cellStyle name="_VC 6.15.06 update on 06GRC power costs.xls Chart 1_NIM Summary 09GRC 2 2" xfId="5619"/>
    <cellStyle name="_VC 6.15.06 update on 06GRC power costs.xls Chart 1_NIM Summary 09GRC 2 2 2" xfId="29924"/>
    <cellStyle name="_VC 6.15.06 update on 06GRC power costs.xls Chart 1_NIM Summary 09GRC 2 2 2 2" xfId="29925"/>
    <cellStyle name="_VC 6.15.06 update on 06GRC power costs.xls Chart 1_NIM Summary 09GRC 2 3" xfId="29926"/>
    <cellStyle name="_VC 6.15.06 update on 06GRC power costs.xls Chart 1_NIM Summary 09GRC 2 3 2" xfId="29927"/>
    <cellStyle name="_VC 6.15.06 update on 06GRC power costs.xls Chart 1_NIM Summary 09GRC 2 4" xfId="29928"/>
    <cellStyle name="_VC 6.15.06 update on 06GRC power costs.xls Chart 1_NIM Summary 09GRC 2 4 2" xfId="29929"/>
    <cellStyle name="_VC 6.15.06 update on 06GRC power costs.xls Chart 1_NIM Summary 09GRC 2 5" xfId="8561"/>
    <cellStyle name="_VC 6.15.06 update on 06GRC power costs.xls Chart 1_NIM Summary 09GRC 3" xfId="5618"/>
    <cellStyle name="_VC 6.15.06 update on 06GRC power costs.xls Chart 1_NIM Summary 09GRC 3 2" xfId="29930"/>
    <cellStyle name="_VC 6.15.06 update on 06GRC power costs.xls Chart 1_NIM Summary 09GRC 3 2 2" xfId="29931"/>
    <cellStyle name="_VC 6.15.06 update on 06GRC power costs.xls Chart 1_NIM Summary 09GRC 3 3" xfId="29932"/>
    <cellStyle name="_VC 6.15.06 update on 06GRC power costs.xls Chart 1_NIM Summary 09GRC 4" xfId="29933"/>
    <cellStyle name="_VC 6.15.06 update on 06GRC power costs.xls Chart 1_NIM Summary 09GRC 4 2" xfId="29934"/>
    <cellStyle name="_VC 6.15.06 update on 06GRC power costs.xls Chart 1_NIM Summary 09GRC 4 2 2" xfId="29935"/>
    <cellStyle name="_VC 6.15.06 update on 06GRC power costs.xls Chart 1_NIM Summary 09GRC 4 3" xfId="29936"/>
    <cellStyle name="_VC 6.15.06 update on 06GRC power costs.xls Chart 1_NIM Summary 09GRC 5" xfId="29937"/>
    <cellStyle name="_VC 6.15.06 update on 06GRC power costs.xls Chart 1_NIM Summary 09GRC 5 2" xfId="29938"/>
    <cellStyle name="_VC 6.15.06 update on 06GRC power costs.xls Chart 1_NIM Summary 09GRC 6" xfId="29939"/>
    <cellStyle name="_VC 6.15.06 update on 06GRC power costs.xls Chart 1_NIM Summary 09GRC 6 2" xfId="29940"/>
    <cellStyle name="_VC 6.15.06 update on 06GRC power costs.xls Chart 1_NIM Summary 09GRC 7" xfId="8560"/>
    <cellStyle name="_VC 6.15.06 update on 06GRC power costs.xls Chart 1_NIM Summary 09GRC_DEM-WP(C) ENERG10C--ctn Mid-C_042010 2010GRC" xfId="13129"/>
    <cellStyle name="_VC 6.15.06 update on 06GRC power costs.xls Chart 1_NIM Summary 09GRC_DEM-WP(C) ENERG10C--ctn Mid-C_042010 2010GRC 2" xfId="41884"/>
    <cellStyle name="_VC 6.15.06 update on 06GRC power costs.xls Chart 1_NIM Summary 10" xfId="5617"/>
    <cellStyle name="_VC 6.15.06 update on 06GRC power costs.xls Chart 1_NIM Summary 10 2" xfId="29941"/>
    <cellStyle name="_VC 6.15.06 update on 06GRC power costs.xls Chart 1_NIM Summary 10 2 2" xfId="29942"/>
    <cellStyle name="_VC 6.15.06 update on 06GRC power costs.xls Chart 1_NIM Summary 10 3" xfId="29943"/>
    <cellStyle name="_VC 6.15.06 update on 06GRC power costs.xls Chart 1_NIM Summary 10 4" xfId="29944"/>
    <cellStyle name="_VC 6.15.06 update on 06GRC power costs.xls Chart 1_NIM Summary 11" xfId="6257"/>
    <cellStyle name="_VC 6.15.06 update on 06GRC power costs.xls Chart 1_NIM Summary 11 2" xfId="29945"/>
    <cellStyle name="_VC 6.15.06 update on 06GRC power costs.xls Chart 1_NIM Summary 11 2 2" xfId="29946"/>
    <cellStyle name="_VC 6.15.06 update on 06GRC power costs.xls Chart 1_NIM Summary 11 3" xfId="29947"/>
    <cellStyle name="_VC 6.15.06 update on 06GRC power costs.xls Chart 1_NIM Summary 11 4" xfId="29948"/>
    <cellStyle name="_VC 6.15.06 update on 06GRC power costs.xls Chart 1_NIM Summary 12" xfId="6231"/>
    <cellStyle name="_VC 6.15.06 update on 06GRC power costs.xls Chart 1_NIM Summary 12 2" xfId="29949"/>
    <cellStyle name="_VC 6.15.06 update on 06GRC power costs.xls Chart 1_NIM Summary 12 2 2" xfId="29950"/>
    <cellStyle name="_VC 6.15.06 update on 06GRC power costs.xls Chart 1_NIM Summary 12 3" xfId="29951"/>
    <cellStyle name="_VC 6.15.06 update on 06GRC power costs.xls Chart 1_NIM Summary 12 4" xfId="29952"/>
    <cellStyle name="_VC 6.15.06 update on 06GRC power costs.xls Chart 1_NIM Summary 13" xfId="6256"/>
    <cellStyle name="_VC 6.15.06 update on 06GRC power costs.xls Chart 1_NIM Summary 13 2" xfId="29953"/>
    <cellStyle name="_VC 6.15.06 update on 06GRC power costs.xls Chart 1_NIM Summary 13 2 2" xfId="29954"/>
    <cellStyle name="_VC 6.15.06 update on 06GRC power costs.xls Chart 1_NIM Summary 13 3" xfId="29955"/>
    <cellStyle name="_VC 6.15.06 update on 06GRC power costs.xls Chart 1_NIM Summary 13 4" xfId="29956"/>
    <cellStyle name="_VC 6.15.06 update on 06GRC power costs.xls Chart 1_NIM Summary 14" xfId="6326"/>
    <cellStyle name="_VC 6.15.06 update on 06GRC power costs.xls Chart 1_NIM Summary 14 2" xfId="29957"/>
    <cellStyle name="_VC 6.15.06 update on 06GRC power costs.xls Chart 1_NIM Summary 14 2 2" xfId="29958"/>
    <cellStyle name="_VC 6.15.06 update on 06GRC power costs.xls Chart 1_NIM Summary 14 3" xfId="29959"/>
    <cellStyle name="_VC 6.15.06 update on 06GRC power costs.xls Chart 1_NIM Summary 14 4" xfId="29960"/>
    <cellStyle name="_VC 6.15.06 update on 06GRC power costs.xls Chart 1_NIM Summary 15" xfId="15323"/>
    <cellStyle name="_VC 6.15.06 update on 06GRC power costs.xls Chart 1_NIM Summary 15 2" xfId="29961"/>
    <cellStyle name="_VC 6.15.06 update on 06GRC power costs.xls Chart 1_NIM Summary 15 2 2" xfId="29962"/>
    <cellStyle name="_VC 6.15.06 update on 06GRC power costs.xls Chart 1_NIM Summary 15 3" xfId="29963"/>
    <cellStyle name="_VC 6.15.06 update on 06GRC power costs.xls Chart 1_NIM Summary 15 4" xfId="29964"/>
    <cellStyle name="_VC 6.15.06 update on 06GRC power costs.xls Chart 1_NIM Summary 16" xfId="15324"/>
    <cellStyle name="_VC 6.15.06 update on 06GRC power costs.xls Chart 1_NIM Summary 16 2" xfId="29965"/>
    <cellStyle name="_VC 6.15.06 update on 06GRC power costs.xls Chart 1_NIM Summary 16 2 2" xfId="29966"/>
    <cellStyle name="_VC 6.15.06 update on 06GRC power costs.xls Chart 1_NIM Summary 16 3" xfId="29967"/>
    <cellStyle name="_VC 6.15.06 update on 06GRC power costs.xls Chart 1_NIM Summary 16 4" xfId="29968"/>
    <cellStyle name="_VC 6.15.06 update on 06GRC power costs.xls Chart 1_NIM Summary 17" xfId="15325"/>
    <cellStyle name="_VC 6.15.06 update on 06GRC power costs.xls Chart 1_NIM Summary 17 2" xfId="29969"/>
    <cellStyle name="_VC 6.15.06 update on 06GRC power costs.xls Chart 1_NIM Summary 17 2 2" xfId="29970"/>
    <cellStyle name="_VC 6.15.06 update on 06GRC power costs.xls Chart 1_NIM Summary 17 3" xfId="29971"/>
    <cellStyle name="_VC 6.15.06 update on 06GRC power costs.xls Chart 1_NIM Summary 17 4" xfId="29972"/>
    <cellStyle name="_VC 6.15.06 update on 06GRC power costs.xls Chart 1_NIM Summary 18" xfId="15326"/>
    <cellStyle name="_VC 6.15.06 update on 06GRC power costs.xls Chart 1_NIM Summary 18 2" xfId="29973"/>
    <cellStyle name="_VC 6.15.06 update on 06GRC power costs.xls Chart 1_NIM Summary 18 3" xfId="29974"/>
    <cellStyle name="_VC 6.15.06 update on 06GRC power costs.xls Chart 1_NIM Summary 19" xfId="15327"/>
    <cellStyle name="_VC 6.15.06 update on 06GRC power costs.xls Chart 1_NIM Summary 19 2" xfId="29975"/>
    <cellStyle name="_VC 6.15.06 update on 06GRC power costs.xls Chart 1_NIM Summary 19 3" xfId="29976"/>
    <cellStyle name="_VC 6.15.06 update on 06GRC power costs.xls Chart 1_NIM Summary 2" xfId="2257"/>
    <cellStyle name="_VC 6.15.06 update on 06GRC power costs.xls Chart 1_NIM Summary 2 2" xfId="5620"/>
    <cellStyle name="_VC 6.15.06 update on 06GRC power costs.xls Chart 1_NIM Summary 2 2 2" xfId="29977"/>
    <cellStyle name="_VC 6.15.06 update on 06GRC power costs.xls Chart 1_NIM Summary 2 2 2 2" xfId="29978"/>
    <cellStyle name="_VC 6.15.06 update on 06GRC power costs.xls Chart 1_NIM Summary 2 3" xfId="29979"/>
    <cellStyle name="_VC 6.15.06 update on 06GRC power costs.xls Chart 1_NIM Summary 2 3 2" xfId="29980"/>
    <cellStyle name="_VC 6.15.06 update on 06GRC power costs.xls Chart 1_NIM Summary 2 4" xfId="29981"/>
    <cellStyle name="_VC 6.15.06 update on 06GRC power costs.xls Chart 1_NIM Summary 2 4 2" xfId="29982"/>
    <cellStyle name="_VC 6.15.06 update on 06GRC power costs.xls Chart 1_NIM Summary 2 5" xfId="8562"/>
    <cellStyle name="_VC 6.15.06 update on 06GRC power costs.xls Chart 1_NIM Summary 20" xfId="15328"/>
    <cellStyle name="_VC 6.15.06 update on 06GRC power costs.xls Chart 1_NIM Summary 20 2" xfId="29983"/>
    <cellStyle name="_VC 6.15.06 update on 06GRC power costs.xls Chart 1_NIM Summary 20 3" xfId="29984"/>
    <cellStyle name="_VC 6.15.06 update on 06GRC power costs.xls Chart 1_NIM Summary 21" xfId="15329"/>
    <cellStyle name="_VC 6.15.06 update on 06GRC power costs.xls Chart 1_NIM Summary 21 2" xfId="29985"/>
    <cellStyle name="_VC 6.15.06 update on 06GRC power costs.xls Chart 1_NIM Summary 21 3" xfId="29986"/>
    <cellStyle name="_VC 6.15.06 update on 06GRC power costs.xls Chart 1_NIM Summary 22" xfId="15330"/>
    <cellStyle name="_VC 6.15.06 update on 06GRC power costs.xls Chart 1_NIM Summary 22 2" xfId="29987"/>
    <cellStyle name="_VC 6.15.06 update on 06GRC power costs.xls Chart 1_NIM Summary 22 3" xfId="29988"/>
    <cellStyle name="_VC 6.15.06 update on 06GRC power costs.xls Chart 1_NIM Summary 23" xfId="15331"/>
    <cellStyle name="_VC 6.15.06 update on 06GRC power costs.xls Chart 1_NIM Summary 23 2" xfId="29989"/>
    <cellStyle name="_VC 6.15.06 update on 06GRC power costs.xls Chart 1_NIM Summary 23 3" xfId="29990"/>
    <cellStyle name="_VC 6.15.06 update on 06GRC power costs.xls Chart 1_NIM Summary 24" xfId="15332"/>
    <cellStyle name="_VC 6.15.06 update on 06GRC power costs.xls Chart 1_NIM Summary 24 2" xfId="29991"/>
    <cellStyle name="_VC 6.15.06 update on 06GRC power costs.xls Chart 1_NIM Summary 24 3" xfId="29992"/>
    <cellStyle name="_VC 6.15.06 update on 06GRC power costs.xls Chart 1_NIM Summary 25" xfId="15333"/>
    <cellStyle name="_VC 6.15.06 update on 06GRC power costs.xls Chart 1_NIM Summary 25 2" xfId="29993"/>
    <cellStyle name="_VC 6.15.06 update on 06GRC power costs.xls Chart 1_NIM Summary 25 3" xfId="29994"/>
    <cellStyle name="_VC 6.15.06 update on 06GRC power costs.xls Chart 1_NIM Summary 26" xfId="15334"/>
    <cellStyle name="_VC 6.15.06 update on 06GRC power costs.xls Chart 1_NIM Summary 26 2" xfId="29995"/>
    <cellStyle name="_VC 6.15.06 update on 06GRC power costs.xls Chart 1_NIM Summary 26 3" xfId="29996"/>
    <cellStyle name="_VC 6.15.06 update on 06GRC power costs.xls Chart 1_NIM Summary 27" xfId="15335"/>
    <cellStyle name="_VC 6.15.06 update on 06GRC power costs.xls Chart 1_NIM Summary 27 2" xfId="29997"/>
    <cellStyle name="_VC 6.15.06 update on 06GRC power costs.xls Chart 1_NIM Summary 27 3" xfId="29998"/>
    <cellStyle name="_VC 6.15.06 update on 06GRC power costs.xls Chart 1_NIM Summary 28" xfId="15336"/>
    <cellStyle name="_VC 6.15.06 update on 06GRC power costs.xls Chart 1_NIM Summary 28 2" xfId="29999"/>
    <cellStyle name="_VC 6.15.06 update on 06GRC power costs.xls Chart 1_NIM Summary 28 3" xfId="30000"/>
    <cellStyle name="_VC 6.15.06 update on 06GRC power costs.xls Chart 1_NIM Summary 29" xfId="15337"/>
    <cellStyle name="_VC 6.15.06 update on 06GRC power costs.xls Chart 1_NIM Summary 29 2" xfId="30001"/>
    <cellStyle name="_VC 6.15.06 update on 06GRC power costs.xls Chart 1_NIM Summary 29 3" xfId="30002"/>
    <cellStyle name="_VC 6.15.06 update on 06GRC power costs.xls Chart 1_NIM Summary 3" xfId="2258"/>
    <cellStyle name="_VC 6.15.06 update on 06GRC power costs.xls Chart 1_NIM Summary 3 2" xfId="5621"/>
    <cellStyle name="_VC 6.15.06 update on 06GRC power costs.xls Chart 1_NIM Summary 3 2 2" xfId="30003"/>
    <cellStyle name="_VC 6.15.06 update on 06GRC power costs.xls Chart 1_NIM Summary 3 3" xfId="30004"/>
    <cellStyle name="_VC 6.15.06 update on 06GRC power costs.xls Chart 1_NIM Summary 3 4" xfId="8563"/>
    <cellStyle name="_VC 6.15.06 update on 06GRC power costs.xls Chart 1_NIM Summary 30" xfId="15338"/>
    <cellStyle name="_VC 6.15.06 update on 06GRC power costs.xls Chart 1_NIM Summary 30 2" xfId="30005"/>
    <cellStyle name="_VC 6.15.06 update on 06GRC power costs.xls Chart 1_NIM Summary 30 3" xfId="30006"/>
    <cellStyle name="_VC 6.15.06 update on 06GRC power costs.xls Chart 1_NIM Summary 31" xfId="15339"/>
    <cellStyle name="_VC 6.15.06 update on 06GRC power costs.xls Chart 1_NIM Summary 31 2" xfId="30007"/>
    <cellStyle name="_VC 6.15.06 update on 06GRC power costs.xls Chart 1_NIM Summary 31 3" xfId="30008"/>
    <cellStyle name="_VC 6.15.06 update on 06GRC power costs.xls Chart 1_NIM Summary 32" xfId="15340"/>
    <cellStyle name="_VC 6.15.06 update on 06GRC power costs.xls Chart 1_NIM Summary 32 2" xfId="41885"/>
    <cellStyle name="_VC 6.15.06 update on 06GRC power costs.xls Chart 1_NIM Summary 33" xfId="15341"/>
    <cellStyle name="_VC 6.15.06 update on 06GRC power costs.xls Chart 1_NIM Summary 33 2" xfId="41886"/>
    <cellStyle name="_VC 6.15.06 update on 06GRC power costs.xls Chart 1_NIM Summary 34" xfId="15342"/>
    <cellStyle name="_VC 6.15.06 update on 06GRC power costs.xls Chart 1_NIM Summary 34 2" xfId="41887"/>
    <cellStyle name="_VC 6.15.06 update on 06GRC power costs.xls Chart 1_NIM Summary 35" xfId="15343"/>
    <cellStyle name="_VC 6.15.06 update on 06GRC power costs.xls Chart 1_NIM Summary 35 2" xfId="41888"/>
    <cellStyle name="_VC 6.15.06 update on 06GRC power costs.xls Chart 1_NIM Summary 36" xfId="15344"/>
    <cellStyle name="_VC 6.15.06 update on 06GRC power costs.xls Chart 1_NIM Summary 36 2" xfId="41889"/>
    <cellStyle name="_VC 6.15.06 update on 06GRC power costs.xls Chart 1_NIM Summary 37" xfId="15345"/>
    <cellStyle name="_VC 6.15.06 update on 06GRC power costs.xls Chart 1_NIM Summary 37 2" xfId="41890"/>
    <cellStyle name="_VC 6.15.06 update on 06GRC power costs.xls Chart 1_NIM Summary 38" xfId="15346"/>
    <cellStyle name="_VC 6.15.06 update on 06GRC power costs.xls Chart 1_NIM Summary 38 2" xfId="41891"/>
    <cellStyle name="_VC 6.15.06 update on 06GRC power costs.xls Chart 1_NIM Summary 39" xfId="15347"/>
    <cellStyle name="_VC 6.15.06 update on 06GRC power costs.xls Chart 1_NIM Summary 39 2" xfId="41892"/>
    <cellStyle name="_VC 6.15.06 update on 06GRC power costs.xls Chart 1_NIM Summary 4" xfId="2259"/>
    <cellStyle name="_VC 6.15.06 update on 06GRC power costs.xls Chart 1_NIM Summary 4 2" xfId="5622"/>
    <cellStyle name="_VC 6.15.06 update on 06GRC power costs.xls Chart 1_NIM Summary 4 2 2" xfId="30009"/>
    <cellStyle name="_VC 6.15.06 update on 06GRC power costs.xls Chart 1_NIM Summary 4 3" xfId="30010"/>
    <cellStyle name="_VC 6.15.06 update on 06GRC power costs.xls Chart 1_NIM Summary 4 4" xfId="8564"/>
    <cellStyle name="_VC 6.15.06 update on 06GRC power costs.xls Chart 1_NIM Summary 40" xfId="15348"/>
    <cellStyle name="_VC 6.15.06 update on 06GRC power costs.xls Chart 1_NIM Summary 40 2" xfId="41893"/>
    <cellStyle name="_VC 6.15.06 update on 06GRC power costs.xls Chart 1_NIM Summary 41" xfId="15349"/>
    <cellStyle name="_VC 6.15.06 update on 06GRC power costs.xls Chart 1_NIM Summary 41 2" xfId="41894"/>
    <cellStyle name="_VC 6.15.06 update on 06GRC power costs.xls Chart 1_NIM Summary 42" xfId="17157"/>
    <cellStyle name="_VC 6.15.06 update on 06GRC power costs.xls Chart 1_NIM Summary 42 2" xfId="41895"/>
    <cellStyle name="_VC 6.15.06 update on 06GRC power costs.xls Chart 1_NIM Summary 43" xfId="22327"/>
    <cellStyle name="_VC 6.15.06 update on 06GRC power costs.xls Chart 1_NIM Summary 43 2" xfId="41896"/>
    <cellStyle name="_VC 6.15.06 update on 06GRC power costs.xls Chart 1_NIM Summary 44" xfId="30011"/>
    <cellStyle name="_VC 6.15.06 update on 06GRC power costs.xls Chart 1_NIM Summary 44 2" xfId="41897"/>
    <cellStyle name="_VC 6.15.06 update on 06GRC power costs.xls Chart 1_NIM Summary 45" xfId="30012"/>
    <cellStyle name="_VC 6.15.06 update on 06GRC power costs.xls Chart 1_NIM Summary 45 2" xfId="41898"/>
    <cellStyle name="_VC 6.15.06 update on 06GRC power costs.xls Chart 1_NIM Summary 46" xfId="30013"/>
    <cellStyle name="_VC 6.15.06 update on 06GRC power costs.xls Chart 1_NIM Summary 46 2" xfId="41899"/>
    <cellStyle name="_VC 6.15.06 update on 06GRC power costs.xls Chart 1_NIM Summary 47" xfId="30014"/>
    <cellStyle name="_VC 6.15.06 update on 06GRC power costs.xls Chart 1_NIM Summary 47 2" xfId="41900"/>
    <cellStyle name="_VC 6.15.06 update on 06GRC power costs.xls Chart 1_NIM Summary 48" xfId="30015"/>
    <cellStyle name="_VC 6.15.06 update on 06GRC power costs.xls Chart 1_NIM Summary 49" xfId="30016"/>
    <cellStyle name="_VC 6.15.06 update on 06GRC power costs.xls Chart 1_NIM Summary 5" xfId="2260"/>
    <cellStyle name="_VC 6.15.06 update on 06GRC power costs.xls Chart 1_NIM Summary 5 2" xfId="5623"/>
    <cellStyle name="_VC 6.15.06 update on 06GRC power costs.xls Chart 1_NIM Summary 5 2 2" xfId="30017"/>
    <cellStyle name="_VC 6.15.06 update on 06GRC power costs.xls Chart 1_NIM Summary 5 3" xfId="30018"/>
    <cellStyle name="_VC 6.15.06 update on 06GRC power costs.xls Chart 1_NIM Summary 5 4" xfId="8565"/>
    <cellStyle name="_VC 6.15.06 update on 06GRC power costs.xls Chart 1_NIM Summary 50" xfId="30019"/>
    <cellStyle name="_VC 6.15.06 update on 06GRC power costs.xls Chart 1_NIM Summary 51" xfId="41901"/>
    <cellStyle name="_VC 6.15.06 update on 06GRC power costs.xls Chart 1_NIM Summary 52" xfId="8559"/>
    <cellStyle name="_VC 6.15.06 update on 06GRC power costs.xls Chart 1_NIM Summary 6" xfId="2261"/>
    <cellStyle name="_VC 6.15.06 update on 06GRC power costs.xls Chart 1_NIM Summary 6 2" xfId="5624"/>
    <cellStyle name="_VC 6.15.06 update on 06GRC power costs.xls Chart 1_NIM Summary 6 2 2" xfId="30020"/>
    <cellStyle name="_VC 6.15.06 update on 06GRC power costs.xls Chart 1_NIM Summary 6 3" xfId="30021"/>
    <cellStyle name="_VC 6.15.06 update on 06GRC power costs.xls Chart 1_NIM Summary 6 4" xfId="8566"/>
    <cellStyle name="_VC 6.15.06 update on 06GRC power costs.xls Chart 1_NIM Summary 7" xfId="2262"/>
    <cellStyle name="_VC 6.15.06 update on 06GRC power costs.xls Chart 1_NIM Summary 7 2" xfId="5625"/>
    <cellStyle name="_VC 6.15.06 update on 06GRC power costs.xls Chart 1_NIM Summary 7 2 2" xfId="30022"/>
    <cellStyle name="_VC 6.15.06 update on 06GRC power costs.xls Chart 1_NIM Summary 7 3" xfId="30023"/>
    <cellStyle name="_VC 6.15.06 update on 06GRC power costs.xls Chart 1_NIM Summary 7 4" xfId="30024"/>
    <cellStyle name="_VC 6.15.06 update on 06GRC power costs.xls Chart 1_NIM Summary 7 5" xfId="8567"/>
    <cellStyle name="_VC 6.15.06 update on 06GRC power costs.xls Chart 1_NIM Summary 8" xfId="2263"/>
    <cellStyle name="_VC 6.15.06 update on 06GRC power costs.xls Chart 1_NIM Summary 8 2" xfId="5626"/>
    <cellStyle name="_VC 6.15.06 update on 06GRC power costs.xls Chart 1_NIM Summary 8 2 2" xfId="30025"/>
    <cellStyle name="_VC 6.15.06 update on 06GRC power costs.xls Chart 1_NIM Summary 8 3" xfId="30026"/>
    <cellStyle name="_VC 6.15.06 update on 06GRC power costs.xls Chart 1_NIM Summary 8 4" xfId="30027"/>
    <cellStyle name="_VC 6.15.06 update on 06GRC power costs.xls Chart 1_NIM Summary 8 5" xfId="8568"/>
    <cellStyle name="_VC 6.15.06 update on 06GRC power costs.xls Chart 1_NIM Summary 9" xfId="2264"/>
    <cellStyle name="_VC 6.15.06 update on 06GRC power costs.xls Chart 1_NIM Summary 9 2" xfId="5627"/>
    <cellStyle name="_VC 6.15.06 update on 06GRC power costs.xls Chart 1_NIM Summary 9 2 2" xfId="30028"/>
    <cellStyle name="_VC 6.15.06 update on 06GRC power costs.xls Chart 1_NIM Summary 9 3" xfId="30029"/>
    <cellStyle name="_VC 6.15.06 update on 06GRC power costs.xls Chart 1_NIM Summary 9 4" xfId="30030"/>
    <cellStyle name="_VC 6.15.06 update on 06GRC power costs.xls Chart 1_NIM Summary 9 5" xfId="8569"/>
    <cellStyle name="_VC 6.15.06 update on 06GRC power costs.xls Chart 1_NIM Summary_DEM-WP(C) ENERG10C--ctn Mid-C_042010 2010GRC" xfId="13130"/>
    <cellStyle name="_VC 6.15.06 update on 06GRC power costs.xls Chart 1_NIM Summary_DEM-WP(C) ENERG10C--ctn Mid-C_042010 2010GRC 2" xfId="41902"/>
    <cellStyle name="_VC 6.15.06 update on 06GRC power costs.xls Chart 1_PCA 10 -  Exhibit D Dec 2011" xfId="15350"/>
    <cellStyle name="_VC 6.15.06 update on 06GRC power costs.xls Chart 1_PCA 10 -  Exhibit D Dec 2011 2" xfId="41903"/>
    <cellStyle name="_VC 6.15.06 update on 06GRC power costs.xls Chart 1_PCA 10 -  Exhibit D from A Kellogg Jan 2011" xfId="14194"/>
    <cellStyle name="_VC 6.15.06 update on 06GRC power costs.xls Chart 1_PCA 10 -  Exhibit D from A Kellogg Jan 2011 2" xfId="41904"/>
    <cellStyle name="_VC 6.15.06 update on 06GRC power costs.xls Chart 1_PCA 10 -  Exhibit D from A Kellogg July 2011" xfId="14195"/>
    <cellStyle name="_VC 6.15.06 update on 06GRC power costs.xls Chart 1_PCA 10 -  Exhibit D from A Kellogg July 2011 2" xfId="41905"/>
    <cellStyle name="_VC 6.15.06 update on 06GRC power costs.xls Chart 1_PCA 10 -  Exhibit D from S Free Rcv'd 12-11" xfId="14196"/>
    <cellStyle name="_VC 6.15.06 update on 06GRC power costs.xls Chart 1_PCA 10 -  Exhibit D from S Free Rcv'd 12-11 2" xfId="41906"/>
    <cellStyle name="_VC 6.15.06 update on 06GRC power costs.xls Chart 1_PCA 11 -  Exhibit D Jan 2012 fr A Kellogg" xfId="15351"/>
    <cellStyle name="_VC 6.15.06 update on 06GRC power costs.xls Chart 1_PCA 11 -  Exhibit D Jan 2012 fr A Kellogg 2" xfId="41907"/>
    <cellStyle name="_VC 6.15.06 update on 06GRC power costs.xls Chart 1_PCA 11 -  Exhibit D Jan 2012 WF" xfId="15352"/>
    <cellStyle name="_VC 6.15.06 update on 06GRC power costs.xls Chart 1_PCA 11 -  Exhibit D Jan 2012 WF 2" xfId="41908"/>
    <cellStyle name="_VC 6.15.06 update on 06GRC power costs.xls Chart 1_PCA 9 -  Exhibit D April 2010" xfId="14197"/>
    <cellStyle name="_VC 6.15.06 update on 06GRC power costs.xls Chart 1_PCA 9 -  Exhibit D April 2010 (3)" xfId="2265"/>
    <cellStyle name="_VC 6.15.06 update on 06GRC power costs.xls Chart 1_PCA 9 -  Exhibit D April 2010 (3) 2" xfId="2266"/>
    <cellStyle name="_VC 6.15.06 update on 06GRC power costs.xls Chart 1_PCA 9 -  Exhibit D April 2010 (3) 2 2" xfId="5629"/>
    <cellStyle name="_VC 6.15.06 update on 06GRC power costs.xls Chart 1_PCA 9 -  Exhibit D April 2010 (3) 2 2 2" xfId="30031"/>
    <cellStyle name="_VC 6.15.06 update on 06GRC power costs.xls Chart 1_PCA 9 -  Exhibit D April 2010 (3) 2 2 2 2" xfId="30032"/>
    <cellStyle name="_VC 6.15.06 update on 06GRC power costs.xls Chart 1_PCA 9 -  Exhibit D April 2010 (3) 2 3" xfId="30033"/>
    <cellStyle name="_VC 6.15.06 update on 06GRC power costs.xls Chart 1_PCA 9 -  Exhibit D April 2010 (3) 2 3 2" xfId="30034"/>
    <cellStyle name="_VC 6.15.06 update on 06GRC power costs.xls Chart 1_PCA 9 -  Exhibit D April 2010 (3) 2 4" xfId="30035"/>
    <cellStyle name="_VC 6.15.06 update on 06GRC power costs.xls Chart 1_PCA 9 -  Exhibit D April 2010 (3) 2 4 2" xfId="30036"/>
    <cellStyle name="_VC 6.15.06 update on 06GRC power costs.xls Chart 1_PCA 9 -  Exhibit D April 2010 (3) 2 5" xfId="8571"/>
    <cellStyle name="_VC 6.15.06 update on 06GRC power costs.xls Chart 1_PCA 9 -  Exhibit D April 2010 (3) 3" xfId="5628"/>
    <cellStyle name="_VC 6.15.06 update on 06GRC power costs.xls Chart 1_PCA 9 -  Exhibit D April 2010 (3) 3 2" xfId="30037"/>
    <cellStyle name="_VC 6.15.06 update on 06GRC power costs.xls Chart 1_PCA 9 -  Exhibit D April 2010 (3) 3 2 2" xfId="30038"/>
    <cellStyle name="_VC 6.15.06 update on 06GRC power costs.xls Chart 1_PCA 9 -  Exhibit D April 2010 (3) 3 3" xfId="30039"/>
    <cellStyle name="_VC 6.15.06 update on 06GRC power costs.xls Chart 1_PCA 9 -  Exhibit D April 2010 (3) 4" xfId="30040"/>
    <cellStyle name="_VC 6.15.06 update on 06GRC power costs.xls Chart 1_PCA 9 -  Exhibit D April 2010 (3) 4 2" xfId="30041"/>
    <cellStyle name="_VC 6.15.06 update on 06GRC power costs.xls Chart 1_PCA 9 -  Exhibit D April 2010 (3) 4 2 2" xfId="30042"/>
    <cellStyle name="_VC 6.15.06 update on 06GRC power costs.xls Chart 1_PCA 9 -  Exhibit D April 2010 (3) 4 3" xfId="30043"/>
    <cellStyle name="_VC 6.15.06 update on 06GRC power costs.xls Chart 1_PCA 9 -  Exhibit D April 2010 (3) 5" xfId="30044"/>
    <cellStyle name="_VC 6.15.06 update on 06GRC power costs.xls Chart 1_PCA 9 -  Exhibit D April 2010 (3) 5 2" xfId="30045"/>
    <cellStyle name="_VC 6.15.06 update on 06GRC power costs.xls Chart 1_PCA 9 -  Exhibit D April 2010 (3) 6" xfId="30046"/>
    <cellStyle name="_VC 6.15.06 update on 06GRC power costs.xls Chart 1_PCA 9 -  Exhibit D April 2010 (3) 6 2" xfId="30047"/>
    <cellStyle name="_VC 6.15.06 update on 06GRC power costs.xls Chart 1_PCA 9 -  Exhibit D April 2010 (3) 7" xfId="8570"/>
    <cellStyle name="_VC 6.15.06 update on 06GRC power costs.xls Chart 1_PCA 9 -  Exhibit D April 2010 (3)_DEM-WP(C) ENERG10C--ctn Mid-C_042010 2010GRC" xfId="13131"/>
    <cellStyle name="_VC 6.15.06 update on 06GRC power costs.xls Chart 1_PCA 9 -  Exhibit D April 2010 (3)_DEM-WP(C) ENERG10C--ctn Mid-C_042010 2010GRC 2" xfId="41909"/>
    <cellStyle name="_VC 6.15.06 update on 06GRC power costs.xls Chart 1_PCA 9 -  Exhibit D April 2010 2" xfId="15353"/>
    <cellStyle name="_VC 6.15.06 update on 06GRC power costs.xls Chart 1_PCA 9 -  Exhibit D April 2010 2 2" xfId="41910"/>
    <cellStyle name="_VC 6.15.06 update on 06GRC power costs.xls Chart 1_PCA 9 -  Exhibit D April 2010 3" xfId="15354"/>
    <cellStyle name="_VC 6.15.06 update on 06GRC power costs.xls Chart 1_PCA 9 -  Exhibit D April 2010 3 2" xfId="41911"/>
    <cellStyle name="_VC 6.15.06 update on 06GRC power costs.xls Chart 1_PCA 9 -  Exhibit D April 2010 4" xfId="15355"/>
    <cellStyle name="_VC 6.15.06 update on 06GRC power costs.xls Chart 1_PCA 9 -  Exhibit D April 2010 4 2" xfId="41912"/>
    <cellStyle name="_VC 6.15.06 update on 06GRC power costs.xls Chart 1_PCA 9 -  Exhibit D April 2010 5" xfId="15356"/>
    <cellStyle name="_VC 6.15.06 update on 06GRC power costs.xls Chart 1_PCA 9 -  Exhibit D April 2010 5 2" xfId="41913"/>
    <cellStyle name="_VC 6.15.06 update on 06GRC power costs.xls Chart 1_PCA 9 -  Exhibit D April 2010 6" xfId="15357"/>
    <cellStyle name="_VC 6.15.06 update on 06GRC power costs.xls Chart 1_PCA 9 -  Exhibit D April 2010 6 2" xfId="41914"/>
    <cellStyle name="_VC 6.15.06 update on 06GRC power costs.xls Chart 1_PCA 9 -  Exhibit D April 2010 7" xfId="41915"/>
    <cellStyle name="_VC 6.15.06 update on 06GRC power costs.xls Chart 1_PCA 9 -  Exhibit D Nov 2010" xfId="14198"/>
    <cellStyle name="_VC 6.15.06 update on 06GRC power costs.xls Chart 1_PCA 9 -  Exhibit D Nov 2010 2" xfId="15358"/>
    <cellStyle name="_VC 6.15.06 update on 06GRC power costs.xls Chart 1_PCA 9 -  Exhibit D Nov 2010 2 2" xfId="41916"/>
    <cellStyle name="_VC 6.15.06 update on 06GRC power costs.xls Chart 1_PCA 9 -  Exhibit D Nov 2010 3" xfId="41917"/>
    <cellStyle name="_VC 6.15.06 update on 06GRC power costs.xls Chart 1_PCA 9 - Exhibit D at August 2010" xfId="14199"/>
    <cellStyle name="_VC 6.15.06 update on 06GRC power costs.xls Chart 1_PCA 9 - Exhibit D at August 2010 2" xfId="15359"/>
    <cellStyle name="_VC 6.15.06 update on 06GRC power costs.xls Chart 1_PCA 9 - Exhibit D at August 2010 2 2" xfId="41918"/>
    <cellStyle name="_VC 6.15.06 update on 06GRC power costs.xls Chart 1_PCA 9 - Exhibit D at August 2010 3" xfId="41919"/>
    <cellStyle name="_VC 6.15.06 update on 06GRC power costs.xls Chart 1_PCA 9 - Exhibit D June 2010 GRC" xfId="14200"/>
    <cellStyle name="_VC 6.15.06 update on 06GRC power costs.xls Chart 1_PCA 9 - Exhibit D June 2010 GRC 2" xfId="15360"/>
    <cellStyle name="_VC 6.15.06 update on 06GRC power costs.xls Chart 1_PCA 9 - Exhibit D June 2010 GRC 2 2" xfId="41920"/>
    <cellStyle name="_VC 6.15.06 update on 06GRC power costs.xls Chart 1_PCA 9 - Exhibit D June 2010 GRC 3" xfId="41921"/>
    <cellStyle name="_VC 6.15.06 update on 06GRC power costs.xls Chart 1_Power Costs - Comparison bx Rbtl-Staff-Jt-PC" xfId="2267"/>
    <cellStyle name="_VC 6.15.06 update on 06GRC power costs.xls Chart 1_Power Costs - Comparison bx Rbtl-Staff-Jt-PC 2" xfId="2268"/>
    <cellStyle name="_VC 6.15.06 update on 06GRC power costs.xls Chart 1_Power Costs - Comparison bx Rbtl-Staff-Jt-PC 2 2" xfId="5631"/>
    <cellStyle name="_VC 6.15.06 update on 06GRC power costs.xls Chart 1_Power Costs - Comparison bx Rbtl-Staff-Jt-PC 2 2 2" xfId="21617"/>
    <cellStyle name="_VC 6.15.06 update on 06GRC power costs.xls Chart 1_Power Costs - Comparison bx Rbtl-Staff-Jt-PC 2 2 2 2" xfId="30048"/>
    <cellStyle name="_VC 6.15.06 update on 06GRC power costs.xls Chart 1_Power Costs - Comparison bx Rbtl-Staff-Jt-PC 2 2 3" xfId="8574"/>
    <cellStyle name="_VC 6.15.06 update on 06GRC power costs.xls Chart 1_Power Costs - Comparison bx Rbtl-Staff-Jt-PC 2 3" xfId="17159"/>
    <cellStyle name="_VC 6.15.06 update on 06GRC power costs.xls Chart 1_Power Costs - Comparison bx Rbtl-Staff-Jt-PC 2 3 2" xfId="30049"/>
    <cellStyle name="_VC 6.15.06 update on 06GRC power costs.xls Chart 1_Power Costs - Comparison bx Rbtl-Staff-Jt-PC 2 4" xfId="30050"/>
    <cellStyle name="_VC 6.15.06 update on 06GRC power costs.xls Chart 1_Power Costs - Comparison bx Rbtl-Staff-Jt-PC 2 4 2" xfId="30051"/>
    <cellStyle name="_VC 6.15.06 update on 06GRC power costs.xls Chart 1_Power Costs - Comparison bx Rbtl-Staff-Jt-PC 2 5" xfId="8573"/>
    <cellStyle name="_VC 6.15.06 update on 06GRC power costs.xls Chart 1_Power Costs - Comparison bx Rbtl-Staff-Jt-PC 3" xfId="5630"/>
    <cellStyle name="_VC 6.15.06 update on 06GRC power costs.xls Chart 1_Power Costs - Comparison bx Rbtl-Staff-Jt-PC 3 2" xfId="21618"/>
    <cellStyle name="_VC 6.15.06 update on 06GRC power costs.xls Chart 1_Power Costs - Comparison bx Rbtl-Staff-Jt-PC 3 2 2" xfId="30052"/>
    <cellStyle name="_VC 6.15.06 update on 06GRC power costs.xls Chart 1_Power Costs - Comparison bx Rbtl-Staff-Jt-PC 3 3" xfId="30053"/>
    <cellStyle name="_VC 6.15.06 update on 06GRC power costs.xls Chart 1_Power Costs - Comparison bx Rbtl-Staff-Jt-PC 3 4" xfId="8575"/>
    <cellStyle name="_VC 6.15.06 update on 06GRC power costs.xls Chart 1_Power Costs - Comparison bx Rbtl-Staff-Jt-PC 4" xfId="17158"/>
    <cellStyle name="_VC 6.15.06 update on 06GRC power costs.xls Chart 1_Power Costs - Comparison bx Rbtl-Staff-Jt-PC 4 2" xfId="30054"/>
    <cellStyle name="_VC 6.15.06 update on 06GRC power costs.xls Chart 1_Power Costs - Comparison bx Rbtl-Staff-Jt-PC 4 2 2" xfId="30055"/>
    <cellStyle name="_VC 6.15.06 update on 06GRC power costs.xls Chart 1_Power Costs - Comparison bx Rbtl-Staff-Jt-PC 4 3" xfId="30056"/>
    <cellStyle name="_VC 6.15.06 update on 06GRC power costs.xls Chart 1_Power Costs - Comparison bx Rbtl-Staff-Jt-PC 5" xfId="30057"/>
    <cellStyle name="_VC 6.15.06 update on 06GRC power costs.xls Chart 1_Power Costs - Comparison bx Rbtl-Staff-Jt-PC 5 2" xfId="30058"/>
    <cellStyle name="_VC 6.15.06 update on 06GRC power costs.xls Chart 1_Power Costs - Comparison bx Rbtl-Staff-Jt-PC 6" xfId="30059"/>
    <cellStyle name="_VC 6.15.06 update on 06GRC power costs.xls Chart 1_Power Costs - Comparison bx Rbtl-Staff-Jt-PC 6 2" xfId="30060"/>
    <cellStyle name="_VC 6.15.06 update on 06GRC power costs.xls Chart 1_Power Costs - Comparison bx Rbtl-Staff-Jt-PC 7" xfId="8572"/>
    <cellStyle name="_VC 6.15.06 update on 06GRC power costs.xls Chart 1_Power Costs - Comparison bx Rbtl-Staff-Jt-PC_Adj Bench DR 3 for Initial Briefs (Electric)" xfId="2269"/>
    <cellStyle name="_VC 6.15.06 update on 06GRC power costs.xls Chart 1_Power Costs - Comparison bx Rbtl-Staff-Jt-PC_Adj Bench DR 3 for Initial Briefs (Electric) 2" xfId="2270"/>
    <cellStyle name="_VC 6.15.06 update on 06GRC power costs.xls Chart 1_Power Costs - Comparison bx Rbtl-Staff-Jt-PC_Adj Bench DR 3 for Initial Briefs (Electric) 2 2" xfId="5633"/>
    <cellStyle name="_VC 6.15.06 update on 06GRC power costs.xls Chart 1_Power Costs - Comparison bx Rbtl-Staff-Jt-PC_Adj Bench DR 3 for Initial Briefs (Electric) 2 2 2" xfId="21619"/>
    <cellStyle name="_VC 6.15.06 update on 06GRC power costs.xls Chart 1_Power Costs - Comparison bx Rbtl-Staff-Jt-PC_Adj Bench DR 3 for Initial Briefs (Electric) 2 2 2 2" xfId="30061"/>
    <cellStyle name="_VC 6.15.06 update on 06GRC power costs.xls Chart 1_Power Costs - Comparison bx Rbtl-Staff-Jt-PC_Adj Bench DR 3 for Initial Briefs (Electric) 2 2 3" xfId="8578"/>
    <cellStyle name="_VC 6.15.06 update on 06GRC power costs.xls Chart 1_Power Costs - Comparison bx Rbtl-Staff-Jt-PC_Adj Bench DR 3 for Initial Briefs (Electric) 2 3" xfId="17161"/>
    <cellStyle name="_VC 6.15.06 update on 06GRC power costs.xls Chart 1_Power Costs - Comparison bx Rbtl-Staff-Jt-PC_Adj Bench DR 3 for Initial Briefs (Electric) 2 3 2" xfId="30062"/>
    <cellStyle name="_VC 6.15.06 update on 06GRC power costs.xls Chart 1_Power Costs - Comparison bx Rbtl-Staff-Jt-PC_Adj Bench DR 3 for Initial Briefs (Electric) 2 4" xfId="30063"/>
    <cellStyle name="_VC 6.15.06 update on 06GRC power costs.xls Chart 1_Power Costs - Comparison bx Rbtl-Staff-Jt-PC_Adj Bench DR 3 for Initial Briefs (Electric) 2 4 2" xfId="30064"/>
    <cellStyle name="_VC 6.15.06 update on 06GRC power costs.xls Chart 1_Power Costs - Comparison bx Rbtl-Staff-Jt-PC_Adj Bench DR 3 for Initial Briefs (Electric) 2 5" xfId="8577"/>
    <cellStyle name="_VC 6.15.06 update on 06GRC power costs.xls Chart 1_Power Costs - Comparison bx Rbtl-Staff-Jt-PC_Adj Bench DR 3 for Initial Briefs (Electric) 3" xfId="5632"/>
    <cellStyle name="_VC 6.15.06 update on 06GRC power costs.xls Chart 1_Power Costs - Comparison bx Rbtl-Staff-Jt-PC_Adj Bench DR 3 for Initial Briefs (Electric) 3 2" xfId="21620"/>
    <cellStyle name="_VC 6.15.06 update on 06GRC power costs.xls Chart 1_Power Costs - Comparison bx Rbtl-Staff-Jt-PC_Adj Bench DR 3 for Initial Briefs (Electric) 3 2 2" xfId="30065"/>
    <cellStyle name="_VC 6.15.06 update on 06GRC power costs.xls Chart 1_Power Costs - Comparison bx Rbtl-Staff-Jt-PC_Adj Bench DR 3 for Initial Briefs (Electric) 3 3" xfId="30066"/>
    <cellStyle name="_VC 6.15.06 update on 06GRC power costs.xls Chart 1_Power Costs - Comparison bx Rbtl-Staff-Jt-PC_Adj Bench DR 3 for Initial Briefs (Electric) 3 4" xfId="8579"/>
    <cellStyle name="_VC 6.15.06 update on 06GRC power costs.xls Chart 1_Power Costs - Comparison bx Rbtl-Staff-Jt-PC_Adj Bench DR 3 for Initial Briefs (Electric) 4" xfId="17160"/>
    <cellStyle name="_VC 6.15.06 update on 06GRC power costs.xls Chart 1_Power Costs - Comparison bx Rbtl-Staff-Jt-PC_Adj Bench DR 3 for Initial Briefs (Electric) 4 2" xfId="30067"/>
    <cellStyle name="_VC 6.15.06 update on 06GRC power costs.xls Chart 1_Power Costs - Comparison bx Rbtl-Staff-Jt-PC_Adj Bench DR 3 for Initial Briefs (Electric) 4 2 2" xfId="30068"/>
    <cellStyle name="_VC 6.15.06 update on 06GRC power costs.xls Chart 1_Power Costs - Comparison bx Rbtl-Staff-Jt-PC_Adj Bench DR 3 for Initial Briefs (Electric) 4 3" xfId="30069"/>
    <cellStyle name="_VC 6.15.06 update on 06GRC power costs.xls Chart 1_Power Costs - Comparison bx Rbtl-Staff-Jt-PC_Adj Bench DR 3 for Initial Briefs (Electric) 5" xfId="30070"/>
    <cellStyle name="_VC 6.15.06 update on 06GRC power costs.xls Chart 1_Power Costs - Comparison bx Rbtl-Staff-Jt-PC_Adj Bench DR 3 for Initial Briefs (Electric) 5 2" xfId="30071"/>
    <cellStyle name="_VC 6.15.06 update on 06GRC power costs.xls Chart 1_Power Costs - Comparison bx Rbtl-Staff-Jt-PC_Adj Bench DR 3 for Initial Briefs (Electric) 6" xfId="30072"/>
    <cellStyle name="_VC 6.15.06 update on 06GRC power costs.xls Chart 1_Power Costs - Comparison bx Rbtl-Staff-Jt-PC_Adj Bench DR 3 for Initial Briefs (Electric) 6 2" xfId="30073"/>
    <cellStyle name="_VC 6.15.06 update on 06GRC power costs.xls Chart 1_Power Costs - Comparison bx Rbtl-Staff-Jt-PC_Adj Bench DR 3 for Initial Briefs (Electric) 7" xfId="8576"/>
    <cellStyle name="_VC 6.15.06 update on 06GRC power costs.xls Chart 1_Power Costs - Comparison bx Rbtl-Staff-Jt-PC_Adj Bench DR 3 for Initial Briefs (Electric)_DEM-WP(C) ENERG10C--ctn Mid-C_042010 2010GRC" xfId="13132"/>
    <cellStyle name="_VC 6.15.06 update on 06GRC power costs.xls Chart 1_Power Costs - Comparison bx Rbtl-Staff-Jt-PC_Adj Bench DR 3 for Initial Briefs (Electric)_DEM-WP(C) ENERG10C--ctn Mid-C_042010 2010GRC 2" xfId="41922"/>
    <cellStyle name="_VC 6.15.06 update on 06GRC power costs.xls Chart 1_Power Costs - Comparison bx Rbtl-Staff-Jt-PC_DEM-WP(C) ENERG10C--ctn Mid-C_042010 2010GRC" xfId="13133"/>
    <cellStyle name="_VC 6.15.06 update on 06GRC power costs.xls Chart 1_Power Costs - Comparison bx Rbtl-Staff-Jt-PC_DEM-WP(C) ENERG10C--ctn Mid-C_042010 2010GRC 2" xfId="41923"/>
    <cellStyle name="_VC 6.15.06 update on 06GRC power costs.xls Chart 1_Power Costs - Comparison bx Rbtl-Staff-Jt-PC_Electric Rev Req Model (2009 GRC) Rebuttal" xfId="2271"/>
    <cellStyle name="_VC 6.15.06 update on 06GRC power costs.xls Chart 1_Power Costs - Comparison bx Rbtl-Staff-Jt-PC_Electric Rev Req Model (2009 GRC) Rebuttal 2" xfId="5634"/>
    <cellStyle name="_VC 6.15.06 update on 06GRC power costs.xls Chart 1_Power Costs - Comparison bx Rbtl-Staff-Jt-PC_Electric Rev Req Model (2009 GRC) Rebuttal 2 2" xfId="8582"/>
    <cellStyle name="_VC 6.15.06 update on 06GRC power costs.xls Chart 1_Power Costs - Comparison bx Rbtl-Staff-Jt-PC_Electric Rev Req Model (2009 GRC) Rebuttal 2 2 2" xfId="21621"/>
    <cellStyle name="_VC 6.15.06 update on 06GRC power costs.xls Chart 1_Power Costs - Comparison bx Rbtl-Staff-Jt-PC_Electric Rev Req Model (2009 GRC) Rebuttal 2 3" xfId="18766"/>
    <cellStyle name="_VC 6.15.06 update on 06GRC power costs.xls Chart 1_Power Costs - Comparison bx Rbtl-Staff-Jt-PC_Electric Rev Req Model (2009 GRC) Rebuttal 2 4" xfId="8581"/>
    <cellStyle name="_VC 6.15.06 update on 06GRC power costs.xls Chart 1_Power Costs - Comparison bx Rbtl-Staff-Jt-PC_Electric Rev Req Model (2009 GRC) Rebuttal 3" xfId="8583"/>
    <cellStyle name="_VC 6.15.06 update on 06GRC power costs.xls Chart 1_Power Costs - Comparison bx Rbtl-Staff-Jt-PC_Electric Rev Req Model (2009 GRC) Rebuttal 3 2" xfId="21622"/>
    <cellStyle name="_VC 6.15.06 update on 06GRC power costs.xls Chart 1_Power Costs - Comparison bx Rbtl-Staff-Jt-PC_Electric Rev Req Model (2009 GRC) Rebuttal 4" xfId="17162"/>
    <cellStyle name="_VC 6.15.06 update on 06GRC power costs.xls Chart 1_Power Costs - Comparison bx Rbtl-Staff-Jt-PC_Electric Rev Req Model (2009 GRC) Rebuttal 5" xfId="8580"/>
    <cellStyle name="_VC 6.15.06 update on 06GRC power costs.xls Chart 1_Power Costs - Comparison bx Rbtl-Staff-Jt-PC_Electric Rev Req Model (2009 GRC) Rebuttal REmoval of New  WH Solar AdjustMI" xfId="2272"/>
    <cellStyle name="_VC 6.15.06 update on 06GRC power costs.xls Chart 1_Power Costs - Comparison bx Rbtl-Staff-Jt-PC_Electric Rev Req Model (2009 GRC) Rebuttal REmoval of New  WH Solar AdjustMI 2" xfId="2273"/>
    <cellStyle name="_VC 6.15.06 update on 06GRC power costs.xls Chart 1_Power Costs - Comparison bx Rbtl-Staff-Jt-PC_Electric Rev Req Model (2009 GRC) Rebuttal REmoval of New  WH Solar AdjustMI 2 2" xfId="5636"/>
    <cellStyle name="_VC 6.15.06 update on 06GRC power costs.xls Chart 1_Power Costs - Comparison bx Rbtl-Staff-Jt-PC_Electric Rev Req Model (2009 GRC) Rebuttal REmoval of New  WH Solar AdjustMI 2 2 2" xfId="21623"/>
    <cellStyle name="_VC 6.15.06 update on 06GRC power costs.xls Chart 1_Power Costs - Comparison bx Rbtl-Staff-Jt-PC_Electric Rev Req Model (2009 GRC) Rebuttal REmoval of New  WH Solar AdjustMI 2 2 2 2" xfId="30074"/>
    <cellStyle name="_VC 6.15.06 update on 06GRC power costs.xls Chart 1_Power Costs - Comparison bx Rbtl-Staff-Jt-PC_Electric Rev Req Model (2009 GRC) Rebuttal REmoval of New  WH Solar AdjustMI 2 2 3" xfId="8586"/>
    <cellStyle name="_VC 6.15.06 update on 06GRC power costs.xls Chart 1_Power Costs - Comparison bx Rbtl-Staff-Jt-PC_Electric Rev Req Model (2009 GRC) Rebuttal REmoval of New  WH Solar AdjustMI 2 3" xfId="17164"/>
    <cellStyle name="_VC 6.15.06 update on 06GRC power costs.xls Chart 1_Power Costs - Comparison bx Rbtl-Staff-Jt-PC_Electric Rev Req Model (2009 GRC) Rebuttal REmoval of New  WH Solar AdjustMI 2 3 2" xfId="30075"/>
    <cellStyle name="_VC 6.15.06 update on 06GRC power costs.xls Chart 1_Power Costs - Comparison bx Rbtl-Staff-Jt-PC_Electric Rev Req Model (2009 GRC) Rebuttal REmoval of New  WH Solar AdjustMI 2 4" xfId="30076"/>
    <cellStyle name="_VC 6.15.06 update on 06GRC power costs.xls Chart 1_Power Costs - Comparison bx Rbtl-Staff-Jt-PC_Electric Rev Req Model (2009 GRC) Rebuttal REmoval of New  WH Solar AdjustMI 2 4 2" xfId="30077"/>
    <cellStyle name="_VC 6.15.06 update on 06GRC power costs.xls Chart 1_Power Costs - Comparison bx Rbtl-Staff-Jt-PC_Electric Rev Req Model (2009 GRC) Rebuttal REmoval of New  WH Solar AdjustMI 2 5" xfId="8585"/>
    <cellStyle name="_VC 6.15.06 update on 06GRC power costs.xls Chart 1_Power Costs - Comparison bx Rbtl-Staff-Jt-PC_Electric Rev Req Model (2009 GRC) Rebuttal REmoval of New  WH Solar AdjustMI 3" xfId="5635"/>
    <cellStyle name="_VC 6.15.06 update on 06GRC power costs.xls Chart 1_Power Costs - Comparison bx Rbtl-Staff-Jt-PC_Electric Rev Req Model (2009 GRC) Rebuttal REmoval of New  WH Solar AdjustMI 3 2" xfId="21624"/>
    <cellStyle name="_VC 6.15.06 update on 06GRC power costs.xls Chart 1_Power Costs - Comparison bx Rbtl-Staff-Jt-PC_Electric Rev Req Model (2009 GRC) Rebuttal REmoval of New  WH Solar AdjustMI 3 2 2" xfId="30078"/>
    <cellStyle name="_VC 6.15.06 update on 06GRC power costs.xls Chart 1_Power Costs - Comparison bx Rbtl-Staff-Jt-PC_Electric Rev Req Model (2009 GRC) Rebuttal REmoval of New  WH Solar AdjustMI 3 3" xfId="30079"/>
    <cellStyle name="_VC 6.15.06 update on 06GRC power costs.xls Chart 1_Power Costs - Comparison bx Rbtl-Staff-Jt-PC_Electric Rev Req Model (2009 GRC) Rebuttal REmoval of New  WH Solar AdjustMI 3 4" xfId="8587"/>
    <cellStyle name="_VC 6.15.06 update on 06GRC power costs.xls Chart 1_Power Costs - Comparison bx Rbtl-Staff-Jt-PC_Electric Rev Req Model (2009 GRC) Rebuttal REmoval of New  WH Solar AdjustMI 4" xfId="17163"/>
    <cellStyle name="_VC 6.15.06 update on 06GRC power costs.xls Chart 1_Power Costs - Comparison bx Rbtl-Staff-Jt-PC_Electric Rev Req Model (2009 GRC) Rebuttal REmoval of New  WH Solar AdjustMI 4 2" xfId="30080"/>
    <cellStyle name="_VC 6.15.06 update on 06GRC power costs.xls Chart 1_Power Costs - Comparison bx Rbtl-Staff-Jt-PC_Electric Rev Req Model (2009 GRC) Rebuttal REmoval of New  WH Solar AdjustMI 4 2 2" xfId="30081"/>
    <cellStyle name="_VC 6.15.06 update on 06GRC power costs.xls Chart 1_Power Costs - Comparison bx Rbtl-Staff-Jt-PC_Electric Rev Req Model (2009 GRC) Rebuttal REmoval of New  WH Solar AdjustMI 4 3" xfId="30082"/>
    <cellStyle name="_VC 6.15.06 update on 06GRC power costs.xls Chart 1_Power Costs - Comparison bx Rbtl-Staff-Jt-PC_Electric Rev Req Model (2009 GRC) Rebuttal REmoval of New  WH Solar AdjustMI 5" xfId="30083"/>
    <cellStyle name="_VC 6.15.06 update on 06GRC power costs.xls Chart 1_Power Costs - Comparison bx Rbtl-Staff-Jt-PC_Electric Rev Req Model (2009 GRC) Rebuttal REmoval of New  WH Solar AdjustMI 5 2" xfId="30084"/>
    <cellStyle name="_VC 6.15.06 update on 06GRC power costs.xls Chart 1_Power Costs - Comparison bx Rbtl-Staff-Jt-PC_Electric Rev Req Model (2009 GRC) Rebuttal REmoval of New  WH Solar AdjustMI 6" xfId="30085"/>
    <cellStyle name="_VC 6.15.06 update on 06GRC power costs.xls Chart 1_Power Costs - Comparison bx Rbtl-Staff-Jt-PC_Electric Rev Req Model (2009 GRC) Rebuttal REmoval of New  WH Solar AdjustMI 6 2" xfId="30086"/>
    <cellStyle name="_VC 6.15.06 update on 06GRC power costs.xls Chart 1_Power Costs - Comparison bx Rbtl-Staff-Jt-PC_Electric Rev Req Model (2009 GRC) Rebuttal REmoval of New  WH Solar AdjustMI 7" xfId="8584"/>
    <cellStyle name="_VC 6.15.06 update on 06GRC power costs.xls Chart 1_Power Costs - Comparison bx Rbtl-Staff-Jt-PC_Electric Rev Req Model (2009 GRC) Rebuttal REmoval of New  WH Solar AdjustMI_DEM-WP(C) ENERG10C--ctn Mid-C_042010 2010GRC" xfId="13134"/>
    <cellStyle name="_VC 6.15.06 update on 06GRC power costs.xls Chart 1_Power Costs - Comparison bx Rbtl-Staff-Jt-PC_Electric Rev Req Model (2009 GRC) Rebuttal REmoval of New  WH Solar AdjustMI_DEM-WP(C) ENERG10C--ctn Mid-C_042010 2010GRC 2" xfId="41924"/>
    <cellStyle name="_VC 6.15.06 update on 06GRC power costs.xls Chart 1_Power Costs - Comparison bx Rbtl-Staff-Jt-PC_Electric Rev Req Model (2009 GRC) Revised 01-18-2010" xfId="2274"/>
    <cellStyle name="_VC 6.15.06 update on 06GRC power costs.xls Chart 1_Power Costs - Comparison bx Rbtl-Staff-Jt-PC_Electric Rev Req Model (2009 GRC) Revised 01-18-2010 2" xfId="2275"/>
    <cellStyle name="_VC 6.15.06 update on 06GRC power costs.xls Chart 1_Power Costs - Comparison bx Rbtl-Staff-Jt-PC_Electric Rev Req Model (2009 GRC) Revised 01-18-2010 2 2" xfId="5638"/>
    <cellStyle name="_VC 6.15.06 update on 06GRC power costs.xls Chart 1_Power Costs - Comparison bx Rbtl-Staff-Jt-PC_Electric Rev Req Model (2009 GRC) Revised 01-18-2010 2 2 2" xfId="21625"/>
    <cellStyle name="_VC 6.15.06 update on 06GRC power costs.xls Chart 1_Power Costs - Comparison bx Rbtl-Staff-Jt-PC_Electric Rev Req Model (2009 GRC) Revised 01-18-2010 2 2 2 2" xfId="30087"/>
    <cellStyle name="_VC 6.15.06 update on 06GRC power costs.xls Chart 1_Power Costs - Comparison bx Rbtl-Staff-Jt-PC_Electric Rev Req Model (2009 GRC) Revised 01-18-2010 2 2 3" xfId="8590"/>
    <cellStyle name="_VC 6.15.06 update on 06GRC power costs.xls Chart 1_Power Costs - Comparison bx Rbtl-Staff-Jt-PC_Electric Rev Req Model (2009 GRC) Revised 01-18-2010 2 3" xfId="17166"/>
    <cellStyle name="_VC 6.15.06 update on 06GRC power costs.xls Chart 1_Power Costs - Comparison bx Rbtl-Staff-Jt-PC_Electric Rev Req Model (2009 GRC) Revised 01-18-2010 2 3 2" xfId="30088"/>
    <cellStyle name="_VC 6.15.06 update on 06GRC power costs.xls Chart 1_Power Costs - Comparison bx Rbtl-Staff-Jt-PC_Electric Rev Req Model (2009 GRC) Revised 01-18-2010 2 4" xfId="30089"/>
    <cellStyle name="_VC 6.15.06 update on 06GRC power costs.xls Chart 1_Power Costs - Comparison bx Rbtl-Staff-Jt-PC_Electric Rev Req Model (2009 GRC) Revised 01-18-2010 2 4 2" xfId="30090"/>
    <cellStyle name="_VC 6.15.06 update on 06GRC power costs.xls Chart 1_Power Costs - Comparison bx Rbtl-Staff-Jt-PC_Electric Rev Req Model (2009 GRC) Revised 01-18-2010 2 5" xfId="8589"/>
    <cellStyle name="_VC 6.15.06 update on 06GRC power costs.xls Chart 1_Power Costs - Comparison bx Rbtl-Staff-Jt-PC_Electric Rev Req Model (2009 GRC) Revised 01-18-2010 3" xfId="5637"/>
    <cellStyle name="_VC 6.15.06 update on 06GRC power costs.xls Chart 1_Power Costs - Comparison bx Rbtl-Staff-Jt-PC_Electric Rev Req Model (2009 GRC) Revised 01-18-2010 3 2" xfId="21626"/>
    <cellStyle name="_VC 6.15.06 update on 06GRC power costs.xls Chart 1_Power Costs - Comparison bx Rbtl-Staff-Jt-PC_Electric Rev Req Model (2009 GRC) Revised 01-18-2010 3 2 2" xfId="30091"/>
    <cellStyle name="_VC 6.15.06 update on 06GRC power costs.xls Chart 1_Power Costs - Comparison bx Rbtl-Staff-Jt-PC_Electric Rev Req Model (2009 GRC) Revised 01-18-2010 3 3" xfId="30092"/>
    <cellStyle name="_VC 6.15.06 update on 06GRC power costs.xls Chart 1_Power Costs - Comparison bx Rbtl-Staff-Jt-PC_Electric Rev Req Model (2009 GRC) Revised 01-18-2010 3 4" xfId="8591"/>
    <cellStyle name="_VC 6.15.06 update on 06GRC power costs.xls Chart 1_Power Costs - Comparison bx Rbtl-Staff-Jt-PC_Electric Rev Req Model (2009 GRC) Revised 01-18-2010 4" xfId="17165"/>
    <cellStyle name="_VC 6.15.06 update on 06GRC power costs.xls Chart 1_Power Costs - Comparison bx Rbtl-Staff-Jt-PC_Electric Rev Req Model (2009 GRC) Revised 01-18-2010 4 2" xfId="30093"/>
    <cellStyle name="_VC 6.15.06 update on 06GRC power costs.xls Chart 1_Power Costs - Comparison bx Rbtl-Staff-Jt-PC_Electric Rev Req Model (2009 GRC) Revised 01-18-2010 4 2 2" xfId="30094"/>
    <cellStyle name="_VC 6.15.06 update on 06GRC power costs.xls Chart 1_Power Costs - Comparison bx Rbtl-Staff-Jt-PC_Electric Rev Req Model (2009 GRC) Revised 01-18-2010 4 3" xfId="30095"/>
    <cellStyle name="_VC 6.15.06 update on 06GRC power costs.xls Chart 1_Power Costs - Comparison bx Rbtl-Staff-Jt-PC_Electric Rev Req Model (2009 GRC) Revised 01-18-2010 5" xfId="30096"/>
    <cellStyle name="_VC 6.15.06 update on 06GRC power costs.xls Chart 1_Power Costs - Comparison bx Rbtl-Staff-Jt-PC_Electric Rev Req Model (2009 GRC) Revised 01-18-2010 5 2" xfId="30097"/>
    <cellStyle name="_VC 6.15.06 update on 06GRC power costs.xls Chart 1_Power Costs - Comparison bx Rbtl-Staff-Jt-PC_Electric Rev Req Model (2009 GRC) Revised 01-18-2010 6" xfId="30098"/>
    <cellStyle name="_VC 6.15.06 update on 06GRC power costs.xls Chart 1_Power Costs - Comparison bx Rbtl-Staff-Jt-PC_Electric Rev Req Model (2009 GRC) Revised 01-18-2010 6 2" xfId="30099"/>
    <cellStyle name="_VC 6.15.06 update on 06GRC power costs.xls Chart 1_Power Costs - Comparison bx Rbtl-Staff-Jt-PC_Electric Rev Req Model (2009 GRC) Revised 01-18-2010 7" xfId="8588"/>
    <cellStyle name="_VC 6.15.06 update on 06GRC power costs.xls Chart 1_Power Costs - Comparison bx Rbtl-Staff-Jt-PC_Electric Rev Req Model (2009 GRC) Revised 01-18-2010_DEM-WP(C) ENERG10C--ctn Mid-C_042010 2010GRC" xfId="13135"/>
    <cellStyle name="_VC 6.15.06 update on 06GRC power costs.xls Chart 1_Power Costs - Comparison bx Rbtl-Staff-Jt-PC_Electric Rev Req Model (2009 GRC) Revised 01-18-2010_DEM-WP(C) ENERG10C--ctn Mid-C_042010 2010GRC 2" xfId="41925"/>
    <cellStyle name="_VC 6.15.06 update on 06GRC power costs.xls Chart 1_Power Costs - Comparison bx Rbtl-Staff-Jt-PC_Final Order Electric EXHIBIT A-1" xfId="2276"/>
    <cellStyle name="_VC 6.15.06 update on 06GRC power costs.xls Chart 1_Power Costs - Comparison bx Rbtl-Staff-Jt-PC_Final Order Electric EXHIBIT A-1 2" xfId="5639"/>
    <cellStyle name="_VC 6.15.06 update on 06GRC power costs.xls Chart 1_Power Costs - Comparison bx Rbtl-Staff-Jt-PC_Final Order Electric EXHIBIT A-1 2 2" xfId="8594"/>
    <cellStyle name="_VC 6.15.06 update on 06GRC power costs.xls Chart 1_Power Costs - Comparison bx Rbtl-Staff-Jt-PC_Final Order Electric EXHIBIT A-1 2 2 2" xfId="21627"/>
    <cellStyle name="_VC 6.15.06 update on 06GRC power costs.xls Chart 1_Power Costs - Comparison bx Rbtl-Staff-Jt-PC_Final Order Electric EXHIBIT A-1 2 3" xfId="18767"/>
    <cellStyle name="_VC 6.15.06 update on 06GRC power costs.xls Chart 1_Power Costs - Comparison bx Rbtl-Staff-Jt-PC_Final Order Electric EXHIBIT A-1 2 4" xfId="8593"/>
    <cellStyle name="_VC 6.15.06 update on 06GRC power costs.xls Chart 1_Power Costs - Comparison bx Rbtl-Staff-Jt-PC_Final Order Electric EXHIBIT A-1 3" xfId="8595"/>
    <cellStyle name="_VC 6.15.06 update on 06GRC power costs.xls Chart 1_Power Costs - Comparison bx Rbtl-Staff-Jt-PC_Final Order Electric EXHIBIT A-1 3 2" xfId="21628"/>
    <cellStyle name="_VC 6.15.06 update on 06GRC power costs.xls Chart 1_Power Costs - Comparison bx Rbtl-Staff-Jt-PC_Final Order Electric EXHIBIT A-1 3 2 2" xfId="30100"/>
    <cellStyle name="_VC 6.15.06 update on 06GRC power costs.xls Chart 1_Power Costs - Comparison bx Rbtl-Staff-Jt-PC_Final Order Electric EXHIBIT A-1 3 3" xfId="30101"/>
    <cellStyle name="_VC 6.15.06 update on 06GRC power costs.xls Chart 1_Power Costs - Comparison bx Rbtl-Staff-Jt-PC_Final Order Electric EXHIBIT A-1 4" xfId="17167"/>
    <cellStyle name="_VC 6.15.06 update on 06GRC power costs.xls Chart 1_Power Costs - Comparison bx Rbtl-Staff-Jt-PC_Final Order Electric EXHIBIT A-1 4 2" xfId="30102"/>
    <cellStyle name="_VC 6.15.06 update on 06GRC power costs.xls Chart 1_Power Costs - Comparison bx Rbtl-Staff-Jt-PC_Final Order Electric EXHIBIT A-1 5" xfId="30103"/>
    <cellStyle name="_VC 6.15.06 update on 06GRC power costs.xls Chart 1_Power Costs - Comparison bx Rbtl-Staff-Jt-PC_Final Order Electric EXHIBIT A-1 6" xfId="30104"/>
    <cellStyle name="_VC 6.15.06 update on 06GRC power costs.xls Chart 1_Power Costs - Comparison bx Rbtl-Staff-Jt-PC_Final Order Electric EXHIBIT A-1 7" xfId="8592"/>
    <cellStyle name="_VC 6.15.06 update on 06GRC power costs.xls Chart 1_Production Adj 4.37" xfId="8596"/>
    <cellStyle name="_VC 6.15.06 update on 06GRC power costs.xls Chart 1_Production Adj 4.37 2" xfId="8597"/>
    <cellStyle name="_VC 6.15.06 update on 06GRC power costs.xls Chart 1_Production Adj 4.37 2 2" xfId="8598"/>
    <cellStyle name="_VC 6.15.06 update on 06GRC power costs.xls Chart 1_Production Adj 4.37 2 2 2" xfId="21629"/>
    <cellStyle name="_VC 6.15.06 update on 06GRC power costs.xls Chart 1_Production Adj 4.37 2 3" xfId="18769"/>
    <cellStyle name="_VC 6.15.06 update on 06GRC power costs.xls Chart 1_Production Adj 4.37 3" xfId="8599"/>
    <cellStyle name="_VC 6.15.06 update on 06GRC power costs.xls Chart 1_Production Adj 4.37 3 2" xfId="21630"/>
    <cellStyle name="_VC 6.15.06 update on 06GRC power costs.xls Chart 1_Production Adj 4.37 4" xfId="18768"/>
    <cellStyle name="_VC 6.15.06 update on 06GRC power costs.xls Chart 1_Purchased Power Adj 4.03" xfId="8600"/>
    <cellStyle name="_VC 6.15.06 update on 06GRC power costs.xls Chart 1_Purchased Power Adj 4.03 2" xfId="8601"/>
    <cellStyle name="_VC 6.15.06 update on 06GRC power costs.xls Chart 1_Purchased Power Adj 4.03 2 2" xfId="8602"/>
    <cellStyle name="_VC 6.15.06 update on 06GRC power costs.xls Chart 1_Purchased Power Adj 4.03 2 2 2" xfId="21631"/>
    <cellStyle name="_VC 6.15.06 update on 06GRC power costs.xls Chart 1_Purchased Power Adj 4.03 2 3" xfId="18771"/>
    <cellStyle name="_VC 6.15.06 update on 06GRC power costs.xls Chart 1_Purchased Power Adj 4.03 3" xfId="8603"/>
    <cellStyle name="_VC 6.15.06 update on 06GRC power costs.xls Chart 1_Purchased Power Adj 4.03 3 2" xfId="21632"/>
    <cellStyle name="_VC 6.15.06 update on 06GRC power costs.xls Chart 1_Purchased Power Adj 4.03 4" xfId="18770"/>
    <cellStyle name="_VC 6.15.06 update on 06GRC power costs.xls Chart 1_Rebuttal Power Costs" xfId="2277"/>
    <cellStyle name="_VC 6.15.06 update on 06GRC power costs.xls Chart 1_Rebuttal Power Costs 2" xfId="2278"/>
    <cellStyle name="_VC 6.15.06 update on 06GRC power costs.xls Chart 1_Rebuttal Power Costs 2 2" xfId="5641"/>
    <cellStyle name="_VC 6.15.06 update on 06GRC power costs.xls Chart 1_Rebuttal Power Costs 2 2 2" xfId="21633"/>
    <cellStyle name="_VC 6.15.06 update on 06GRC power costs.xls Chart 1_Rebuttal Power Costs 2 2 2 2" xfId="30105"/>
    <cellStyle name="_VC 6.15.06 update on 06GRC power costs.xls Chart 1_Rebuttal Power Costs 2 2 3" xfId="8606"/>
    <cellStyle name="_VC 6.15.06 update on 06GRC power costs.xls Chart 1_Rebuttal Power Costs 2 3" xfId="17169"/>
    <cellStyle name="_VC 6.15.06 update on 06GRC power costs.xls Chart 1_Rebuttal Power Costs 2 3 2" xfId="30106"/>
    <cellStyle name="_VC 6.15.06 update on 06GRC power costs.xls Chart 1_Rebuttal Power Costs 2 4" xfId="30107"/>
    <cellStyle name="_VC 6.15.06 update on 06GRC power costs.xls Chart 1_Rebuttal Power Costs 2 4 2" xfId="30108"/>
    <cellStyle name="_VC 6.15.06 update on 06GRC power costs.xls Chart 1_Rebuttal Power Costs 2 5" xfId="8605"/>
    <cellStyle name="_VC 6.15.06 update on 06GRC power costs.xls Chart 1_Rebuttal Power Costs 3" xfId="5640"/>
    <cellStyle name="_VC 6.15.06 update on 06GRC power costs.xls Chart 1_Rebuttal Power Costs 3 2" xfId="21634"/>
    <cellStyle name="_VC 6.15.06 update on 06GRC power costs.xls Chart 1_Rebuttal Power Costs 3 2 2" xfId="30109"/>
    <cellStyle name="_VC 6.15.06 update on 06GRC power costs.xls Chart 1_Rebuttal Power Costs 3 3" xfId="30110"/>
    <cellStyle name="_VC 6.15.06 update on 06GRC power costs.xls Chart 1_Rebuttal Power Costs 3 4" xfId="8607"/>
    <cellStyle name="_VC 6.15.06 update on 06GRC power costs.xls Chart 1_Rebuttal Power Costs 4" xfId="17168"/>
    <cellStyle name="_VC 6.15.06 update on 06GRC power costs.xls Chart 1_Rebuttal Power Costs 4 2" xfId="30111"/>
    <cellStyle name="_VC 6.15.06 update on 06GRC power costs.xls Chart 1_Rebuttal Power Costs 4 2 2" xfId="30112"/>
    <cellStyle name="_VC 6.15.06 update on 06GRC power costs.xls Chart 1_Rebuttal Power Costs 4 3" xfId="30113"/>
    <cellStyle name="_VC 6.15.06 update on 06GRC power costs.xls Chart 1_Rebuttal Power Costs 5" xfId="30114"/>
    <cellStyle name="_VC 6.15.06 update on 06GRC power costs.xls Chart 1_Rebuttal Power Costs 5 2" xfId="30115"/>
    <cellStyle name="_VC 6.15.06 update on 06GRC power costs.xls Chart 1_Rebuttal Power Costs 6" xfId="30116"/>
    <cellStyle name="_VC 6.15.06 update on 06GRC power costs.xls Chart 1_Rebuttal Power Costs 6 2" xfId="30117"/>
    <cellStyle name="_VC 6.15.06 update on 06GRC power costs.xls Chart 1_Rebuttal Power Costs 7" xfId="8604"/>
    <cellStyle name="_VC 6.15.06 update on 06GRC power costs.xls Chart 1_Rebuttal Power Costs_Adj Bench DR 3 for Initial Briefs (Electric)" xfId="2279"/>
    <cellStyle name="_VC 6.15.06 update on 06GRC power costs.xls Chart 1_Rebuttal Power Costs_Adj Bench DR 3 for Initial Briefs (Electric) 2" xfId="2280"/>
    <cellStyle name="_VC 6.15.06 update on 06GRC power costs.xls Chart 1_Rebuttal Power Costs_Adj Bench DR 3 for Initial Briefs (Electric) 2 2" xfId="5643"/>
    <cellStyle name="_VC 6.15.06 update on 06GRC power costs.xls Chart 1_Rebuttal Power Costs_Adj Bench DR 3 for Initial Briefs (Electric) 2 2 2" xfId="21635"/>
    <cellStyle name="_VC 6.15.06 update on 06GRC power costs.xls Chart 1_Rebuttal Power Costs_Adj Bench DR 3 for Initial Briefs (Electric) 2 2 2 2" xfId="30118"/>
    <cellStyle name="_VC 6.15.06 update on 06GRC power costs.xls Chart 1_Rebuttal Power Costs_Adj Bench DR 3 for Initial Briefs (Electric) 2 2 3" xfId="8610"/>
    <cellStyle name="_VC 6.15.06 update on 06GRC power costs.xls Chart 1_Rebuttal Power Costs_Adj Bench DR 3 for Initial Briefs (Electric) 2 3" xfId="17171"/>
    <cellStyle name="_VC 6.15.06 update on 06GRC power costs.xls Chart 1_Rebuttal Power Costs_Adj Bench DR 3 for Initial Briefs (Electric) 2 3 2" xfId="30119"/>
    <cellStyle name="_VC 6.15.06 update on 06GRC power costs.xls Chart 1_Rebuttal Power Costs_Adj Bench DR 3 for Initial Briefs (Electric) 2 4" xfId="30120"/>
    <cellStyle name="_VC 6.15.06 update on 06GRC power costs.xls Chart 1_Rebuttal Power Costs_Adj Bench DR 3 for Initial Briefs (Electric) 2 4 2" xfId="30121"/>
    <cellStyle name="_VC 6.15.06 update on 06GRC power costs.xls Chart 1_Rebuttal Power Costs_Adj Bench DR 3 for Initial Briefs (Electric) 2 5" xfId="8609"/>
    <cellStyle name="_VC 6.15.06 update on 06GRC power costs.xls Chart 1_Rebuttal Power Costs_Adj Bench DR 3 for Initial Briefs (Electric) 3" xfId="5642"/>
    <cellStyle name="_VC 6.15.06 update on 06GRC power costs.xls Chart 1_Rebuttal Power Costs_Adj Bench DR 3 for Initial Briefs (Electric) 3 2" xfId="21636"/>
    <cellStyle name="_VC 6.15.06 update on 06GRC power costs.xls Chart 1_Rebuttal Power Costs_Adj Bench DR 3 for Initial Briefs (Electric) 3 2 2" xfId="30122"/>
    <cellStyle name="_VC 6.15.06 update on 06GRC power costs.xls Chart 1_Rebuttal Power Costs_Adj Bench DR 3 for Initial Briefs (Electric) 3 3" xfId="30123"/>
    <cellStyle name="_VC 6.15.06 update on 06GRC power costs.xls Chart 1_Rebuttal Power Costs_Adj Bench DR 3 for Initial Briefs (Electric) 3 4" xfId="8611"/>
    <cellStyle name="_VC 6.15.06 update on 06GRC power costs.xls Chart 1_Rebuttal Power Costs_Adj Bench DR 3 for Initial Briefs (Electric) 4" xfId="17170"/>
    <cellStyle name="_VC 6.15.06 update on 06GRC power costs.xls Chart 1_Rebuttal Power Costs_Adj Bench DR 3 for Initial Briefs (Electric) 4 2" xfId="30124"/>
    <cellStyle name="_VC 6.15.06 update on 06GRC power costs.xls Chart 1_Rebuttal Power Costs_Adj Bench DR 3 for Initial Briefs (Electric) 4 2 2" xfId="30125"/>
    <cellStyle name="_VC 6.15.06 update on 06GRC power costs.xls Chart 1_Rebuttal Power Costs_Adj Bench DR 3 for Initial Briefs (Electric) 4 3" xfId="30126"/>
    <cellStyle name="_VC 6.15.06 update on 06GRC power costs.xls Chart 1_Rebuttal Power Costs_Adj Bench DR 3 for Initial Briefs (Electric) 5" xfId="30127"/>
    <cellStyle name="_VC 6.15.06 update on 06GRC power costs.xls Chart 1_Rebuttal Power Costs_Adj Bench DR 3 for Initial Briefs (Electric) 5 2" xfId="30128"/>
    <cellStyle name="_VC 6.15.06 update on 06GRC power costs.xls Chart 1_Rebuttal Power Costs_Adj Bench DR 3 for Initial Briefs (Electric) 6" xfId="30129"/>
    <cellStyle name="_VC 6.15.06 update on 06GRC power costs.xls Chart 1_Rebuttal Power Costs_Adj Bench DR 3 for Initial Briefs (Electric) 6 2" xfId="30130"/>
    <cellStyle name="_VC 6.15.06 update on 06GRC power costs.xls Chart 1_Rebuttal Power Costs_Adj Bench DR 3 for Initial Briefs (Electric) 7" xfId="8608"/>
    <cellStyle name="_VC 6.15.06 update on 06GRC power costs.xls Chart 1_Rebuttal Power Costs_Adj Bench DR 3 for Initial Briefs (Electric)_DEM-WP(C) ENERG10C--ctn Mid-C_042010 2010GRC" xfId="13136"/>
    <cellStyle name="_VC 6.15.06 update on 06GRC power costs.xls Chart 1_Rebuttal Power Costs_Adj Bench DR 3 for Initial Briefs (Electric)_DEM-WP(C) ENERG10C--ctn Mid-C_042010 2010GRC 2" xfId="41926"/>
    <cellStyle name="_VC 6.15.06 update on 06GRC power costs.xls Chart 1_Rebuttal Power Costs_DEM-WP(C) ENERG10C--ctn Mid-C_042010 2010GRC" xfId="13137"/>
    <cellStyle name="_VC 6.15.06 update on 06GRC power costs.xls Chart 1_Rebuttal Power Costs_DEM-WP(C) ENERG10C--ctn Mid-C_042010 2010GRC 2" xfId="41927"/>
    <cellStyle name="_VC 6.15.06 update on 06GRC power costs.xls Chart 1_Rebuttal Power Costs_Electric Rev Req Model (2009 GRC) Rebuttal" xfId="2281"/>
    <cellStyle name="_VC 6.15.06 update on 06GRC power costs.xls Chart 1_Rebuttal Power Costs_Electric Rev Req Model (2009 GRC) Rebuttal 2" xfId="5644"/>
    <cellStyle name="_VC 6.15.06 update on 06GRC power costs.xls Chart 1_Rebuttal Power Costs_Electric Rev Req Model (2009 GRC) Rebuttal 2 2" xfId="8614"/>
    <cellStyle name="_VC 6.15.06 update on 06GRC power costs.xls Chart 1_Rebuttal Power Costs_Electric Rev Req Model (2009 GRC) Rebuttal 2 2 2" xfId="21637"/>
    <cellStyle name="_VC 6.15.06 update on 06GRC power costs.xls Chart 1_Rebuttal Power Costs_Electric Rev Req Model (2009 GRC) Rebuttal 2 3" xfId="18772"/>
    <cellStyle name="_VC 6.15.06 update on 06GRC power costs.xls Chart 1_Rebuttal Power Costs_Electric Rev Req Model (2009 GRC) Rebuttal 2 4" xfId="8613"/>
    <cellStyle name="_VC 6.15.06 update on 06GRC power costs.xls Chart 1_Rebuttal Power Costs_Electric Rev Req Model (2009 GRC) Rebuttal 3" xfId="8615"/>
    <cellStyle name="_VC 6.15.06 update on 06GRC power costs.xls Chart 1_Rebuttal Power Costs_Electric Rev Req Model (2009 GRC) Rebuttal 3 2" xfId="21638"/>
    <cellStyle name="_VC 6.15.06 update on 06GRC power costs.xls Chart 1_Rebuttal Power Costs_Electric Rev Req Model (2009 GRC) Rebuttal 4" xfId="17172"/>
    <cellStyle name="_VC 6.15.06 update on 06GRC power costs.xls Chart 1_Rebuttal Power Costs_Electric Rev Req Model (2009 GRC) Rebuttal 5" xfId="8612"/>
    <cellStyle name="_VC 6.15.06 update on 06GRC power costs.xls Chart 1_Rebuttal Power Costs_Electric Rev Req Model (2009 GRC) Rebuttal REmoval of New  WH Solar AdjustMI" xfId="2282"/>
    <cellStyle name="_VC 6.15.06 update on 06GRC power costs.xls Chart 1_Rebuttal Power Costs_Electric Rev Req Model (2009 GRC) Rebuttal REmoval of New  WH Solar AdjustMI 2" xfId="2283"/>
    <cellStyle name="_VC 6.15.06 update on 06GRC power costs.xls Chart 1_Rebuttal Power Costs_Electric Rev Req Model (2009 GRC) Rebuttal REmoval of New  WH Solar AdjustMI 2 2" xfId="5646"/>
    <cellStyle name="_VC 6.15.06 update on 06GRC power costs.xls Chart 1_Rebuttal Power Costs_Electric Rev Req Model (2009 GRC) Rebuttal REmoval of New  WH Solar AdjustMI 2 2 2" xfId="21639"/>
    <cellStyle name="_VC 6.15.06 update on 06GRC power costs.xls Chart 1_Rebuttal Power Costs_Electric Rev Req Model (2009 GRC) Rebuttal REmoval of New  WH Solar AdjustMI 2 2 2 2" xfId="30131"/>
    <cellStyle name="_VC 6.15.06 update on 06GRC power costs.xls Chart 1_Rebuttal Power Costs_Electric Rev Req Model (2009 GRC) Rebuttal REmoval of New  WH Solar AdjustMI 2 2 3" xfId="8618"/>
    <cellStyle name="_VC 6.15.06 update on 06GRC power costs.xls Chart 1_Rebuttal Power Costs_Electric Rev Req Model (2009 GRC) Rebuttal REmoval of New  WH Solar AdjustMI 2 3" xfId="17174"/>
    <cellStyle name="_VC 6.15.06 update on 06GRC power costs.xls Chart 1_Rebuttal Power Costs_Electric Rev Req Model (2009 GRC) Rebuttal REmoval of New  WH Solar AdjustMI 2 3 2" xfId="30132"/>
    <cellStyle name="_VC 6.15.06 update on 06GRC power costs.xls Chart 1_Rebuttal Power Costs_Electric Rev Req Model (2009 GRC) Rebuttal REmoval of New  WH Solar AdjustMI 2 4" xfId="30133"/>
    <cellStyle name="_VC 6.15.06 update on 06GRC power costs.xls Chart 1_Rebuttal Power Costs_Electric Rev Req Model (2009 GRC) Rebuttal REmoval of New  WH Solar AdjustMI 2 4 2" xfId="30134"/>
    <cellStyle name="_VC 6.15.06 update on 06GRC power costs.xls Chart 1_Rebuttal Power Costs_Electric Rev Req Model (2009 GRC) Rebuttal REmoval of New  WH Solar AdjustMI 2 5" xfId="8617"/>
    <cellStyle name="_VC 6.15.06 update on 06GRC power costs.xls Chart 1_Rebuttal Power Costs_Electric Rev Req Model (2009 GRC) Rebuttal REmoval of New  WH Solar AdjustMI 3" xfId="5645"/>
    <cellStyle name="_VC 6.15.06 update on 06GRC power costs.xls Chart 1_Rebuttal Power Costs_Electric Rev Req Model (2009 GRC) Rebuttal REmoval of New  WH Solar AdjustMI 3 2" xfId="21640"/>
    <cellStyle name="_VC 6.15.06 update on 06GRC power costs.xls Chart 1_Rebuttal Power Costs_Electric Rev Req Model (2009 GRC) Rebuttal REmoval of New  WH Solar AdjustMI 3 2 2" xfId="30135"/>
    <cellStyle name="_VC 6.15.06 update on 06GRC power costs.xls Chart 1_Rebuttal Power Costs_Electric Rev Req Model (2009 GRC) Rebuttal REmoval of New  WH Solar AdjustMI 3 3" xfId="30136"/>
    <cellStyle name="_VC 6.15.06 update on 06GRC power costs.xls Chart 1_Rebuttal Power Costs_Electric Rev Req Model (2009 GRC) Rebuttal REmoval of New  WH Solar AdjustMI 3 4" xfId="8619"/>
    <cellStyle name="_VC 6.15.06 update on 06GRC power costs.xls Chart 1_Rebuttal Power Costs_Electric Rev Req Model (2009 GRC) Rebuttal REmoval of New  WH Solar AdjustMI 4" xfId="17173"/>
    <cellStyle name="_VC 6.15.06 update on 06GRC power costs.xls Chart 1_Rebuttal Power Costs_Electric Rev Req Model (2009 GRC) Rebuttal REmoval of New  WH Solar AdjustMI 4 2" xfId="30137"/>
    <cellStyle name="_VC 6.15.06 update on 06GRC power costs.xls Chart 1_Rebuttal Power Costs_Electric Rev Req Model (2009 GRC) Rebuttal REmoval of New  WH Solar AdjustMI 4 2 2" xfId="30138"/>
    <cellStyle name="_VC 6.15.06 update on 06GRC power costs.xls Chart 1_Rebuttal Power Costs_Electric Rev Req Model (2009 GRC) Rebuttal REmoval of New  WH Solar AdjustMI 4 3" xfId="30139"/>
    <cellStyle name="_VC 6.15.06 update on 06GRC power costs.xls Chart 1_Rebuttal Power Costs_Electric Rev Req Model (2009 GRC) Rebuttal REmoval of New  WH Solar AdjustMI 5" xfId="30140"/>
    <cellStyle name="_VC 6.15.06 update on 06GRC power costs.xls Chart 1_Rebuttal Power Costs_Electric Rev Req Model (2009 GRC) Rebuttal REmoval of New  WH Solar AdjustMI 5 2" xfId="30141"/>
    <cellStyle name="_VC 6.15.06 update on 06GRC power costs.xls Chart 1_Rebuttal Power Costs_Electric Rev Req Model (2009 GRC) Rebuttal REmoval of New  WH Solar AdjustMI 6" xfId="30142"/>
    <cellStyle name="_VC 6.15.06 update on 06GRC power costs.xls Chart 1_Rebuttal Power Costs_Electric Rev Req Model (2009 GRC) Rebuttal REmoval of New  WH Solar AdjustMI 6 2" xfId="30143"/>
    <cellStyle name="_VC 6.15.06 update on 06GRC power costs.xls Chart 1_Rebuttal Power Costs_Electric Rev Req Model (2009 GRC) Rebuttal REmoval of New  WH Solar AdjustMI 7" xfId="8616"/>
    <cellStyle name="_VC 6.15.06 update on 06GRC power costs.xls Chart 1_Rebuttal Power Costs_Electric Rev Req Model (2009 GRC) Rebuttal REmoval of New  WH Solar AdjustMI_DEM-WP(C) ENERG10C--ctn Mid-C_042010 2010GRC" xfId="13138"/>
    <cellStyle name="_VC 6.15.06 update on 06GRC power costs.xls Chart 1_Rebuttal Power Costs_Electric Rev Req Model (2009 GRC) Rebuttal REmoval of New  WH Solar AdjustMI_DEM-WP(C) ENERG10C--ctn Mid-C_042010 2010GRC 2" xfId="41928"/>
    <cellStyle name="_VC 6.15.06 update on 06GRC power costs.xls Chart 1_Rebuttal Power Costs_Electric Rev Req Model (2009 GRC) Revised 01-18-2010" xfId="2284"/>
    <cellStyle name="_VC 6.15.06 update on 06GRC power costs.xls Chart 1_Rebuttal Power Costs_Electric Rev Req Model (2009 GRC) Revised 01-18-2010 2" xfId="2285"/>
    <cellStyle name="_VC 6.15.06 update on 06GRC power costs.xls Chart 1_Rebuttal Power Costs_Electric Rev Req Model (2009 GRC) Revised 01-18-2010 2 2" xfId="5648"/>
    <cellStyle name="_VC 6.15.06 update on 06GRC power costs.xls Chart 1_Rebuttal Power Costs_Electric Rev Req Model (2009 GRC) Revised 01-18-2010 2 2 2" xfId="21641"/>
    <cellStyle name="_VC 6.15.06 update on 06GRC power costs.xls Chart 1_Rebuttal Power Costs_Electric Rev Req Model (2009 GRC) Revised 01-18-2010 2 2 2 2" xfId="30144"/>
    <cellStyle name="_VC 6.15.06 update on 06GRC power costs.xls Chart 1_Rebuttal Power Costs_Electric Rev Req Model (2009 GRC) Revised 01-18-2010 2 2 3" xfId="8622"/>
    <cellStyle name="_VC 6.15.06 update on 06GRC power costs.xls Chart 1_Rebuttal Power Costs_Electric Rev Req Model (2009 GRC) Revised 01-18-2010 2 3" xfId="17176"/>
    <cellStyle name="_VC 6.15.06 update on 06GRC power costs.xls Chart 1_Rebuttal Power Costs_Electric Rev Req Model (2009 GRC) Revised 01-18-2010 2 3 2" xfId="30145"/>
    <cellStyle name="_VC 6.15.06 update on 06GRC power costs.xls Chart 1_Rebuttal Power Costs_Electric Rev Req Model (2009 GRC) Revised 01-18-2010 2 4" xfId="30146"/>
    <cellStyle name="_VC 6.15.06 update on 06GRC power costs.xls Chart 1_Rebuttal Power Costs_Electric Rev Req Model (2009 GRC) Revised 01-18-2010 2 4 2" xfId="30147"/>
    <cellStyle name="_VC 6.15.06 update on 06GRC power costs.xls Chart 1_Rebuttal Power Costs_Electric Rev Req Model (2009 GRC) Revised 01-18-2010 2 5" xfId="8621"/>
    <cellStyle name="_VC 6.15.06 update on 06GRC power costs.xls Chart 1_Rebuttal Power Costs_Electric Rev Req Model (2009 GRC) Revised 01-18-2010 3" xfId="5647"/>
    <cellStyle name="_VC 6.15.06 update on 06GRC power costs.xls Chart 1_Rebuttal Power Costs_Electric Rev Req Model (2009 GRC) Revised 01-18-2010 3 2" xfId="21642"/>
    <cellStyle name="_VC 6.15.06 update on 06GRC power costs.xls Chart 1_Rebuttal Power Costs_Electric Rev Req Model (2009 GRC) Revised 01-18-2010 3 2 2" xfId="30148"/>
    <cellStyle name="_VC 6.15.06 update on 06GRC power costs.xls Chart 1_Rebuttal Power Costs_Electric Rev Req Model (2009 GRC) Revised 01-18-2010 3 3" xfId="30149"/>
    <cellStyle name="_VC 6.15.06 update on 06GRC power costs.xls Chart 1_Rebuttal Power Costs_Electric Rev Req Model (2009 GRC) Revised 01-18-2010 3 4" xfId="8623"/>
    <cellStyle name="_VC 6.15.06 update on 06GRC power costs.xls Chart 1_Rebuttal Power Costs_Electric Rev Req Model (2009 GRC) Revised 01-18-2010 4" xfId="17175"/>
    <cellStyle name="_VC 6.15.06 update on 06GRC power costs.xls Chart 1_Rebuttal Power Costs_Electric Rev Req Model (2009 GRC) Revised 01-18-2010 4 2" xfId="30150"/>
    <cellStyle name="_VC 6.15.06 update on 06GRC power costs.xls Chart 1_Rebuttal Power Costs_Electric Rev Req Model (2009 GRC) Revised 01-18-2010 4 2 2" xfId="30151"/>
    <cellStyle name="_VC 6.15.06 update on 06GRC power costs.xls Chart 1_Rebuttal Power Costs_Electric Rev Req Model (2009 GRC) Revised 01-18-2010 4 3" xfId="30152"/>
    <cellStyle name="_VC 6.15.06 update on 06GRC power costs.xls Chart 1_Rebuttal Power Costs_Electric Rev Req Model (2009 GRC) Revised 01-18-2010 5" xfId="30153"/>
    <cellStyle name="_VC 6.15.06 update on 06GRC power costs.xls Chart 1_Rebuttal Power Costs_Electric Rev Req Model (2009 GRC) Revised 01-18-2010 5 2" xfId="30154"/>
    <cellStyle name="_VC 6.15.06 update on 06GRC power costs.xls Chart 1_Rebuttal Power Costs_Electric Rev Req Model (2009 GRC) Revised 01-18-2010 6" xfId="30155"/>
    <cellStyle name="_VC 6.15.06 update on 06GRC power costs.xls Chart 1_Rebuttal Power Costs_Electric Rev Req Model (2009 GRC) Revised 01-18-2010 6 2" xfId="30156"/>
    <cellStyle name="_VC 6.15.06 update on 06GRC power costs.xls Chart 1_Rebuttal Power Costs_Electric Rev Req Model (2009 GRC) Revised 01-18-2010 7" xfId="8620"/>
    <cellStyle name="_VC 6.15.06 update on 06GRC power costs.xls Chart 1_Rebuttal Power Costs_Electric Rev Req Model (2009 GRC) Revised 01-18-2010_DEM-WP(C) ENERG10C--ctn Mid-C_042010 2010GRC" xfId="13139"/>
    <cellStyle name="_VC 6.15.06 update on 06GRC power costs.xls Chart 1_Rebuttal Power Costs_Electric Rev Req Model (2009 GRC) Revised 01-18-2010_DEM-WP(C) ENERG10C--ctn Mid-C_042010 2010GRC 2" xfId="41929"/>
    <cellStyle name="_VC 6.15.06 update on 06GRC power costs.xls Chart 1_Rebuttal Power Costs_Final Order Electric EXHIBIT A-1" xfId="2286"/>
    <cellStyle name="_VC 6.15.06 update on 06GRC power costs.xls Chart 1_Rebuttal Power Costs_Final Order Electric EXHIBIT A-1 2" xfId="5649"/>
    <cellStyle name="_VC 6.15.06 update on 06GRC power costs.xls Chart 1_Rebuttal Power Costs_Final Order Electric EXHIBIT A-1 2 2" xfId="8626"/>
    <cellStyle name="_VC 6.15.06 update on 06GRC power costs.xls Chart 1_Rebuttal Power Costs_Final Order Electric EXHIBIT A-1 2 2 2" xfId="21643"/>
    <cellStyle name="_VC 6.15.06 update on 06GRC power costs.xls Chart 1_Rebuttal Power Costs_Final Order Electric EXHIBIT A-1 2 3" xfId="18773"/>
    <cellStyle name="_VC 6.15.06 update on 06GRC power costs.xls Chart 1_Rebuttal Power Costs_Final Order Electric EXHIBIT A-1 2 4" xfId="8625"/>
    <cellStyle name="_VC 6.15.06 update on 06GRC power costs.xls Chart 1_Rebuttal Power Costs_Final Order Electric EXHIBIT A-1 3" xfId="8627"/>
    <cellStyle name="_VC 6.15.06 update on 06GRC power costs.xls Chart 1_Rebuttal Power Costs_Final Order Electric EXHIBIT A-1 3 2" xfId="21644"/>
    <cellStyle name="_VC 6.15.06 update on 06GRC power costs.xls Chart 1_Rebuttal Power Costs_Final Order Electric EXHIBIT A-1 3 2 2" xfId="30157"/>
    <cellStyle name="_VC 6.15.06 update on 06GRC power costs.xls Chart 1_Rebuttal Power Costs_Final Order Electric EXHIBIT A-1 3 3" xfId="30158"/>
    <cellStyle name="_VC 6.15.06 update on 06GRC power costs.xls Chart 1_Rebuttal Power Costs_Final Order Electric EXHIBIT A-1 4" xfId="17177"/>
    <cellStyle name="_VC 6.15.06 update on 06GRC power costs.xls Chart 1_Rebuttal Power Costs_Final Order Electric EXHIBIT A-1 4 2" xfId="30159"/>
    <cellStyle name="_VC 6.15.06 update on 06GRC power costs.xls Chart 1_Rebuttal Power Costs_Final Order Electric EXHIBIT A-1 5" xfId="30160"/>
    <cellStyle name="_VC 6.15.06 update on 06GRC power costs.xls Chart 1_Rebuttal Power Costs_Final Order Electric EXHIBIT A-1 6" xfId="30161"/>
    <cellStyle name="_VC 6.15.06 update on 06GRC power costs.xls Chart 1_Rebuttal Power Costs_Final Order Electric EXHIBIT A-1 7" xfId="8624"/>
    <cellStyle name="_VC 6.15.06 update on 06GRC power costs.xls Chart 1_ROR &amp; CONV FACTOR" xfId="8628"/>
    <cellStyle name="_VC 6.15.06 update on 06GRC power costs.xls Chart 1_ROR &amp; CONV FACTOR 2" xfId="8629"/>
    <cellStyle name="_VC 6.15.06 update on 06GRC power costs.xls Chart 1_ROR &amp; CONV FACTOR 2 2" xfId="8630"/>
    <cellStyle name="_VC 6.15.06 update on 06GRC power costs.xls Chart 1_ROR &amp; CONV FACTOR 2 2 2" xfId="21645"/>
    <cellStyle name="_VC 6.15.06 update on 06GRC power costs.xls Chart 1_ROR &amp; CONV FACTOR 2 3" xfId="18775"/>
    <cellStyle name="_VC 6.15.06 update on 06GRC power costs.xls Chart 1_ROR &amp; CONV FACTOR 3" xfId="8631"/>
    <cellStyle name="_VC 6.15.06 update on 06GRC power costs.xls Chart 1_ROR &amp; CONV FACTOR 3 2" xfId="21646"/>
    <cellStyle name="_VC 6.15.06 update on 06GRC power costs.xls Chart 1_ROR &amp; CONV FACTOR 4" xfId="18774"/>
    <cellStyle name="_VC 6.15.06 update on 06GRC power costs.xls Chart 1_ROR 5.02" xfId="8632"/>
    <cellStyle name="_VC 6.15.06 update on 06GRC power costs.xls Chart 1_ROR 5.02 2" xfId="8633"/>
    <cellStyle name="_VC 6.15.06 update on 06GRC power costs.xls Chart 1_ROR 5.02 2 2" xfId="8634"/>
    <cellStyle name="_VC 6.15.06 update on 06GRC power costs.xls Chart 1_ROR 5.02 2 2 2" xfId="21647"/>
    <cellStyle name="_VC 6.15.06 update on 06GRC power costs.xls Chart 1_ROR 5.02 2 3" xfId="18777"/>
    <cellStyle name="_VC 6.15.06 update on 06GRC power costs.xls Chart 1_ROR 5.02 3" xfId="8635"/>
    <cellStyle name="_VC 6.15.06 update on 06GRC power costs.xls Chart 1_ROR 5.02 3 2" xfId="21648"/>
    <cellStyle name="_VC 6.15.06 update on 06GRC power costs.xls Chart 1_ROR 5.02 4" xfId="18776"/>
    <cellStyle name="_VC 6.15.06 update on 06GRC power costs.xls Chart 1_Wind Integration 10GRC" xfId="2287"/>
    <cellStyle name="_VC 6.15.06 update on 06GRC power costs.xls Chart 1_Wind Integration 10GRC 2" xfId="2288"/>
    <cellStyle name="_VC 6.15.06 update on 06GRC power costs.xls Chart 1_Wind Integration 10GRC 2 2" xfId="5651"/>
    <cellStyle name="_VC 6.15.06 update on 06GRC power costs.xls Chart 1_Wind Integration 10GRC 2 2 2" xfId="30162"/>
    <cellStyle name="_VC 6.15.06 update on 06GRC power costs.xls Chart 1_Wind Integration 10GRC 2 2 2 2" xfId="30163"/>
    <cellStyle name="_VC 6.15.06 update on 06GRC power costs.xls Chart 1_Wind Integration 10GRC 2 3" xfId="30164"/>
    <cellStyle name="_VC 6.15.06 update on 06GRC power costs.xls Chart 1_Wind Integration 10GRC 2 3 2" xfId="30165"/>
    <cellStyle name="_VC 6.15.06 update on 06GRC power costs.xls Chart 1_Wind Integration 10GRC 2 4" xfId="30166"/>
    <cellStyle name="_VC 6.15.06 update on 06GRC power costs.xls Chart 1_Wind Integration 10GRC 2 4 2" xfId="30167"/>
    <cellStyle name="_VC 6.15.06 update on 06GRC power costs.xls Chart 1_Wind Integration 10GRC 2 5" xfId="8637"/>
    <cellStyle name="_VC 6.15.06 update on 06GRC power costs.xls Chart 1_Wind Integration 10GRC 3" xfId="5650"/>
    <cellStyle name="_VC 6.15.06 update on 06GRC power costs.xls Chart 1_Wind Integration 10GRC 3 2" xfId="30168"/>
    <cellStyle name="_VC 6.15.06 update on 06GRC power costs.xls Chart 1_Wind Integration 10GRC 3 2 2" xfId="30169"/>
    <cellStyle name="_VC 6.15.06 update on 06GRC power costs.xls Chart 1_Wind Integration 10GRC 3 3" xfId="30170"/>
    <cellStyle name="_VC 6.15.06 update on 06GRC power costs.xls Chart 1_Wind Integration 10GRC 4" xfId="30171"/>
    <cellStyle name="_VC 6.15.06 update on 06GRC power costs.xls Chart 1_Wind Integration 10GRC 4 2" xfId="30172"/>
    <cellStyle name="_VC 6.15.06 update on 06GRC power costs.xls Chart 1_Wind Integration 10GRC 4 2 2" xfId="30173"/>
    <cellStyle name="_VC 6.15.06 update on 06GRC power costs.xls Chart 1_Wind Integration 10GRC 4 3" xfId="30174"/>
    <cellStyle name="_VC 6.15.06 update on 06GRC power costs.xls Chart 1_Wind Integration 10GRC 5" xfId="30175"/>
    <cellStyle name="_VC 6.15.06 update on 06GRC power costs.xls Chart 1_Wind Integration 10GRC 5 2" xfId="30176"/>
    <cellStyle name="_VC 6.15.06 update on 06GRC power costs.xls Chart 1_Wind Integration 10GRC 6" xfId="30177"/>
    <cellStyle name="_VC 6.15.06 update on 06GRC power costs.xls Chart 1_Wind Integration 10GRC 6 2" xfId="30178"/>
    <cellStyle name="_VC 6.15.06 update on 06GRC power costs.xls Chart 1_Wind Integration 10GRC 7" xfId="8636"/>
    <cellStyle name="_VC 6.15.06 update on 06GRC power costs.xls Chart 1_Wind Integration 10GRC_DEM-WP(C) ENERG10C--ctn Mid-C_042010 2010GRC" xfId="13140"/>
    <cellStyle name="_VC 6.15.06 update on 06GRC power costs.xls Chart 1_Wind Integration 10GRC_DEM-WP(C) ENERG10C--ctn Mid-C_042010 2010GRC 2" xfId="41930"/>
    <cellStyle name="_VC 6.15.06 update on 06GRC power costs.xls Chart 2" xfId="2289"/>
    <cellStyle name="_VC 6.15.06 update on 06GRC power costs.xls Chart 2 10" xfId="30179"/>
    <cellStyle name="_VC 6.15.06 update on 06GRC power costs.xls Chart 2 10 2" xfId="30180"/>
    <cellStyle name="_VC 6.15.06 update on 06GRC power costs.xls Chart 2 11" xfId="30181"/>
    <cellStyle name="_VC 6.15.06 update on 06GRC power costs.xls Chart 2 11 2" xfId="30182"/>
    <cellStyle name="_VC 6.15.06 update on 06GRC power costs.xls Chart 2 11 3" xfId="30183"/>
    <cellStyle name="_VC 6.15.06 update on 06GRC power costs.xls Chart 2 12" xfId="8638"/>
    <cellStyle name="_VC 6.15.06 update on 06GRC power costs.xls Chart 2 2" xfId="2290"/>
    <cellStyle name="_VC 6.15.06 update on 06GRC power costs.xls Chart 2 2 2" xfId="2291"/>
    <cellStyle name="_VC 6.15.06 update on 06GRC power costs.xls Chart 2 2 2 2" xfId="5654"/>
    <cellStyle name="_VC 6.15.06 update on 06GRC power costs.xls Chart 2 2 2 2 2" xfId="21649"/>
    <cellStyle name="_VC 6.15.06 update on 06GRC power costs.xls Chart 2 2 2 2 2 2" xfId="30184"/>
    <cellStyle name="_VC 6.15.06 update on 06GRC power costs.xls Chart 2 2 2 2 3" xfId="8641"/>
    <cellStyle name="_VC 6.15.06 update on 06GRC power costs.xls Chart 2 2 2 3" xfId="17179"/>
    <cellStyle name="_VC 6.15.06 update on 06GRC power costs.xls Chart 2 2 2 3 2" xfId="30185"/>
    <cellStyle name="_VC 6.15.06 update on 06GRC power costs.xls Chart 2 2 2 4" xfId="30186"/>
    <cellStyle name="_VC 6.15.06 update on 06GRC power costs.xls Chart 2 2 2 4 2" xfId="30187"/>
    <cellStyle name="_VC 6.15.06 update on 06GRC power costs.xls Chart 2 2 2 5" xfId="8640"/>
    <cellStyle name="_VC 6.15.06 update on 06GRC power costs.xls Chart 2 2 3" xfId="5653"/>
    <cellStyle name="_VC 6.15.06 update on 06GRC power costs.xls Chart 2 2 3 2" xfId="21650"/>
    <cellStyle name="_VC 6.15.06 update on 06GRC power costs.xls Chart 2 2 3 2 2" xfId="30188"/>
    <cellStyle name="_VC 6.15.06 update on 06GRC power costs.xls Chart 2 2 3 3" xfId="30189"/>
    <cellStyle name="_VC 6.15.06 update on 06GRC power costs.xls Chart 2 2 3 4" xfId="8642"/>
    <cellStyle name="_VC 6.15.06 update on 06GRC power costs.xls Chart 2 2 4" xfId="17178"/>
    <cellStyle name="_VC 6.15.06 update on 06GRC power costs.xls Chart 2 2 4 2" xfId="30190"/>
    <cellStyle name="_VC 6.15.06 update on 06GRC power costs.xls Chart 2 2 4 2 2" xfId="30191"/>
    <cellStyle name="_VC 6.15.06 update on 06GRC power costs.xls Chart 2 2 4 3" xfId="30192"/>
    <cellStyle name="_VC 6.15.06 update on 06GRC power costs.xls Chart 2 2 5" xfId="30193"/>
    <cellStyle name="_VC 6.15.06 update on 06GRC power costs.xls Chart 2 2 5 2" xfId="30194"/>
    <cellStyle name="_VC 6.15.06 update on 06GRC power costs.xls Chart 2 2 6" xfId="30195"/>
    <cellStyle name="_VC 6.15.06 update on 06GRC power costs.xls Chart 2 2 6 2" xfId="30196"/>
    <cellStyle name="_VC 6.15.06 update on 06GRC power costs.xls Chart 2 2 7" xfId="8639"/>
    <cellStyle name="_VC 6.15.06 update on 06GRC power costs.xls Chart 2 3" xfId="2292"/>
    <cellStyle name="_VC 6.15.06 update on 06GRC power costs.xls Chart 2 3 2" xfId="5655"/>
    <cellStyle name="_VC 6.15.06 update on 06GRC power costs.xls Chart 2 3 2 2" xfId="8645"/>
    <cellStyle name="_VC 6.15.06 update on 06GRC power costs.xls Chart 2 3 2 2 2" xfId="21651"/>
    <cellStyle name="_VC 6.15.06 update on 06GRC power costs.xls Chart 2 3 2 3" xfId="18778"/>
    <cellStyle name="_VC 6.15.06 update on 06GRC power costs.xls Chart 2 3 2 4" xfId="8644"/>
    <cellStyle name="_VC 6.15.06 update on 06GRC power costs.xls Chart 2 3 3" xfId="8646"/>
    <cellStyle name="_VC 6.15.06 update on 06GRC power costs.xls Chart 2 3 3 2" xfId="8647"/>
    <cellStyle name="_VC 6.15.06 update on 06GRC power costs.xls Chart 2 3 3 2 2" xfId="21652"/>
    <cellStyle name="_VC 6.15.06 update on 06GRC power costs.xls Chart 2 3 3 3" xfId="18779"/>
    <cellStyle name="_VC 6.15.06 update on 06GRC power costs.xls Chart 2 3 4" xfId="8648"/>
    <cellStyle name="_VC 6.15.06 update on 06GRC power costs.xls Chart 2 3 4 2" xfId="8649"/>
    <cellStyle name="_VC 6.15.06 update on 06GRC power costs.xls Chart 2 3 4 2 2" xfId="21653"/>
    <cellStyle name="_VC 6.15.06 update on 06GRC power costs.xls Chart 2 3 4 3" xfId="18780"/>
    <cellStyle name="_VC 6.15.06 update on 06GRC power costs.xls Chart 2 3 5" xfId="17180"/>
    <cellStyle name="_VC 6.15.06 update on 06GRC power costs.xls Chart 2 3 5 2" xfId="30197"/>
    <cellStyle name="_VC 6.15.06 update on 06GRC power costs.xls Chart 2 3 6" xfId="8643"/>
    <cellStyle name="_VC 6.15.06 update on 06GRC power costs.xls Chart 2 4" xfId="2293"/>
    <cellStyle name="_VC 6.15.06 update on 06GRC power costs.xls Chart 2 4 2" xfId="2294"/>
    <cellStyle name="_VC 6.15.06 update on 06GRC power costs.xls Chart 2 4 2 2" xfId="5657"/>
    <cellStyle name="_VC 6.15.06 update on 06GRC power costs.xls Chart 2 4 2 2 2" xfId="30198"/>
    <cellStyle name="_VC 6.15.06 update on 06GRC power costs.xls Chart 2 4 2 2 2 2" xfId="30199"/>
    <cellStyle name="_VC 6.15.06 update on 06GRC power costs.xls Chart 2 4 2 3" xfId="30200"/>
    <cellStyle name="_VC 6.15.06 update on 06GRC power costs.xls Chart 2 4 2 3 2" xfId="30201"/>
    <cellStyle name="_VC 6.15.06 update on 06GRC power costs.xls Chart 2 4 2 4" xfId="30202"/>
    <cellStyle name="_VC 6.15.06 update on 06GRC power costs.xls Chart 2 4 2 4 2" xfId="30203"/>
    <cellStyle name="_VC 6.15.06 update on 06GRC power costs.xls Chart 2 4 2 5" xfId="8651"/>
    <cellStyle name="_VC 6.15.06 update on 06GRC power costs.xls Chart 2 4 3" xfId="5656"/>
    <cellStyle name="_VC 6.15.06 update on 06GRC power costs.xls Chart 2 4 3 2" xfId="30204"/>
    <cellStyle name="_VC 6.15.06 update on 06GRC power costs.xls Chart 2 4 3 2 2" xfId="30205"/>
    <cellStyle name="_VC 6.15.06 update on 06GRC power costs.xls Chart 2 4 3 3" xfId="30206"/>
    <cellStyle name="_VC 6.15.06 update on 06GRC power costs.xls Chart 2 4 4" xfId="30207"/>
    <cellStyle name="_VC 6.15.06 update on 06GRC power costs.xls Chart 2 4 4 2" xfId="30208"/>
    <cellStyle name="_VC 6.15.06 update on 06GRC power costs.xls Chart 2 4 4 2 2" xfId="30209"/>
    <cellStyle name="_VC 6.15.06 update on 06GRC power costs.xls Chart 2 4 4 3" xfId="30210"/>
    <cellStyle name="_VC 6.15.06 update on 06GRC power costs.xls Chart 2 4 5" xfId="30211"/>
    <cellStyle name="_VC 6.15.06 update on 06GRC power costs.xls Chart 2 4 5 2" xfId="30212"/>
    <cellStyle name="_VC 6.15.06 update on 06GRC power costs.xls Chart 2 4 6" xfId="30213"/>
    <cellStyle name="_VC 6.15.06 update on 06GRC power costs.xls Chart 2 4 6 2" xfId="30214"/>
    <cellStyle name="_VC 6.15.06 update on 06GRC power costs.xls Chart 2 4 7" xfId="8650"/>
    <cellStyle name="_VC 6.15.06 update on 06GRC power costs.xls Chart 2 5" xfId="5652"/>
    <cellStyle name="_VC 6.15.06 update on 06GRC power costs.xls Chart 2 5 2" xfId="21654"/>
    <cellStyle name="_VC 6.15.06 update on 06GRC power costs.xls Chart 2 5 2 2" xfId="30215"/>
    <cellStyle name="_VC 6.15.06 update on 06GRC power costs.xls Chart 2 5 2 2 2" xfId="30216"/>
    <cellStyle name="_VC 6.15.06 update on 06GRC power costs.xls Chart 2 5 2 2 2 2" xfId="30217"/>
    <cellStyle name="_VC 6.15.06 update on 06GRC power costs.xls Chart 2 5 2 3" xfId="30218"/>
    <cellStyle name="_VC 6.15.06 update on 06GRC power costs.xls Chart 2 5 2 3 2" xfId="30219"/>
    <cellStyle name="_VC 6.15.06 update on 06GRC power costs.xls Chart 2 5 2 4" xfId="30220"/>
    <cellStyle name="_VC 6.15.06 update on 06GRC power costs.xls Chart 2 5 2 4 2" xfId="30221"/>
    <cellStyle name="_VC 6.15.06 update on 06GRC power costs.xls Chart 2 5 2 5" xfId="30222"/>
    <cellStyle name="_VC 6.15.06 update on 06GRC power costs.xls Chart 2 5 3" xfId="30223"/>
    <cellStyle name="_VC 6.15.06 update on 06GRC power costs.xls Chart 2 5 3 2" xfId="30224"/>
    <cellStyle name="_VC 6.15.06 update on 06GRC power costs.xls Chart 2 5 3 2 2" xfId="30225"/>
    <cellStyle name="_VC 6.15.06 update on 06GRC power costs.xls Chart 2 5 4" xfId="30226"/>
    <cellStyle name="_VC 6.15.06 update on 06GRC power costs.xls Chart 2 5 4 2" xfId="30227"/>
    <cellStyle name="_VC 6.15.06 update on 06GRC power costs.xls Chart 2 5 5" xfId="30228"/>
    <cellStyle name="_VC 6.15.06 update on 06GRC power costs.xls Chart 2 5 5 2" xfId="30229"/>
    <cellStyle name="_VC 6.15.06 update on 06GRC power costs.xls Chart 2 5 6" xfId="8652"/>
    <cellStyle name="_VC 6.15.06 update on 06GRC power costs.xls Chart 2 6" xfId="8653"/>
    <cellStyle name="_VC 6.15.06 update on 06GRC power costs.xls Chart 2 6 2" xfId="13141"/>
    <cellStyle name="_VC 6.15.06 update on 06GRC power costs.xls Chart 2 6 2 2" xfId="30230"/>
    <cellStyle name="_VC 6.15.06 update on 06GRC power costs.xls Chart 2 6 2 2 2" xfId="30231"/>
    <cellStyle name="_VC 6.15.06 update on 06GRC power costs.xls Chart 2 6 3" xfId="30232"/>
    <cellStyle name="_VC 6.15.06 update on 06GRC power costs.xls Chart 2 6 3 2" xfId="30233"/>
    <cellStyle name="_VC 6.15.06 update on 06GRC power costs.xls Chart 2 6 4" xfId="30234"/>
    <cellStyle name="_VC 6.15.06 update on 06GRC power costs.xls Chart 2 6 4 2" xfId="30235"/>
    <cellStyle name="_VC 6.15.06 update on 06GRC power costs.xls Chart 2 7" xfId="13142"/>
    <cellStyle name="_VC 6.15.06 update on 06GRC power costs.xls Chart 2 7 2" xfId="13143"/>
    <cellStyle name="_VC 6.15.06 update on 06GRC power costs.xls Chart 2 7 2 2" xfId="30236"/>
    <cellStyle name="_VC 6.15.06 update on 06GRC power costs.xls Chart 2 7 3" xfId="41931"/>
    <cellStyle name="_VC 6.15.06 update on 06GRC power costs.xls Chart 2 8" xfId="30237"/>
    <cellStyle name="_VC 6.15.06 update on 06GRC power costs.xls Chart 2 8 2" xfId="30238"/>
    <cellStyle name="_VC 6.15.06 update on 06GRC power costs.xls Chart 2 8 2 2" xfId="30239"/>
    <cellStyle name="_VC 6.15.06 update on 06GRC power costs.xls Chart 2 8 3" xfId="30240"/>
    <cellStyle name="_VC 6.15.06 update on 06GRC power costs.xls Chart 2 9" xfId="30241"/>
    <cellStyle name="_VC 6.15.06 update on 06GRC power costs.xls Chart 2 9 2" xfId="30242"/>
    <cellStyle name="_VC 6.15.06 update on 06GRC power costs.xls Chart 2 9 2 2" xfId="30243"/>
    <cellStyle name="_VC 6.15.06 update on 06GRC power costs.xls Chart 2 9 2 2 2" xfId="30244"/>
    <cellStyle name="_VC 6.15.06 update on 06GRC power costs.xls Chart 2 9 2 3" xfId="30245"/>
    <cellStyle name="_VC 6.15.06 update on 06GRC power costs.xls Chart 2 9 3" xfId="30246"/>
    <cellStyle name="_VC 6.15.06 update on 06GRC power costs.xls Chart 2 9 3 2" xfId="30247"/>
    <cellStyle name="_VC 6.15.06 update on 06GRC power costs.xls Chart 2 9 4" xfId="30248"/>
    <cellStyle name="_VC 6.15.06 update on 06GRC power costs.xls Chart 2_04 07E Wild Horse Wind Expansion (C) (2)" xfId="2295"/>
    <cellStyle name="_VC 6.15.06 update on 06GRC power costs.xls Chart 2_04 07E Wild Horse Wind Expansion (C) (2) 2" xfId="2296"/>
    <cellStyle name="_VC 6.15.06 update on 06GRC power costs.xls Chart 2_04 07E Wild Horse Wind Expansion (C) (2) 2 2" xfId="5659"/>
    <cellStyle name="_VC 6.15.06 update on 06GRC power costs.xls Chart 2_04 07E Wild Horse Wind Expansion (C) (2) 2 2 2" xfId="21655"/>
    <cellStyle name="_VC 6.15.06 update on 06GRC power costs.xls Chart 2_04 07E Wild Horse Wind Expansion (C) (2) 2 2 2 2" xfId="30249"/>
    <cellStyle name="_VC 6.15.06 update on 06GRC power costs.xls Chart 2_04 07E Wild Horse Wind Expansion (C) (2) 2 2 3" xfId="8656"/>
    <cellStyle name="_VC 6.15.06 update on 06GRC power costs.xls Chart 2_04 07E Wild Horse Wind Expansion (C) (2) 2 3" xfId="17182"/>
    <cellStyle name="_VC 6.15.06 update on 06GRC power costs.xls Chart 2_04 07E Wild Horse Wind Expansion (C) (2) 2 3 2" xfId="30250"/>
    <cellStyle name="_VC 6.15.06 update on 06GRC power costs.xls Chart 2_04 07E Wild Horse Wind Expansion (C) (2) 2 4" xfId="30251"/>
    <cellStyle name="_VC 6.15.06 update on 06GRC power costs.xls Chart 2_04 07E Wild Horse Wind Expansion (C) (2) 2 4 2" xfId="30252"/>
    <cellStyle name="_VC 6.15.06 update on 06GRC power costs.xls Chart 2_04 07E Wild Horse Wind Expansion (C) (2) 2 5" xfId="8655"/>
    <cellStyle name="_VC 6.15.06 update on 06GRC power costs.xls Chart 2_04 07E Wild Horse Wind Expansion (C) (2) 3" xfId="5658"/>
    <cellStyle name="_VC 6.15.06 update on 06GRC power costs.xls Chart 2_04 07E Wild Horse Wind Expansion (C) (2) 3 2" xfId="21656"/>
    <cellStyle name="_VC 6.15.06 update on 06GRC power costs.xls Chart 2_04 07E Wild Horse Wind Expansion (C) (2) 3 2 2" xfId="30253"/>
    <cellStyle name="_VC 6.15.06 update on 06GRC power costs.xls Chart 2_04 07E Wild Horse Wind Expansion (C) (2) 3 3" xfId="30254"/>
    <cellStyle name="_VC 6.15.06 update on 06GRC power costs.xls Chart 2_04 07E Wild Horse Wind Expansion (C) (2) 3 4" xfId="8657"/>
    <cellStyle name="_VC 6.15.06 update on 06GRC power costs.xls Chart 2_04 07E Wild Horse Wind Expansion (C) (2) 4" xfId="17181"/>
    <cellStyle name="_VC 6.15.06 update on 06GRC power costs.xls Chart 2_04 07E Wild Horse Wind Expansion (C) (2) 4 2" xfId="30255"/>
    <cellStyle name="_VC 6.15.06 update on 06GRC power costs.xls Chart 2_04 07E Wild Horse Wind Expansion (C) (2) 4 2 2" xfId="30256"/>
    <cellStyle name="_VC 6.15.06 update on 06GRC power costs.xls Chart 2_04 07E Wild Horse Wind Expansion (C) (2) 4 3" xfId="30257"/>
    <cellStyle name="_VC 6.15.06 update on 06GRC power costs.xls Chart 2_04 07E Wild Horse Wind Expansion (C) (2) 5" xfId="30258"/>
    <cellStyle name="_VC 6.15.06 update on 06GRC power costs.xls Chart 2_04 07E Wild Horse Wind Expansion (C) (2) 5 2" xfId="30259"/>
    <cellStyle name="_VC 6.15.06 update on 06GRC power costs.xls Chart 2_04 07E Wild Horse Wind Expansion (C) (2) 6" xfId="30260"/>
    <cellStyle name="_VC 6.15.06 update on 06GRC power costs.xls Chart 2_04 07E Wild Horse Wind Expansion (C) (2) 6 2" xfId="30261"/>
    <cellStyle name="_VC 6.15.06 update on 06GRC power costs.xls Chart 2_04 07E Wild Horse Wind Expansion (C) (2) 7" xfId="8654"/>
    <cellStyle name="_VC 6.15.06 update on 06GRC power costs.xls Chart 2_04 07E Wild Horse Wind Expansion (C) (2)_Adj Bench DR 3 for Initial Briefs (Electric)" xfId="2297"/>
    <cellStyle name="_VC 6.15.06 update on 06GRC power costs.xls Chart 2_04 07E Wild Horse Wind Expansion (C) (2)_Adj Bench DR 3 for Initial Briefs (Electric) 2" xfId="2298"/>
    <cellStyle name="_VC 6.15.06 update on 06GRC power costs.xls Chart 2_04 07E Wild Horse Wind Expansion (C) (2)_Adj Bench DR 3 for Initial Briefs (Electric) 2 2" xfId="5661"/>
    <cellStyle name="_VC 6.15.06 update on 06GRC power costs.xls Chart 2_04 07E Wild Horse Wind Expansion (C) (2)_Adj Bench DR 3 for Initial Briefs (Electric) 2 2 2" xfId="21657"/>
    <cellStyle name="_VC 6.15.06 update on 06GRC power costs.xls Chart 2_04 07E Wild Horse Wind Expansion (C) (2)_Adj Bench DR 3 for Initial Briefs (Electric) 2 2 2 2" xfId="30262"/>
    <cellStyle name="_VC 6.15.06 update on 06GRC power costs.xls Chart 2_04 07E Wild Horse Wind Expansion (C) (2)_Adj Bench DR 3 for Initial Briefs (Electric) 2 2 3" xfId="8660"/>
    <cellStyle name="_VC 6.15.06 update on 06GRC power costs.xls Chart 2_04 07E Wild Horse Wind Expansion (C) (2)_Adj Bench DR 3 for Initial Briefs (Electric) 2 3" xfId="17184"/>
    <cellStyle name="_VC 6.15.06 update on 06GRC power costs.xls Chart 2_04 07E Wild Horse Wind Expansion (C) (2)_Adj Bench DR 3 for Initial Briefs (Electric) 2 3 2" xfId="30263"/>
    <cellStyle name="_VC 6.15.06 update on 06GRC power costs.xls Chart 2_04 07E Wild Horse Wind Expansion (C) (2)_Adj Bench DR 3 for Initial Briefs (Electric) 2 4" xfId="30264"/>
    <cellStyle name="_VC 6.15.06 update on 06GRC power costs.xls Chart 2_04 07E Wild Horse Wind Expansion (C) (2)_Adj Bench DR 3 for Initial Briefs (Electric) 2 4 2" xfId="30265"/>
    <cellStyle name="_VC 6.15.06 update on 06GRC power costs.xls Chart 2_04 07E Wild Horse Wind Expansion (C) (2)_Adj Bench DR 3 for Initial Briefs (Electric) 2 5" xfId="8659"/>
    <cellStyle name="_VC 6.15.06 update on 06GRC power costs.xls Chart 2_04 07E Wild Horse Wind Expansion (C) (2)_Adj Bench DR 3 for Initial Briefs (Electric) 3" xfId="5660"/>
    <cellStyle name="_VC 6.15.06 update on 06GRC power costs.xls Chart 2_04 07E Wild Horse Wind Expansion (C) (2)_Adj Bench DR 3 for Initial Briefs (Electric) 3 2" xfId="21658"/>
    <cellStyle name="_VC 6.15.06 update on 06GRC power costs.xls Chart 2_04 07E Wild Horse Wind Expansion (C) (2)_Adj Bench DR 3 for Initial Briefs (Electric) 3 2 2" xfId="30266"/>
    <cellStyle name="_VC 6.15.06 update on 06GRC power costs.xls Chart 2_04 07E Wild Horse Wind Expansion (C) (2)_Adj Bench DR 3 for Initial Briefs (Electric) 3 3" xfId="30267"/>
    <cellStyle name="_VC 6.15.06 update on 06GRC power costs.xls Chart 2_04 07E Wild Horse Wind Expansion (C) (2)_Adj Bench DR 3 for Initial Briefs (Electric) 3 4" xfId="8661"/>
    <cellStyle name="_VC 6.15.06 update on 06GRC power costs.xls Chart 2_04 07E Wild Horse Wind Expansion (C) (2)_Adj Bench DR 3 for Initial Briefs (Electric) 4" xfId="17183"/>
    <cellStyle name="_VC 6.15.06 update on 06GRC power costs.xls Chart 2_04 07E Wild Horse Wind Expansion (C) (2)_Adj Bench DR 3 for Initial Briefs (Electric) 4 2" xfId="30268"/>
    <cellStyle name="_VC 6.15.06 update on 06GRC power costs.xls Chart 2_04 07E Wild Horse Wind Expansion (C) (2)_Adj Bench DR 3 for Initial Briefs (Electric) 4 2 2" xfId="30269"/>
    <cellStyle name="_VC 6.15.06 update on 06GRC power costs.xls Chart 2_04 07E Wild Horse Wind Expansion (C) (2)_Adj Bench DR 3 for Initial Briefs (Electric) 4 3" xfId="30270"/>
    <cellStyle name="_VC 6.15.06 update on 06GRC power costs.xls Chart 2_04 07E Wild Horse Wind Expansion (C) (2)_Adj Bench DR 3 for Initial Briefs (Electric) 5" xfId="30271"/>
    <cellStyle name="_VC 6.15.06 update on 06GRC power costs.xls Chart 2_04 07E Wild Horse Wind Expansion (C) (2)_Adj Bench DR 3 for Initial Briefs (Electric) 5 2" xfId="30272"/>
    <cellStyle name="_VC 6.15.06 update on 06GRC power costs.xls Chart 2_04 07E Wild Horse Wind Expansion (C) (2)_Adj Bench DR 3 for Initial Briefs (Electric) 6" xfId="30273"/>
    <cellStyle name="_VC 6.15.06 update on 06GRC power costs.xls Chart 2_04 07E Wild Horse Wind Expansion (C) (2)_Adj Bench DR 3 for Initial Briefs (Electric) 6 2" xfId="30274"/>
    <cellStyle name="_VC 6.15.06 update on 06GRC power costs.xls Chart 2_04 07E Wild Horse Wind Expansion (C) (2)_Adj Bench DR 3 for Initial Briefs (Electric) 7" xfId="8658"/>
    <cellStyle name="_VC 6.15.06 update on 06GRC power costs.xls Chart 2_04 07E Wild Horse Wind Expansion (C) (2)_Adj Bench DR 3 for Initial Briefs (Electric)_DEM-WP(C) ENERG10C--ctn Mid-C_042010 2010GRC" xfId="13144"/>
    <cellStyle name="_VC 6.15.06 update on 06GRC power costs.xls Chart 2_04 07E Wild Horse Wind Expansion (C) (2)_Adj Bench DR 3 for Initial Briefs (Electric)_DEM-WP(C) ENERG10C--ctn Mid-C_042010 2010GRC 2" xfId="41932"/>
    <cellStyle name="_VC 6.15.06 update on 06GRC power costs.xls Chart 2_04 07E Wild Horse Wind Expansion (C) (2)_Book1" xfId="14293"/>
    <cellStyle name="_VC 6.15.06 update on 06GRC power costs.xls Chart 2_04 07E Wild Horse Wind Expansion (C) (2)_Book1 2" xfId="41933"/>
    <cellStyle name="_VC 6.15.06 update on 06GRC power costs.xls Chart 2_04 07E Wild Horse Wind Expansion (C) (2)_DEM-WP(C) ENERG10C--ctn Mid-C_042010 2010GRC" xfId="13145"/>
    <cellStyle name="_VC 6.15.06 update on 06GRC power costs.xls Chart 2_04 07E Wild Horse Wind Expansion (C) (2)_DEM-WP(C) ENERG10C--ctn Mid-C_042010 2010GRC 2" xfId="41934"/>
    <cellStyle name="_VC 6.15.06 update on 06GRC power costs.xls Chart 2_04 07E Wild Horse Wind Expansion (C) (2)_Electric Rev Req Model (2009 GRC) " xfId="2299"/>
    <cellStyle name="_VC 6.15.06 update on 06GRC power costs.xls Chart 2_04 07E Wild Horse Wind Expansion (C) (2)_Electric Rev Req Model (2009 GRC)  2" xfId="2300"/>
    <cellStyle name="_VC 6.15.06 update on 06GRC power costs.xls Chart 2_04 07E Wild Horse Wind Expansion (C) (2)_Electric Rev Req Model (2009 GRC)  2 2" xfId="5663"/>
    <cellStyle name="_VC 6.15.06 update on 06GRC power costs.xls Chart 2_04 07E Wild Horse Wind Expansion (C) (2)_Electric Rev Req Model (2009 GRC)  2 2 2" xfId="21659"/>
    <cellStyle name="_VC 6.15.06 update on 06GRC power costs.xls Chart 2_04 07E Wild Horse Wind Expansion (C) (2)_Electric Rev Req Model (2009 GRC)  2 2 2 2" xfId="30275"/>
    <cellStyle name="_VC 6.15.06 update on 06GRC power costs.xls Chart 2_04 07E Wild Horse Wind Expansion (C) (2)_Electric Rev Req Model (2009 GRC)  2 2 3" xfId="8664"/>
    <cellStyle name="_VC 6.15.06 update on 06GRC power costs.xls Chart 2_04 07E Wild Horse Wind Expansion (C) (2)_Electric Rev Req Model (2009 GRC)  2 3" xfId="17186"/>
    <cellStyle name="_VC 6.15.06 update on 06GRC power costs.xls Chart 2_04 07E Wild Horse Wind Expansion (C) (2)_Electric Rev Req Model (2009 GRC)  2 3 2" xfId="30276"/>
    <cellStyle name="_VC 6.15.06 update on 06GRC power costs.xls Chart 2_04 07E Wild Horse Wind Expansion (C) (2)_Electric Rev Req Model (2009 GRC)  2 4" xfId="30277"/>
    <cellStyle name="_VC 6.15.06 update on 06GRC power costs.xls Chart 2_04 07E Wild Horse Wind Expansion (C) (2)_Electric Rev Req Model (2009 GRC)  2 4 2" xfId="30278"/>
    <cellStyle name="_VC 6.15.06 update on 06GRC power costs.xls Chart 2_04 07E Wild Horse Wind Expansion (C) (2)_Electric Rev Req Model (2009 GRC)  2 5" xfId="8663"/>
    <cellStyle name="_VC 6.15.06 update on 06GRC power costs.xls Chart 2_04 07E Wild Horse Wind Expansion (C) (2)_Electric Rev Req Model (2009 GRC)  3" xfId="5662"/>
    <cellStyle name="_VC 6.15.06 update on 06GRC power costs.xls Chart 2_04 07E Wild Horse Wind Expansion (C) (2)_Electric Rev Req Model (2009 GRC)  3 2" xfId="21660"/>
    <cellStyle name="_VC 6.15.06 update on 06GRC power costs.xls Chart 2_04 07E Wild Horse Wind Expansion (C) (2)_Electric Rev Req Model (2009 GRC)  3 2 2" xfId="30279"/>
    <cellStyle name="_VC 6.15.06 update on 06GRC power costs.xls Chart 2_04 07E Wild Horse Wind Expansion (C) (2)_Electric Rev Req Model (2009 GRC)  3 3" xfId="30280"/>
    <cellStyle name="_VC 6.15.06 update on 06GRC power costs.xls Chart 2_04 07E Wild Horse Wind Expansion (C) (2)_Electric Rev Req Model (2009 GRC)  3 4" xfId="8665"/>
    <cellStyle name="_VC 6.15.06 update on 06GRC power costs.xls Chart 2_04 07E Wild Horse Wind Expansion (C) (2)_Electric Rev Req Model (2009 GRC)  4" xfId="17185"/>
    <cellStyle name="_VC 6.15.06 update on 06GRC power costs.xls Chart 2_04 07E Wild Horse Wind Expansion (C) (2)_Electric Rev Req Model (2009 GRC)  4 2" xfId="30281"/>
    <cellStyle name="_VC 6.15.06 update on 06GRC power costs.xls Chart 2_04 07E Wild Horse Wind Expansion (C) (2)_Electric Rev Req Model (2009 GRC)  4 2 2" xfId="30282"/>
    <cellStyle name="_VC 6.15.06 update on 06GRC power costs.xls Chart 2_04 07E Wild Horse Wind Expansion (C) (2)_Electric Rev Req Model (2009 GRC)  4 3" xfId="30283"/>
    <cellStyle name="_VC 6.15.06 update on 06GRC power costs.xls Chart 2_04 07E Wild Horse Wind Expansion (C) (2)_Electric Rev Req Model (2009 GRC)  5" xfId="30284"/>
    <cellStyle name="_VC 6.15.06 update on 06GRC power costs.xls Chart 2_04 07E Wild Horse Wind Expansion (C) (2)_Electric Rev Req Model (2009 GRC)  5 2" xfId="30285"/>
    <cellStyle name="_VC 6.15.06 update on 06GRC power costs.xls Chart 2_04 07E Wild Horse Wind Expansion (C) (2)_Electric Rev Req Model (2009 GRC)  6" xfId="30286"/>
    <cellStyle name="_VC 6.15.06 update on 06GRC power costs.xls Chart 2_04 07E Wild Horse Wind Expansion (C) (2)_Electric Rev Req Model (2009 GRC)  6 2" xfId="30287"/>
    <cellStyle name="_VC 6.15.06 update on 06GRC power costs.xls Chart 2_04 07E Wild Horse Wind Expansion (C) (2)_Electric Rev Req Model (2009 GRC)  7" xfId="8662"/>
    <cellStyle name="_VC 6.15.06 update on 06GRC power costs.xls Chart 2_04 07E Wild Horse Wind Expansion (C) (2)_Electric Rev Req Model (2009 GRC) _DEM-WP(C) ENERG10C--ctn Mid-C_042010 2010GRC" xfId="13146"/>
    <cellStyle name="_VC 6.15.06 update on 06GRC power costs.xls Chart 2_04 07E Wild Horse Wind Expansion (C) (2)_Electric Rev Req Model (2009 GRC) _DEM-WP(C) ENERG10C--ctn Mid-C_042010 2010GRC 2" xfId="41935"/>
    <cellStyle name="_VC 6.15.06 update on 06GRC power costs.xls Chart 2_04 07E Wild Horse Wind Expansion (C) (2)_Electric Rev Req Model (2009 GRC) Rebuttal" xfId="2301"/>
    <cellStyle name="_VC 6.15.06 update on 06GRC power costs.xls Chart 2_04 07E Wild Horse Wind Expansion (C) (2)_Electric Rev Req Model (2009 GRC) Rebuttal 2" xfId="5664"/>
    <cellStyle name="_VC 6.15.06 update on 06GRC power costs.xls Chart 2_04 07E Wild Horse Wind Expansion (C) (2)_Electric Rev Req Model (2009 GRC) Rebuttal 2 2" xfId="8668"/>
    <cellStyle name="_VC 6.15.06 update on 06GRC power costs.xls Chart 2_04 07E Wild Horse Wind Expansion (C) (2)_Electric Rev Req Model (2009 GRC) Rebuttal 2 2 2" xfId="21661"/>
    <cellStyle name="_VC 6.15.06 update on 06GRC power costs.xls Chart 2_04 07E Wild Horse Wind Expansion (C) (2)_Electric Rev Req Model (2009 GRC) Rebuttal 2 3" xfId="18781"/>
    <cellStyle name="_VC 6.15.06 update on 06GRC power costs.xls Chart 2_04 07E Wild Horse Wind Expansion (C) (2)_Electric Rev Req Model (2009 GRC) Rebuttal 2 4" xfId="8667"/>
    <cellStyle name="_VC 6.15.06 update on 06GRC power costs.xls Chart 2_04 07E Wild Horse Wind Expansion (C) (2)_Electric Rev Req Model (2009 GRC) Rebuttal 3" xfId="8669"/>
    <cellStyle name="_VC 6.15.06 update on 06GRC power costs.xls Chart 2_04 07E Wild Horse Wind Expansion (C) (2)_Electric Rev Req Model (2009 GRC) Rebuttal 3 2" xfId="21662"/>
    <cellStyle name="_VC 6.15.06 update on 06GRC power costs.xls Chart 2_04 07E Wild Horse Wind Expansion (C) (2)_Electric Rev Req Model (2009 GRC) Rebuttal 4" xfId="17187"/>
    <cellStyle name="_VC 6.15.06 update on 06GRC power costs.xls Chart 2_04 07E Wild Horse Wind Expansion (C) (2)_Electric Rev Req Model (2009 GRC) Rebuttal 5" xfId="8666"/>
    <cellStyle name="_VC 6.15.06 update on 06GRC power costs.xls Chart 2_04 07E Wild Horse Wind Expansion (C) (2)_Electric Rev Req Model (2009 GRC) Rebuttal REmoval of New  WH Solar AdjustMI" xfId="2302"/>
    <cellStyle name="_VC 6.15.06 update on 06GRC power costs.xls Chart 2_04 07E Wild Horse Wind Expansion (C) (2)_Electric Rev Req Model (2009 GRC) Rebuttal REmoval of New  WH Solar AdjustMI 2" xfId="2303"/>
    <cellStyle name="_VC 6.15.06 update on 06GRC power costs.xls Chart 2_04 07E Wild Horse Wind Expansion (C) (2)_Electric Rev Req Model (2009 GRC) Rebuttal REmoval of New  WH Solar AdjustMI 2 2" xfId="5666"/>
    <cellStyle name="_VC 6.15.06 update on 06GRC power costs.xls Chart 2_04 07E Wild Horse Wind Expansion (C) (2)_Electric Rev Req Model (2009 GRC) Rebuttal REmoval of New  WH Solar AdjustMI 2 2 2" xfId="21663"/>
    <cellStyle name="_VC 6.15.06 update on 06GRC power costs.xls Chart 2_04 07E Wild Horse Wind Expansion (C) (2)_Electric Rev Req Model (2009 GRC) Rebuttal REmoval of New  WH Solar AdjustMI 2 2 2 2" xfId="30288"/>
    <cellStyle name="_VC 6.15.06 update on 06GRC power costs.xls Chart 2_04 07E Wild Horse Wind Expansion (C) (2)_Electric Rev Req Model (2009 GRC) Rebuttal REmoval of New  WH Solar AdjustMI 2 2 3" xfId="8672"/>
    <cellStyle name="_VC 6.15.06 update on 06GRC power costs.xls Chart 2_04 07E Wild Horse Wind Expansion (C) (2)_Electric Rev Req Model (2009 GRC) Rebuttal REmoval of New  WH Solar AdjustMI 2 3" xfId="17189"/>
    <cellStyle name="_VC 6.15.06 update on 06GRC power costs.xls Chart 2_04 07E Wild Horse Wind Expansion (C) (2)_Electric Rev Req Model (2009 GRC) Rebuttal REmoval of New  WH Solar AdjustMI 2 3 2" xfId="30289"/>
    <cellStyle name="_VC 6.15.06 update on 06GRC power costs.xls Chart 2_04 07E Wild Horse Wind Expansion (C) (2)_Electric Rev Req Model (2009 GRC) Rebuttal REmoval of New  WH Solar AdjustMI 2 4" xfId="30290"/>
    <cellStyle name="_VC 6.15.06 update on 06GRC power costs.xls Chart 2_04 07E Wild Horse Wind Expansion (C) (2)_Electric Rev Req Model (2009 GRC) Rebuttal REmoval of New  WH Solar AdjustMI 2 4 2" xfId="30291"/>
    <cellStyle name="_VC 6.15.06 update on 06GRC power costs.xls Chart 2_04 07E Wild Horse Wind Expansion (C) (2)_Electric Rev Req Model (2009 GRC) Rebuttal REmoval of New  WH Solar AdjustMI 2 5" xfId="8671"/>
    <cellStyle name="_VC 6.15.06 update on 06GRC power costs.xls Chart 2_04 07E Wild Horse Wind Expansion (C) (2)_Electric Rev Req Model (2009 GRC) Rebuttal REmoval of New  WH Solar AdjustMI 3" xfId="5665"/>
    <cellStyle name="_VC 6.15.06 update on 06GRC power costs.xls Chart 2_04 07E Wild Horse Wind Expansion (C) (2)_Electric Rev Req Model (2009 GRC) Rebuttal REmoval of New  WH Solar AdjustMI 3 2" xfId="21664"/>
    <cellStyle name="_VC 6.15.06 update on 06GRC power costs.xls Chart 2_04 07E Wild Horse Wind Expansion (C) (2)_Electric Rev Req Model (2009 GRC) Rebuttal REmoval of New  WH Solar AdjustMI 3 2 2" xfId="30292"/>
    <cellStyle name="_VC 6.15.06 update on 06GRC power costs.xls Chart 2_04 07E Wild Horse Wind Expansion (C) (2)_Electric Rev Req Model (2009 GRC) Rebuttal REmoval of New  WH Solar AdjustMI 3 3" xfId="30293"/>
    <cellStyle name="_VC 6.15.06 update on 06GRC power costs.xls Chart 2_04 07E Wild Horse Wind Expansion (C) (2)_Electric Rev Req Model (2009 GRC) Rebuttal REmoval of New  WH Solar AdjustMI 3 4" xfId="8673"/>
    <cellStyle name="_VC 6.15.06 update on 06GRC power costs.xls Chart 2_04 07E Wild Horse Wind Expansion (C) (2)_Electric Rev Req Model (2009 GRC) Rebuttal REmoval of New  WH Solar AdjustMI 4" xfId="17188"/>
    <cellStyle name="_VC 6.15.06 update on 06GRC power costs.xls Chart 2_04 07E Wild Horse Wind Expansion (C) (2)_Electric Rev Req Model (2009 GRC) Rebuttal REmoval of New  WH Solar AdjustMI 4 2" xfId="30294"/>
    <cellStyle name="_VC 6.15.06 update on 06GRC power costs.xls Chart 2_04 07E Wild Horse Wind Expansion (C) (2)_Electric Rev Req Model (2009 GRC) Rebuttal REmoval of New  WH Solar AdjustMI 4 2 2" xfId="30295"/>
    <cellStyle name="_VC 6.15.06 update on 06GRC power costs.xls Chart 2_04 07E Wild Horse Wind Expansion (C) (2)_Electric Rev Req Model (2009 GRC) Rebuttal REmoval of New  WH Solar AdjustMI 4 3" xfId="30296"/>
    <cellStyle name="_VC 6.15.06 update on 06GRC power costs.xls Chart 2_04 07E Wild Horse Wind Expansion (C) (2)_Electric Rev Req Model (2009 GRC) Rebuttal REmoval of New  WH Solar AdjustMI 5" xfId="30297"/>
    <cellStyle name="_VC 6.15.06 update on 06GRC power costs.xls Chart 2_04 07E Wild Horse Wind Expansion (C) (2)_Electric Rev Req Model (2009 GRC) Rebuttal REmoval of New  WH Solar AdjustMI 5 2" xfId="30298"/>
    <cellStyle name="_VC 6.15.06 update on 06GRC power costs.xls Chart 2_04 07E Wild Horse Wind Expansion (C) (2)_Electric Rev Req Model (2009 GRC) Rebuttal REmoval of New  WH Solar AdjustMI 6" xfId="30299"/>
    <cellStyle name="_VC 6.15.06 update on 06GRC power costs.xls Chart 2_04 07E Wild Horse Wind Expansion (C) (2)_Electric Rev Req Model (2009 GRC) Rebuttal REmoval of New  WH Solar AdjustMI 6 2" xfId="30300"/>
    <cellStyle name="_VC 6.15.06 update on 06GRC power costs.xls Chart 2_04 07E Wild Horse Wind Expansion (C) (2)_Electric Rev Req Model (2009 GRC) Rebuttal REmoval of New  WH Solar AdjustMI 7" xfId="8670"/>
    <cellStyle name="_VC 6.15.06 update on 06GRC power costs.xls Chart 2_04 07E Wild Horse Wind Expansion (C) (2)_Electric Rev Req Model (2009 GRC) Rebuttal REmoval of New  WH Solar AdjustMI_DEM-WP(C) ENERG10C--ctn Mid-C_042010 2010GRC" xfId="13147"/>
    <cellStyle name="_VC 6.15.06 update on 06GRC power costs.xls Chart 2_04 07E Wild Horse Wind Expansion (C) (2)_Electric Rev Req Model (2009 GRC) Rebuttal REmoval of New  WH Solar AdjustMI_DEM-WP(C) ENERG10C--ctn Mid-C_042010 2010GRC 2" xfId="41936"/>
    <cellStyle name="_VC 6.15.06 update on 06GRC power costs.xls Chart 2_04 07E Wild Horse Wind Expansion (C) (2)_Electric Rev Req Model (2009 GRC) Revised 01-18-2010" xfId="2304"/>
    <cellStyle name="_VC 6.15.06 update on 06GRC power costs.xls Chart 2_04 07E Wild Horse Wind Expansion (C) (2)_Electric Rev Req Model (2009 GRC) Revised 01-18-2010 2" xfId="2305"/>
    <cellStyle name="_VC 6.15.06 update on 06GRC power costs.xls Chart 2_04 07E Wild Horse Wind Expansion (C) (2)_Electric Rev Req Model (2009 GRC) Revised 01-18-2010 2 2" xfId="5668"/>
    <cellStyle name="_VC 6.15.06 update on 06GRC power costs.xls Chart 2_04 07E Wild Horse Wind Expansion (C) (2)_Electric Rev Req Model (2009 GRC) Revised 01-18-2010 2 2 2" xfId="21665"/>
    <cellStyle name="_VC 6.15.06 update on 06GRC power costs.xls Chart 2_04 07E Wild Horse Wind Expansion (C) (2)_Electric Rev Req Model (2009 GRC) Revised 01-18-2010 2 2 2 2" xfId="30301"/>
    <cellStyle name="_VC 6.15.06 update on 06GRC power costs.xls Chart 2_04 07E Wild Horse Wind Expansion (C) (2)_Electric Rev Req Model (2009 GRC) Revised 01-18-2010 2 2 3" xfId="8676"/>
    <cellStyle name="_VC 6.15.06 update on 06GRC power costs.xls Chart 2_04 07E Wild Horse Wind Expansion (C) (2)_Electric Rev Req Model (2009 GRC) Revised 01-18-2010 2 3" xfId="17191"/>
    <cellStyle name="_VC 6.15.06 update on 06GRC power costs.xls Chart 2_04 07E Wild Horse Wind Expansion (C) (2)_Electric Rev Req Model (2009 GRC) Revised 01-18-2010 2 3 2" xfId="30302"/>
    <cellStyle name="_VC 6.15.06 update on 06GRC power costs.xls Chart 2_04 07E Wild Horse Wind Expansion (C) (2)_Electric Rev Req Model (2009 GRC) Revised 01-18-2010 2 4" xfId="30303"/>
    <cellStyle name="_VC 6.15.06 update on 06GRC power costs.xls Chart 2_04 07E Wild Horse Wind Expansion (C) (2)_Electric Rev Req Model (2009 GRC) Revised 01-18-2010 2 4 2" xfId="30304"/>
    <cellStyle name="_VC 6.15.06 update on 06GRC power costs.xls Chart 2_04 07E Wild Horse Wind Expansion (C) (2)_Electric Rev Req Model (2009 GRC) Revised 01-18-2010 2 5" xfId="8675"/>
    <cellStyle name="_VC 6.15.06 update on 06GRC power costs.xls Chart 2_04 07E Wild Horse Wind Expansion (C) (2)_Electric Rev Req Model (2009 GRC) Revised 01-18-2010 3" xfId="5667"/>
    <cellStyle name="_VC 6.15.06 update on 06GRC power costs.xls Chart 2_04 07E Wild Horse Wind Expansion (C) (2)_Electric Rev Req Model (2009 GRC) Revised 01-18-2010 3 2" xfId="21666"/>
    <cellStyle name="_VC 6.15.06 update on 06GRC power costs.xls Chart 2_04 07E Wild Horse Wind Expansion (C) (2)_Electric Rev Req Model (2009 GRC) Revised 01-18-2010 3 2 2" xfId="30305"/>
    <cellStyle name="_VC 6.15.06 update on 06GRC power costs.xls Chart 2_04 07E Wild Horse Wind Expansion (C) (2)_Electric Rev Req Model (2009 GRC) Revised 01-18-2010 3 3" xfId="30306"/>
    <cellStyle name="_VC 6.15.06 update on 06GRC power costs.xls Chart 2_04 07E Wild Horse Wind Expansion (C) (2)_Electric Rev Req Model (2009 GRC) Revised 01-18-2010 3 4" xfId="8677"/>
    <cellStyle name="_VC 6.15.06 update on 06GRC power costs.xls Chart 2_04 07E Wild Horse Wind Expansion (C) (2)_Electric Rev Req Model (2009 GRC) Revised 01-18-2010 4" xfId="17190"/>
    <cellStyle name="_VC 6.15.06 update on 06GRC power costs.xls Chart 2_04 07E Wild Horse Wind Expansion (C) (2)_Electric Rev Req Model (2009 GRC) Revised 01-18-2010 4 2" xfId="30307"/>
    <cellStyle name="_VC 6.15.06 update on 06GRC power costs.xls Chart 2_04 07E Wild Horse Wind Expansion (C) (2)_Electric Rev Req Model (2009 GRC) Revised 01-18-2010 4 2 2" xfId="30308"/>
    <cellStyle name="_VC 6.15.06 update on 06GRC power costs.xls Chart 2_04 07E Wild Horse Wind Expansion (C) (2)_Electric Rev Req Model (2009 GRC) Revised 01-18-2010 4 3" xfId="30309"/>
    <cellStyle name="_VC 6.15.06 update on 06GRC power costs.xls Chart 2_04 07E Wild Horse Wind Expansion (C) (2)_Electric Rev Req Model (2009 GRC) Revised 01-18-2010 5" xfId="30310"/>
    <cellStyle name="_VC 6.15.06 update on 06GRC power costs.xls Chart 2_04 07E Wild Horse Wind Expansion (C) (2)_Electric Rev Req Model (2009 GRC) Revised 01-18-2010 5 2" xfId="30311"/>
    <cellStyle name="_VC 6.15.06 update on 06GRC power costs.xls Chart 2_04 07E Wild Horse Wind Expansion (C) (2)_Electric Rev Req Model (2009 GRC) Revised 01-18-2010 6" xfId="30312"/>
    <cellStyle name="_VC 6.15.06 update on 06GRC power costs.xls Chart 2_04 07E Wild Horse Wind Expansion (C) (2)_Electric Rev Req Model (2009 GRC) Revised 01-18-2010 6 2" xfId="30313"/>
    <cellStyle name="_VC 6.15.06 update on 06GRC power costs.xls Chart 2_04 07E Wild Horse Wind Expansion (C) (2)_Electric Rev Req Model (2009 GRC) Revised 01-18-2010 7" xfId="8674"/>
    <cellStyle name="_VC 6.15.06 update on 06GRC power costs.xls Chart 2_04 07E Wild Horse Wind Expansion (C) (2)_Electric Rev Req Model (2009 GRC) Revised 01-18-2010_DEM-WP(C) ENERG10C--ctn Mid-C_042010 2010GRC" xfId="13148"/>
    <cellStyle name="_VC 6.15.06 update on 06GRC power costs.xls Chart 2_04 07E Wild Horse Wind Expansion (C) (2)_Electric Rev Req Model (2009 GRC) Revised 01-18-2010_DEM-WP(C) ENERG10C--ctn Mid-C_042010 2010GRC 2" xfId="41937"/>
    <cellStyle name="_VC 6.15.06 update on 06GRC power costs.xls Chart 2_04 07E Wild Horse Wind Expansion (C) (2)_Electric Rev Req Model (2010 GRC)" xfId="14294"/>
    <cellStyle name="_VC 6.15.06 update on 06GRC power costs.xls Chart 2_04 07E Wild Horse Wind Expansion (C) (2)_Electric Rev Req Model (2010 GRC) 2" xfId="41938"/>
    <cellStyle name="_VC 6.15.06 update on 06GRC power costs.xls Chart 2_04 07E Wild Horse Wind Expansion (C) (2)_Electric Rev Req Model (2010 GRC) SF" xfId="14295"/>
    <cellStyle name="_VC 6.15.06 update on 06GRC power costs.xls Chart 2_04 07E Wild Horse Wind Expansion (C) (2)_Electric Rev Req Model (2010 GRC) SF 2" xfId="41939"/>
    <cellStyle name="_VC 6.15.06 update on 06GRC power costs.xls Chart 2_04 07E Wild Horse Wind Expansion (C) (2)_Final Order Electric EXHIBIT A-1" xfId="2306"/>
    <cellStyle name="_VC 6.15.06 update on 06GRC power costs.xls Chart 2_04 07E Wild Horse Wind Expansion (C) (2)_Final Order Electric EXHIBIT A-1 2" xfId="5669"/>
    <cellStyle name="_VC 6.15.06 update on 06GRC power costs.xls Chart 2_04 07E Wild Horse Wind Expansion (C) (2)_Final Order Electric EXHIBIT A-1 2 2" xfId="8680"/>
    <cellStyle name="_VC 6.15.06 update on 06GRC power costs.xls Chart 2_04 07E Wild Horse Wind Expansion (C) (2)_Final Order Electric EXHIBIT A-1 2 2 2" xfId="21667"/>
    <cellStyle name="_VC 6.15.06 update on 06GRC power costs.xls Chart 2_04 07E Wild Horse Wind Expansion (C) (2)_Final Order Electric EXHIBIT A-1 2 3" xfId="18782"/>
    <cellStyle name="_VC 6.15.06 update on 06GRC power costs.xls Chart 2_04 07E Wild Horse Wind Expansion (C) (2)_Final Order Electric EXHIBIT A-1 2 4" xfId="8679"/>
    <cellStyle name="_VC 6.15.06 update on 06GRC power costs.xls Chart 2_04 07E Wild Horse Wind Expansion (C) (2)_Final Order Electric EXHIBIT A-1 3" xfId="8681"/>
    <cellStyle name="_VC 6.15.06 update on 06GRC power costs.xls Chart 2_04 07E Wild Horse Wind Expansion (C) (2)_Final Order Electric EXHIBIT A-1 3 2" xfId="21668"/>
    <cellStyle name="_VC 6.15.06 update on 06GRC power costs.xls Chart 2_04 07E Wild Horse Wind Expansion (C) (2)_Final Order Electric EXHIBIT A-1 3 2 2" xfId="30314"/>
    <cellStyle name="_VC 6.15.06 update on 06GRC power costs.xls Chart 2_04 07E Wild Horse Wind Expansion (C) (2)_Final Order Electric EXHIBIT A-1 3 3" xfId="30315"/>
    <cellStyle name="_VC 6.15.06 update on 06GRC power costs.xls Chart 2_04 07E Wild Horse Wind Expansion (C) (2)_Final Order Electric EXHIBIT A-1 4" xfId="17192"/>
    <cellStyle name="_VC 6.15.06 update on 06GRC power costs.xls Chart 2_04 07E Wild Horse Wind Expansion (C) (2)_Final Order Electric EXHIBIT A-1 4 2" xfId="30316"/>
    <cellStyle name="_VC 6.15.06 update on 06GRC power costs.xls Chart 2_04 07E Wild Horse Wind Expansion (C) (2)_Final Order Electric EXHIBIT A-1 5" xfId="30317"/>
    <cellStyle name="_VC 6.15.06 update on 06GRC power costs.xls Chart 2_04 07E Wild Horse Wind Expansion (C) (2)_Final Order Electric EXHIBIT A-1 6" xfId="30318"/>
    <cellStyle name="_VC 6.15.06 update on 06GRC power costs.xls Chart 2_04 07E Wild Horse Wind Expansion (C) (2)_Final Order Electric EXHIBIT A-1 7" xfId="8678"/>
    <cellStyle name="_VC 6.15.06 update on 06GRC power costs.xls Chart 2_04 07E Wild Horse Wind Expansion (C) (2)_TENASKA REGULATORY ASSET" xfId="2307"/>
    <cellStyle name="_VC 6.15.06 update on 06GRC power costs.xls Chart 2_04 07E Wild Horse Wind Expansion (C) (2)_TENASKA REGULATORY ASSET 2" xfId="5670"/>
    <cellStyle name="_VC 6.15.06 update on 06GRC power costs.xls Chart 2_04 07E Wild Horse Wind Expansion (C) (2)_TENASKA REGULATORY ASSET 2 2" xfId="8684"/>
    <cellStyle name="_VC 6.15.06 update on 06GRC power costs.xls Chart 2_04 07E Wild Horse Wind Expansion (C) (2)_TENASKA REGULATORY ASSET 2 2 2" xfId="21669"/>
    <cellStyle name="_VC 6.15.06 update on 06GRC power costs.xls Chart 2_04 07E Wild Horse Wind Expansion (C) (2)_TENASKA REGULATORY ASSET 2 3" xfId="18783"/>
    <cellStyle name="_VC 6.15.06 update on 06GRC power costs.xls Chart 2_04 07E Wild Horse Wind Expansion (C) (2)_TENASKA REGULATORY ASSET 2 4" xfId="8683"/>
    <cellStyle name="_VC 6.15.06 update on 06GRC power costs.xls Chart 2_04 07E Wild Horse Wind Expansion (C) (2)_TENASKA REGULATORY ASSET 3" xfId="8685"/>
    <cellStyle name="_VC 6.15.06 update on 06GRC power costs.xls Chart 2_04 07E Wild Horse Wind Expansion (C) (2)_TENASKA REGULATORY ASSET 3 2" xfId="21670"/>
    <cellStyle name="_VC 6.15.06 update on 06GRC power costs.xls Chart 2_04 07E Wild Horse Wind Expansion (C) (2)_TENASKA REGULATORY ASSET 3 2 2" xfId="30319"/>
    <cellStyle name="_VC 6.15.06 update on 06GRC power costs.xls Chart 2_04 07E Wild Horse Wind Expansion (C) (2)_TENASKA REGULATORY ASSET 3 3" xfId="30320"/>
    <cellStyle name="_VC 6.15.06 update on 06GRC power costs.xls Chart 2_04 07E Wild Horse Wind Expansion (C) (2)_TENASKA REGULATORY ASSET 4" xfId="17193"/>
    <cellStyle name="_VC 6.15.06 update on 06GRC power costs.xls Chart 2_04 07E Wild Horse Wind Expansion (C) (2)_TENASKA REGULATORY ASSET 4 2" xfId="30321"/>
    <cellStyle name="_VC 6.15.06 update on 06GRC power costs.xls Chart 2_04 07E Wild Horse Wind Expansion (C) (2)_TENASKA REGULATORY ASSET 5" xfId="30322"/>
    <cellStyle name="_VC 6.15.06 update on 06GRC power costs.xls Chart 2_04 07E Wild Horse Wind Expansion (C) (2)_TENASKA REGULATORY ASSET 6" xfId="30323"/>
    <cellStyle name="_VC 6.15.06 update on 06GRC power costs.xls Chart 2_04 07E Wild Horse Wind Expansion (C) (2)_TENASKA REGULATORY ASSET 7" xfId="8682"/>
    <cellStyle name="_VC 6.15.06 update on 06GRC power costs.xls Chart 2_16.37E Wild Horse Expansion DeferralRevwrkingfile SF" xfId="2308"/>
    <cellStyle name="_VC 6.15.06 update on 06GRC power costs.xls Chart 2_16.37E Wild Horse Expansion DeferralRevwrkingfile SF 2" xfId="2309"/>
    <cellStyle name="_VC 6.15.06 update on 06GRC power costs.xls Chart 2_16.37E Wild Horse Expansion DeferralRevwrkingfile SF 2 2" xfId="5672"/>
    <cellStyle name="_VC 6.15.06 update on 06GRC power costs.xls Chart 2_16.37E Wild Horse Expansion DeferralRevwrkingfile SF 2 2 2" xfId="21671"/>
    <cellStyle name="_VC 6.15.06 update on 06GRC power costs.xls Chart 2_16.37E Wild Horse Expansion DeferralRevwrkingfile SF 2 2 2 2" xfId="30324"/>
    <cellStyle name="_VC 6.15.06 update on 06GRC power costs.xls Chart 2_16.37E Wild Horse Expansion DeferralRevwrkingfile SF 2 2 3" xfId="8688"/>
    <cellStyle name="_VC 6.15.06 update on 06GRC power costs.xls Chart 2_16.37E Wild Horse Expansion DeferralRevwrkingfile SF 2 3" xfId="17195"/>
    <cellStyle name="_VC 6.15.06 update on 06GRC power costs.xls Chart 2_16.37E Wild Horse Expansion DeferralRevwrkingfile SF 2 3 2" xfId="30325"/>
    <cellStyle name="_VC 6.15.06 update on 06GRC power costs.xls Chart 2_16.37E Wild Horse Expansion DeferralRevwrkingfile SF 2 4" xfId="30326"/>
    <cellStyle name="_VC 6.15.06 update on 06GRC power costs.xls Chart 2_16.37E Wild Horse Expansion DeferralRevwrkingfile SF 2 4 2" xfId="30327"/>
    <cellStyle name="_VC 6.15.06 update on 06GRC power costs.xls Chart 2_16.37E Wild Horse Expansion DeferralRevwrkingfile SF 2 5" xfId="8687"/>
    <cellStyle name="_VC 6.15.06 update on 06GRC power costs.xls Chart 2_16.37E Wild Horse Expansion DeferralRevwrkingfile SF 3" xfId="5671"/>
    <cellStyle name="_VC 6.15.06 update on 06GRC power costs.xls Chart 2_16.37E Wild Horse Expansion DeferralRevwrkingfile SF 3 2" xfId="21672"/>
    <cellStyle name="_VC 6.15.06 update on 06GRC power costs.xls Chart 2_16.37E Wild Horse Expansion DeferralRevwrkingfile SF 3 2 2" xfId="30328"/>
    <cellStyle name="_VC 6.15.06 update on 06GRC power costs.xls Chart 2_16.37E Wild Horse Expansion DeferralRevwrkingfile SF 3 3" xfId="30329"/>
    <cellStyle name="_VC 6.15.06 update on 06GRC power costs.xls Chart 2_16.37E Wild Horse Expansion DeferralRevwrkingfile SF 3 4" xfId="8689"/>
    <cellStyle name="_VC 6.15.06 update on 06GRC power costs.xls Chart 2_16.37E Wild Horse Expansion DeferralRevwrkingfile SF 4" xfId="17194"/>
    <cellStyle name="_VC 6.15.06 update on 06GRC power costs.xls Chart 2_16.37E Wild Horse Expansion DeferralRevwrkingfile SF 4 2" xfId="30330"/>
    <cellStyle name="_VC 6.15.06 update on 06GRC power costs.xls Chart 2_16.37E Wild Horse Expansion DeferralRevwrkingfile SF 4 2 2" xfId="30331"/>
    <cellStyle name="_VC 6.15.06 update on 06GRC power costs.xls Chart 2_16.37E Wild Horse Expansion DeferralRevwrkingfile SF 4 3" xfId="30332"/>
    <cellStyle name="_VC 6.15.06 update on 06GRC power costs.xls Chart 2_16.37E Wild Horse Expansion DeferralRevwrkingfile SF 5" xfId="30333"/>
    <cellStyle name="_VC 6.15.06 update on 06GRC power costs.xls Chart 2_16.37E Wild Horse Expansion DeferralRevwrkingfile SF 5 2" xfId="30334"/>
    <cellStyle name="_VC 6.15.06 update on 06GRC power costs.xls Chart 2_16.37E Wild Horse Expansion DeferralRevwrkingfile SF 6" xfId="30335"/>
    <cellStyle name="_VC 6.15.06 update on 06GRC power costs.xls Chart 2_16.37E Wild Horse Expansion DeferralRevwrkingfile SF 6 2" xfId="30336"/>
    <cellStyle name="_VC 6.15.06 update on 06GRC power costs.xls Chart 2_16.37E Wild Horse Expansion DeferralRevwrkingfile SF 7" xfId="8686"/>
    <cellStyle name="_VC 6.15.06 update on 06GRC power costs.xls Chart 2_16.37E Wild Horse Expansion DeferralRevwrkingfile SF_DEM-WP(C) ENERG10C--ctn Mid-C_042010 2010GRC" xfId="13149"/>
    <cellStyle name="_VC 6.15.06 update on 06GRC power costs.xls Chart 2_16.37E Wild Horse Expansion DeferralRevwrkingfile SF_DEM-WP(C) ENERG10C--ctn Mid-C_042010 2010GRC 2" xfId="41940"/>
    <cellStyle name="_VC 6.15.06 update on 06GRC power costs.xls Chart 2_2009 Compliance Filing PCA Exhibits for GRC" xfId="14201"/>
    <cellStyle name="_VC 6.15.06 update on 06GRC power costs.xls Chart 2_2009 Compliance Filing PCA Exhibits for GRC 2" xfId="15361"/>
    <cellStyle name="_VC 6.15.06 update on 06GRC power costs.xls Chart 2_2009 Compliance Filing PCA Exhibits for GRC 2 2" xfId="41941"/>
    <cellStyle name="_VC 6.15.06 update on 06GRC power costs.xls Chart 2_2009 Compliance Filing PCA Exhibits for GRC 3" xfId="41942"/>
    <cellStyle name="_VC 6.15.06 update on 06GRC power costs.xls Chart 2_2009 GRC Compl Filing - Exhibit D" xfId="2310"/>
    <cellStyle name="_VC 6.15.06 update on 06GRC power costs.xls Chart 2_2009 GRC Compl Filing - Exhibit D 2" xfId="2311"/>
    <cellStyle name="_VC 6.15.06 update on 06GRC power costs.xls Chart 2_2009 GRC Compl Filing - Exhibit D 2 2" xfId="5674"/>
    <cellStyle name="_VC 6.15.06 update on 06GRC power costs.xls Chart 2_2009 GRC Compl Filing - Exhibit D 2 2 2" xfId="30337"/>
    <cellStyle name="_VC 6.15.06 update on 06GRC power costs.xls Chart 2_2009 GRC Compl Filing - Exhibit D 2 2 2 2" xfId="30338"/>
    <cellStyle name="_VC 6.15.06 update on 06GRC power costs.xls Chart 2_2009 GRC Compl Filing - Exhibit D 2 3" xfId="30339"/>
    <cellStyle name="_VC 6.15.06 update on 06GRC power costs.xls Chart 2_2009 GRC Compl Filing - Exhibit D 2 3 2" xfId="30340"/>
    <cellStyle name="_VC 6.15.06 update on 06GRC power costs.xls Chart 2_2009 GRC Compl Filing - Exhibit D 2 4" xfId="30341"/>
    <cellStyle name="_VC 6.15.06 update on 06GRC power costs.xls Chart 2_2009 GRC Compl Filing - Exhibit D 2 4 2" xfId="30342"/>
    <cellStyle name="_VC 6.15.06 update on 06GRC power costs.xls Chart 2_2009 GRC Compl Filing - Exhibit D 2 5" xfId="8691"/>
    <cellStyle name="_VC 6.15.06 update on 06GRC power costs.xls Chart 2_2009 GRC Compl Filing - Exhibit D 3" xfId="5673"/>
    <cellStyle name="_VC 6.15.06 update on 06GRC power costs.xls Chart 2_2009 GRC Compl Filing - Exhibit D 3 2" xfId="30343"/>
    <cellStyle name="_VC 6.15.06 update on 06GRC power costs.xls Chart 2_2009 GRC Compl Filing - Exhibit D 3 2 2" xfId="30344"/>
    <cellStyle name="_VC 6.15.06 update on 06GRC power costs.xls Chart 2_2009 GRC Compl Filing - Exhibit D 3 3" xfId="30345"/>
    <cellStyle name="_VC 6.15.06 update on 06GRC power costs.xls Chart 2_2009 GRC Compl Filing - Exhibit D 4" xfId="30346"/>
    <cellStyle name="_VC 6.15.06 update on 06GRC power costs.xls Chart 2_2009 GRC Compl Filing - Exhibit D 4 2" xfId="30347"/>
    <cellStyle name="_VC 6.15.06 update on 06GRC power costs.xls Chart 2_2009 GRC Compl Filing - Exhibit D 4 2 2" xfId="30348"/>
    <cellStyle name="_VC 6.15.06 update on 06GRC power costs.xls Chart 2_2009 GRC Compl Filing - Exhibit D 4 3" xfId="30349"/>
    <cellStyle name="_VC 6.15.06 update on 06GRC power costs.xls Chart 2_2009 GRC Compl Filing - Exhibit D 5" xfId="30350"/>
    <cellStyle name="_VC 6.15.06 update on 06GRC power costs.xls Chart 2_2009 GRC Compl Filing - Exhibit D 5 2" xfId="30351"/>
    <cellStyle name="_VC 6.15.06 update on 06GRC power costs.xls Chart 2_2009 GRC Compl Filing - Exhibit D 6" xfId="30352"/>
    <cellStyle name="_VC 6.15.06 update on 06GRC power costs.xls Chart 2_2009 GRC Compl Filing - Exhibit D 6 2" xfId="30353"/>
    <cellStyle name="_VC 6.15.06 update on 06GRC power costs.xls Chart 2_2009 GRC Compl Filing - Exhibit D 7" xfId="8690"/>
    <cellStyle name="_VC 6.15.06 update on 06GRC power costs.xls Chart 2_2009 GRC Compl Filing - Exhibit D_DEM-WP(C) ENERG10C--ctn Mid-C_042010 2010GRC" xfId="13150"/>
    <cellStyle name="_VC 6.15.06 update on 06GRC power costs.xls Chart 2_2009 GRC Compl Filing - Exhibit D_DEM-WP(C) ENERG10C--ctn Mid-C_042010 2010GRC 2" xfId="41943"/>
    <cellStyle name="_VC 6.15.06 update on 06GRC power costs.xls Chart 2_3.01 Income Statement" xfId="14202"/>
    <cellStyle name="_VC 6.15.06 update on 06GRC power costs.xls Chart 2_4 31 Regulatory Assets and Liabilities  7 06- Exhibit D" xfId="2312"/>
    <cellStyle name="_VC 6.15.06 update on 06GRC power costs.xls Chart 2_4 31 Regulatory Assets and Liabilities  7 06- Exhibit D 2" xfId="2313"/>
    <cellStyle name="_VC 6.15.06 update on 06GRC power costs.xls Chart 2_4 31 Regulatory Assets and Liabilities  7 06- Exhibit D 2 2" xfId="5676"/>
    <cellStyle name="_VC 6.15.06 update on 06GRC power costs.xls Chart 2_4 31 Regulatory Assets and Liabilities  7 06- Exhibit D 2 2 2" xfId="21673"/>
    <cellStyle name="_VC 6.15.06 update on 06GRC power costs.xls Chart 2_4 31 Regulatory Assets and Liabilities  7 06- Exhibit D 2 2 2 2" xfId="30354"/>
    <cellStyle name="_VC 6.15.06 update on 06GRC power costs.xls Chart 2_4 31 Regulatory Assets and Liabilities  7 06- Exhibit D 2 2 3" xfId="8694"/>
    <cellStyle name="_VC 6.15.06 update on 06GRC power costs.xls Chart 2_4 31 Regulatory Assets and Liabilities  7 06- Exhibit D 2 3" xfId="17197"/>
    <cellStyle name="_VC 6.15.06 update on 06GRC power costs.xls Chart 2_4 31 Regulatory Assets and Liabilities  7 06- Exhibit D 2 3 2" xfId="30355"/>
    <cellStyle name="_VC 6.15.06 update on 06GRC power costs.xls Chart 2_4 31 Regulatory Assets and Liabilities  7 06- Exhibit D 2 4" xfId="30356"/>
    <cellStyle name="_VC 6.15.06 update on 06GRC power costs.xls Chart 2_4 31 Regulatory Assets and Liabilities  7 06- Exhibit D 2 4 2" xfId="30357"/>
    <cellStyle name="_VC 6.15.06 update on 06GRC power costs.xls Chart 2_4 31 Regulatory Assets and Liabilities  7 06- Exhibit D 2 5" xfId="8693"/>
    <cellStyle name="_VC 6.15.06 update on 06GRC power costs.xls Chart 2_4 31 Regulatory Assets and Liabilities  7 06- Exhibit D 3" xfId="5675"/>
    <cellStyle name="_VC 6.15.06 update on 06GRC power costs.xls Chart 2_4 31 Regulatory Assets and Liabilities  7 06- Exhibit D 3 2" xfId="21674"/>
    <cellStyle name="_VC 6.15.06 update on 06GRC power costs.xls Chart 2_4 31 Regulatory Assets and Liabilities  7 06- Exhibit D 3 2 2" xfId="30358"/>
    <cellStyle name="_VC 6.15.06 update on 06GRC power costs.xls Chart 2_4 31 Regulatory Assets and Liabilities  7 06- Exhibit D 3 3" xfId="30359"/>
    <cellStyle name="_VC 6.15.06 update on 06GRC power costs.xls Chart 2_4 31 Regulatory Assets and Liabilities  7 06- Exhibit D 3 4" xfId="8695"/>
    <cellStyle name="_VC 6.15.06 update on 06GRC power costs.xls Chart 2_4 31 Regulatory Assets and Liabilities  7 06- Exhibit D 4" xfId="17196"/>
    <cellStyle name="_VC 6.15.06 update on 06GRC power costs.xls Chart 2_4 31 Regulatory Assets and Liabilities  7 06- Exhibit D 4 2" xfId="30360"/>
    <cellStyle name="_VC 6.15.06 update on 06GRC power costs.xls Chart 2_4 31 Regulatory Assets and Liabilities  7 06- Exhibit D 4 2 2" xfId="30361"/>
    <cellStyle name="_VC 6.15.06 update on 06GRC power costs.xls Chart 2_4 31 Regulatory Assets and Liabilities  7 06- Exhibit D 4 3" xfId="30362"/>
    <cellStyle name="_VC 6.15.06 update on 06GRC power costs.xls Chart 2_4 31 Regulatory Assets and Liabilities  7 06- Exhibit D 5" xfId="30363"/>
    <cellStyle name="_VC 6.15.06 update on 06GRC power costs.xls Chart 2_4 31 Regulatory Assets and Liabilities  7 06- Exhibit D 5 2" xfId="30364"/>
    <cellStyle name="_VC 6.15.06 update on 06GRC power costs.xls Chart 2_4 31 Regulatory Assets and Liabilities  7 06- Exhibit D 6" xfId="30365"/>
    <cellStyle name="_VC 6.15.06 update on 06GRC power costs.xls Chart 2_4 31 Regulatory Assets and Liabilities  7 06- Exhibit D 6 2" xfId="30366"/>
    <cellStyle name="_VC 6.15.06 update on 06GRC power costs.xls Chart 2_4 31 Regulatory Assets and Liabilities  7 06- Exhibit D 7" xfId="8692"/>
    <cellStyle name="_VC 6.15.06 update on 06GRC power costs.xls Chart 2_4 31 Regulatory Assets and Liabilities  7 06- Exhibit D_DEM-WP(C) ENERG10C--ctn Mid-C_042010 2010GRC" xfId="13151"/>
    <cellStyle name="_VC 6.15.06 update on 06GRC power costs.xls Chart 2_4 31 Regulatory Assets and Liabilities  7 06- Exhibit D_DEM-WP(C) ENERG10C--ctn Mid-C_042010 2010GRC 2" xfId="41944"/>
    <cellStyle name="_VC 6.15.06 update on 06GRC power costs.xls Chart 2_4 31 Regulatory Assets and Liabilities  7 06- Exhibit D_NIM Summary" xfId="2314"/>
    <cellStyle name="_VC 6.15.06 update on 06GRC power costs.xls Chart 2_4 31 Regulatory Assets and Liabilities  7 06- Exhibit D_NIM Summary 2" xfId="2315"/>
    <cellStyle name="_VC 6.15.06 update on 06GRC power costs.xls Chart 2_4 31 Regulatory Assets and Liabilities  7 06- Exhibit D_NIM Summary 2 2" xfId="5678"/>
    <cellStyle name="_VC 6.15.06 update on 06GRC power costs.xls Chart 2_4 31 Regulatory Assets and Liabilities  7 06- Exhibit D_NIM Summary 2 2 2" xfId="30367"/>
    <cellStyle name="_VC 6.15.06 update on 06GRC power costs.xls Chart 2_4 31 Regulatory Assets and Liabilities  7 06- Exhibit D_NIM Summary 2 2 2 2" xfId="30368"/>
    <cellStyle name="_VC 6.15.06 update on 06GRC power costs.xls Chart 2_4 31 Regulatory Assets and Liabilities  7 06- Exhibit D_NIM Summary 2 3" xfId="30369"/>
    <cellStyle name="_VC 6.15.06 update on 06GRC power costs.xls Chart 2_4 31 Regulatory Assets and Liabilities  7 06- Exhibit D_NIM Summary 2 3 2" xfId="30370"/>
    <cellStyle name="_VC 6.15.06 update on 06GRC power costs.xls Chart 2_4 31 Regulatory Assets and Liabilities  7 06- Exhibit D_NIM Summary 2 4" xfId="30371"/>
    <cellStyle name="_VC 6.15.06 update on 06GRC power costs.xls Chart 2_4 31 Regulatory Assets and Liabilities  7 06- Exhibit D_NIM Summary 2 4 2" xfId="30372"/>
    <cellStyle name="_VC 6.15.06 update on 06GRC power costs.xls Chart 2_4 31 Regulatory Assets and Liabilities  7 06- Exhibit D_NIM Summary 2 5" xfId="8697"/>
    <cellStyle name="_VC 6.15.06 update on 06GRC power costs.xls Chart 2_4 31 Regulatory Assets and Liabilities  7 06- Exhibit D_NIM Summary 3" xfId="5677"/>
    <cellStyle name="_VC 6.15.06 update on 06GRC power costs.xls Chart 2_4 31 Regulatory Assets and Liabilities  7 06- Exhibit D_NIM Summary 3 2" xfId="30373"/>
    <cellStyle name="_VC 6.15.06 update on 06GRC power costs.xls Chart 2_4 31 Regulatory Assets and Liabilities  7 06- Exhibit D_NIM Summary 3 2 2" xfId="30374"/>
    <cellStyle name="_VC 6.15.06 update on 06GRC power costs.xls Chart 2_4 31 Regulatory Assets and Liabilities  7 06- Exhibit D_NIM Summary 3 3" xfId="30375"/>
    <cellStyle name="_VC 6.15.06 update on 06GRC power costs.xls Chart 2_4 31 Regulatory Assets and Liabilities  7 06- Exhibit D_NIM Summary 4" xfId="30376"/>
    <cellStyle name="_VC 6.15.06 update on 06GRC power costs.xls Chart 2_4 31 Regulatory Assets and Liabilities  7 06- Exhibit D_NIM Summary 4 2" xfId="30377"/>
    <cellStyle name="_VC 6.15.06 update on 06GRC power costs.xls Chart 2_4 31 Regulatory Assets and Liabilities  7 06- Exhibit D_NIM Summary 4 2 2" xfId="30378"/>
    <cellStyle name="_VC 6.15.06 update on 06GRC power costs.xls Chart 2_4 31 Regulatory Assets and Liabilities  7 06- Exhibit D_NIM Summary 4 3" xfId="30379"/>
    <cellStyle name="_VC 6.15.06 update on 06GRC power costs.xls Chart 2_4 31 Regulatory Assets and Liabilities  7 06- Exhibit D_NIM Summary 5" xfId="30380"/>
    <cellStyle name="_VC 6.15.06 update on 06GRC power costs.xls Chart 2_4 31 Regulatory Assets and Liabilities  7 06- Exhibit D_NIM Summary 5 2" xfId="30381"/>
    <cellStyle name="_VC 6.15.06 update on 06GRC power costs.xls Chart 2_4 31 Regulatory Assets and Liabilities  7 06- Exhibit D_NIM Summary 6" xfId="30382"/>
    <cellStyle name="_VC 6.15.06 update on 06GRC power costs.xls Chart 2_4 31 Regulatory Assets and Liabilities  7 06- Exhibit D_NIM Summary 6 2" xfId="30383"/>
    <cellStyle name="_VC 6.15.06 update on 06GRC power costs.xls Chart 2_4 31 Regulatory Assets and Liabilities  7 06- Exhibit D_NIM Summary 7" xfId="8696"/>
    <cellStyle name="_VC 6.15.06 update on 06GRC power costs.xls Chart 2_4 31 Regulatory Assets and Liabilities  7 06- Exhibit D_NIM Summary_DEM-WP(C) ENERG10C--ctn Mid-C_042010 2010GRC" xfId="13152"/>
    <cellStyle name="_VC 6.15.06 update on 06GRC power costs.xls Chart 2_4 31 Regulatory Assets and Liabilities  7 06- Exhibit D_NIM Summary_DEM-WP(C) ENERG10C--ctn Mid-C_042010 2010GRC 2" xfId="41945"/>
    <cellStyle name="_VC 6.15.06 update on 06GRC power costs.xls Chart 2_4 31E Reg Asset  Liab and EXH D" xfId="13153"/>
    <cellStyle name="_VC 6.15.06 update on 06GRC power costs.xls Chart 2_4 31E Reg Asset  Liab and EXH D _ Aug 10 Filing (2)" xfId="13154"/>
    <cellStyle name="_VC 6.15.06 update on 06GRC power costs.xls Chart 2_4 31E Reg Asset  Liab and EXH D _ Aug 10 Filing (2) 2" xfId="30384"/>
    <cellStyle name="_VC 6.15.06 update on 06GRC power costs.xls Chart 2_4 31E Reg Asset  Liab and EXH D _ Aug 10 Filing (2) 2 2" xfId="30385"/>
    <cellStyle name="_VC 6.15.06 update on 06GRC power costs.xls Chart 2_4 31E Reg Asset  Liab and EXH D _ Aug 10 Filing (2) 2 2 2" xfId="30386"/>
    <cellStyle name="_VC 6.15.06 update on 06GRC power costs.xls Chart 2_4 31E Reg Asset  Liab and EXH D _ Aug 10 Filing (2) 2 3" xfId="30387"/>
    <cellStyle name="_VC 6.15.06 update on 06GRC power costs.xls Chart 2_4 31E Reg Asset  Liab and EXH D _ Aug 10 Filing (2) 3" xfId="30388"/>
    <cellStyle name="_VC 6.15.06 update on 06GRC power costs.xls Chart 2_4 31E Reg Asset  Liab and EXH D _ Aug 10 Filing (2) 3 2" xfId="30389"/>
    <cellStyle name="_VC 6.15.06 update on 06GRC power costs.xls Chart 2_4 31E Reg Asset  Liab and EXH D _ Aug 10 Filing (2) 3 2 2" xfId="30390"/>
    <cellStyle name="_VC 6.15.06 update on 06GRC power costs.xls Chart 2_4 31E Reg Asset  Liab and EXH D _ Aug 10 Filing (2) 3 3" xfId="30391"/>
    <cellStyle name="_VC 6.15.06 update on 06GRC power costs.xls Chart 2_4 31E Reg Asset  Liab and EXH D _ Aug 10 Filing (2) 4" xfId="30392"/>
    <cellStyle name="_VC 6.15.06 update on 06GRC power costs.xls Chart 2_4 31E Reg Asset  Liab and EXH D _ Aug 10 Filing (2) 4 2" xfId="30393"/>
    <cellStyle name="_VC 6.15.06 update on 06GRC power costs.xls Chart 2_4 31E Reg Asset  Liab and EXH D _ Aug 10 Filing (2) 5" xfId="30394"/>
    <cellStyle name="_VC 6.15.06 update on 06GRC power costs.xls Chart 2_4 31E Reg Asset  Liab and EXH D _ Aug 10 Filing (2) 5 2" xfId="30395"/>
    <cellStyle name="_VC 6.15.06 update on 06GRC power costs.xls Chart 2_4 31E Reg Asset  Liab and EXH D 10" xfId="30396"/>
    <cellStyle name="_VC 6.15.06 update on 06GRC power costs.xls Chart 2_4 31E Reg Asset  Liab and EXH D 10 2" xfId="30397"/>
    <cellStyle name="_VC 6.15.06 update on 06GRC power costs.xls Chart 2_4 31E Reg Asset  Liab and EXH D 10 2 2" xfId="30398"/>
    <cellStyle name="_VC 6.15.06 update on 06GRC power costs.xls Chart 2_4 31E Reg Asset  Liab and EXH D 10 3" xfId="30399"/>
    <cellStyle name="_VC 6.15.06 update on 06GRC power costs.xls Chart 2_4 31E Reg Asset  Liab and EXH D 11" xfId="30400"/>
    <cellStyle name="_VC 6.15.06 update on 06GRC power costs.xls Chart 2_4 31E Reg Asset  Liab and EXH D 11 2" xfId="30401"/>
    <cellStyle name="_VC 6.15.06 update on 06GRC power costs.xls Chart 2_4 31E Reg Asset  Liab and EXH D 11 2 2" xfId="30402"/>
    <cellStyle name="_VC 6.15.06 update on 06GRC power costs.xls Chart 2_4 31E Reg Asset  Liab and EXH D 11 3" xfId="30403"/>
    <cellStyle name="_VC 6.15.06 update on 06GRC power costs.xls Chart 2_4 31E Reg Asset  Liab and EXH D 12" xfId="30404"/>
    <cellStyle name="_VC 6.15.06 update on 06GRC power costs.xls Chart 2_4 31E Reg Asset  Liab and EXH D 12 2" xfId="30405"/>
    <cellStyle name="_VC 6.15.06 update on 06GRC power costs.xls Chart 2_4 31E Reg Asset  Liab and EXH D 12 2 2" xfId="30406"/>
    <cellStyle name="_VC 6.15.06 update on 06GRC power costs.xls Chart 2_4 31E Reg Asset  Liab and EXH D 12 3" xfId="30407"/>
    <cellStyle name="_VC 6.15.06 update on 06GRC power costs.xls Chart 2_4 31E Reg Asset  Liab and EXH D 13" xfId="30408"/>
    <cellStyle name="_VC 6.15.06 update on 06GRC power costs.xls Chart 2_4 31E Reg Asset  Liab and EXH D 13 2" xfId="30409"/>
    <cellStyle name="_VC 6.15.06 update on 06GRC power costs.xls Chart 2_4 31E Reg Asset  Liab and EXH D 13 2 2" xfId="30410"/>
    <cellStyle name="_VC 6.15.06 update on 06GRC power costs.xls Chart 2_4 31E Reg Asset  Liab and EXH D 13 3" xfId="30411"/>
    <cellStyle name="_VC 6.15.06 update on 06GRC power costs.xls Chart 2_4 31E Reg Asset  Liab and EXH D 14" xfId="30412"/>
    <cellStyle name="_VC 6.15.06 update on 06GRC power costs.xls Chart 2_4 31E Reg Asset  Liab and EXH D 14 2" xfId="30413"/>
    <cellStyle name="_VC 6.15.06 update on 06GRC power costs.xls Chart 2_4 31E Reg Asset  Liab and EXH D 14 2 2" xfId="30414"/>
    <cellStyle name="_VC 6.15.06 update on 06GRC power costs.xls Chart 2_4 31E Reg Asset  Liab and EXH D 14 3" xfId="30415"/>
    <cellStyle name="_VC 6.15.06 update on 06GRC power costs.xls Chart 2_4 31E Reg Asset  Liab and EXH D 15" xfId="30416"/>
    <cellStyle name="_VC 6.15.06 update on 06GRC power costs.xls Chart 2_4 31E Reg Asset  Liab and EXH D 15 2" xfId="30417"/>
    <cellStyle name="_VC 6.15.06 update on 06GRC power costs.xls Chart 2_4 31E Reg Asset  Liab and EXH D 15 2 2" xfId="30418"/>
    <cellStyle name="_VC 6.15.06 update on 06GRC power costs.xls Chart 2_4 31E Reg Asset  Liab and EXH D 15 3" xfId="30419"/>
    <cellStyle name="_VC 6.15.06 update on 06GRC power costs.xls Chart 2_4 31E Reg Asset  Liab and EXH D 16" xfId="30420"/>
    <cellStyle name="_VC 6.15.06 update on 06GRC power costs.xls Chart 2_4 31E Reg Asset  Liab and EXH D 16 2" xfId="30421"/>
    <cellStyle name="_VC 6.15.06 update on 06GRC power costs.xls Chart 2_4 31E Reg Asset  Liab and EXH D 16 2 2" xfId="30422"/>
    <cellStyle name="_VC 6.15.06 update on 06GRC power costs.xls Chart 2_4 31E Reg Asset  Liab and EXH D 16 3" xfId="30423"/>
    <cellStyle name="_VC 6.15.06 update on 06GRC power costs.xls Chart 2_4 31E Reg Asset  Liab and EXH D 17" xfId="30424"/>
    <cellStyle name="_VC 6.15.06 update on 06GRC power costs.xls Chart 2_4 31E Reg Asset  Liab and EXH D 17 2" xfId="30425"/>
    <cellStyle name="_VC 6.15.06 update on 06GRC power costs.xls Chart 2_4 31E Reg Asset  Liab and EXH D 18" xfId="30426"/>
    <cellStyle name="_VC 6.15.06 update on 06GRC power costs.xls Chart 2_4 31E Reg Asset  Liab and EXH D 18 2" xfId="30427"/>
    <cellStyle name="_VC 6.15.06 update on 06GRC power costs.xls Chart 2_4 31E Reg Asset  Liab and EXH D 19" xfId="30428"/>
    <cellStyle name="_VC 6.15.06 update on 06GRC power costs.xls Chart 2_4 31E Reg Asset  Liab and EXH D 19 2" xfId="30429"/>
    <cellStyle name="_VC 6.15.06 update on 06GRC power costs.xls Chart 2_4 31E Reg Asset  Liab and EXH D 2" xfId="30430"/>
    <cellStyle name="_VC 6.15.06 update on 06GRC power costs.xls Chart 2_4 31E Reg Asset  Liab and EXH D 2 2" xfId="30431"/>
    <cellStyle name="_VC 6.15.06 update on 06GRC power costs.xls Chart 2_4 31E Reg Asset  Liab and EXH D 2 2 2" xfId="30432"/>
    <cellStyle name="_VC 6.15.06 update on 06GRC power costs.xls Chart 2_4 31E Reg Asset  Liab and EXH D 2 3" xfId="30433"/>
    <cellStyle name="_VC 6.15.06 update on 06GRC power costs.xls Chart 2_4 31E Reg Asset  Liab and EXH D 20" xfId="30434"/>
    <cellStyle name="_VC 6.15.06 update on 06GRC power costs.xls Chart 2_4 31E Reg Asset  Liab and EXH D 20 2" xfId="30435"/>
    <cellStyle name="_VC 6.15.06 update on 06GRC power costs.xls Chart 2_4 31E Reg Asset  Liab and EXH D 21" xfId="30436"/>
    <cellStyle name="_VC 6.15.06 update on 06GRC power costs.xls Chart 2_4 31E Reg Asset  Liab and EXH D 21 2" xfId="30437"/>
    <cellStyle name="_VC 6.15.06 update on 06GRC power costs.xls Chart 2_4 31E Reg Asset  Liab and EXH D 22" xfId="30438"/>
    <cellStyle name="_VC 6.15.06 update on 06GRC power costs.xls Chart 2_4 31E Reg Asset  Liab and EXH D 22 2" xfId="30439"/>
    <cellStyle name="_VC 6.15.06 update on 06GRC power costs.xls Chart 2_4 31E Reg Asset  Liab and EXH D 23" xfId="30440"/>
    <cellStyle name="_VC 6.15.06 update on 06GRC power costs.xls Chart 2_4 31E Reg Asset  Liab and EXH D 23 2" xfId="30441"/>
    <cellStyle name="_VC 6.15.06 update on 06GRC power costs.xls Chart 2_4 31E Reg Asset  Liab and EXH D 24" xfId="30442"/>
    <cellStyle name="_VC 6.15.06 update on 06GRC power costs.xls Chart 2_4 31E Reg Asset  Liab and EXH D 24 2" xfId="30443"/>
    <cellStyle name="_VC 6.15.06 update on 06GRC power costs.xls Chart 2_4 31E Reg Asset  Liab and EXH D 25" xfId="30444"/>
    <cellStyle name="_VC 6.15.06 update on 06GRC power costs.xls Chart 2_4 31E Reg Asset  Liab and EXH D 25 2" xfId="30445"/>
    <cellStyle name="_VC 6.15.06 update on 06GRC power costs.xls Chart 2_4 31E Reg Asset  Liab and EXH D 26" xfId="30446"/>
    <cellStyle name="_VC 6.15.06 update on 06GRC power costs.xls Chart 2_4 31E Reg Asset  Liab and EXH D 26 2" xfId="30447"/>
    <cellStyle name="_VC 6.15.06 update on 06GRC power costs.xls Chart 2_4 31E Reg Asset  Liab and EXH D 27" xfId="30448"/>
    <cellStyle name="_VC 6.15.06 update on 06GRC power costs.xls Chart 2_4 31E Reg Asset  Liab and EXH D 27 2" xfId="30449"/>
    <cellStyle name="_VC 6.15.06 update on 06GRC power costs.xls Chart 2_4 31E Reg Asset  Liab and EXH D 28" xfId="30450"/>
    <cellStyle name="_VC 6.15.06 update on 06GRC power costs.xls Chart 2_4 31E Reg Asset  Liab and EXH D 28 2" xfId="30451"/>
    <cellStyle name="_VC 6.15.06 update on 06GRC power costs.xls Chart 2_4 31E Reg Asset  Liab and EXH D 29" xfId="30452"/>
    <cellStyle name="_VC 6.15.06 update on 06GRC power costs.xls Chart 2_4 31E Reg Asset  Liab and EXH D 29 2" xfId="30453"/>
    <cellStyle name="_VC 6.15.06 update on 06GRC power costs.xls Chart 2_4 31E Reg Asset  Liab and EXH D 3" xfId="30454"/>
    <cellStyle name="_VC 6.15.06 update on 06GRC power costs.xls Chart 2_4 31E Reg Asset  Liab and EXH D 3 2" xfId="30455"/>
    <cellStyle name="_VC 6.15.06 update on 06GRC power costs.xls Chart 2_4 31E Reg Asset  Liab and EXH D 3 2 2" xfId="30456"/>
    <cellStyle name="_VC 6.15.06 update on 06GRC power costs.xls Chart 2_4 31E Reg Asset  Liab and EXH D 3 3" xfId="30457"/>
    <cellStyle name="_VC 6.15.06 update on 06GRC power costs.xls Chart 2_4 31E Reg Asset  Liab and EXH D 30" xfId="30458"/>
    <cellStyle name="_VC 6.15.06 update on 06GRC power costs.xls Chart 2_4 31E Reg Asset  Liab and EXH D 30 2" xfId="30459"/>
    <cellStyle name="_VC 6.15.06 update on 06GRC power costs.xls Chart 2_4 31E Reg Asset  Liab and EXH D 4" xfId="30460"/>
    <cellStyle name="_VC 6.15.06 update on 06GRC power costs.xls Chart 2_4 31E Reg Asset  Liab and EXH D 4 2" xfId="30461"/>
    <cellStyle name="_VC 6.15.06 update on 06GRC power costs.xls Chart 2_4 31E Reg Asset  Liab and EXH D 4 2 2" xfId="30462"/>
    <cellStyle name="_VC 6.15.06 update on 06GRC power costs.xls Chart 2_4 31E Reg Asset  Liab and EXH D 5" xfId="30463"/>
    <cellStyle name="_VC 6.15.06 update on 06GRC power costs.xls Chart 2_4 31E Reg Asset  Liab and EXH D 5 2" xfId="30464"/>
    <cellStyle name="_VC 6.15.06 update on 06GRC power costs.xls Chart 2_4 31E Reg Asset  Liab and EXH D 5 2 2" xfId="30465"/>
    <cellStyle name="_VC 6.15.06 update on 06GRC power costs.xls Chart 2_4 31E Reg Asset  Liab and EXH D 6" xfId="30466"/>
    <cellStyle name="_VC 6.15.06 update on 06GRC power costs.xls Chart 2_4 31E Reg Asset  Liab and EXH D 6 2" xfId="30467"/>
    <cellStyle name="_VC 6.15.06 update on 06GRC power costs.xls Chart 2_4 31E Reg Asset  Liab and EXH D 6 2 2" xfId="30468"/>
    <cellStyle name="_VC 6.15.06 update on 06GRC power costs.xls Chart 2_4 31E Reg Asset  Liab and EXH D 6 3" xfId="30469"/>
    <cellStyle name="_VC 6.15.06 update on 06GRC power costs.xls Chart 2_4 31E Reg Asset  Liab and EXH D 7" xfId="30470"/>
    <cellStyle name="_VC 6.15.06 update on 06GRC power costs.xls Chart 2_4 31E Reg Asset  Liab and EXH D 7 2" xfId="30471"/>
    <cellStyle name="_VC 6.15.06 update on 06GRC power costs.xls Chart 2_4 31E Reg Asset  Liab and EXH D 7 2 2" xfId="30472"/>
    <cellStyle name="_VC 6.15.06 update on 06GRC power costs.xls Chart 2_4 31E Reg Asset  Liab and EXH D 7 3" xfId="30473"/>
    <cellStyle name="_VC 6.15.06 update on 06GRC power costs.xls Chart 2_4 31E Reg Asset  Liab and EXH D 8" xfId="30474"/>
    <cellStyle name="_VC 6.15.06 update on 06GRC power costs.xls Chart 2_4 31E Reg Asset  Liab and EXH D 8 2" xfId="30475"/>
    <cellStyle name="_VC 6.15.06 update on 06GRC power costs.xls Chart 2_4 31E Reg Asset  Liab and EXH D 8 2 2" xfId="30476"/>
    <cellStyle name="_VC 6.15.06 update on 06GRC power costs.xls Chart 2_4 31E Reg Asset  Liab and EXH D 8 3" xfId="30477"/>
    <cellStyle name="_VC 6.15.06 update on 06GRC power costs.xls Chart 2_4 31E Reg Asset  Liab and EXH D 9" xfId="30478"/>
    <cellStyle name="_VC 6.15.06 update on 06GRC power costs.xls Chart 2_4 31E Reg Asset  Liab and EXH D 9 2" xfId="30479"/>
    <cellStyle name="_VC 6.15.06 update on 06GRC power costs.xls Chart 2_4 31E Reg Asset  Liab and EXH D 9 2 2" xfId="30480"/>
    <cellStyle name="_VC 6.15.06 update on 06GRC power costs.xls Chart 2_4 31E Reg Asset  Liab and EXH D 9 3" xfId="30481"/>
    <cellStyle name="_VC 6.15.06 update on 06GRC power costs.xls Chart 2_4 32 Regulatory Assets and Liabilities  7 06- Exhibit D" xfId="2316"/>
    <cellStyle name="_VC 6.15.06 update on 06GRC power costs.xls Chart 2_4 32 Regulatory Assets and Liabilities  7 06- Exhibit D 2" xfId="2317"/>
    <cellStyle name="_VC 6.15.06 update on 06GRC power costs.xls Chart 2_4 32 Regulatory Assets and Liabilities  7 06- Exhibit D 2 2" xfId="5680"/>
    <cellStyle name="_VC 6.15.06 update on 06GRC power costs.xls Chart 2_4 32 Regulatory Assets and Liabilities  7 06- Exhibit D 2 2 2" xfId="21675"/>
    <cellStyle name="_VC 6.15.06 update on 06GRC power costs.xls Chart 2_4 32 Regulatory Assets and Liabilities  7 06- Exhibit D 2 2 2 2" xfId="30482"/>
    <cellStyle name="_VC 6.15.06 update on 06GRC power costs.xls Chart 2_4 32 Regulatory Assets and Liabilities  7 06- Exhibit D 2 2 3" xfId="8700"/>
    <cellStyle name="_VC 6.15.06 update on 06GRC power costs.xls Chart 2_4 32 Regulatory Assets and Liabilities  7 06- Exhibit D 2 3" xfId="17199"/>
    <cellStyle name="_VC 6.15.06 update on 06GRC power costs.xls Chart 2_4 32 Regulatory Assets and Liabilities  7 06- Exhibit D 2 3 2" xfId="30483"/>
    <cellStyle name="_VC 6.15.06 update on 06GRC power costs.xls Chart 2_4 32 Regulatory Assets and Liabilities  7 06- Exhibit D 2 4" xfId="30484"/>
    <cellStyle name="_VC 6.15.06 update on 06GRC power costs.xls Chart 2_4 32 Regulatory Assets and Liabilities  7 06- Exhibit D 2 4 2" xfId="30485"/>
    <cellStyle name="_VC 6.15.06 update on 06GRC power costs.xls Chart 2_4 32 Regulatory Assets and Liabilities  7 06- Exhibit D 2 5" xfId="8699"/>
    <cellStyle name="_VC 6.15.06 update on 06GRC power costs.xls Chart 2_4 32 Regulatory Assets and Liabilities  7 06- Exhibit D 3" xfId="5679"/>
    <cellStyle name="_VC 6.15.06 update on 06GRC power costs.xls Chart 2_4 32 Regulatory Assets and Liabilities  7 06- Exhibit D 3 2" xfId="21676"/>
    <cellStyle name="_VC 6.15.06 update on 06GRC power costs.xls Chart 2_4 32 Regulatory Assets and Liabilities  7 06- Exhibit D 3 2 2" xfId="30486"/>
    <cellStyle name="_VC 6.15.06 update on 06GRC power costs.xls Chart 2_4 32 Regulatory Assets and Liabilities  7 06- Exhibit D 3 3" xfId="30487"/>
    <cellStyle name="_VC 6.15.06 update on 06GRC power costs.xls Chart 2_4 32 Regulatory Assets and Liabilities  7 06- Exhibit D 3 4" xfId="8701"/>
    <cellStyle name="_VC 6.15.06 update on 06GRC power costs.xls Chart 2_4 32 Regulatory Assets and Liabilities  7 06- Exhibit D 4" xfId="17198"/>
    <cellStyle name="_VC 6.15.06 update on 06GRC power costs.xls Chart 2_4 32 Regulatory Assets and Liabilities  7 06- Exhibit D 4 2" xfId="30488"/>
    <cellStyle name="_VC 6.15.06 update on 06GRC power costs.xls Chart 2_4 32 Regulatory Assets and Liabilities  7 06- Exhibit D 4 2 2" xfId="30489"/>
    <cellStyle name="_VC 6.15.06 update on 06GRC power costs.xls Chart 2_4 32 Regulatory Assets and Liabilities  7 06- Exhibit D 4 3" xfId="30490"/>
    <cellStyle name="_VC 6.15.06 update on 06GRC power costs.xls Chart 2_4 32 Regulatory Assets and Liabilities  7 06- Exhibit D 5" xfId="30491"/>
    <cellStyle name="_VC 6.15.06 update on 06GRC power costs.xls Chart 2_4 32 Regulatory Assets and Liabilities  7 06- Exhibit D 5 2" xfId="30492"/>
    <cellStyle name="_VC 6.15.06 update on 06GRC power costs.xls Chart 2_4 32 Regulatory Assets and Liabilities  7 06- Exhibit D 6" xfId="30493"/>
    <cellStyle name="_VC 6.15.06 update on 06GRC power costs.xls Chart 2_4 32 Regulatory Assets and Liabilities  7 06- Exhibit D 6 2" xfId="30494"/>
    <cellStyle name="_VC 6.15.06 update on 06GRC power costs.xls Chart 2_4 32 Regulatory Assets and Liabilities  7 06- Exhibit D 7" xfId="8698"/>
    <cellStyle name="_VC 6.15.06 update on 06GRC power costs.xls Chart 2_4 32 Regulatory Assets and Liabilities  7 06- Exhibit D_DEM-WP(C) ENERG10C--ctn Mid-C_042010 2010GRC" xfId="13155"/>
    <cellStyle name="_VC 6.15.06 update on 06GRC power costs.xls Chart 2_4 32 Regulatory Assets and Liabilities  7 06- Exhibit D_DEM-WP(C) ENERG10C--ctn Mid-C_042010 2010GRC 2" xfId="41946"/>
    <cellStyle name="_VC 6.15.06 update on 06GRC power costs.xls Chart 2_4 32 Regulatory Assets and Liabilities  7 06- Exhibit D_NIM Summary" xfId="2318"/>
    <cellStyle name="_VC 6.15.06 update on 06GRC power costs.xls Chart 2_4 32 Regulatory Assets and Liabilities  7 06- Exhibit D_NIM Summary 2" xfId="2319"/>
    <cellStyle name="_VC 6.15.06 update on 06GRC power costs.xls Chart 2_4 32 Regulatory Assets and Liabilities  7 06- Exhibit D_NIM Summary 2 2" xfId="5682"/>
    <cellStyle name="_VC 6.15.06 update on 06GRC power costs.xls Chart 2_4 32 Regulatory Assets and Liabilities  7 06- Exhibit D_NIM Summary 2 2 2" xfId="30495"/>
    <cellStyle name="_VC 6.15.06 update on 06GRC power costs.xls Chart 2_4 32 Regulatory Assets and Liabilities  7 06- Exhibit D_NIM Summary 2 2 2 2" xfId="30496"/>
    <cellStyle name="_VC 6.15.06 update on 06GRC power costs.xls Chart 2_4 32 Regulatory Assets and Liabilities  7 06- Exhibit D_NIM Summary 2 3" xfId="30497"/>
    <cellStyle name="_VC 6.15.06 update on 06GRC power costs.xls Chart 2_4 32 Regulatory Assets and Liabilities  7 06- Exhibit D_NIM Summary 2 3 2" xfId="30498"/>
    <cellStyle name="_VC 6.15.06 update on 06GRC power costs.xls Chart 2_4 32 Regulatory Assets and Liabilities  7 06- Exhibit D_NIM Summary 2 4" xfId="30499"/>
    <cellStyle name="_VC 6.15.06 update on 06GRC power costs.xls Chart 2_4 32 Regulatory Assets and Liabilities  7 06- Exhibit D_NIM Summary 2 4 2" xfId="30500"/>
    <cellStyle name="_VC 6.15.06 update on 06GRC power costs.xls Chart 2_4 32 Regulatory Assets and Liabilities  7 06- Exhibit D_NIM Summary 2 5" xfId="8703"/>
    <cellStyle name="_VC 6.15.06 update on 06GRC power costs.xls Chart 2_4 32 Regulatory Assets and Liabilities  7 06- Exhibit D_NIM Summary 3" xfId="5681"/>
    <cellStyle name="_VC 6.15.06 update on 06GRC power costs.xls Chart 2_4 32 Regulatory Assets and Liabilities  7 06- Exhibit D_NIM Summary 3 2" xfId="30501"/>
    <cellStyle name="_VC 6.15.06 update on 06GRC power costs.xls Chart 2_4 32 Regulatory Assets and Liabilities  7 06- Exhibit D_NIM Summary 3 2 2" xfId="30502"/>
    <cellStyle name="_VC 6.15.06 update on 06GRC power costs.xls Chart 2_4 32 Regulatory Assets and Liabilities  7 06- Exhibit D_NIM Summary 3 3" xfId="30503"/>
    <cellStyle name="_VC 6.15.06 update on 06GRC power costs.xls Chart 2_4 32 Regulatory Assets and Liabilities  7 06- Exhibit D_NIM Summary 4" xfId="30504"/>
    <cellStyle name="_VC 6.15.06 update on 06GRC power costs.xls Chart 2_4 32 Regulatory Assets and Liabilities  7 06- Exhibit D_NIM Summary 4 2" xfId="30505"/>
    <cellStyle name="_VC 6.15.06 update on 06GRC power costs.xls Chart 2_4 32 Regulatory Assets and Liabilities  7 06- Exhibit D_NIM Summary 4 2 2" xfId="30506"/>
    <cellStyle name="_VC 6.15.06 update on 06GRC power costs.xls Chart 2_4 32 Regulatory Assets and Liabilities  7 06- Exhibit D_NIM Summary 4 3" xfId="30507"/>
    <cellStyle name="_VC 6.15.06 update on 06GRC power costs.xls Chart 2_4 32 Regulatory Assets and Liabilities  7 06- Exhibit D_NIM Summary 5" xfId="30508"/>
    <cellStyle name="_VC 6.15.06 update on 06GRC power costs.xls Chart 2_4 32 Regulatory Assets and Liabilities  7 06- Exhibit D_NIM Summary 5 2" xfId="30509"/>
    <cellStyle name="_VC 6.15.06 update on 06GRC power costs.xls Chart 2_4 32 Regulatory Assets and Liabilities  7 06- Exhibit D_NIM Summary 6" xfId="30510"/>
    <cellStyle name="_VC 6.15.06 update on 06GRC power costs.xls Chart 2_4 32 Regulatory Assets and Liabilities  7 06- Exhibit D_NIM Summary 6 2" xfId="30511"/>
    <cellStyle name="_VC 6.15.06 update on 06GRC power costs.xls Chart 2_4 32 Regulatory Assets and Liabilities  7 06- Exhibit D_NIM Summary 7" xfId="8702"/>
    <cellStyle name="_VC 6.15.06 update on 06GRC power costs.xls Chart 2_4 32 Regulatory Assets and Liabilities  7 06- Exhibit D_NIM Summary_DEM-WP(C) ENERG10C--ctn Mid-C_042010 2010GRC" xfId="13156"/>
    <cellStyle name="_VC 6.15.06 update on 06GRC power costs.xls Chart 2_4 32 Regulatory Assets and Liabilities  7 06- Exhibit D_NIM Summary_DEM-WP(C) ENERG10C--ctn Mid-C_042010 2010GRC 2" xfId="41947"/>
    <cellStyle name="_VC 6.15.06 update on 06GRC power costs.xls Chart 2_AURORA Total New" xfId="2320"/>
    <cellStyle name="_VC 6.15.06 update on 06GRC power costs.xls Chart 2_AURORA Total New 2" xfId="2321"/>
    <cellStyle name="_VC 6.15.06 update on 06GRC power costs.xls Chart 2_AURORA Total New 2 2" xfId="5684"/>
    <cellStyle name="_VC 6.15.06 update on 06GRC power costs.xls Chart 2_AURORA Total New 2 2 2" xfId="30512"/>
    <cellStyle name="_VC 6.15.06 update on 06GRC power costs.xls Chart 2_AURORA Total New 2 2 2 2" xfId="30513"/>
    <cellStyle name="_VC 6.15.06 update on 06GRC power costs.xls Chart 2_AURORA Total New 2 3" xfId="30514"/>
    <cellStyle name="_VC 6.15.06 update on 06GRC power costs.xls Chart 2_AURORA Total New 2 3 2" xfId="30515"/>
    <cellStyle name="_VC 6.15.06 update on 06GRC power costs.xls Chart 2_AURORA Total New 2 4" xfId="30516"/>
    <cellStyle name="_VC 6.15.06 update on 06GRC power costs.xls Chart 2_AURORA Total New 2 4 2" xfId="30517"/>
    <cellStyle name="_VC 6.15.06 update on 06GRC power costs.xls Chart 2_AURORA Total New 2 5" xfId="8705"/>
    <cellStyle name="_VC 6.15.06 update on 06GRC power costs.xls Chart 2_AURORA Total New 3" xfId="5683"/>
    <cellStyle name="_VC 6.15.06 update on 06GRC power costs.xls Chart 2_AURORA Total New 3 2" xfId="30518"/>
    <cellStyle name="_VC 6.15.06 update on 06GRC power costs.xls Chart 2_AURORA Total New 3 2 2" xfId="30519"/>
    <cellStyle name="_VC 6.15.06 update on 06GRC power costs.xls Chart 2_AURORA Total New 4" xfId="30520"/>
    <cellStyle name="_VC 6.15.06 update on 06GRC power costs.xls Chart 2_AURORA Total New 4 2" xfId="30521"/>
    <cellStyle name="_VC 6.15.06 update on 06GRC power costs.xls Chart 2_AURORA Total New 5" xfId="30522"/>
    <cellStyle name="_VC 6.15.06 update on 06GRC power costs.xls Chart 2_AURORA Total New 5 2" xfId="30523"/>
    <cellStyle name="_VC 6.15.06 update on 06GRC power costs.xls Chart 2_AURORA Total New 6" xfId="8704"/>
    <cellStyle name="_VC 6.15.06 update on 06GRC power costs.xls Chart 2_Book2" xfId="2322"/>
    <cellStyle name="_VC 6.15.06 update on 06GRC power costs.xls Chart 2_Book2 2" xfId="2323"/>
    <cellStyle name="_VC 6.15.06 update on 06GRC power costs.xls Chart 2_Book2 2 2" xfId="5686"/>
    <cellStyle name="_VC 6.15.06 update on 06GRC power costs.xls Chart 2_Book2 2 2 2" xfId="21677"/>
    <cellStyle name="_VC 6.15.06 update on 06GRC power costs.xls Chart 2_Book2 2 2 2 2" xfId="30524"/>
    <cellStyle name="_VC 6.15.06 update on 06GRC power costs.xls Chart 2_Book2 2 2 3" xfId="8708"/>
    <cellStyle name="_VC 6.15.06 update on 06GRC power costs.xls Chart 2_Book2 2 3" xfId="17201"/>
    <cellStyle name="_VC 6.15.06 update on 06GRC power costs.xls Chart 2_Book2 2 3 2" xfId="30525"/>
    <cellStyle name="_VC 6.15.06 update on 06GRC power costs.xls Chart 2_Book2 2 4" xfId="30526"/>
    <cellStyle name="_VC 6.15.06 update on 06GRC power costs.xls Chart 2_Book2 2 4 2" xfId="30527"/>
    <cellStyle name="_VC 6.15.06 update on 06GRC power costs.xls Chart 2_Book2 2 5" xfId="8707"/>
    <cellStyle name="_VC 6.15.06 update on 06GRC power costs.xls Chart 2_Book2 3" xfId="5685"/>
    <cellStyle name="_VC 6.15.06 update on 06GRC power costs.xls Chart 2_Book2 3 2" xfId="21678"/>
    <cellStyle name="_VC 6.15.06 update on 06GRC power costs.xls Chart 2_Book2 3 2 2" xfId="30528"/>
    <cellStyle name="_VC 6.15.06 update on 06GRC power costs.xls Chart 2_Book2 3 3" xfId="30529"/>
    <cellStyle name="_VC 6.15.06 update on 06GRC power costs.xls Chart 2_Book2 3 4" xfId="8709"/>
    <cellStyle name="_VC 6.15.06 update on 06GRC power costs.xls Chart 2_Book2 4" xfId="17200"/>
    <cellStyle name="_VC 6.15.06 update on 06GRC power costs.xls Chart 2_Book2 4 2" xfId="30530"/>
    <cellStyle name="_VC 6.15.06 update on 06GRC power costs.xls Chart 2_Book2 4 2 2" xfId="30531"/>
    <cellStyle name="_VC 6.15.06 update on 06GRC power costs.xls Chart 2_Book2 4 3" xfId="30532"/>
    <cellStyle name="_VC 6.15.06 update on 06GRC power costs.xls Chart 2_Book2 5" xfId="30533"/>
    <cellStyle name="_VC 6.15.06 update on 06GRC power costs.xls Chart 2_Book2 5 2" xfId="30534"/>
    <cellStyle name="_VC 6.15.06 update on 06GRC power costs.xls Chart 2_Book2 6" xfId="30535"/>
    <cellStyle name="_VC 6.15.06 update on 06GRC power costs.xls Chart 2_Book2 6 2" xfId="30536"/>
    <cellStyle name="_VC 6.15.06 update on 06GRC power costs.xls Chart 2_Book2 7" xfId="8706"/>
    <cellStyle name="_VC 6.15.06 update on 06GRC power costs.xls Chart 2_Book2_Adj Bench DR 3 for Initial Briefs (Electric)" xfId="2324"/>
    <cellStyle name="_VC 6.15.06 update on 06GRC power costs.xls Chart 2_Book2_Adj Bench DR 3 for Initial Briefs (Electric) 2" xfId="2325"/>
    <cellStyle name="_VC 6.15.06 update on 06GRC power costs.xls Chart 2_Book2_Adj Bench DR 3 for Initial Briefs (Electric) 2 2" xfId="5688"/>
    <cellStyle name="_VC 6.15.06 update on 06GRC power costs.xls Chart 2_Book2_Adj Bench DR 3 for Initial Briefs (Electric) 2 2 2" xfId="21679"/>
    <cellStyle name="_VC 6.15.06 update on 06GRC power costs.xls Chart 2_Book2_Adj Bench DR 3 for Initial Briefs (Electric) 2 2 2 2" xfId="30537"/>
    <cellStyle name="_VC 6.15.06 update on 06GRC power costs.xls Chart 2_Book2_Adj Bench DR 3 for Initial Briefs (Electric) 2 2 3" xfId="8712"/>
    <cellStyle name="_VC 6.15.06 update on 06GRC power costs.xls Chart 2_Book2_Adj Bench DR 3 for Initial Briefs (Electric) 2 3" xfId="17203"/>
    <cellStyle name="_VC 6.15.06 update on 06GRC power costs.xls Chart 2_Book2_Adj Bench DR 3 for Initial Briefs (Electric) 2 3 2" xfId="30538"/>
    <cellStyle name="_VC 6.15.06 update on 06GRC power costs.xls Chart 2_Book2_Adj Bench DR 3 for Initial Briefs (Electric) 2 4" xfId="30539"/>
    <cellStyle name="_VC 6.15.06 update on 06GRC power costs.xls Chart 2_Book2_Adj Bench DR 3 for Initial Briefs (Electric) 2 4 2" xfId="30540"/>
    <cellStyle name="_VC 6.15.06 update on 06GRC power costs.xls Chart 2_Book2_Adj Bench DR 3 for Initial Briefs (Electric) 2 5" xfId="8711"/>
    <cellStyle name="_VC 6.15.06 update on 06GRC power costs.xls Chart 2_Book2_Adj Bench DR 3 for Initial Briefs (Electric) 3" xfId="5687"/>
    <cellStyle name="_VC 6.15.06 update on 06GRC power costs.xls Chart 2_Book2_Adj Bench DR 3 for Initial Briefs (Electric) 3 2" xfId="21680"/>
    <cellStyle name="_VC 6.15.06 update on 06GRC power costs.xls Chart 2_Book2_Adj Bench DR 3 for Initial Briefs (Electric) 3 2 2" xfId="30541"/>
    <cellStyle name="_VC 6.15.06 update on 06GRC power costs.xls Chart 2_Book2_Adj Bench DR 3 for Initial Briefs (Electric) 3 3" xfId="30542"/>
    <cellStyle name="_VC 6.15.06 update on 06GRC power costs.xls Chart 2_Book2_Adj Bench DR 3 for Initial Briefs (Electric) 3 4" xfId="8713"/>
    <cellStyle name="_VC 6.15.06 update on 06GRC power costs.xls Chart 2_Book2_Adj Bench DR 3 for Initial Briefs (Electric) 4" xfId="17202"/>
    <cellStyle name="_VC 6.15.06 update on 06GRC power costs.xls Chart 2_Book2_Adj Bench DR 3 for Initial Briefs (Electric) 4 2" xfId="30543"/>
    <cellStyle name="_VC 6.15.06 update on 06GRC power costs.xls Chart 2_Book2_Adj Bench DR 3 for Initial Briefs (Electric) 4 2 2" xfId="30544"/>
    <cellStyle name="_VC 6.15.06 update on 06GRC power costs.xls Chart 2_Book2_Adj Bench DR 3 for Initial Briefs (Electric) 4 3" xfId="30545"/>
    <cellStyle name="_VC 6.15.06 update on 06GRC power costs.xls Chart 2_Book2_Adj Bench DR 3 for Initial Briefs (Electric) 5" xfId="30546"/>
    <cellStyle name="_VC 6.15.06 update on 06GRC power costs.xls Chart 2_Book2_Adj Bench DR 3 for Initial Briefs (Electric) 5 2" xfId="30547"/>
    <cellStyle name="_VC 6.15.06 update on 06GRC power costs.xls Chart 2_Book2_Adj Bench DR 3 for Initial Briefs (Electric) 6" xfId="30548"/>
    <cellStyle name="_VC 6.15.06 update on 06GRC power costs.xls Chart 2_Book2_Adj Bench DR 3 for Initial Briefs (Electric) 6 2" xfId="30549"/>
    <cellStyle name="_VC 6.15.06 update on 06GRC power costs.xls Chart 2_Book2_Adj Bench DR 3 for Initial Briefs (Electric) 7" xfId="8710"/>
    <cellStyle name="_VC 6.15.06 update on 06GRC power costs.xls Chart 2_Book2_Adj Bench DR 3 for Initial Briefs (Electric)_DEM-WP(C) ENERG10C--ctn Mid-C_042010 2010GRC" xfId="13157"/>
    <cellStyle name="_VC 6.15.06 update on 06GRC power costs.xls Chart 2_Book2_Adj Bench DR 3 for Initial Briefs (Electric)_DEM-WP(C) ENERG10C--ctn Mid-C_042010 2010GRC 2" xfId="41948"/>
    <cellStyle name="_VC 6.15.06 update on 06GRC power costs.xls Chart 2_Book2_DEM-WP(C) ENERG10C--ctn Mid-C_042010 2010GRC" xfId="13158"/>
    <cellStyle name="_VC 6.15.06 update on 06GRC power costs.xls Chart 2_Book2_DEM-WP(C) ENERG10C--ctn Mid-C_042010 2010GRC 2" xfId="41949"/>
    <cellStyle name="_VC 6.15.06 update on 06GRC power costs.xls Chart 2_Book2_Electric Rev Req Model (2009 GRC) Rebuttal" xfId="2326"/>
    <cellStyle name="_VC 6.15.06 update on 06GRC power costs.xls Chart 2_Book2_Electric Rev Req Model (2009 GRC) Rebuttal 2" xfId="5689"/>
    <cellStyle name="_VC 6.15.06 update on 06GRC power costs.xls Chart 2_Book2_Electric Rev Req Model (2009 GRC) Rebuttal 2 2" xfId="8716"/>
    <cellStyle name="_VC 6.15.06 update on 06GRC power costs.xls Chart 2_Book2_Electric Rev Req Model (2009 GRC) Rebuttal 2 2 2" xfId="21681"/>
    <cellStyle name="_VC 6.15.06 update on 06GRC power costs.xls Chart 2_Book2_Electric Rev Req Model (2009 GRC) Rebuttal 2 3" xfId="18784"/>
    <cellStyle name="_VC 6.15.06 update on 06GRC power costs.xls Chart 2_Book2_Electric Rev Req Model (2009 GRC) Rebuttal 2 4" xfId="8715"/>
    <cellStyle name="_VC 6.15.06 update on 06GRC power costs.xls Chart 2_Book2_Electric Rev Req Model (2009 GRC) Rebuttal 3" xfId="8717"/>
    <cellStyle name="_VC 6.15.06 update on 06GRC power costs.xls Chart 2_Book2_Electric Rev Req Model (2009 GRC) Rebuttal 3 2" xfId="21682"/>
    <cellStyle name="_VC 6.15.06 update on 06GRC power costs.xls Chart 2_Book2_Electric Rev Req Model (2009 GRC) Rebuttal 4" xfId="17204"/>
    <cellStyle name="_VC 6.15.06 update on 06GRC power costs.xls Chart 2_Book2_Electric Rev Req Model (2009 GRC) Rebuttal 5" xfId="8714"/>
    <cellStyle name="_VC 6.15.06 update on 06GRC power costs.xls Chart 2_Book2_Electric Rev Req Model (2009 GRC) Rebuttal REmoval of New  WH Solar AdjustMI" xfId="2327"/>
    <cellStyle name="_VC 6.15.06 update on 06GRC power costs.xls Chart 2_Book2_Electric Rev Req Model (2009 GRC) Rebuttal REmoval of New  WH Solar AdjustMI 2" xfId="2328"/>
    <cellStyle name="_VC 6.15.06 update on 06GRC power costs.xls Chart 2_Book2_Electric Rev Req Model (2009 GRC) Rebuttal REmoval of New  WH Solar AdjustMI 2 2" xfId="5691"/>
    <cellStyle name="_VC 6.15.06 update on 06GRC power costs.xls Chart 2_Book2_Electric Rev Req Model (2009 GRC) Rebuttal REmoval of New  WH Solar AdjustMI 2 2 2" xfId="21683"/>
    <cellStyle name="_VC 6.15.06 update on 06GRC power costs.xls Chart 2_Book2_Electric Rev Req Model (2009 GRC) Rebuttal REmoval of New  WH Solar AdjustMI 2 2 2 2" xfId="30550"/>
    <cellStyle name="_VC 6.15.06 update on 06GRC power costs.xls Chart 2_Book2_Electric Rev Req Model (2009 GRC) Rebuttal REmoval of New  WH Solar AdjustMI 2 2 3" xfId="8720"/>
    <cellStyle name="_VC 6.15.06 update on 06GRC power costs.xls Chart 2_Book2_Electric Rev Req Model (2009 GRC) Rebuttal REmoval of New  WH Solar AdjustMI 2 3" xfId="17206"/>
    <cellStyle name="_VC 6.15.06 update on 06GRC power costs.xls Chart 2_Book2_Electric Rev Req Model (2009 GRC) Rebuttal REmoval of New  WH Solar AdjustMI 2 3 2" xfId="30551"/>
    <cellStyle name="_VC 6.15.06 update on 06GRC power costs.xls Chart 2_Book2_Electric Rev Req Model (2009 GRC) Rebuttal REmoval of New  WH Solar AdjustMI 2 4" xfId="30552"/>
    <cellStyle name="_VC 6.15.06 update on 06GRC power costs.xls Chart 2_Book2_Electric Rev Req Model (2009 GRC) Rebuttal REmoval of New  WH Solar AdjustMI 2 4 2" xfId="30553"/>
    <cellStyle name="_VC 6.15.06 update on 06GRC power costs.xls Chart 2_Book2_Electric Rev Req Model (2009 GRC) Rebuttal REmoval of New  WH Solar AdjustMI 2 5" xfId="8719"/>
    <cellStyle name="_VC 6.15.06 update on 06GRC power costs.xls Chart 2_Book2_Electric Rev Req Model (2009 GRC) Rebuttal REmoval of New  WH Solar AdjustMI 3" xfId="5690"/>
    <cellStyle name="_VC 6.15.06 update on 06GRC power costs.xls Chart 2_Book2_Electric Rev Req Model (2009 GRC) Rebuttal REmoval of New  WH Solar AdjustMI 3 2" xfId="21684"/>
    <cellStyle name="_VC 6.15.06 update on 06GRC power costs.xls Chart 2_Book2_Electric Rev Req Model (2009 GRC) Rebuttal REmoval of New  WH Solar AdjustMI 3 2 2" xfId="30554"/>
    <cellStyle name="_VC 6.15.06 update on 06GRC power costs.xls Chart 2_Book2_Electric Rev Req Model (2009 GRC) Rebuttal REmoval of New  WH Solar AdjustMI 3 3" xfId="30555"/>
    <cellStyle name="_VC 6.15.06 update on 06GRC power costs.xls Chart 2_Book2_Electric Rev Req Model (2009 GRC) Rebuttal REmoval of New  WH Solar AdjustMI 3 4" xfId="8721"/>
    <cellStyle name="_VC 6.15.06 update on 06GRC power costs.xls Chart 2_Book2_Electric Rev Req Model (2009 GRC) Rebuttal REmoval of New  WH Solar AdjustMI 4" xfId="17205"/>
    <cellStyle name="_VC 6.15.06 update on 06GRC power costs.xls Chart 2_Book2_Electric Rev Req Model (2009 GRC) Rebuttal REmoval of New  WH Solar AdjustMI 4 2" xfId="30556"/>
    <cellStyle name="_VC 6.15.06 update on 06GRC power costs.xls Chart 2_Book2_Electric Rev Req Model (2009 GRC) Rebuttal REmoval of New  WH Solar AdjustMI 4 2 2" xfId="30557"/>
    <cellStyle name="_VC 6.15.06 update on 06GRC power costs.xls Chart 2_Book2_Electric Rev Req Model (2009 GRC) Rebuttal REmoval of New  WH Solar AdjustMI 4 3" xfId="30558"/>
    <cellStyle name="_VC 6.15.06 update on 06GRC power costs.xls Chart 2_Book2_Electric Rev Req Model (2009 GRC) Rebuttal REmoval of New  WH Solar AdjustMI 5" xfId="30559"/>
    <cellStyle name="_VC 6.15.06 update on 06GRC power costs.xls Chart 2_Book2_Electric Rev Req Model (2009 GRC) Rebuttal REmoval of New  WH Solar AdjustMI 5 2" xfId="30560"/>
    <cellStyle name="_VC 6.15.06 update on 06GRC power costs.xls Chart 2_Book2_Electric Rev Req Model (2009 GRC) Rebuttal REmoval of New  WH Solar AdjustMI 6" xfId="30561"/>
    <cellStyle name="_VC 6.15.06 update on 06GRC power costs.xls Chart 2_Book2_Electric Rev Req Model (2009 GRC) Rebuttal REmoval of New  WH Solar AdjustMI 6 2" xfId="30562"/>
    <cellStyle name="_VC 6.15.06 update on 06GRC power costs.xls Chart 2_Book2_Electric Rev Req Model (2009 GRC) Rebuttal REmoval of New  WH Solar AdjustMI 7" xfId="8718"/>
    <cellStyle name="_VC 6.15.06 update on 06GRC power costs.xls Chart 2_Book2_Electric Rev Req Model (2009 GRC) Rebuttal REmoval of New  WH Solar AdjustMI_DEM-WP(C) ENERG10C--ctn Mid-C_042010 2010GRC" xfId="13159"/>
    <cellStyle name="_VC 6.15.06 update on 06GRC power costs.xls Chart 2_Book2_Electric Rev Req Model (2009 GRC) Rebuttal REmoval of New  WH Solar AdjustMI_DEM-WP(C) ENERG10C--ctn Mid-C_042010 2010GRC 2" xfId="41950"/>
    <cellStyle name="_VC 6.15.06 update on 06GRC power costs.xls Chart 2_Book2_Electric Rev Req Model (2009 GRC) Revised 01-18-2010" xfId="2329"/>
    <cellStyle name="_VC 6.15.06 update on 06GRC power costs.xls Chart 2_Book2_Electric Rev Req Model (2009 GRC) Revised 01-18-2010 2" xfId="2330"/>
    <cellStyle name="_VC 6.15.06 update on 06GRC power costs.xls Chart 2_Book2_Electric Rev Req Model (2009 GRC) Revised 01-18-2010 2 2" xfId="5693"/>
    <cellStyle name="_VC 6.15.06 update on 06GRC power costs.xls Chart 2_Book2_Electric Rev Req Model (2009 GRC) Revised 01-18-2010 2 2 2" xfId="21685"/>
    <cellStyle name="_VC 6.15.06 update on 06GRC power costs.xls Chart 2_Book2_Electric Rev Req Model (2009 GRC) Revised 01-18-2010 2 2 2 2" xfId="30563"/>
    <cellStyle name="_VC 6.15.06 update on 06GRC power costs.xls Chart 2_Book2_Electric Rev Req Model (2009 GRC) Revised 01-18-2010 2 2 3" xfId="8724"/>
    <cellStyle name="_VC 6.15.06 update on 06GRC power costs.xls Chart 2_Book2_Electric Rev Req Model (2009 GRC) Revised 01-18-2010 2 3" xfId="17208"/>
    <cellStyle name="_VC 6.15.06 update on 06GRC power costs.xls Chart 2_Book2_Electric Rev Req Model (2009 GRC) Revised 01-18-2010 2 3 2" xfId="30564"/>
    <cellStyle name="_VC 6.15.06 update on 06GRC power costs.xls Chart 2_Book2_Electric Rev Req Model (2009 GRC) Revised 01-18-2010 2 4" xfId="30565"/>
    <cellStyle name="_VC 6.15.06 update on 06GRC power costs.xls Chart 2_Book2_Electric Rev Req Model (2009 GRC) Revised 01-18-2010 2 4 2" xfId="30566"/>
    <cellStyle name="_VC 6.15.06 update on 06GRC power costs.xls Chart 2_Book2_Electric Rev Req Model (2009 GRC) Revised 01-18-2010 2 5" xfId="8723"/>
    <cellStyle name="_VC 6.15.06 update on 06GRC power costs.xls Chart 2_Book2_Electric Rev Req Model (2009 GRC) Revised 01-18-2010 3" xfId="5692"/>
    <cellStyle name="_VC 6.15.06 update on 06GRC power costs.xls Chart 2_Book2_Electric Rev Req Model (2009 GRC) Revised 01-18-2010 3 2" xfId="21686"/>
    <cellStyle name="_VC 6.15.06 update on 06GRC power costs.xls Chart 2_Book2_Electric Rev Req Model (2009 GRC) Revised 01-18-2010 3 2 2" xfId="30567"/>
    <cellStyle name="_VC 6.15.06 update on 06GRC power costs.xls Chart 2_Book2_Electric Rev Req Model (2009 GRC) Revised 01-18-2010 3 3" xfId="30568"/>
    <cellStyle name="_VC 6.15.06 update on 06GRC power costs.xls Chart 2_Book2_Electric Rev Req Model (2009 GRC) Revised 01-18-2010 3 4" xfId="8725"/>
    <cellStyle name="_VC 6.15.06 update on 06GRC power costs.xls Chart 2_Book2_Electric Rev Req Model (2009 GRC) Revised 01-18-2010 4" xfId="17207"/>
    <cellStyle name="_VC 6.15.06 update on 06GRC power costs.xls Chart 2_Book2_Electric Rev Req Model (2009 GRC) Revised 01-18-2010 4 2" xfId="30569"/>
    <cellStyle name="_VC 6.15.06 update on 06GRC power costs.xls Chart 2_Book2_Electric Rev Req Model (2009 GRC) Revised 01-18-2010 4 2 2" xfId="30570"/>
    <cellStyle name="_VC 6.15.06 update on 06GRC power costs.xls Chart 2_Book2_Electric Rev Req Model (2009 GRC) Revised 01-18-2010 4 3" xfId="30571"/>
    <cellStyle name="_VC 6.15.06 update on 06GRC power costs.xls Chart 2_Book2_Electric Rev Req Model (2009 GRC) Revised 01-18-2010 5" xfId="30572"/>
    <cellStyle name="_VC 6.15.06 update on 06GRC power costs.xls Chart 2_Book2_Electric Rev Req Model (2009 GRC) Revised 01-18-2010 5 2" xfId="30573"/>
    <cellStyle name="_VC 6.15.06 update on 06GRC power costs.xls Chart 2_Book2_Electric Rev Req Model (2009 GRC) Revised 01-18-2010 6" xfId="30574"/>
    <cellStyle name="_VC 6.15.06 update on 06GRC power costs.xls Chart 2_Book2_Electric Rev Req Model (2009 GRC) Revised 01-18-2010 6 2" xfId="30575"/>
    <cellStyle name="_VC 6.15.06 update on 06GRC power costs.xls Chart 2_Book2_Electric Rev Req Model (2009 GRC) Revised 01-18-2010 7" xfId="8722"/>
    <cellStyle name="_VC 6.15.06 update on 06GRC power costs.xls Chart 2_Book2_Electric Rev Req Model (2009 GRC) Revised 01-18-2010_DEM-WP(C) ENERG10C--ctn Mid-C_042010 2010GRC" xfId="13160"/>
    <cellStyle name="_VC 6.15.06 update on 06GRC power costs.xls Chart 2_Book2_Electric Rev Req Model (2009 GRC) Revised 01-18-2010_DEM-WP(C) ENERG10C--ctn Mid-C_042010 2010GRC 2" xfId="41951"/>
    <cellStyle name="_VC 6.15.06 update on 06GRC power costs.xls Chart 2_Book2_Final Order Electric EXHIBIT A-1" xfId="2331"/>
    <cellStyle name="_VC 6.15.06 update on 06GRC power costs.xls Chart 2_Book2_Final Order Electric EXHIBIT A-1 2" xfId="5694"/>
    <cellStyle name="_VC 6.15.06 update on 06GRC power costs.xls Chart 2_Book2_Final Order Electric EXHIBIT A-1 2 2" xfId="8728"/>
    <cellStyle name="_VC 6.15.06 update on 06GRC power costs.xls Chart 2_Book2_Final Order Electric EXHIBIT A-1 2 2 2" xfId="21687"/>
    <cellStyle name="_VC 6.15.06 update on 06GRC power costs.xls Chart 2_Book2_Final Order Electric EXHIBIT A-1 2 3" xfId="18785"/>
    <cellStyle name="_VC 6.15.06 update on 06GRC power costs.xls Chart 2_Book2_Final Order Electric EXHIBIT A-1 2 4" xfId="8727"/>
    <cellStyle name="_VC 6.15.06 update on 06GRC power costs.xls Chart 2_Book2_Final Order Electric EXHIBIT A-1 3" xfId="8729"/>
    <cellStyle name="_VC 6.15.06 update on 06GRC power costs.xls Chart 2_Book2_Final Order Electric EXHIBIT A-1 3 2" xfId="21688"/>
    <cellStyle name="_VC 6.15.06 update on 06GRC power costs.xls Chart 2_Book2_Final Order Electric EXHIBIT A-1 3 2 2" xfId="30576"/>
    <cellStyle name="_VC 6.15.06 update on 06GRC power costs.xls Chart 2_Book2_Final Order Electric EXHIBIT A-1 3 3" xfId="30577"/>
    <cellStyle name="_VC 6.15.06 update on 06GRC power costs.xls Chart 2_Book2_Final Order Electric EXHIBIT A-1 4" xfId="17209"/>
    <cellStyle name="_VC 6.15.06 update on 06GRC power costs.xls Chart 2_Book2_Final Order Electric EXHIBIT A-1 4 2" xfId="30578"/>
    <cellStyle name="_VC 6.15.06 update on 06GRC power costs.xls Chart 2_Book2_Final Order Electric EXHIBIT A-1 5" xfId="30579"/>
    <cellStyle name="_VC 6.15.06 update on 06GRC power costs.xls Chart 2_Book2_Final Order Electric EXHIBIT A-1 6" xfId="30580"/>
    <cellStyle name="_VC 6.15.06 update on 06GRC power costs.xls Chart 2_Book2_Final Order Electric EXHIBIT A-1 7" xfId="8726"/>
    <cellStyle name="_VC 6.15.06 update on 06GRC power costs.xls Chart 2_Book4" xfId="2332"/>
    <cellStyle name="_VC 6.15.06 update on 06GRC power costs.xls Chart 2_Book4 2" xfId="2333"/>
    <cellStyle name="_VC 6.15.06 update on 06GRC power costs.xls Chart 2_Book4 2 2" xfId="5696"/>
    <cellStyle name="_VC 6.15.06 update on 06GRC power costs.xls Chart 2_Book4 2 2 2" xfId="21689"/>
    <cellStyle name="_VC 6.15.06 update on 06GRC power costs.xls Chart 2_Book4 2 2 2 2" xfId="30581"/>
    <cellStyle name="_VC 6.15.06 update on 06GRC power costs.xls Chart 2_Book4 2 2 3" xfId="8732"/>
    <cellStyle name="_VC 6.15.06 update on 06GRC power costs.xls Chart 2_Book4 2 3" xfId="17211"/>
    <cellStyle name="_VC 6.15.06 update on 06GRC power costs.xls Chart 2_Book4 2 3 2" xfId="30582"/>
    <cellStyle name="_VC 6.15.06 update on 06GRC power costs.xls Chart 2_Book4 2 4" xfId="30583"/>
    <cellStyle name="_VC 6.15.06 update on 06GRC power costs.xls Chart 2_Book4 2 4 2" xfId="30584"/>
    <cellStyle name="_VC 6.15.06 update on 06GRC power costs.xls Chart 2_Book4 2 5" xfId="8731"/>
    <cellStyle name="_VC 6.15.06 update on 06GRC power costs.xls Chart 2_Book4 3" xfId="5695"/>
    <cellStyle name="_VC 6.15.06 update on 06GRC power costs.xls Chart 2_Book4 3 2" xfId="21690"/>
    <cellStyle name="_VC 6.15.06 update on 06GRC power costs.xls Chart 2_Book4 3 2 2" xfId="30585"/>
    <cellStyle name="_VC 6.15.06 update on 06GRC power costs.xls Chart 2_Book4 3 3" xfId="30586"/>
    <cellStyle name="_VC 6.15.06 update on 06GRC power costs.xls Chart 2_Book4 3 4" xfId="8733"/>
    <cellStyle name="_VC 6.15.06 update on 06GRC power costs.xls Chart 2_Book4 4" xfId="17210"/>
    <cellStyle name="_VC 6.15.06 update on 06GRC power costs.xls Chart 2_Book4 4 2" xfId="30587"/>
    <cellStyle name="_VC 6.15.06 update on 06GRC power costs.xls Chart 2_Book4 4 2 2" xfId="30588"/>
    <cellStyle name="_VC 6.15.06 update on 06GRC power costs.xls Chart 2_Book4 4 3" xfId="30589"/>
    <cellStyle name="_VC 6.15.06 update on 06GRC power costs.xls Chart 2_Book4 5" xfId="30590"/>
    <cellStyle name="_VC 6.15.06 update on 06GRC power costs.xls Chart 2_Book4 5 2" xfId="30591"/>
    <cellStyle name="_VC 6.15.06 update on 06GRC power costs.xls Chart 2_Book4 6" xfId="30592"/>
    <cellStyle name="_VC 6.15.06 update on 06GRC power costs.xls Chart 2_Book4 6 2" xfId="30593"/>
    <cellStyle name="_VC 6.15.06 update on 06GRC power costs.xls Chart 2_Book4 7" xfId="8730"/>
    <cellStyle name="_VC 6.15.06 update on 06GRC power costs.xls Chart 2_Book4_DEM-WP(C) ENERG10C--ctn Mid-C_042010 2010GRC" xfId="13161"/>
    <cellStyle name="_VC 6.15.06 update on 06GRC power costs.xls Chart 2_Book4_DEM-WP(C) ENERG10C--ctn Mid-C_042010 2010GRC 2" xfId="41952"/>
    <cellStyle name="_VC 6.15.06 update on 06GRC power costs.xls Chart 2_Book9" xfId="2334"/>
    <cellStyle name="_VC 6.15.06 update on 06GRC power costs.xls Chart 2_Book9 2" xfId="2335"/>
    <cellStyle name="_VC 6.15.06 update on 06GRC power costs.xls Chart 2_Book9 2 2" xfId="5698"/>
    <cellStyle name="_VC 6.15.06 update on 06GRC power costs.xls Chart 2_Book9 2 2 2" xfId="21691"/>
    <cellStyle name="_VC 6.15.06 update on 06GRC power costs.xls Chart 2_Book9 2 2 2 2" xfId="30594"/>
    <cellStyle name="_VC 6.15.06 update on 06GRC power costs.xls Chart 2_Book9 2 2 3" xfId="8736"/>
    <cellStyle name="_VC 6.15.06 update on 06GRC power costs.xls Chart 2_Book9 2 3" xfId="17213"/>
    <cellStyle name="_VC 6.15.06 update on 06GRC power costs.xls Chart 2_Book9 2 3 2" xfId="30595"/>
    <cellStyle name="_VC 6.15.06 update on 06GRC power costs.xls Chart 2_Book9 2 4" xfId="30596"/>
    <cellStyle name="_VC 6.15.06 update on 06GRC power costs.xls Chart 2_Book9 2 4 2" xfId="30597"/>
    <cellStyle name="_VC 6.15.06 update on 06GRC power costs.xls Chart 2_Book9 2 5" xfId="8735"/>
    <cellStyle name="_VC 6.15.06 update on 06GRC power costs.xls Chart 2_Book9 3" xfId="5697"/>
    <cellStyle name="_VC 6.15.06 update on 06GRC power costs.xls Chart 2_Book9 3 2" xfId="21692"/>
    <cellStyle name="_VC 6.15.06 update on 06GRC power costs.xls Chart 2_Book9 3 2 2" xfId="30598"/>
    <cellStyle name="_VC 6.15.06 update on 06GRC power costs.xls Chart 2_Book9 3 3" xfId="30599"/>
    <cellStyle name="_VC 6.15.06 update on 06GRC power costs.xls Chart 2_Book9 3 4" xfId="8737"/>
    <cellStyle name="_VC 6.15.06 update on 06GRC power costs.xls Chart 2_Book9 4" xfId="17212"/>
    <cellStyle name="_VC 6.15.06 update on 06GRC power costs.xls Chart 2_Book9 4 2" xfId="30600"/>
    <cellStyle name="_VC 6.15.06 update on 06GRC power costs.xls Chart 2_Book9 4 2 2" xfId="30601"/>
    <cellStyle name="_VC 6.15.06 update on 06GRC power costs.xls Chart 2_Book9 4 3" xfId="30602"/>
    <cellStyle name="_VC 6.15.06 update on 06GRC power costs.xls Chart 2_Book9 5" xfId="30603"/>
    <cellStyle name="_VC 6.15.06 update on 06GRC power costs.xls Chart 2_Book9 5 2" xfId="30604"/>
    <cellStyle name="_VC 6.15.06 update on 06GRC power costs.xls Chart 2_Book9 6" xfId="30605"/>
    <cellStyle name="_VC 6.15.06 update on 06GRC power costs.xls Chart 2_Book9 6 2" xfId="30606"/>
    <cellStyle name="_VC 6.15.06 update on 06GRC power costs.xls Chart 2_Book9 7" xfId="8734"/>
    <cellStyle name="_VC 6.15.06 update on 06GRC power costs.xls Chart 2_Book9_DEM-WP(C) ENERG10C--ctn Mid-C_042010 2010GRC" xfId="13162"/>
    <cellStyle name="_VC 6.15.06 update on 06GRC power costs.xls Chart 2_Book9_DEM-WP(C) ENERG10C--ctn Mid-C_042010 2010GRC 2" xfId="41953"/>
    <cellStyle name="_VC 6.15.06 update on 06GRC power costs.xls Chart 2_Chelan PUD Power Costs (8-10)" xfId="13163"/>
    <cellStyle name="_VC 6.15.06 update on 06GRC power costs.xls Chart 2_Chelan PUD Power Costs (8-10) 2" xfId="30607"/>
    <cellStyle name="_VC 6.15.06 update on 06GRC power costs.xls Chart 2_DEM-WP(C) Chelan Power Costs" xfId="13164"/>
    <cellStyle name="_VC 6.15.06 update on 06GRC power costs.xls Chart 2_DEM-WP(C) Chelan Power Costs 2" xfId="30608"/>
    <cellStyle name="_VC 6.15.06 update on 06GRC power costs.xls Chart 2_DEM-WP(C) Chelan Power Costs 2 2" xfId="30609"/>
    <cellStyle name="_VC 6.15.06 update on 06GRC power costs.xls Chart 2_DEM-WP(C) Chelan Power Costs 2 2 2" xfId="30610"/>
    <cellStyle name="_VC 6.15.06 update on 06GRC power costs.xls Chart 2_DEM-WP(C) Chelan Power Costs 2 3" xfId="30611"/>
    <cellStyle name="_VC 6.15.06 update on 06GRC power costs.xls Chart 2_DEM-WP(C) Chelan Power Costs 3" xfId="30612"/>
    <cellStyle name="_VC 6.15.06 update on 06GRC power costs.xls Chart 2_DEM-WP(C) Chelan Power Costs 3 2" xfId="30613"/>
    <cellStyle name="_VC 6.15.06 update on 06GRC power costs.xls Chart 2_DEM-WP(C) Chelan Power Costs 3 2 2" xfId="30614"/>
    <cellStyle name="_VC 6.15.06 update on 06GRC power costs.xls Chart 2_DEM-WP(C) Chelan Power Costs 3 3" xfId="30615"/>
    <cellStyle name="_VC 6.15.06 update on 06GRC power costs.xls Chart 2_DEM-WP(C) Chelan Power Costs 4" xfId="30616"/>
    <cellStyle name="_VC 6.15.06 update on 06GRC power costs.xls Chart 2_DEM-WP(C) Chelan Power Costs 4 2" xfId="30617"/>
    <cellStyle name="_VC 6.15.06 update on 06GRC power costs.xls Chart 2_DEM-WP(C) Chelan Power Costs 5" xfId="30618"/>
    <cellStyle name="_VC 6.15.06 update on 06GRC power costs.xls Chart 2_DEM-WP(C) Chelan Power Costs 5 2" xfId="30619"/>
    <cellStyle name="_VC 6.15.06 update on 06GRC power costs.xls Chart 2_DEM-WP(C) ENERG10C--ctn Mid-C_042010 2010GRC" xfId="13165"/>
    <cellStyle name="_VC 6.15.06 update on 06GRC power costs.xls Chart 2_DEM-WP(C) ENERG10C--ctn Mid-C_042010 2010GRC 2" xfId="41954"/>
    <cellStyle name="_VC 6.15.06 update on 06GRC power costs.xls Chart 2_DEM-WP(C) Gas Transport 2010GRC" xfId="13166"/>
    <cellStyle name="_VC 6.15.06 update on 06GRC power costs.xls Chart 2_DEM-WP(C) Gas Transport 2010GRC 2" xfId="30620"/>
    <cellStyle name="_VC 6.15.06 update on 06GRC power costs.xls Chart 2_DEM-WP(C) Gas Transport 2010GRC 2 2" xfId="30621"/>
    <cellStyle name="_VC 6.15.06 update on 06GRC power costs.xls Chart 2_DEM-WP(C) Gas Transport 2010GRC 2 2 2" xfId="30622"/>
    <cellStyle name="_VC 6.15.06 update on 06GRC power costs.xls Chart 2_DEM-WP(C) Gas Transport 2010GRC 2 3" xfId="30623"/>
    <cellStyle name="_VC 6.15.06 update on 06GRC power costs.xls Chart 2_DEM-WP(C) Gas Transport 2010GRC 3" xfId="30624"/>
    <cellStyle name="_VC 6.15.06 update on 06GRC power costs.xls Chart 2_DEM-WP(C) Gas Transport 2010GRC 3 2" xfId="30625"/>
    <cellStyle name="_VC 6.15.06 update on 06GRC power costs.xls Chart 2_DEM-WP(C) Gas Transport 2010GRC 3 2 2" xfId="30626"/>
    <cellStyle name="_VC 6.15.06 update on 06GRC power costs.xls Chart 2_DEM-WP(C) Gas Transport 2010GRC 3 3" xfId="30627"/>
    <cellStyle name="_VC 6.15.06 update on 06GRC power costs.xls Chart 2_DEM-WP(C) Gas Transport 2010GRC 4" xfId="30628"/>
    <cellStyle name="_VC 6.15.06 update on 06GRC power costs.xls Chart 2_DEM-WP(C) Gas Transport 2010GRC 4 2" xfId="30629"/>
    <cellStyle name="_VC 6.15.06 update on 06GRC power costs.xls Chart 2_DEM-WP(C) Gas Transport 2010GRC 5" xfId="30630"/>
    <cellStyle name="_VC 6.15.06 update on 06GRC power costs.xls Chart 2_DEM-WP(C) Gas Transport 2010GRC 5 2" xfId="30631"/>
    <cellStyle name="_VC 6.15.06 update on 06GRC power costs.xls Chart 2_Exh A-1 resulting from UE-112050 effective Jan 1 2012" xfId="15362"/>
    <cellStyle name="_VC 6.15.06 update on 06GRC power costs.xls Chart 2_Exh A-1 resulting from UE-112050 effective Jan 1 2012 2" xfId="41955"/>
    <cellStyle name="_VC 6.15.06 update on 06GRC power costs.xls Chart 2_Exhibit A-1 effective 4-1-11 fr S Free 12-11" xfId="15363"/>
    <cellStyle name="_VC 6.15.06 update on 06GRC power costs.xls Chart 2_Exhibit A-1 effective 4-1-11 fr S Free 12-11 2" xfId="41956"/>
    <cellStyle name="_VC 6.15.06 update on 06GRC power costs.xls Chart 2_INPUTS" xfId="8738"/>
    <cellStyle name="_VC 6.15.06 update on 06GRC power costs.xls Chart 2_INPUTS 2" xfId="8739"/>
    <cellStyle name="_VC 6.15.06 update on 06GRC power costs.xls Chart 2_INPUTS 2 2" xfId="8740"/>
    <cellStyle name="_VC 6.15.06 update on 06GRC power costs.xls Chart 2_INPUTS 2 2 2" xfId="21693"/>
    <cellStyle name="_VC 6.15.06 update on 06GRC power costs.xls Chart 2_INPUTS 2 3" xfId="18787"/>
    <cellStyle name="_VC 6.15.06 update on 06GRC power costs.xls Chart 2_INPUTS 3" xfId="8741"/>
    <cellStyle name="_VC 6.15.06 update on 06GRC power costs.xls Chart 2_INPUTS 3 2" xfId="21694"/>
    <cellStyle name="_VC 6.15.06 update on 06GRC power costs.xls Chart 2_INPUTS 4" xfId="18786"/>
    <cellStyle name="_VC 6.15.06 update on 06GRC power costs.xls Chart 2_Mint Farm Generation BPA" xfId="30632"/>
    <cellStyle name="_VC 6.15.06 update on 06GRC power costs.xls Chart 2_NIM Summary" xfId="2336"/>
    <cellStyle name="_VC 6.15.06 update on 06GRC power costs.xls Chart 2_NIM Summary 09GRC" xfId="2337"/>
    <cellStyle name="_VC 6.15.06 update on 06GRC power costs.xls Chart 2_NIM Summary 09GRC 2" xfId="2338"/>
    <cellStyle name="_VC 6.15.06 update on 06GRC power costs.xls Chart 2_NIM Summary 09GRC 2 2" xfId="5701"/>
    <cellStyle name="_VC 6.15.06 update on 06GRC power costs.xls Chart 2_NIM Summary 09GRC 2 2 2" xfId="30633"/>
    <cellStyle name="_VC 6.15.06 update on 06GRC power costs.xls Chart 2_NIM Summary 09GRC 2 2 2 2" xfId="30634"/>
    <cellStyle name="_VC 6.15.06 update on 06GRC power costs.xls Chart 2_NIM Summary 09GRC 2 3" xfId="30635"/>
    <cellStyle name="_VC 6.15.06 update on 06GRC power costs.xls Chart 2_NIM Summary 09GRC 2 3 2" xfId="30636"/>
    <cellStyle name="_VC 6.15.06 update on 06GRC power costs.xls Chart 2_NIM Summary 09GRC 2 4" xfId="30637"/>
    <cellStyle name="_VC 6.15.06 update on 06GRC power costs.xls Chart 2_NIM Summary 09GRC 2 4 2" xfId="30638"/>
    <cellStyle name="_VC 6.15.06 update on 06GRC power costs.xls Chart 2_NIM Summary 09GRC 2 5" xfId="8744"/>
    <cellStyle name="_VC 6.15.06 update on 06GRC power costs.xls Chart 2_NIM Summary 09GRC 3" xfId="5700"/>
    <cellStyle name="_VC 6.15.06 update on 06GRC power costs.xls Chart 2_NIM Summary 09GRC 3 2" xfId="30639"/>
    <cellStyle name="_VC 6.15.06 update on 06GRC power costs.xls Chart 2_NIM Summary 09GRC 3 2 2" xfId="30640"/>
    <cellStyle name="_VC 6.15.06 update on 06GRC power costs.xls Chart 2_NIM Summary 09GRC 3 3" xfId="30641"/>
    <cellStyle name="_VC 6.15.06 update on 06GRC power costs.xls Chart 2_NIM Summary 09GRC 4" xfId="30642"/>
    <cellStyle name="_VC 6.15.06 update on 06GRC power costs.xls Chart 2_NIM Summary 09GRC 4 2" xfId="30643"/>
    <cellStyle name="_VC 6.15.06 update on 06GRC power costs.xls Chart 2_NIM Summary 09GRC 4 2 2" xfId="30644"/>
    <cellStyle name="_VC 6.15.06 update on 06GRC power costs.xls Chart 2_NIM Summary 09GRC 4 3" xfId="30645"/>
    <cellStyle name="_VC 6.15.06 update on 06GRC power costs.xls Chart 2_NIM Summary 09GRC 5" xfId="30646"/>
    <cellStyle name="_VC 6.15.06 update on 06GRC power costs.xls Chart 2_NIM Summary 09GRC 5 2" xfId="30647"/>
    <cellStyle name="_VC 6.15.06 update on 06GRC power costs.xls Chart 2_NIM Summary 09GRC 6" xfId="30648"/>
    <cellStyle name="_VC 6.15.06 update on 06GRC power costs.xls Chart 2_NIM Summary 09GRC 6 2" xfId="30649"/>
    <cellStyle name="_VC 6.15.06 update on 06GRC power costs.xls Chart 2_NIM Summary 09GRC 7" xfId="8743"/>
    <cellStyle name="_VC 6.15.06 update on 06GRC power costs.xls Chart 2_NIM Summary 09GRC_DEM-WP(C) ENERG10C--ctn Mid-C_042010 2010GRC" xfId="13167"/>
    <cellStyle name="_VC 6.15.06 update on 06GRC power costs.xls Chart 2_NIM Summary 09GRC_DEM-WP(C) ENERG10C--ctn Mid-C_042010 2010GRC 2" xfId="41957"/>
    <cellStyle name="_VC 6.15.06 update on 06GRC power costs.xls Chart 2_NIM Summary 10" xfId="5699"/>
    <cellStyle name="_VC 6.15.06 update on 06GRC power costs.xls Chart 2_NIM Summary 10 2" xfId="30650"/>
    <cellStyle name="_VC 6.15.06 update on 06GRC power costs.xls Chart 2_NIM Summary 10 2 2" xfId="30651"/>
    <cellStyle name="_VC 6.15.06 update on 06GRC power costs.xls Chart 2_NIM Summary 10 3" xfId="30652"/>
    <cellStyle name="_VC 6.15.06 update on 06GRC power costs.xls Chart 2_NIM Summary 10 4" xfId="30653"/>
    <cellStyle name="_VC 6.15.06 update on 06GRC power costs.xls Chart 2_NIM Summary 11" xfId="6260"/>
    <cellStyle name="_VC 6.15.06 update on 06GRC power costs.xls Chart 2_NIM Summary 11 2" xfId="30654"/>
    <cellStyle name="_VC 6.15.06 update on 06GRC power costs.xls Chart 2_NIM Summary 11 2 2" xfId="30655"/>
    <cellStyle name="_VC 6.15.06 update on 06GRC power costs.xls Chart 2_NIM Summary 11 3" xfId="30656"/>
    <cellStyle name="_VC 6.15.06 update on 06GRC power costs.xls Chart 2_NIM Summary 11 4" xfId="30657"/>
    <cellStyle name="_VC 6.15.06 update on 06GRC power costs.xls Chart 2_NIM Summary 12" xfId="6228"/>
    <cellStyle name="_VC 6.15.06 update on 06GRC power costs.xls Chart 2_NIM Summary 12 2" xfId="30658"/>
    <cellStyle name="_VC 6.15.06 update on 06GRC power costs.xls Chart 2_NIM Summary 12 2 2" xfId="30659"/>
    <cellStyle name="_VC 6.15.06 update on 06GRC power costs.xls Chart 2_NIM Summary 12 3" xfId="30660"/>
    <cellStyle name="_VC 6.15.06 update on 06GRC power costs.xls Chart 2_NIM Summary 12 4" xfId="30661"/>
    <cellStyle name="_VC 6.15.06 update on 06GRC power costs.xls Chart 2_NIM Summary 13" xfId="6259"/>
    <cellStyle name="_VC 6.15.06 update on 06GRC power costs.xls Chart 2_NIM Summary 13 2" xfId="30662"/>
    <cellStyle name="_VC 6.15.06 update on 06GRC power costs.xls Chart 2_NIM Summary 13 2 2" xfId="30663"/>
    <cellStyle name="_VC 6.15.06 update on 06GRC power costs.xls Chart 2_NIM Summary 13 3" xfId="30664"/>
    <cellStyle name="_VC 6.15.06 update on 06GRC power costs.xls Chart 2_NIM Summary 13 4" xfId="30665"/>
    <cellStyle name="_VC 6.15.06 update on 06GRC power costs.xls Chart 2_NIM Summary 14" xfId="6327"/>
    <cellStyle name="_VC 6.15.06 update on 06GRC power costs.xls Chart 2_NIM Summary 14 2" xfId="30666"/>
    <cellStyle name="_VC 6.15.06 update on 06GRC power costs.xls Chart 2_NIM Summary 14 2 2" xfId="30667"/>
    <cellStyle name="_VC 6.15.06 update on 06GRC power costs.xls Chart 2_NIM Summary 14 3" xfId="30668"/>
    <cellStyle name="_VC 6.15.06 update on 06GRC power costs.xls Chart 2_NIM Summary 14 4" xfId="30669"/>
    <cellStyle name="_VC 6.15.06 update on 06GRC power costs.xls Chart 2_NIM Summary 15" xfId="15364"/>
    <cellStyle name="_VC 6.15.06 update on 06GRC power costs.xls Chart 2_NIM Summary 15 2" xfId="30670"/>
    <cellStyle name="_VC 6.15.06 update on 06GRC power costs.xls Chart 2_NIM Summary 15 2 2" xfId="30671"/>
    <cellStyle name="_VC 6.15.06 update on 06GRC power costs.xls Chart 2_NIM Summary 15 3" xfId="30672"/>
    <cellStyle name="_VC 6.15.06 update on 06GRC power costs.xls Chart 2_NIM Summary 15 4" xfId="30673"/>
    <cellStyle name="_VC 6.15.06 update on 06GRC power costs.xls Chart 2_NIM Summary 16" xfId="15365"/>
    <cellStyle name="_VC 6.15.06 update on 06GRC power costs.xls Chart 2_NIM Summary 16 2" xfId="30674"/>
    <cellStyle name="_VC 6.15.06 update on 06GRC power costs.xls Chart 2_NIM Summary 16 2 2" xfId="30675"/>
    <cellStyle name="_VC 6.15.06 update on 06GRC power costs.xls Chart 2_NIM Summary 16 3" xfId="30676"/>
    <cellStyle name="_VC 6.15.06 update on 06GRC power costs.xls Chart 2_NIM Summary 16 4" xfId="30677"/>
    <cellStyle name="_VC 6.15.06 update on 06GRC power costs.xls Chart 2_NIM Summary 17" xfId="15366"/>
    <cellStyle name="_VC 6.15.06 update on 06GRC power costs.xls Chart 2_NIM Summary 17 2" xfId="30678"/>
    <cellStyle name="_VC 6.15.06 update on 06GRC power costs.xls Chart 2_NIM Summary 17 2 2" xfId="30679"/>
    <cellStyle name="_VC 6.15.06 update on 06GRC power costs.xls Chart 2_NIM Summary 17 3" xfId="30680"/>
    <cellStyle name="_VC 6.15.06 update on 06GRC power costs.xls Chart 2_NIM Summary 17 4" xfId="30681"/>
    <cellStyle name="_VC 6.15.06 update on 06GRC power costs.xls Chart 2_NIM Summary 18" xfId="15367"/>
    <cellStyle name="_VC 6.15.06 update on 06GRC power costs.xls Chart 2_NIM Summary 18 2" xfId="30682"/>
    <cellStyle name="_VC 6.15.06 update on 06GRC power costs.xls Chart 2_NIM Summary 18 3" xfId="30683"/>
    <cellStyle name="_VC 6.15.06 update on 06GRC power costs.xls Chart 2_NIM Summary 19" xfId="15368"/>
    <cellStyle name="_VC 6.15.06 update on 06GRC power costs.xls Chart 2_NIM Summary 19 2" xfId="30684"/>
    <cellStyle name="_VC 6.15.06 update on 06GRC power costs.xls Chart 2_NIM Summary 19 3" xfId="30685"/>
    <cellStyle name="_VC 6.15.06 update on 06GRC power costs.xls Chart 2_NIM Summary 2" xfId="2339"/>
    <cellStyle name="_VC 6.15.06 update on 06GRC power costs.xls Chart 2_NIM Summary 2 2" xfId="5702"/>
    <cellStyle name="_VC 6.15.06 update on 06GRC power costs.xls Chart 2_NIM Summary 2 2 2" xfId="30686"/>
    <cellStyle name="_VC 6.15.06 update on 06GRC power costs.xls Chart 2_NIM Summary 2 2 2 2" xfId="30687"/>
    <cellStyle name="_VC 6.15.06 update on 06GRC power costs.xls Chart 2_NIM Summary 2 3" xfId="30688"/>
    <cellStyle name="_VC 6.15.06 update on 06GRC power costs.xls Chart 2_NIM Summary 2 3 2" xfId="30689"/>
    <cellStyle name="_VC 6.15.06 update on 06GRC power costs.xls Chart 2_NIM Summary 2 4" xfId="30690"/>
    <cellStyle name="_VC 6.15.06 update on 06GRC power costs.xls Chart 2_NIM Summary 2 4 2" xfId="30691"/>
    <cellStyle name="_VC 6.15.06 update on 06GRC power costs.xls Chart 2_NIM Summary 2 5" xfId="8745"/>
    <cellStyle name="_VC 6.15.06 update on 06GRC power costs.xls Chart 2_NIM Summary 20" xfId="15369"/>
    <cellStyle name="_VC 6.15.06 update on 06GRC power costs.xls Chart 2_NIM Summary 20 2" xfId="30692"/>
    <cellStyle name="_VC 6.15.06 update on 06GRC power costs.xls Chart 2_NIM Summary 20 3" xfId="30693"/>
    <cellStyle name="_VC 6.15.06 update on 06GRC power costs.xls Chart 2_NIM Summary 21" xfId="15370"/>
    <cellStyle name="_VC 6.15.06 update on 06GRC power costs.xls Chart 2_NIM Summary 21 2" xfId="30694"/>
    <cellStyle name="_VC 6.15.06 update on 06GRC power costs.xls Chart 2_NIM Summary 21 3" xfId="30695"/>
    <cellStyle name="_VC 6.15.06 update on 06GRC power costs.xls Chart 2_NIM Summary 22" xfId="15371"/>
    <cellStyle name="_VC 6.15.06 update on 06GRC power costs.xls Chart 2_NIM Summary 22 2" xfId="30696"/>
    <cellStyle name="_VC 6.15.06 update on 06GRC power costs.xls Chart 2_NIM Summary 22 3" xfId="30697"/>
    <cellStyle name="_VC 6.15.06 update on 06GRC power costs.xls Chart 2_NIM Summary 23" xfId="15372"/>
    <cellStyle name="_VC 6.15.06 update on 06GRC power costs.xls Chart 2_NIM Summary 23 2" xfId="30698"/>
    <cellStyle name="_VC 6.15.06 update on 06GRC power costs.xls Chart 2_NIM Summary 23 3" xfId="30699"/>
    <cellStyle name="_VC 6.15.06 update on 06GRC power costs.xls Chart 2_NIM Summary 24" xfId="15373"/>
    <cellStyle name="_VC 6.15.06 update on 06GRC power costs.xls Chart 2_NIM Summary 24 2" xfId="30700"/>
    <cellStyle name="_VC 6.15.06 update on 06GRC power costs.xls Chart 2_NIM Summary 24 3" xfId="30701"/>
    <cellStyle name="_VC 6.15.06 update on 06GRC power costs.xls Chart 2_NIM Summary 25" xfId="15374"/>
    <cellStyle name="_VC 6.15.06 update on 06GRC power costs.xls Chart 2_NIM Summary 25 2" xfId="30702"/>
    <cellStyle name="_VC 6.15.06 update on 06GRC power costs.xls Chart 2_NIM Summary 25 3" xfId="30703"/>
    <cellStyle name="_VC 6.15.06 update on 06GRC power costs.xls Chart 2_NIM Summary 26" xfId="15375"/>
    <cellStyle name="_VC 6.15.06 update on 06GRC power costs.xls Chart 2_NIM Summary 26 2" xfId="30704"/>
    <cellStyle name="_VC 6.15.06 update on 06GRC power costs.xls Chart 2_NIM Summary 26 3" xfId="30705"/>
    <cellStyle name="_VC 6.15.06 update on 06GRC power costs.xls Chart 2_NIM Summary 27" xfId="15376"/>
    <cellStyle name="_VC 6.15.06 update on 06GRC power costs.xls Chart 2_NIM Summary 27 2" xfId="30706"/>
    <cellStyle name="_VC 6.15.06 update on 06GRC power costs.xls Chart 2_NIM Summary 27 3" xfId="30707"/>
    <cellStyle name="_VC 6.15.06 update on 06GRC power costs.xls Chart 2_NIM Summary 28" xfId="15377"/>
    <cellStyle name="_VC 6.15.06 update on 06GRC power costs.xls Chart 2_NIM Summary 28 2" xfId="30708"/>
    <cellStyle name="_VC 6.15.06 update on 06GRC power costs.xls Chart 2_NIM Summary 28 3" xfId="30709"/>
    <cellStyle name="_VC 6.15.06 update on 06GRC power costs.xls Chart 2_NIM Summary 29" xfId="15378"/>
    <cellStyle name="_VC 6.15.06 update on 06GRC power costs.xls Chart 2_NIM Summary 29 2" xfId="30710"/>
    <cellStyle name="_VC 6.15.06 update on 06GRC power costs.xls Chart 2_NIM Summary 29 3" xfId="30711"/>
    <cellStyle name="_VC 6.15.06 update on 06GRC power costs.xls Chart 2_NIM Summary 3" xfId="2340"/>
    <cellStyle name="_VC 6.15.06 update on 06GRC power costs.xls Chart 2_NIM Summary 3 2" xfId="5703"/>
    <cellStyle name="_VC 6.15.06 update on 06GRC power costs.xls Chart 2_NIM Summary 3 2 2" xfId="30712"/>
    <cellStyle name="_VC 6.15.06 update on 06GRC power costs.xls Chart 2_NIM Summary 3 3" xfId="30713"/>
    <cellStyle name="_VC 6.15.06 update on 06GRC power costs.xls Chart 2_NIM Summary 3 4" xfId="8746"/>
    <cellStyle name="_VC 6.15.06 update on 06GRC power costs.xls Chart 2_NIM Summary 30" xfId="15379"/>
    <cellStyle name="_VC 6.15.06 update on 06GRC power costs.xls Chart 2_NIM Summary 30 2" xfId="30714"/>
    <cellStyle name="_VC 6.15.06 update on 06GRC power costs.xls Chart 2_NIM Summary 30 3" xfId="30715"/>
    <cellStyle name="_VC 6.15.06 update on 06GRC power costs.xls Chart 2_NIM Summary 31" xfId="15380"/>
    <cellStyle name="_VC 6.15.06 update on 06GRC power costs.xls Chart 2_NIM Summary 31 2" xfId="30716"/>
    <cellStyle name="_VC 6.15.06 update on 06GRC power costs.xls Chart 2_NIM Summary 31 3" xfId="30717"/>
    <cellStyle name="_VC 6.15.06 update on 06GRC power costs.xls Chart 2_NIM Summary 32" xfId="15381"/>
    <cellStyle name="_VC 6.15.06 update on 06GRC power costs.xls Chart 2_NIM Summary 32 2" xfId="41958"/>
    <cellStyle name="_VC 6.15.06 update on 06GRC power costs.xls Chart 2_NIM Summary 33" xfId="15382"/>
    <cellStyle name="_VC 6.15.06 update on 06GRC power costs.xls Chart 2_NIM Summary 33 2" xfId="41959"/>
    <cellStyle name="_VC 6.15.06 update on 06GRC power costs.xls Chart 2_NIM Summary 34" xfId="15383"/>
    <cellStyle name="_VC 6.15.06 update on 06GRC power costs.xls Chart 2_NIM Summary 34 2" xfId="41960"/>
    <cellStyle name="_VC 6.15.06 update on 06GRC power costs.xls Chart 2_NIM Summary 35" xfId="15384"/>
    <cellStyle name="_VC 6.15.06 update on 06GRC power costs.xls Chart 2_NIM Summary 35 2" xfId="41961"/>
    <cellStyle name="_VC 6.15.06 update on 06GRC power costs.xls Chart 2_NIM Summary 36" xfId="15385"/>
    <cellStyle name="_VC 6.15.06 update on 06GRC power costs.xls Chart 2_NIM Summary 36 2" xfId="41962"/>
    <cellStyle name="_VC 6.15.06 update on 06GRC power costs.xls Chart 2_NIM Summary 37" xfId="15386"/>
    <cellStyle name="_VC 6.15.06 update on 06GRC power costs.xls Chart 2_NIM Summary 37 2" xfId="41963"/>
    <cellStyle name="_VC 6.15.06 update on 06GRC power costs.xls Chart 2_NIM Summary 38" xfId="15387"/>
    <cellStyle name="_VC 6.15.06 update on 06GRC power costs.xls Chart 2_NIM Summary 38 2" xfId="41964"/>
    <cellStyle name="_VC 6.15.06 update on 06GRC power costs.xls Chart 2_NIM Summary 39" xfId="15388"/>
    <cellStyle name="_VC 6.15.06 update on 06GRC power costs.xls Chart 2_NIM Summary 39 2" xfId="41965"/>
    <cellStyle name="_VC 6.15.06 update on 06GRC power costs.xls Chart 2_NIM Summary 4" xfId="2341"/>
    <cellStyle name="_VC 6.15.06 update on 06GRC power costs.xls Chart 2_NIM Summary 4 2" xfId="5704"/>
    <cellStyle name="_VC 6.15.06 update on 06GRC power costs.xls Chart 2_NIM Summary 4 2 2" xfId="30718"/>
    <cellStyle name="_VC 6.15.06 update on 06GRC power costs.xls Chart 2_NIM Summary 4 3" xfId="30719"/>
    <cellStyle name="_VC 6.15.06 update on 06GRC power costs.xls Chart 2_NIM Summary 4 4" xfId="8747"/>
    <cellStyle name="_VC 6.15.06 update on 06GRC power costs.xls Chart 2_NIM Summary 40" xfId="15389"/>
    <cellStyle name="_VC 6.15.06 update on 06GRC power costs.xls Chart 2_NIM Summary 40 2" xfId="41966"/>
    <cellStyle name="_VC 6.15.06 update on 06GRC power costs.xls Chart 2_NIM Summary 41" xfId="15390"/>
    <cellStyle name="_VC 6.15.06 update on 06GRC power costs.xls Chart 2_NIM Summary 41 2" xfId="41967"/>
    <cellStyle name="_VC 6.15.06 update on 06GRC power costs.xls Chart 2_NIM Summary 42" xfId="17214"/>
    <cellStyle name="_VC 6.15.06 update on 06GRC power costs.xls Chart 2_NIM Summary 42 2" xfId="41968"/>
    <cellStyle name="_VC 6.15.06 update on 06GRC power costs.xls Chart 2_NIM Summary 43" xfId="22328"/>
    <cellStyle name="_VC 6.15.06 update on 06GRC power costs.xls Chart 2_NIM Summary 43 2" xfId="41969"/>
    <cellStyle name="_VC 6.15.06 update on 06GRC power costs.xls Chart 2_NIM Summary 44" xfId="30720"/>
    <cellStyle name="_VC 6.15.06 update on 06GRC power costs.xls Chart 2_NIM Summary 44 2" xfId="41970"/>
    <cellStyle name="_VC 6.15.06 update on 06GRC power costs.xls Chart 2_NIM Summary 45" xfId="30721"/>
    <cellStyle name="_VC 6.15.06 update on 06GRC power costs.xls Chart 2_NIM Summary 45 2" xfId="41971"/>
    <cellStyle name="_VC 6.15.06 update on 06GRC power costs.xls Chart 2_NIM Summary 46" xfId="30722"/>
    <cellStyle name="_VC 6.15.06 update on 06GRC power costs.xls Chart 2_NIM Summary 46 2" xfId="41972"/>
    <cellStyle name="_VC 6.15.06 update on 06GRC power costs.xls Chart 2_NIM Summary 47" xfId="30723"/>
    <cellStyle name="_VC 6.15.06 update on 06GRC power costs.xls Chart 2_NIM Summary 47 2" xfId="41973"/>
    <cellStyle name="_VC 6.15.06 update on 06GRC power costs.xls Chart 2_NIM Summary 48" xfId="30724"/>
    <cellStyle name="_VC 6.15.06 update on 06GRC power costs.xls Chart 2_NIM Summary 49" xfId="30725"/>
    <cellStyle name="_VC 6.15.06 update on 06GRC power costs.xls Chart 2_NIM Summary 5" xfId="2342"/>
    <cellStyle name="_VC 6.15.06 update on 06GRC power costs.xls Chart 2_NIM Summary 5 2" xfId="5705"/>
    <cellStyle name="_VC 6.15.06 update on 06GRC power costs.xls Chart 2_NIM Summary 5 2 2" xfId="30726"/>
    <cellStyle name="_VC 6.15.06 update on 06GRC power costs.xls Chart 2_NIM Summary 5 3" xfId="30727"/>
    <cellStyle name="_VC 6.15.06 update on 06GRC power costs.xls Chart 2_NIM Summary 5 4" xfId="8748"/>
    <cellStyle name="_VC 6.15.06 update on 06GRC power costs.xls Chart 2_NIM Summary 50" xfId="30728"/>
    <cellStyle name="_VC 6.15.06 update on 06GRC power costs.xls Chart 2_NIM Summary 51" xfId="41974"/>
    <cellStyle name="_VC 6.15.06 update on 06GRC power costs.xls Chart 2_NIM Summary 52" xfId="8742"/>
    <cellStyle name="_VC 6.15.06 update on 06GRC power costs.xls Chart 2_NIM Summary 6" xfId="2343"/>
    <cellStyle name="_VC 6.15.06 update on 06GRC power costs.xls Chart 2_NIM Summary 6 2" xfId="5706"/>
    <cellStyle name="_VC 6.15.06 update on 06GRC power costs.xls Chart 2_NIM Summary 6 2 2" xfId="30729"/>
    <cellStyle name="_VC 6.15.06 update on 06GRC power costs.xls Chart 2_NIM Summary 6 3" xfId="30730"/>
    <cellStyle name="_VC 6.15.06 update on 06GRC power costs.xls Chart 2_NIM Summary 6 4" xfId="8749"/>
    <cellStyle name="_VC 6.15.06 update on 06GRC power costs.xls Chart 2_NIM Summary 7" xfId="2344"/>
    <cellStyle name="_VC 6.15.06 update on 06GRC power costs.xls Chart 2_NIM Summary 7 2" xfId="5707"/>
    <cellStyle name="_VC 6.15.06 update on 06GRC power costs.xls Chart 2_NIM Summary 7 2 2" xfId="30731"/>
    <cellStyle name="_VC 6.15.06 update on 06GRC power costs.xls Chart 2_NIM Summary 7 3" xfId="30732"/>
    <cellStyle name="_VC 6.15.06 update on 06GRC power costs.xls Chart 2_NIM Summary 7 4" xfId="30733"/>
    <cellStyle name="_VC 6.15.06 update on 06GRC power costs.xls Chart 2_NIM Summary 7 5" xfId="8750"/>
    <cellStyle name="_VC 6.15.06 update on 06GRC power costs.xls Chart 2_NIM Summary 8" xfId="2345"/>
    <cellStyle name="_VC 6.15.06 update on 06GRC power costs.xls Chart 2_NIM Summary 8 2" xfId="5708"/>
    <cellStyle name="_VC 6.15.06 update on 06GRC power costs.xls Chart 2_NIM Summary 8 2 2" xfId="30734"/>
    <cellStyle name="_VC 6.15.06 update on 06GRC power costs.xls Chart 2_NIM Summary 8 3" xfId="30735"/>
    <cellStyle name="_VC 6.15.06 update on 06GRC power costs.xls Chart 2_NIM Summary 8 4" xfId="30736"/>
    <cellStyle name="_VC 6.15.06 update on 06GRC power costs.xls Chart 2_NIM Summary 8 5" xfId="8751"/>
    <cellStyle name="_VC 6.15.06 update on 06GRC power costs.xls Chart 2_NIM Summary 9" xfId="2346"/>
    <cellStyle name="_VC 6.15.06 update on 06GRC power costs.xls Chart 2_NIM Summary 9 2" xfId="5709"/>
    <cellStyle name="_VC 6.15.06 update on 06GRC power costs.xls Chart 2_NIM Summary 9 2 2" xfId="30737"/>
    <cellStyle name="_VC 6.15.06 update on 06GRC power costs.xls Chart 2_NIM Summary 9 3" xfId="30738"/>
    <cellStyle name="_VC 6.15.06 update on 06GRC power costs.xls Chart 2_NIM Summary 9 4" xfId="30739"/>
    <cellStyle name="_VC 6.15.06 update on 06GRC power costs.xls Chart 2_NIM Summary 9 5" xfId="8752"/>
    <cellStyle name="_VC 6.15.06 update on 06GRC power costs.xls Chart 2_NIM Summary_DEM-WP(C) ENERG10C--ctn Mid-C_042010 2010GRC" xfId="13168"/>
    <cellStyle name="_VC 6.15.06 update on 06GRC power costs.xls Chart 2_NIM Summary_DEM-WP(C) ENERG10C--ctn Mid-C_042010 2010GRC 2" xfId="41975"/>
    <cellStyle name="_VC 6.15.06 update on 06GRC power costs.xls Chart 2_PCA 10 -  Exhibit D Dec 2011" xfId="15391"/>
    <cellStyle name="_VC 6.15.06 update on 06GRC power costs.xls Chart 2_PCA 10 -  Exhibit D Dec 2011 2" xfId="41976"/>
    <cellStyle name="_VC 6.15.06 update on 06GRC power costs.xls Chart 2_PCA 10 -  Exhibit D from A Kellogg Jan 2011" xfId="14203"/>
    <cellStyle name="_VC 6.15.06 update on 06GRC power costs.xls Chart 2_PCA 10 -  Exhibit D from A Kellogg Jan 2011 2" xfId="41977"/>
    <cellStyle name="_VC 6.15.06 update on 06GRC power costs.xls Chart 2_PCA 10 -  Exhibit D from A Kellogg July 2011" xfId="14204"/>
    <cellStyle name="_VC 6.15.06 update on 06GRC power costs.xls Chart 2_PCA 10 -  Exhibit D from A Kellogg July 2011 2" xfId="41978"/>
    <cellStyle name="_VC 6.15.06 update on 06GRC power costs.xls Chart 2_PCA 10 -  Exhibit D from S Free Rcv'd 12-11" xfId="14205"/>
    <cellStyle name="_VC 6.15.06 update on 06GRC power costs.xls Chart 2_PCA 10 -  Exhibit D from S Free Rcv'd 12-11 2" xfId="41979"/>
    <cellStyle name="_VC 6.15.06 update on 06GRC power costs.xls Chart 2_PCA 11 -  Exhibit D Jan 2012 fr A Kellogg" xfId="15392"/>
    <cellStyle name="_VC 6.15.06 update on 06GRC power costs.xls Chart 2_PCA 11 -  Exhibit D Jan 2012 fr A Kellogg 2" xfId="41980"/>
    <cellStyle name="_VC 6.15.06 update on 06GRC power costs.xls Chart 2_PCA 11 -  Exhibit D Jan 2012 WF" xfId="15393"/>
    <cellStyle name="_VC 6.15.06 update on 06GRC power costs.xls Chart 2_PCA 11 -  Exhibit D Jan 2012 WF 2" xfId="41981"/>
    <cellStyle name="_VC 6.15.06 update on 06GRC power costs.xls Chart 2_PCA 9 -  Exhibit D April 2010" xfId="14206"/>
    <cellStyle name="_VC 6.15.06 update on 06GRC power costs.xls Chart 2_PCA 9 -  Exhibit D April 2010 (3)" xfId="2347"/>
    <cellStyle name="_VC 6.15.06 update on 06GRC power costs.xls Chart 2_PCA 9 -  Exhibit D April 2010 (3) 2" xfId="2348"/>
    <cellStyle name="_VC 6.15.06 update on 06GRC power costs.xls Chart 2_PCA 9 -  Exhibit D April 2010 (3) 2 2" xfId="5711"/>
    <cellStyle name="_VC 6.15.06 update on 06GRC power costs.xls Chart 2_PCA 9 -  Exhibit D April 2010 (3) 2 2 2" xfId="30740"/>
    <cellStyle name="_VC 6.15.06 update on 06GRC power costs.xls Chart 2_PCA 9 -  Exhibit D April 2010 (3) 2 2 2 2" xfId="30741"/>
    <cellStyle name="_VC 6.15.06 update on 06GRC power costs.xls Chart 2_PCA 9 -  Exhibit D April 2010 (3) 2 3" xfId="30742"/>
    <cellStyle name="_VC 6.15.06 update on 06GRC power costs.xls Chart 2_PCA 9 -  Exhibit D April 2010 (3) 2 3 2" xfId="30743"/>
    <cellStyle name="_VC 6.15.06 update on 06GRC power costs.xls Chart 2_PCA 9 -  Exhibit D April 2010 (3) 2 4" xfId="30744"/>
    <cellStyle name="_VC 6.15.06 update on 06GRC power costs.xls Chart 2_PCA 9 -  Exhibit D April 2010 (3) 2 4 2" xfId="30745"/>
    <cellStyle name="_VC 6.15.06 update on 06GRC power costs.xls Chart 2_PCA 9 -  Exhibit D April 2010 (3) 2 5" xfId="8754"/>
    <cellStyle name="_VC 6.15.06 update on 06GRC power costs.xls Chart 2_PCA 9 -  Exhibit D April 2010 (3) 3" xfId="5710"/>
    <cellStyle name="_VC 6.15.06 update on 06GRC power costs.xls Chart 2_PCA 9 -  Exhibit D April 2010 (3) 3 2" xfId="30746"/>
    <cellStyle name="_VC 6.15.06 update on 06GRC power costs.xls Chart 2_PCA 9 -  Exhibit D April 2010 (3) 3 2 2" xfId="30747"/>
    <cellStyle name="_VC 6.15.06 update on 06GRC power costs.xls Chart 2_PCA 9 -  Exhibit D April 2010 (3) 3 3" xfId="30748"/>
    <cellStyle name="_VC 6.15.06 update on 06GRC power costs.xls Chart 2_PCA 9 -  Exhibit D April 2010 (3) 4" xfId="30749"/>
    <cellStyle name="_VC 6.15.06 update on 06GRC power costs.xls Chart 2_PCA 9 -  Exhibit D April 2010 (3) 4 2" xfId="30750"/>
    <cellStyle name="_VC 6.15.06 update on 06GRC power costs.xls Chart 2_PCA 9 -  Exhibit D April 2010 (3) 4 2 2" xfId="30751"/>
    <cellStyle name="_VC 6.15.06 update on 06GRC power costs.xls Chart 2_PCA 9 -  Exhibit D April 2010 (3) 4 3" xfId="30752"/>
    <cellStyle name="_VC 6.15.06 update on 06GRC power costs.xls Chart 2_PCA 9 -  Exhibit D April 2010 (3) 5" xfId="30753"/>
    <cellStyle name="_VC 6.15.06 update on 06GRC power costs.xls Chart 2_PCA 9 -  Exhibit D April 2010 (3) 5 2" xfId="30754"/>
    <cellStyle name="_VC 6.15.06 update on 06GRC power costs.xls Chart 2_PCA 9 -  Exhibit D April 2010 (3) 6" xfId="30755"/>
    <cellStyle name="_VC 6.15.06 update on 06GRC power costs.xls Chart 2_PCA 9 -  Exhibit D April 2010 (3) 6 2" xfId="30756"/>
    <cellStyle name="_VC 6.15.06 update on 06GRC power costs.xls Chart 2_PCA 9 -  Exhibit D April 2010 (3) 7" xfId="8753"/>
    <cellStyle name="_VC 6.15.06 update on 06GRC power costs.xls Chart 2_PCA 9 -  Exhibit D April 2010 (3)_DEM-WP(C) ENERG10C--ctn Mid-C_042010 2010GRC" xfId="13169"/>
    <cellStyle name="_VC 6.15.06 update on 06GRC power costs.xls Chart 2_PCA 9 -  Exhibit D April 2010 (3)_DEM-WP(C) ENERG10C--ctn Mid-C_042010 2010GRC 2" xfId="41982"/>
    <cellStyle name="_VC 6.15.06 update on 06GRC power costs.xls Chart 2_PCA 9 -  Exhibit D April 2010 2" xfId="15394"/>
    <cellStyle name="_VC 6.15.06 update on 06GRC power costs.xls Chart 2_PCA 9 -  Exhibit D April 2010 2 2" xfId="41983"/>
    <cellStyle name="_VC 6.15.06 update on 06GRC power costs.xls Chart 2_PCA 9 -  Exhibit D April 2010 3" xfId="15395"/>
    <cellStyle name="_VC 6.15.06 update on 06GRC power costs.xls Chart 2_PCA 9 -  Exhibit D April 2010 3 2" xfId="41984"/>
    <cellStyle name="_VC 6.15.06 update on 06GRC power costs.xls Chart 2_PCA 9 -  Exhibit D April 2010 4" xfId="15396"/>
    <cellStyle name="_VC 6.15.06 update on 06GRC power costs.xls Chart 2_PCA 9 -  Exhibit D April 2010 4 2" xfId="41985"/>
    <cellStyle name="_VC 6.15.06 update on 06GRC power costs.xls Chart 2_PCA 9 -  Exhibit D April 2010 5" xfId="15397"/>
    <cellStyle name="_VC 6.15.06 update on 06GRC power costs.xls Chart 2_PCA 9 -  Exhibit D April 2010 5 2" xfId="41986"/>
    <cellStyle name="_VC 6.15.06 update on 06GRC power costs.xls Chart 2_PCA 9 -  Exhibit D April 2010 6" xfId="15398"/>
    <cellStyle name="_VC 6.15.06 update on 06GRC power costs.xls Chart 2_PCA 9 -  Exhibit D April 2010 6 2" xfId="41987"/>
    <cellStyle name="_VC 6.15.06 update on 06GRC power costs.xls Chart 2_PCA 9 -  Exhibit D April 2010 7" xfId="41988"/>
    <cellStyle name="_VC 6.15.06 update on 06GRC power costs.xls Chart 2_PCA 9 -  Exhibit D Nov 2010" xfId="14207"/>
    <cellStyle name="_VC 6.15.06 update on 06GRC power costs.xls Chart 2_PCA 9 -  Exhibit D Nov 2010 2" xfId="15399"/>
    <cellStyle name="_VC 6.15.06 update on 06GRC power costs.xls Chart 2_PCA 9 -  Exhibit D Nov 2010 2 2" xfId="41989"/>
    <cellStyle name="_VC 6.15.06 update on 06GRC power costs.xls Chart 2_PCA 9 -  Exhibit D Nov 2010 3" xfId="41990"/>
    <cellStyle name="_VC 6.15.06 update on 06GRC power costs.xls Chart 2_PCA 9 - Exhibit D at August 2010" xfId="14208"/>
    <cellStyle name="_VC 6.15.06 update on 06GRC power costs.xls Chart 2_PCA 9 - Exhibit D at August 2010 2" xfId="15400"/>
    <cellStyle name="_VC 6.15.06 update on 06GRC power costs.xls Chart 2_PCA 9 - Exhibit D at August 2010 2 2" xfId="41991"/>
    <cellStyle name="_VC 6.15.06 update on 06GRC power costs.xls Chart 2_PCA 9 - Exhibit D at August 2010 3" xfId="41992"/>
    <cellStyle name="_VC 6.15.06 update on 06GRC power costs.xls Chart 2_PCA 9 - Exhibit D June 2010 GRC" xfId="14209"/>
    <cellStyle name="_VC 6.15.06 update on 06GRC power costs.xls Chart 2_PCA 9 - Exhibit D June 2010 GRC 2" xfId="15401"/>
    <cellStyle name="_VC 6.15.06 update on 06GRC power costs.xls Chart 2_PCA 9 - Exhibit D June 2010 GRC 2 2" xfId="41993"/>
    <cellStyle name="_VC 6.15.06 update on 06GRC power costs.xls Chart 2_PCA 9 - Exhibit D June 2010 GRC 3" xfId="41994"/>
    <cellStyle name="_VC 6.15.06 update on 06GRC power costs.xls Chart 2_Power Costs - Comparison bx Rbtl-Staff-Jt-PC" xfId="2349"/>
    <cellStyle name="_VC 6.15.06 update on 06GRC power costs.xls Chart 2_Power Costs - Comparison bx Rbtl-Staff-Jt-PC 2" xfId="2350"/>
    <cellStyle name="_VC 6.15.06 update on 06GRC power costs.xls Chart 2_Power Costs - Comparison bx Rbtl-Staff-Jt-PC 2 2" xfId="5713"/>
    <cellStyle name="_VC 6.15.06 update on 06GRC power costs.xls Chart 2_Power Costs - Comparison bx Rbtl-Staff-Jt-PC 2 2 2" xfId="21695"/>
    <cellStyle name="_VC 6.15.06 update on 06GRC power costs.xls Chart 2_Power Costs - Comparison bx Rbtl-Staff-Jt-PC 2 2 2 2" xfId="30757"/>
    <cellStyle name="_VC 6.15.06 update on 06GRC power costs.xls Chart 2_Power Costs - Comparison bx Rbtl-Staff-Jt-PC 2 2 3" xfId="8757"/>
    <cellStyle name="_VC 6.15.06 update on 06GRC power costs.xls Chart 2_Power Costs - Comparison bx Rbtl-Staff-Jt-PC 2 3" xfId="17216"/>
    <cellStyle name="_VC 6.15.06 update on 06GRC power costs.xls Chart 2_Power Costs - Comparison bx Rbtl-Staff-Jt-PC 2 3 2" xfId="30758"/>
    <cellStyle name="_VC 6.15.06 update on 06GRC power costs.xls Chart 2_Power Costs - Comparison bx Rbtl-Staff-Jt-PC 2 4" xfId="30759"/>
    <cellStyle name="_VC 6.15.06 update on 06GRC power costs.xls Chart 2_Power Costs - Comparison bx Rbtl-Staff-Jt-PC 2 4 2" xfId="30760"/>
    <cellStyle name="_VC 6.15.06 update on 06GRC power costs.xls Chart 2_Power Costs - Comparison bx Rbtl-Staff-Jt-PC 2 5" xfId="8756"/>
    <cellStyle name="_VC 6.15.06 update on 06GRC power costs.xls Chart 2_Power Costs - Comparison bx Rbtl-Staff-Jt-PC 3" xfId="5712"/>
    <cellStyle name="_VC 6.15.06 update on 06GRC power costs.xls Chart 2_Power Costs - Comparison bx Rbtl-Staff-Jt-PC 3 2" xfId="21696"/>
    <cellStyle name="_VC 6.15.06 update on 06GRC power costs.xls Chart 2_Power Costs - Comparison bx Rbtl-Staff-Jt-PC 3 2 2" xfId="30761"/>
    <cellStyle name="_VC 6.15.06 update on 06GRC power costs.xls Chart 2_Power Costs - Comparison bx Rbtl-Staff-Jt-PC 3 3" xfId="30762"/>
    <cellStyle name="_VC 6.15.06 update on 06GRC power costs.xls Chart 2_Power Costs - Comparison bx Rbtl-Staff-Jt-PC 3 4" xfId="8758"/>
    <cellStyle name="_VC 6.15.06 update on 06GRC power costs.xls Chart 2_Power Costs - Comparison bx Rbtl-Staff-Jt-PC 4" xfId="17215"/>
    <cellStyle name="_VC 6.15.06 update on 06GRC power costs.xls Chart 2_Power Costs - Comparison bx Rbtl-Staff-Jt-PC 4 2" xfId="30763"/>
    <cellStyle name="_VC 6.15.06 update on 06GRC power costs.xls Chart 2_Power Costs - Comparison bx Rbtl-Staff-Jt-PC 4 2 2" xfId="30764"/>
    <cellStyle name="_VC 6.15.06 update on 06GRC power costs.xls Chart 2_Power Costs - Comparison bx Rbtl-Staff-Jt-PC 4 3" xfId="30765"/>
    <cellStyle name="_VC 6.15.06 update on 06GRC power costs.xls Chart 2_Power Costs - Comparison bx Rbtl-Staff-Jt-PC 5" xfId="30766"/>
    <cellStyle name="_VC 6.15.06 update on 06GRC power costs.xls Chart 2_Power Costs - Comparison bx Rbtl-Staff-Jt-PC 5 2" xfId="30767"/>
    <cellStyle name="_VC 6.15.06 update on 06GRC power costs.xls Chart 2_Power Costs - Comparison bx Rbtl-Staff-Jt-PC 6" xfId="30768"/>
    <cellStyle name="_VC 6.15.06 update on 06GRC power costs.xls Chart 2_Power Costs - Comparison bx Rbtl-Staff-Jt-PC 6 2" xfId="30769"/>
    <cellStyle name="_VC 6.15.06 update on 06GRC power costs.xls Chart 2_Power Costs - Comparison bx Rbtl-Staff-Jt-PC 7" xfId="8755"/>
    <cellStyle name="_VC 6.15.06 update on 06GRC power costs.xls Chart 2_Power Costs - Comparison bx Rbtl-Staff-Jt-PC_Adj Bench DR 3 for Initial Briefs (Electric)" xfId="2351"/>
    <cellStyle name="_VC 6.15.06 update on 06GRC power costs.xls Chart 2_Power Costs - Comparison bx Rbtl-Staff-Jt-PC_Adj Bench DR 3 for Initial Briefs (Electric) 2" xfId="2352"/>
    <cellStyle name="_VC 6.15.06 update on 06GRC power costs.xls Chart 2_Power Costs - Comparison bx Rbtl-Staff-Jt-PC_Adj Bench DR 3 for Initial Briefs (Electric) 2 2" xfId="5715"/>
    <cellStyle name="_VC 6.15.06 update on 06GRC power costs.xls Chart 2_Power Costs - Comparison bx Rbtl-Staff-Jt-PC_Adj Bench DR 3 for Initial Briefs (Electric) 2 2 2" xfId="21697"/>
    <cellStyle name="_VC 6.15.06 update on 06GRC power costs.xls Chart 2_Power Costs - Comparison bx Rbtl-Staff-Jt-PC_Adj Bench DR 3 for Initial Briefs (Electric) 2 2 2 2" xfId="30770"/>
    <cellStyle name="_VC 6.15.06 update on 06GRC power costs.xls Chart 2_Power Costs - Comparison bx Rbtl-Staff-Jt-PC_Adj Bench DR 3 for Initial Briefs (Electric) 2 2 3" xfId="8761"/>
    <cellStyle name="_VC 6.15.06 update on 06GRC power costs.xls Chart 2_Power Costs - Comparison bx Rbtl-Staff-Jt-PC_Adj Bench DR 3 for Initial Briefs (Electric) 2 3" xfId="17218"/>
    <cellStyle name="_VC 6.15.06 update on 06GRC power costs.xls Chart 2_Power Costs - Comparison bx Rbtl-Staff-Jt-PC_Adj Bench DR 3 for Initial Briefs (Electric) 2 3 2" xfId="30771"/>
    <cellStyle name="_VC 6.15.06 update on 06GRC power costs.xls Chart 2_Power Costs - Comparison bx Rbtl-Staff-Jt-PC_Adj Bench DR 3 for Initial Briefs (Electric) 2 4" xfId="30772"/>
    <cellStyle name="_VC 6.15.06 update on 06GRC power costs.xls Chart 2_Power Costs - Comparison bx Rbtl-Staff-Jt-PC_Adj Bench DR 3 for Initial Briefs (Electric) 2 4 2" xfId="30773"/>
    <cellStyle name="_VC 6.15.06 update on 06GRC power costs.xls Chart 2_Power Costs - Comparison bx Rbtl-Staff-Jt-PC_Adj Bench DR 3 for Initial Briefs (Electric) 2 5" xfId="8760"/>
    <cellStyle name="_VC 6.15.06 update on 06GRC power costs.xls Chart 2_Power Costs - Comparison bx Rbtl-Staff-Jt-PC_Adj Bench DR 3 for Initial Briefs (Electric) 3" xfId="5714"/>
    <cellStyle name="_VC 6.15.06 update on 06GRC power costs.xls Chart 2_Power Costs - Comparison bx Rbtl-Staff-Jt-PC_Adj Bench DR 3 for Initial Briefs (Electric) 3 2" xfId="21698"/>
    <cellStyle name="_VC 6.15.06 update on 06GRC power costs.xls Chart 2_Power Costs - Comparison bx Rbtl-Staff-Jt-PC_Adj Bench DR 3 for Initial Briefs (Electric) 3 2 2" xfId="30774"/>
    <cellStyle name="_VC 6.15.06 update on 06GRC power costs.xls Chart 2_Power Costs - Comparison bx Rbtl-Staff-Jt-PC_Adj Bench DR 3 for Initial Briefs (Electric) 3 3" xfId="30775"/>
    <cellStyle name="_VC 6.15.06 update on 06GRC power costs.xls Chart 2_Power Costs - Comparison bx Rbtl-Staff-Jt-PC_Adj Bench DR 3 for Initial Briefs (Electric) 3 4" xfId="8762"/>
    <cellStyle name="_VC 6.15.06 update on 06GRC power costs.xls Chart 2_Power Costs - Comparison bx Rbtl-Staff-Jt-PC_Adj Bench DR 3 for Initial Briefs (Electric) 4" xfId="17217"/>
    <cellStyle name="_VC 6.15.06 update on 06GRC power costs.xls Chart 2_Power Costs - Comparison bx Rbtl-Staff-Jt-PC_Adj Bench DR 3 for Initial Briefs (Electric) 4 2" xfId="30776"/>
    <cellStyle name="_VC 6.15.06 update on 06GRC power costs.xls Chart 2_Power Costs - Comparison bx Rbtl-Staff-Jt-PC_Adj Bench DR 3 for Initial Briefs (Electric) 4 2 2" xfId="30777"/>
    <cellStyle name="_VC 6.15.06 update on 06GRC power costs.xls Chart 2_Power Costs - Comparison bx Rbtl-Staff-Jt-PC_Adj Bench DR 3 for Initial Briefs (Electric) 4 3" xfId="30778"/>
    <cellStyle name="_VC 6.15.06 update on 06GRC power costs.xls Chart 2_Power Costs - Comparison bx Rbtl-Staff-Jt-PC_Adj Bench DR 3 for Initial Briefs (Electric) 5" xfId="30779"/>
    <cellStyle name="_VC 6.15.06 update on 06GRC power costs.xls Chart 2_Power Costs - Comparison bx Rbtl-Staff-Jt-PC_Adj Bench DR 3 for Initial Briefs (Electric) 5 2" xfId="30780"/>
    <cellStyle name="_VC 6.15.06 update on 06GRC power costs.xls Chart 2_Power Costs - Comparison bx Rbtl-Staff-Jt-PC_Adj Bench DR 3 for Initial Briefs (Electric) 6" xfId="30781"/>
    <cellStyle name="_VC 6.15.06 update on 06GRC power costs.xls Chart 2_Power Costs - Comparison bx Rbtl-Staff-Jt-PC_Adj Bench DR 3 for Initial Briefs (Electric) 6 2" xfId="30782"/>
    <cellStyle name="_VC 6.15.06 update on 06GRC power costs.xls Chart 2_Power Costs - Comparison bx Rbtl-Staff-Jt-PC_Adj Bench DR 3 for Initial Briefs (Electric) 7" xfId="8759"/>
    <cellStyle name="_VC 6.15.06 update on 06GRC power costs.xls Chart 2_Power Costs - Comparison bx Rbtl-Staff-Jt-PC_Adj Bench DR 3 for Initial Briefs (Electric)_DEM-WP(C) ENERG10C--ctn Mid-C_042010 2010GRC" xfId="13170"/>
    <cellStyle name="_VC 6.15.06 update on 06GRC power costs.xls Chart 2_Power Costs - Comparison bx Rbtl-Staff-Jt-PC_Adj Bench DR 3 for Initial Briefs (Electric)_DEM-WP(C) ENERG10C--ctn Mid-C_042010 2010GRC 2" xfId="41995"/>
    <cellStyle name="_VC 6.15.06 update on 06GRC power costs.xls Chart 2_Power Costs - Comparison bx Rbtl-Staff-Jt-PC_DEM-WP(C) ENERG10C--ctn Mid-C_042010 2010GRC" xfId="13171"/>
    <cellStyle name="_VC 6.15.06 update on 06GRC power costs.xls Chart 2_Power Costs - Comparison bx Rbtl-Staff-Jt-PC_DEM-WP(C) ENERG10C--ctn Mid-C_042010 2010GRC 2" xfId="41996"/>
    <cellStyle name="_VC 6.15.06 update on 06GRC power costs.xls Chart 2_Power Costs - Comparison bx Rbtl-Staff-Jt-PC_Electric Rev Req Model (2009 GRC) Rebuttal" xfId="2353"/>
    <cellStyle name="_VC 6.15.06 update on 06GRC power costs.xls Chart 2_Power Costs - Comparison bx Rbtl-Staff-Jt-PC_Electric Rev Req Model (2009 GRC) Rebuttal 2" xfId="5716"/>
    <cellStyle name="_VC 6.15.06 update on 06GRC power costs.xls Chart 2_Power Costs - Comparison bx Rbtl-Staff-Jt-PC_Electric Rev Req Model (2009 GRC) Rebuttal 2 2" xfId="8765"/>
    <cellStyle name="_VC 6.15.06 update on 06GRC power costs.xls Chart 2_Power Costs - Comparison bx Rbtl-Staff-Jt-PC_Electric Rev Req Model (2009 GRC) Rebuttal 2 2 2" xfId="21699"/>
    <cellStyle name="_VC 6.15.06 update on 06GRC power costs.xls Chart 2_Power Costs - Comparison bx Rbtl-Staff-Jt-PC_Electric Rev Req Model (2009 GRC) Rebuttal 2 3" xfId="18788"/>
    <cellStyle name="_VC 6.15.06 update on 06GRC power costs.xls Chart 2_Power Costs - Comparison bx Rbtl-Staff-Jt-PC_Electric Rev Req Model (2009 GRC) Rebuttal 2 4" xfId="8764"/>
    <cellStyle name="_VC 6.15.06 update on 06GRC power costs.xls Chart 2_Power Costs - Comparison bx Rbtl-Staff-Jt-PC_Electric Rev Req Model (2009 GRC) Rebuttal 3" xfId="8766"/>
    <cellStyle name="_VC 6.15.06 update on 06GRC power costs.xls Chart 2_Power Costs - Comparison bx Rbtl-Staff-Jt-PC_Electric Rev Req Model (2009 GRC) Rebuttal 3 2" xfId="21700"/>
    <cellStyle name="_VC 6.15.06 update on 06GRC power costs.xls Chart 2_Power Costs - Comparison bx Rbtl-Staff-Jt-PC_Electric Rev Req Model (2009 GRC) Rebuttal 4" xfId="17219"/>
    <cellStyle name="_VC 6.15.06 update on 06GRC power costs.xls Chart 2_Power Costs - Comparison bx Rbtl-Staff-Jt-PC_Electric Rev Req Model (2009 GRC) Rebuttal 5" xfId="8763"/>
    <cellStyle name="_VC 6.15.06 update on 06GRC power costs.xls Chart 2_Power Costs - Comparison bx Rbtl-Staff-Jt-PC_Electric Rev Req Model (2009 GRC) Rebuttal REmoval of New  WH Solar AdjustMI" xfId="2354"/>
    <cellStyle name="_VC 6.15.06 update on 06GRC power costs.xls Chart 2_Power Costs - Comparison bx Rbtl-Staff-Jt-PC_Electric Rev Req Model (2009 GRC) Rebuttal REmoval of New  WH Solar AdjustMI 2" xfId="2355"/>
    <cellStyle name="_VC 6.15.06 update on 06GRC power costs.xls Chart 2_Power Costs - Comparison bx Rbtl-Staff-Jt-PC_Electric Rev Req Model (2009 GRC) Rebuttal REmoval of New  WH Solar AdjustMI 2 2" xfId="5718"/>
    <cellStyle name="_VC 6.15.06 update on 06GRC power costs.xls Chart 2_Power Costs - Comparison bx Rbtl-Staff-Jt-PC_Electric Rev Req Model (2009 GRC) Rebuttal REmoval of New  WH Solar AdjustMI 2 2 2" xfId="21701"/>
    <cellStyle name="_VC 6.15.06 update on 06GRC power costs.xls Chart 2_Power Costs - Comparison bx Rbtl-Staff-Jt-PC_Electric Rev Req Model (2009 GRC) Rebuttal REmoval of New  WH Solar AdjustMI 2 2 2 2" xfId="30783"/>
    <cellStyle name="_VC 6.15.06 update on 06GRC power costs.xls Chart 2_Power Costs - Comparison bx Rbtl-Staff-Jt-PC_Electric Rev Req Model (2009 GRC) Rebuttal REmoval of New  WH Solar AdjustMI 2 2 3" xfId="8769"/>
    <cellStyle name="_VC 6.15.06 update on 06GRC power costs.xls Chart 2_Power Costs - Comparison bx Rbtl-Staff-Jt-PC_Electric Rev Req Model (2009 GRC) Rebuttal REmoval of New  WH Solar AdjustMI 2 3" xfId="17221"/>
    <cellStyle name="_VC 6.15.06 update on 06GRC power costs.xls Chart 2_Power Costs - Comparison bx Rbtl-Staff-Jt-PC_Electric Rev Req Model (2009 GRC) Rebuttal REmoval of New  WH Solar AdjustMI 2 3 2" xfId="30784"/>
    <cellStyle name="_VC 6.15.06 update on 06GRC power costs.xls Chart 2_Power Costs - Comparison bx Rbtl-Staff-Jt-PC_Electric Rev Req Model (2009 GRC) Rebuttal REmoval of New  WH Solar AdjustMI 2 4" xfId="30785"/>
    <cellStyle name="_VC 6.15.06 update on 06GRC power costs.xls Chart 2_Power Costs - Comparison bx Rbtl-Staff-Jt-PC_Electric Rev Req Model (2009 GRC) Rebuttal REmoval of New  WH Solar AdjustMI 2 4 2" xfId="30786"/>
    <cellStyle name="_VC 6.15.06 update on 06GRC power costs.xls Chart 2_Power Costs - Comparison bx Rbtl-Staff-Jt-PC_Electric Rev Req Model (2009 GRC) Rebuttal REmoval of New  WH Solar AdjustMI 2 5" xfId="8768"/>
    <cellStyle name="_VC 6.15.06 update on 06GRC power costs.xls Chart 2_Power Costs - Comparison bx Rbtl-Staff-Jt-PC_Electric Rev Req Model (2009 GRC) Rebuttal REmoval of New  WH Solar AdjustMI 3" xfId="5717"/>
    <cellStyle name="_VC 6.15.06 update on 06GRC power costs.xls Chart 2_Power Costs - Comparison bx Rbtl-Staff-Jt-PC_Electric Rev Req Model (2009 GRC) Rebuttal REmoval of New  WH Solar AdjustMI 3 2" xfId="21702"/>
    <cellStyle name="_VC 6.15.06 update on 06GRC power costs.xls Chart 2_Power Costs - Comparison bx Rbtl-Staff-Jt-PC_Electric Rev Req Model (2009 GRC) Rebuttal REmoval of New  WH Solar AdjustMI 3 2 2" xfId="30787"/>
    <cellStyle name="_VC 6.15.06 update on 06GRC power costs.xls Chart 2_Power Costs - Comparison bx Rbtl-Staff-Jt-PC_Electric Rev Req Model (2009 GRC) Rebuttal REmoval of New  WH Solar AdjustMI 3 3" xfId="30788"/>
    <cellStyle name="_VC 6.15.06 update on 06GRC power costs.xls Chart 2_Power Costs - Comparison bx Rbtl-Staff-Jt-PC_Electric Rev Req Model (2009 GRC) Rebuttal REmoval of New  WH Solar AdjustMI 3 4" xfId="8770"/>
    <cellStyle name="_VC 6.15.06 update on 06GRC power costs.xls Chart 2_Power Costs - Comparison bx Rbtl-Staff-Jt-PC_Electric Rev Req Model (2009 GRC) Rebuttal REmoval of New  WH Solar AdjustMI 4" xfId="17220"/>
    <cellStyle name="_VC 6.15.06 update on 06GRC power costs.xls Chart 2_Power Costs - Comparison bx Rbtl-Staff-Jt-PC_Electric Rev Req Model (2009 GRC) Rebuttal REmoval of New  WH Solar AdjustMI 4 2" xfId="30789"/>
    <cellStyle name="_VC 6.15.06 update on 06GRC power costs.xls Chart 2_Power Costs - Comparison bx Rbtl-Staff-Jt-PC_Electric Rev Req Model (2009 GRC) Rebuttal REmoval of New  WH Solar AdjustMI 4 2 2" xfId="30790"/>
    <cellStyle name="_VC 6.15.06 update on 06GRC power costs.xls Chart 2_Power Costs - Comparison bx Rbtl-Staff-Jt-PC_Electric Rev Req Model (2009 GRC) Rebuttal REmoval of New  WH Solar AdjustMI 4 3" xfId="30791"/>
    <cellStyle name="_VC 6.15.06 update on 06GRC power costs.xls Chart 2_Power Costs - Comparison bx Rbtl-Staff-Jt-PC_Electric Rev Req Model (2009 GRC) Rebuttal REmoval of New  WH Solar AdjustMI 5" xfId="30792"/>
    <cellStyle name="_VC 6.15.06 update on 06GRC power costs.xls Chart 2_Power Costs - Comparison bx Rbtl-Staff-Jt-PC_Electric Rev Req Model (2009 GRC) Rebuttal REmoval of New  WH Solar AdjustMI 5 2" xfId="30793"/>
    <cellStyle name="_VC 6.15.06 update on 06GRC power costs.xls Chart 2_Power Costs - Comparison bx Rbtl-Staff-Jt-PC_Electric Rev Req Model (2009 GRC) Rebuttal REmoval of New  WH Solar AdjustMI 6" xfId="30794"/>
    <cellStyle name="_VC 6.15.06 update on 06GRC power costs.xls Chart 2_Power Costs - Comparison bx Rbtl-Staff-Jt-PC_Electric Rev Req Model (2009 GRC) Rebuttal REmoval of New  WH Solar AdjustMI 6 2" xfId="30795"/>
    <cellStyle name="_VC 6.15.06 update on 06GRC power costs.xls Chart 2_Power Costs - Comparison bx Rbtl-Staff-Jt-PC_Electric Rev Req Model (2009 GRC) Rebuttal REmoval of New  WH Solar AdjustMI 7" xfId="8767"/>
    <cellStyle name="_VC 6.15.06 update on 06GRC power costs.xls Chart 2_Power Costs - Comparison bx Rbtl-Staff-Jt-PC_Electric Rev Req Model (2009 GRC) Rebuttal REmoval of New  WH Solar AdjustMI_DEM-WP(C) ENERG10C--ctn Mid-C_042010 2010GRC" xfId="13172"/>
    <cellStyle name="_VC 6.15.06 update on 06GRC power costs.xls Chart 2_Power Costs - Comparison bx Rbtl-Staff-Jt-PC_Electric Rev Req Model (2009 GRC) Rebuttal REmoval of New  WH Solar AdjustMI_DEM-WP(C) ENERG10C--ctn Mid-C_042010 2010GRC 2" xfId="41997"/>
    <cellStyle name="_VC 6.15.06 update on 06GRC power costs.xls Chart 2_Power Costs - Comparison bx Rbtl-Staff-Jt-PC_Electric Rev Req Model (2009 GRC) Revised 01-18-2010" xfId="2356"/>
    <cellStyle name="_VC 6.15.06 update on 06GRC power costs.xls Chart 2_Power Costs - Comparison bx Rbtl-Staff-Jt-PC_Electric Rev Req Model (2009 GRC) Revised 01-18-2010 2" xfId="2357"/>
    <cellStyle name="_VC 6.15.06 update on 06GRC power costs.xls Chart 2_Power Costs - Comparison bx Rbtl-Staff-Jt-PC_Electric Rev Req Model (2009 GRC) Revised 01-18-2010 2 2" xfId="5720"/>
    <cellStyle name="_VC 6.15.06 update on 06GRC power costs.xls Chart 2_Power Costs - Comparison bx Rbtl-Staff-Jt-PC_Electric Rev Req Model (2009 GRC) Revised 01-18-2010 2 2 2" xfId="21703"/>
    <cellStyle name="_VC 6.15.06 update on 06GRC power costs.xls Chart 2_Power Costs - Comparison bx Rbtl-Staff-Jt-PC_Electric Rev Req Model (2009 GRC) Revised 01-18-2010 2 2 2 2" xfId="30796"/>
    <cellStyle name="_VC 6.15.06 update on 06GRC power costs.xls Chart 2_Power Costs - Comparison bx Rbtl-Staff-Jt-PC_Electric Rev Req Model (2009 GRC) Revised 01-18-2010 2 2 3" xfId="8773"/>
    <cellStyle name="_VC 6.15.06 update on 06GRC power costs.xls Chart 2_Power Costs - Comparison bx Rbtl-Staff-Jt-PC_Electric Rev Req Model (2009 GRC) Revised 01-18-2010 2 3" xfId="17223"/>
    <cellStyle name="_VC 6.15.06 update on 06GRC power costs.xls Chart 2_Power Costs - Comparison bx Rbtl-Staff-Jt-PC_Electric Rev Req Model (2009 GRC) Revised 01-18-2010 2 3 2" xfId="30797"/>
    <cellStyle name="_VC 6.15.06 update on 06GRC power costs.xls Chart 2_Power Costs - Comparison bx Rbtl-Staff-Jt-PC_Electric Rev Req Model (2009 GRC) Revised 01-18-2010 2 4" xfId="30798"/>
    <cellStyle name="_VC 6.15.06 update on 06GRC power costs.xls Chart 2_Power Costs - Comparison bx Rbtl-Staff-Jt-PC_Electric Rev Req Model (2009 GRC) Revised 01-18-2010 2 4 2" xfId="30799"/>
    <cellStyle name="_VC 6.15.06 update on 06GRC power costs.xls Chart 2_Power Costs - Comparison bx Rbtl-Staff-Jt-PC_Electric Rev Req Model (2009 GRC) Revised 01-18-2010 2 5" xfId="8772"/>
    <cellStyle name="_VC 6.15.06 update on 06GRC power costs.xls Chart 2_Power Costs - Comparison bx Rbtl-Staff-Jt-PC_Electric Rev Req Model (2009 GRC) Revised 01-18-2010 3" xfId="5719"/>
    <cellStyle name="_VC 6.15.06 update on 06GRC power costs.xls Chart 2_Power Costs - Comparison bx Rbtl-Staff-Jt-PC_Electric Rev Req Model (2009 GRC) Revised 01-18-2010 3 2" xfId="21704"/>
    <cellStyle name="_VC 6.15.06 update on 06GRC power costs.xls Chart 2_Power Costs - Comparison bx Rbtl-Staff-Jt-PC_Electric Rev Req Model (2009 GRC) Revised 01-18-2010 3 2 2" xfId="30800"/>
    <cellStyle name="_VC 6.15.06 update on 06GRC power costs.xls Chart 2_Power Costs - Comparison bx Rbtl-Staff-Jt-PC_Electric Rev Req Model (2009 GRC) Revised 01-18-2010 3 3" xfId="30801"/>
    <cellStyle name="_VC 6.15.06 update on 06GRC power costs.xls Chart 2_Power Costs - Comparison bx Rbtl-Staff-Jt-PC_Electric Rev Req Model (2009 GRC) Revised 01-18-2010 3 4" xfId="8774"/>
    <cellStyle name="_VC 6.15.06 update on 06GRC power costs.xls Chart 2_Power Costs - Comparison bx Rbtl-Staff-Jt-PC_Electric Rev Req Model (2009 GRC) Revised 01-18-2010 4" xfId="17222"/>
    <cellStyle name="_VC 6.15.06 update on 06GRC power costs.xls Chart 2_Power Costs - Comparison bx Rbtl-Staff-Jt-PC_Electric Rev Req Model (2009 GRC) Revised 01-18-2010 4 2" xfId="30802"/>
    <cellStyle name="_VC 6.15.06 update on 06GRC power costs.xls Chart 2_Power Costs - Comparison bx Rbtl-Staff-Jt-PC_Electric Rev Req Model (2009 GRC) Revised 01-18-2010 4 2 2" xfId="30803"/>
    <cellStyle name="_VC 6.15.06 update on 06GRC power costs.xls Chart 2_Power Costs - Comparison bx Rbtl-Staff-Jt-PC_Electric Rev Req Model (2009 GRC) Revised 01-18-2010 4 3" xfId="30804"/>
    <cellStyle name="_VC 6.15.06 update on 06GRC power costs.xls Chart 2_Power Costs - Comparison bx Rbtl-Staff-Jt-PC_Electric Rev Req Model (2009 GRC) Revised 01-18-2010 5" xfId="30805"/>
    <cellStyle name="_VC 6.15.06 update on 06GRC power costs.xls Chart 2_Power Costs - Comparison bx Rbtl-Staff-Jt-PC_Electric Rev Req Model (2009 GRC) Revised 01-18-2010 5 2" xfId="30806"/>
    <cellStyle name="_VC 6.15.06 update on 06GRC power costs.xls Chart 2_Power Costs - Comparison bx Rbtl-Staff-Jt-PC_Electric Rev Req Model (2009 GRC) Revised 01-18-2010 6" xfId="30807"/>
    <cellStyle name="_VC 6.15.06 update on 06GRC power costs.xls Chart 2_Power Costs - Comparison bx Rbtl-Staff-Jt-PC_Electric Rev Req Model (2009 GRC) Revised 01-18-2010 6 2" xfId="30808"/>
    <cellStyle name="_VC 6.15.06 update on 06GRC power costs.xls Chart 2_Power Costs - Comparison bx Rbtl-Staff-Jt-PC_Electric Rev Req Model (2009 GRC) Revised 01-18-2010 7" xfId="8771"/>
    <cellStyle name="_VC 6.15.06 update on 06GRC power costs.xls Chart 2_Power Costs - Comparison bx Rbtl-Staff-Jt-PC_Electric Rev Req Model (2009 GRC) Revised 01-18-2010_DEM-WP(C) ENERG10C--ctn Mid-C_042010 2010GRC" xfId="13173"/>
    <cellStyle name="_VC 6.15.06 update on 06GRC power costs.xls Chart 2_Power Costs - Comparison bx Rbtl-Staff-Jt-PC_Electric Rev Req Model (2009 GRC) Revised 01-18-2010_DEM-WP(C) ENERG10C--ctn Mid-C_042010 2010GRC 2" xfId="41998"/>
    <cellStyle name="_VC 6.15.06 update on 06GRC power costs.xls Chart 2_Power Costs - Comparison bx Rbtl-Staff-Jt-PC_Final Order Electric EXHIBIT A-1" xfId="2358"/>
    <cellStyle name="_VC 6.15.06 update on 06GRC power costs.xls Chart 2_Power Costs - Comparison bx Rbtl-Staff-Jt-PC_Final Order Electric EXHIBIT A-1 2" xfId="5721"/>
    <cellStyle name="_VC 6.15.06 update on 06GRC power costs.xls Chart 2_Power Costs - Comparison bx Rbtl-Staff-Jt-PC_Final Order Electric EXHIBIT A-1 2 2" xfId="8777"/>
    <cellStyle name="_VC 6.15.06 update on 06GRC power costs.xls Chart 2_Power Costs - Comparison bx Rbtl-Staff-Jt-PC_Final Order Electric EXHIBIT A-1 2 2 2" xfId="21705"/>
    <cellStyle name="_VC 6.15.06 update on 06GRC power costs.xls Chart 2_Power Costs - Comparison bx Rbtl-Staff-Jt-PC_Final Order Electric EXHIBIT A-1 2 3" xfId="18789"/>
    <cellStyle name="_VC 6.15.06 update on 06GRC power costs.xls Chart 2_Power Costs - Comparison bx Rbtl-Staff-Jt-PC_Final Order Electric EXHIBIT A-1 2 4" xfId="8776"/>
    <cellStyle name="_VC 6.15.06 update on 06GRC power costs.xls Chart 2_Power Costs - Comparison bx Rbtl-Staff-Jt-PC_Final Order Electric EXHIBIT A-1 3" xfId="8778"/>
    <cellStyle name="_VC 6.15.06 update on 06GRC power costs.xls Chart 2_Power Costs - Comparison bx Rbtl-Staff-Jt-PC_Final Order Electric EXHIBIT A-1 3 2" xfId="21706"/>
    <cellStyle name="_VC 6.15.06 update on 06GRC power costs.xls Chart 2_Power Costs - Comparison bx Rbtl-Staff-Jt-PC_Final Order Electric EXHIBIT A-1 3 2 2" xfId="30809"/>
    <cellStyle name="_VC 6.15.06 update on 06GRC power costs.xls Chart 2_Power Costs - Comparison bx Rbtl-Staff-Jt-PC_Final Order Electric EXHIBIT A-1 3 3" xfId="30810"/>
    <cellStyle name="_VC 6.15.06 update on 06GRC power costs.xls Chart 2_Power Costs - Comparison bx Rbtl-Staff-Jt-PC_Final Order Electric EXHIBIT A-1 4" xfId="17224"/>
    <cellStyle name="_VC 6.15.06 update on 06GRC power costs.xls Chart 2_Power Costs - Comparison bx Rbtl-Staff-Jt-PC_Final Order Electric EXHIBIT A-1 4 2" xfId="30811"/>
    <cellStyle name="_VC 6.15.06 update on 06GRC power costs.xls Chart 2_Power Costs - Comparison bx Rbtl-Staff-Jt-PC_Final Order Electric EXHIBIT A-1 5" xfId="30812"/>
    <cellStyle name="_VC 6.15.06 update on 06GRC power costs.xls Chart 2_Power Costs - Comparison bx Rbtl-Staff-Jt-PC_Final Order Electric EXHIBIT A-1 6" xfId="30813"/>
    <cellStyle name="_VC 6.15.06 update on 06GRC power costs.xls Chart 2_Power Costs - Comparison bx Rbtl-Staff-Jt-PC_Final Order Electric EXHIBIT A-1 7" xfId="8775"/>
    <cellStyle name="_VC 6.15.06 update on 06GRC power costs.xls Chart 2_Production Adj 4.37" xfId="8779"/>
    <cellStyle name="_VC 6.15.06 update on 06GRC power costs.xls Chart 2_Production Adj 4.37 2" xfId="8780"/>
    <cellStyle name="_VC 6.15.06 update on 06GRC power costs.xls Chart 2_Production Adj 4.37 2 2" xfId="8781"/>
    <cellStyle name="_VC 6.15.06 update on 06GRC power costs.xls Chart 2_Production Adj 4.37 2 2 2" xfId="21707"/>
    <cellStyle name="_VC 6.15.06 update on 06GRC power costs.xls Chart 2_Production Adj 4.37 2 3" xfId="18791"/>
    <cellStyle name="_VC 6.15.06 update on 06GRC power costs.xls Chart 2_Production Adj 4.37 3" xfId="8782"/>
    <cellStyle name="_VC 6.15.06 update on 06GRC power costs.xls Chart 2_Production Adj 4.37 3 2" xfId="21708"/>
    <cellStyle name="_VC 6.15.06 update on 06GRC power costs.xls Chart 2_Production Adj 4.37 4" xfId="18790"/>
    <cellStyle name="_VC 6.15.06 update on 06GRC power costs.xls Chart 2_Purchased Power Adj 4.03" xfId="8783"/>
    <cellStyle name="_VC 6.15.06 update on 06GRC power costs.xls Chart 2_Purchased Power Adj 4.03 2" xfId="8784"/>
    <cellStyle name="_VC 6.15.06 update on 06GRC power costs.xls Chart 2_Purchased Power Adj 4.03 2 2" xfId="8785"/>
    <cellStyle name="_VC 6.15.06 update on 06GRC power costs.xls Chart 2_Purchased Power Adj 4.03 2 2 2" xfId="21709"/>
    <cellStyle name="_VC 6.15.06 update on 06GRC power costs.xls Chart 2_Purchased Power Adj 4.03 2 3" xfId="18793"/>
    <cellStyle name="_VC 6.15.06 update on 06GRC power costs.xls Chart 2_Purchased Power Adj 4.03 3" xfId="8786"/>
    <cellStyle name="_VC 6.15.06 update on 06GRC power costs.xls Chart 2_Purchased Power Adj 4.03 3 2" xfId="21710"/>
    <cellStyle name="_VC 6.15.06 update on 06GRC power costs.xls Chart 2_Purchased Power Adj 4.03 4" xfId="18792"/>
    <cellStyle name="_VC 6.15.06 update on 06GRC power costs.xls Chart 2_Rebuttal Power Costs" xfId="2359"/>
    <cellStyle name="_VC 6.15.06 update on 06GRC power costs.xls Chart 2_Rebuttal Power Costs 2" xfId="2360"/>
    <cellStyle name="_VC 6.15.06 update on 06GRC power costs.xls Chart 2_Rebuttal Power Costs 2 2" xfId="5723"/>
    <cellStyle name="_VC 6.15.06 update on 06GRC power costs.xls Chart 2_Rebuttal Power Costs 2 2 2" xfId="21711"/>
    <cellStyle name="_VC 6.15.06 update on 06GRC power costs.xls Chart 2_Rebuttal Power Costs 2 2 2 2" xfId="30814"/>
    <cellStyle name="_VC 6.15.06 update on 06GRC power costs.xls Chart 2_Rebuttal Power Costs 2 2 3" xfId="8789"/>
    <cellStyle name="_VC 6.15.06 update on 06GRC power costs.xls Chart 2_Rebuttal Power Costs 2 3" xfId="17226"/>
    <cellStyle name="_VC 6.15.06 update on 06GRC power costs.xls Chart 2_Rebuttal Power Costs 2 3 2" xfId="30815"/>
    <cellStyle name="_VC 6.15.06 update on 06GRC power costs.xls Chart 2_Rebuttal Power Costs 2 4" xfId="30816"/>
    <cellStyle name="_VC 6.15.06 update on 06GRC power costs.xls Chart 2_Rebuttal Power Costs 2 4 2" xfId="30817"/>
    <cellStyle name="_VC 6.15.06 update on 06GRC power costs.xls Chart 2_Rebuttal Power Costs 2 5" xfId="8788"/>
    <cellStyle name="_VC 6.15.06 update on 06GRC power costs.xls Chart 2_Rebuttal Power Costs 3" xfId="5722"/>
    <cellStyle name="_VC 6.15.06 update on 06GRC power costs.xls Chart 2_Rebuttal Power Costs 3 2" xfId="21712"/>
    <cellStyle name="_VC 6.15.06 update on 06GRC power costs.xls Chart 2_Rebuttal Power Costs 3 2 2" xfId="30818"/>
    <cellStyle name="_VC 6.15.06 update on 06GRC power costs.xls Chart 2_Rebuttal Power Costs 3 3" xfId="30819"/>
    <cellStyle name="_VC 6.15.06 update on 06GRC power costs.xls Chart 2_Rebuttal Power Costs 3 4" xfId="8790"/>
    <cellStyle name="_VC 6.15.06 update on 06GRC power costs.xls Chart 2_Rebuttal Power Costs 4" xfId="17225"/>
    <cellStyle name="_VC 6.15.06 update on 06GRC power costs.xls Chart 2_Rebuttal Power Costs 4 2" xfId="30820"/>
    <cellStyle name="_VC 6.15.06 update on 06GRC power costs.xls Chart 2_Rebuttal Power Costs 4 2 2" xfId="30821"/>
    <cellStyle name="_VC 6.15.06 update on 06GRC power costs.xls Chart 2_Rebuttal Power Costs 4 3" xfId="30822"/>
    <cellStyle name="_VC 6.15.06 update on 06GRC power costs.xls Chart 2_Rebuttal Power Costs 5" xfId="30823"/>
    <cellStyle name="_VC 6.15.06 update on 06GRC power costs.xls Chart 2_Rebuttal Power Costs 5 2" xfId="30824"/>
    <cellStyle name="_VC 6.15.06 update on 06GRC power costs.xls Chart 2_Rebuttal Power Costs 6" xfId="30825"/>
    <cellStyle name="_VC 6.15.06 update on 06GRC power costs.xls Chart 2_Rebuttal Power Costs 6 2" xfId="30826"/>
    <cellStyle name="_VC 6.15.06 update on 06GRC power costs.xls Chart 2_Rebuttal Power Costs 7" xfId="8787"/>
    <cellStyle name="_VC 6.15.06 update on 06GRC power costs.xls Chart 2_Rebuttal Power Costs_Adj Bench DR 3 for Initial Briefs (Electric)" xfId="2361"/>
    <cellStyle name="_VC 6.15.06 update on 06GRC power costs.xls Chart 2_Rebuttal Power Costs_Adj Bench DR 3 for Initial Briefs (Electric) 2" xfId="2362"/>
    <cellStyle name="_VC 6.15.06 update on 06GRC power costs.xls Chart 2_Rebuttal Power Costs_Adj Bench DR 3 for Initial Briefs (Electric) 2 2" xfId="5725"/>
    <cellStyle name="_VC 6.15.06 update on 06GRC power costs.xls Chart 2_Rebuttal Power Costs_Adj Bench DR 3 for Initial Briefs (Electric) 2 2 2" xfId="21713"/>
    <cellStyle name="_VC 6.15.06 update on 06GRC power costs.xls Chart 2_Rebuttal Power Costs_Adj Bench DR 3 for Initial Briefs (Electric) 2 2 2 2" xfId="30827"/>
    <cellStyle name="_VC 6.15.06 update on 06GRC power costs.xls Chart 2_Rebuttal Power Costs_Adj Bench DR 3 for Initial Briefs (Electric) 2 2 3" xfId="8793"/>
    <cellStyle name="_VC 6.15.06 update on 06GRC power costs.xls Chart 2_Rebuttal Power Costs_Adj Bench DR 3 for Initial Briefs (Electric) 2 3" xfId="17228"/>
    <cellStyle name="_VC 6.15.06 update on 06GRC power costs.xls Chart 2_Rebuttal Power Costs_Adj Bench DR 3 for Initial Briefs (Electric) 2 3 2" xfId="30828"/>
    <cellStyle name="_VC 6.15.06 update on 06GRC power costs.xls Chart 2_Rebuttal Power Costs_Adj Bench DR 3 for Initial Briefs (Electric) 2 4" xfId="30829"/>
    <cellStyle name="_VC 6.15.06 update on 06GRC power costs.xls Chart 2_Rebuttal Power Costs_Adj Bench DR 3 for Initial Briefs (Electric) 2 4 2" xfId="30830"/>
    <cellStyle name="_VC 6.15.06 update on 06GRC power costs.xls Chart 2_Rebuttal Power Costs_Adj Bench DR 3 for Initial Briefs (Electric) 2 5" xfId="8792"/>
    <cellStyle name="_VC 6.15.06 update on 06GRC power costs.xls Chart 2_Rebuttal Power Costs_Adj Bench DR 3 for Initial Briefs (Electric) 3" xfId="5724"/>
    <cellStyle name="_VC 6.15.06 update on 06GRC power costs.xls Chart 2_Rebuttal Power Costs_Adj Bench DR 3 for Initial Briefs (Electric) 3 2" xfId="21714"/>
    <cellStyle name="_VC 6.15.06 update on 06GRC power costs.xls Chart 2_Rebuttal Power Costs_Adj Bench DR 3 for Initial Briefs (Electric) 3 2 2" xfId="30831"/>
    <cellStyle name="_VC 6.15.06 update on 06GRC power costs.xls Chart 2_Rebuttal Power Costs_Adj Bench DR 3 for Initial Briefs (Electric) 3 3" xfId="30832"/>
    <cellStyle name="_VC 6.15.06 update on 06GRC power costs.xls Chart 2_Rebuttal Power Costs_Adj Bench DR 3 for Initial Briefs (Electric) 3 4" xfId="8794"/>
    <cellStyle name="_VC 6.15.06 update on 06GRC power costs.xls Chart 2_Rebuttal Power Costs_Adj Bench DR 3 for Initial Briefs (Electric) 4" xfId="17227"/>
    <cellStyle name="_VC 6.15.06 update on 06GRC power costs.xls Chart 2_Rebuttal Power Costs_Adj Bench DR 3 for Initial Briefs (Electric) 4 2" xfId="30833"/>
    <cellStyle name="_VC 6.15.06 update on 06GRC power costs.xls Chart 2_Rebuttal Power Costs_Adj Bench DR 3 for Initial Briefs (Electric) 4 2 2" xfId="30834"/>
    <cellStyle name="_VC 6.15.06 update on 06GRC power costs.xls Chart 2_Rebuttal Power Costs_Adj Bench DR 3 for Initial Briefs (Electric) 4 3" xfId="30835"/>
    <cellStyle name="_VC 6.15.06 update on 06GRC power costs.xls Chart 2_Rebuttal Power Costs_Adj Bench DR 3 for Initial Briefs (Electric) 5" xfId="30836"/>
    <cellStyle name="_VC 6.15.06 update on 06GRC power costs.xls Chart 2_Rebuttal Power Costs_Adj Bench DR 3 for Initial Briefs (Electric) 5 2" xfId="30837"/>
    <cellStyle name="_VC 6.15.06 update on 06GRC power costs.xls Chart 2_Rebuttal Power Costs_Adj Bench DR 3 for Initial Briefs (Electric) 6" xfId="30838"/>
    <cellStyle name="_VC 6.15.06 update on 06GRC power costs.xls Chart 2_Rebuttal Power Costs_Adj Bench DR 3 for Initial Briefs (Electric) 6 2" xfId="30839"/>
    <cellStyle name="_VC 6.15.06 update on 06GRC power costs.xls Chart 2_Rebuttal Power Costs_Adj Bench DR 3 for Initial Briefs (Electric) 7" xfId="8791"/>
    <cellStyle name="_VC 6.15.06 update on 06GRC power costs.xls Chart 2_Rebuttal Power Costs_Adj Bench DR 3 for Initial Briefs (Electric)_DEM-WP(C) ENERG10C--ctn Mid-C_042010 2010GRC" xfId="13174"/>
    <cellStyle name="_VC 6.15.06 update on 06GRC power costs.xls Chart 2_Rebuttal Power Costs_Adj Bench DR 3 for Initial Briefs (Electric)_DEM-WP(C) ENERG10C--ctn Mid-C_042010 2010GRC 2" xfId="41999"/>
    <cellStyle name="_VC 6.15.06 update on 06GRC power costs.xls Chart 2_Rebuttal Power Costs_DEM-WP(C) ENERG10C--ctn Mid-C_042010 2010GRC" xfId="13175"/>
    <cellStyle name="_VC 6.15.06 update on 06GRC power costs.xls Chart 2_Rebuttal Power Costs_DEM-WP(C) ENERG10C--ctn Mid-C_042010 2010GRC 2" xfId="42000"/>
    <cellStyle name="_VC 6.15.06 update on 06GRC power costs.xls Chart 2_Rebuttal Power Costs_Electric Rev Req Model (2009 GRC) Rebuttal" xfId="2363"/>
    <cellStyle name="_VC 6.15.06 update on 06GRC power costs.xls Chart 2_Rebuttal Power Costs_Electric Rev Req Model (2009 GRC) Rebuttal 2" xfId="5726"/>
    <cellStyle name="_VC 6.15.06 update on 06GRC power costs.xls Chart 2_Rebuttal Power Costs_Electric Rev Req Model (2009 GRC) Rebuttal 2 2" xfId="8797"/>
    <cellStyle name="_VC 6.15.06 update on 06GRC power costs.xls Chart 2_Rebuttal Power Costs_Electric Rev Req Model (2009 GRC) Rebuttal 2 2 2" xfId="21715"/>
    <cellStyle name="_VC 6.15.06 update on 06GRC power costs.xls Chart 2_Rebuttal Power Costs_Electric Rev Req Model (2009 GRC) Rebuttal 2 3" xfId="18794"/>
    <cellStyle name="_VC 6.15.06 update on 06GRC power costs.xls Chart 2_Rebuttal Power Costs_Electric Rev Req Model (2009 GRC) Rebuttal 2 4" xfId="8796"/>
    <cellStyle name="_VC 6.15.06 update on 06GRC power costs.xls Chart 2_Rebuttal Power Costs_Electric Rev Req Model (2009 GRC) Rebuttal 3" xfId="8798"/>
    <cellStyle name="_VC 6.15.06 update on 06GRC power costs.xls Chart 2_Rebuttal Power Costs_Electric Rev Req Model (2009 GRC) Rebuttal 3 2" xfId="21716"/>
    <cellStyle name="_VC 6.15.06 update on 06GRC power costs.xls Chart 2_Rebuttal Power Costs_Electric Rev Req Model (2009 GRC) Rebuttal 4" xfId="17229"/>
    <cellStyle name="_VC 6.15.06 update on 06GRC power costs.xls Chart 2_Rebuttal Power Costs_Electric Rev Req Model (2009 GRC) Rebuttal 5" xfId="8795"/>
    <cellStyle name="_VC 6.15.06 update on 06GRC power costs.xls Chart 2_Rebuttal Power Costs_Electric Rev Req Model (2009 GRC) Rebuttal REmoval of New  WH Solar AdjustMI" xfId="2364"/>
    <cellStyle name="_VC 6.15.06 update on 06GRC power costs.xls Chart 2_Rebuttal Power Costs_Electric Rev Req Model (2009 GRC) Rebuttal REmoval of New  WH Solar AdjustMI 2" xfId="2365"/>
    <cellStyle name="_VC 6.15.06 update on 06GRC power costs.xls Chart 2_Rebuttal Power Costs_Electric Rev Req Model (2009 GRC) Rebuttal REmoval of New  WH Solar AdjustMI 2 2" xfId="5728"/>
    <cellStyle name="_VC 6.15.06 update on 06GRC power costs.xls Chart 2_Rebuttal Power Costs_Electric Rev Req Model (2009 GRC) Rebuttal REmoval of New  WH Solar AdjustMI 2 2 2" xfId="21717"/>
    <cellStyle name="_VC 6.15.06 update on 06GRC power costs.xls Chart 2_Rebuttal Power Costs_Electric Rev Req Model (2009 GRC) Rebuttal REmoval of New  WH Solar AdjustMI 2 2 2 2" xfId="30840"/>
    <cellStyle name="_VC 6.15.06 update on 06GRC power costs.xls Chart 2_Rebuttal Power Costs_Electric Rev Req Model (2009 GRC) Rebuttal REmoval of New  WH Solar AdjustMI 2 2 3" xfId="8801"/>
    <cellStyle name="_VC 6.15.06 update on 06GRC power costs.xls Chart 2_Rebuttal Power Costs_Electric Rev Req Model (2009 GRC) Rebuttal REmoval of New  WH Solar AdjustMI 2 3" xfId="17231"/>
    <cellStyle name="_VC 6.15.06 update on 06GRC power costs.xls Chart 2_Rebuttal Power Costs_Electric Rev Req Model (2009 GRC) Rebuttal REmoval of New  WH Solar AdjustMI 2 3 2" xfId="30841"/>
    <cellStyle name="_VC 6.15.06 update on 06GRC power costs.xls Chart 2_Rebuttal Power Costs_Electric Rev Req Model (2009 GRC) Rebuttal REmoval of New  WH Solar AdjustMI 2 4" xfId="30842"/>
    <cellStyle name="_VC 6.15.06 update on 06GRC power costs.xls Chart 2_Rebuttal Power Costs_Electric Rev Req Model (2009 GRC) Rebuttal REmoval of New  WH Solar AdjustMI 2 4 2" xfId="30843"/>
    <cellStyle name="_VC 6.15.06 update on 06GRC power costs.xls Chart 2_Rebuttal Power Costs_Electric Rev Req Model (2009 GRC) Rebuttal REmoval of New  WH Solar AdjustMI 2 5" xfId="8800"/>
    <cellStyle name="_VC 6.15.06 update on 06GRC power costs.xls Chart 2_Rebuttal Power Costs_Electric Rev Req Model (2009 GRC) Rebuttal REmoval of New  WH Solar AdjustMI 3" xfId="5727"/>
    <cellStyle name="_VC 6.15.06 update on 06GRC power costs.xls Chart 2_Rebuttal Power Costs_Electric Rev Req Model (2009 GRC) Rebuttal REmoval of New  WH Solar AdjustMI 3 2" xfId="21718"/>
    <cellStyle name="_VC 6.15.06 update on 06GRC power costs.xls Chart 2_Rebuttal Power Costs_Electric Rev Req Model (2009 GRC) Rebuttal REmoval of New  WH Solar AdjustMI 3 2 2" xfId="30844"/>
    <cellStyle name="_VC 6.15.06 update on 06GRC power costs.xls Chart 2_Rebuttal Power Costs_Electric Rev Req Model (2009 GRC) Rebuttal REmoval of New  WH Solar AdjustMI 3 3" xfId="30845"/>
    <cellStyle name="_VC 6.15.06 update on 06GRC power costs.xls Chart 2_Rebuttal Power Costs_Electric Rev Req Model (2009 GRC) Rebuttal REmoval of New  WH Solar AdjustMI 3 4" xfId="8802"/>
    <cellStyle name="_VC 6.15.06 update on 06GRC power costs.xls Chart 2_Rebuttal Power Costs_Electric Rev Req Model (2009 GRC) Rebuttal REmoval of New  WH Solar AdjustMI 4" xfId="17230"/>
    <cellStyle name="_VC 6.15.06 update on 06GRC power costs.xls Chart 2_Rebuttal Power Costs_Electric Rev Req Model (2009 GRC) Rebuttal REmoval of New  WH Solar AdjustMI 4 2" xfId="30846"/>
    <cellStyle name="_VC 6.15.06 update on 06GRC power costs.xls Chart 2_Rebuttal Power Costs_Electric Rev Req Model (2009 GRC) Rebuttal REmoval of New  WH Solar AdjustMI 4 2 2" xfId="30847"/>
    <cellStyle name="_VC 6.15.06 update on 06GRC power costs.xls Chart 2_Rebuttal Power Costs_Electric Rev Req Model (2009 GRC) Rebuttal REmoval of New  WH Solar AdjustMI 4 3" xfId="30848"/>
    <cellStyle name="_VC 6.15.06 update on 06GRC power costs.xls Chart 2_Rebuttal Power Costs_Electric Rev Req Model (2009 GRC) Rebuttal REmoval of New  WH Solar AdjustMI 5" xfId="30849"/>
    <cellStyle name="_VC 6.15.06 update on 06GRC power costs.xls Chart 2_Rebuttal Power Costs_Electric Rev Req Model (2009 GRC) Rebuttal REmoval of New  WH Solar AdjustMI 5 2" xfId="30850"/>
    <cellStyle name="_VC 6.15.06 update on 06GRC power costs.xls Chart 2_Rebuttal Power Costs_Electric Rev Req Model (2009 GRC) Rebuttal REmoval of New  WH Solar AdjustMI 6" xfId="30851"/>
    <cellStyle name="_VC 6.15.06 update on 06GRC power costs.xls Chart 2_Rebuttal Power Costs_Electric Rev Req Model (2009 GRC) Rebuttal REmoval of New  WH Solar AdjustMI 6 2" xfId="30852"/>
    <cellStyle name="_VC 6.15.06 update on 06GRC power costs.xls Chart 2_Rebuttal Power Costs_Electric Rev Req Model (2009 GRC) Rebuttal REmoval of New  WH Solar AdjustMI 7" xfId="8799"/>
    <cellStyle name="_VC 6.15.06 update on 06GRC power costs.xls Chart 2_Rebuttal Power Costs_Electric Rev Req Model (2009 GRC) Rebuttal REmoval of New  WH Solar AdjustMI_DEM-WP(C) ENERG10C--ctn Mid-C_042010 2010GRC" xfId="13176"/>
    <cellStyle name="_VC 6.15.06 update on 06GRC power costs.xls Chart 2_Rebuttal Power Costs_Electric Rev Req Model (2009 GRC) Rebuttal REmoval of New  WH Solar AdjustMI_DEM-WP(C) ENERG10C--ctn Mid-C_042010 2010GRC 2" xfId="42001"/>
    <cellStyle name="_VC 6.15.06 update on 06GRC power costs.xls Chart 2_Rebuttal Power Costs_Electric Rev Req Model (2009 GRC) Revised 01-18-2010" xfId="2366"/>
    <cellStyle name="_VC 6.15.06 update on 06GRC power costs.xls Chart 2_Rebuttal Power Costs_Electric Rev Req Model (2009 GRC) Revised 01-18-2010 2" xfId="2367"/>
    <cellStyle name="_VC 6.15.06 update on 06GRC power costs.xls Chart 2_Rebuttal Power Costs_Electric Rev Req Model (2009 GRC) Revised 01-18-2010 2 2" xfId="5730"/>
    <cellStyle name="_VC 6.15.06 update on 06GRC power costs.xls Chart 2_Rebuttal Power Costs_Electric Rev Req Model (2009 GRC) Revised 01-18-2010 2 2 2" xfId="21719"/>
    <cellStyle name="_VC 6.15.06 update on 06GRC power costs.xls Chart 2_Rebuttal Power Costs_Electric Rev Req Model (2009 GRC) Revised 01-18-2010 2 2 2 2" xfId="30853"/>
    <cellStyle name="_VC 6.15.06 update on 06GRC power costs.xls Chart 2_Rebuttal Power Costs_Electric Rev Req Model (2009 GRC) Revised 01-18-2010 2 2 3" xfId="8805"/>
    <cellStyle name="_VC 6.15.06 update on 06GRC power costs.xls Chart 2_Rebuttal Power Costs_Electric Rev Req Model (2009 GRC) Revised 01-18-2010 2 3" xfId="17233"/>
    <cellStyle name="_VC 6.15.06 update on 06GRC power costs.xls Chart 2_Rebuttal Power Costs_Electric Rev Req Model (2009 GRC) Revised 01-18-2010 2 3 2" xfId="30854"/>
    <cellStyle name="_VC 6.15.06 update on 06GRC power costs.xls Chart 2_Rebuttal Power Costs_Electric Rev Req Model (2009 GRC) Revised 01-18-2010 2 4" xfId="30855"/>
    <cellStyle name="_VC 6.15.06 update on 06GRC power costs.xls Chart 2_Rebuttal Power Costs_Electric Rev Req Model (2009 GRC) Revised 01-18-2010 2 4 2" xfId="30856"/>
    <cellStyle name="_VC 6.15.06 update on 06GRC power costs.xls Chart 2_Rebuttal Power Costs_Electric Rev Req Model (2009 GRC) Revised 01-18-2010 2 5" xfId="8804"/>
    <cellStyle name="_VC 6.15.06 update on 06GRC power costs.xls Chart 2_Rebuttal Power Costs_Electric Rev Req Model (2009 GRC) Revised 01-18-2010 3" xfId="5729"/>
    <cellStyle name="_VC 6.15.06 update on 06GRC power costs.xls Chart 2_Rebuttal Power Costs_Electric Rev Req Model (2009 GRC) Revised 01-18-2010 3 2" xfId="21720"/>
    <cellStyle name="_VC 6.15.06 update on 06GRC power costs.xls Chart 2_Rebuttal Power Costs_Electric Rev Req Model (2009 GRC) Revised 01-18-2010 3 2 2" xfId="30857"/>
    <cellStyle name="_VC 6.15.06 update on 06GRC power costs.xls Chart 2_Rebuttal Power Costs_Electric Rev Req Model (2009 GRC) Revised 01-18-2010 3 3" xfId="30858"/>
    <cellStyle name="_VC 6.15.06 update on 06GRC power costs.xls Chart 2_Rebuttal Power Costs_Electric Rev Req Model (2009 GRC) Revised 01-18-2010 3 4" xfId="8806"/>
    <cellStyle name="_VC 6.15.06 update on 06GRC power costs.xls Chart 2_Rebuttal Power Costs_Electric Rev Req Model (2009 GRC) Revised 01-18-2010 4" xfId="17232"/>
    <cellStyle name="_VC 6.15.06 update on 06GRC power costs.xls Chart 2_Rebuttal Power Costs_Electric Rev Req Model (2009 GRC) Revised 01-18-2010 4 2" xfId="30859"/>
    <cellStyle name="_VC 6.15.06 update on 06GRC power costs.xls Chart 2_Rebuttal Power Costs_Electric Rev Req Model (2009 GRC) Revised 01-18-2010 4 2 2" xfId="30860"/>
    <cellStyle name="_VC 6.15.06 update on 06GRC power costs.xls Chart 2_Rebuttal Power Costs_Electric Rev Req Model (2009 GRC) Revised 01-18-2010 4 3" xfId="30861"/>
    <cellStyle name="_VC 6.15.06 update on 06GRC power costs.xls Chart 2_Rebuttal Power Costs_Electric Rev Req Model (2009 GRC) Revised 01-18-2010 5" xfId="30862"/>
    <cellStyle name="_VC 6.15.06 update on 06GRC power costs.xls Chart 2_Rebuttal Power Costs_Electric Rev Req Model (2009 GRC) Revised 01-18-2010 5 2" xfId="30863"/>
    <cellStyle name="_VC 6.15.06 update on 06GRC power costs.xls Chart 2_Rebuttal Power Costs_Electric Rev Req Model (2009 GRC) Revised 01-18-2010 6" xfId="30864"/>
    <cellStyle name="_VC 6.15.06 update on 06GRC power costs.xls Chart 2_Rebuttal Power Costs_Electric Rev Req Model (2009 GRC) Revised 01-18-2010 6 2" xfId="30865"/>
    <cellStyle name="_VC 6.15.06 update on 06GRC power costs.xls Chart 2_Rebuttal Power Costs_Electric Rev Req Model (2009 GRC) Revised 01-18-2010 7" xfId="8803"/>
    <cellStyle name="_VC 6.15.06 update on 06GRC power costs.xls Chart 2_Rebuttal Power Costs_Electric Rev Req Model (2009 GRC) Revised 01-18-2010_DEM-WP(C) ENERG10C--ctn Mid-C_042010 2010GRC" xfId="13177"/>
    <cellStyle name="_VC 6.15.06 update on 06GRC power costs.xls Chart 2_Rebuttal Power Costs_Electric Rev Req Model (2009 GRC) Revised 01-18-2010_DEM-WP(C) ENERG10C--ctn Mid-C_042010 2010GRC 2" xfId="42002"/>
    <cellStyle name="_VC 6.15.06 update on 06GRC power costs.xls Chart 2_Rebuttal Power Costs_Final Order Electric EXHIBIT A-1" xfId="2368"/>
    <cellStyle name="_VC 6.15.06 update on 06GRC power costs.xls Chart 2_Rebuttal Power Costs_Final Order Electric EXHIBIT A-1 2" xfId="5731"/>
    <cellStyle name="_VC 6.15.06 update on 06GRC power costs.xls Chart 2_Rebuttal Power Costs_Final Order Electric EXHIBIT A-1 2 2" xfId="8809"/>
    <cellStyle name="_VC 6.15.06 update on 06GRC power costs.xls Chart 2_Rebuttal Power Costs_Final Order Electric EXHIBIT A-1 2 2 2" xfId="21721"/>
    <cellStyle name="_VC 6.15.06 update on 06GRC power costs.xls Chart 2_Rebuttal Power Costs_Final Order Electric EXHIBIT A-1 2 3" xfId="18795"/>
    <cellStyle name="_VC 6.15.06 update on 06GRC power costs.xls Chart 2_Rebuttal Power Costs_Final Order Electric EXHIBIT A-1 2 4" xfId="8808"/>
    <cellStyle name="_VC 6.15.06 update on 06GRC power costs.xls Chart 2_Rebuttal Power Costs_Final Order Electric EXHIBIT A-1 3" xfId="8810"/>
    <cellStyle name="_VC 6.15.06 update on 06GRC power costs.xls Chart 2_Rebuttal Power Costs_Final Order Electric EXHIBIT A-1 3 2" xfId="21722"/>
    <cellStyle name="_VC 6.15.06 update on 06GRC power costs.xls Chart 2_Rebuttal Power Costs_Final Order Electric EXHIBIT A-1 3 2 2" xfId="30866"/>
    <cellStyle name="_VC 6.15.06 update on 06GRC power costs.xls Chart 2_Rebuttal Power Costs_Final Order Electric EXHIBIT A-1 3 3" xfId="30867"/>
    <cellStyle name="_VC 6.15.06 update on 06GRC power costs.xls Chart 2_Rebuttal Power Costs_Final Order Electric EXHIBIT A-1 4" xfId="17234"/>
    <cellStyle name="_VC 6.15.06 update on 06GRC power costs.xls Chart 2_Rebuttal Power Costs_Final Order Electric EXHIBIT A-1 4 2" xfId="30868"/>
    <cellStyle name="_VC 6.15.06 update on 06GRC power costs.xls Chart 2_Rebuttal Power Costs_Final Order Electric EXHIBIT A-1 5" xfId="30869"/>
    <cellStyle name="_VC 6.15.06 update on 06GRC power costs.xls Chart 2_Rebuttal Power Costs_Final Order Electric EXHIBIT A-1 6" xfId="30870"/>
    <cellStyle name="_VC 6.15.06 update on 06GRC power costs.xls Chart 2_Rebuttal Power Costs_Final Order Electric EXHIBIT A-1 7" xfId="8807"/>
    <cellStyle name="_VC 6.15.06 update on 06GRC power costs.xls Chart 2_ROR &amp; CONV FACTOR" xfId="8811"/>
    <cellStyle name="_VC 6.15.06 update on 06GRC power costs.xls Chart 2_ROR &amp; CONV FACTOR 2" xfId="8812"/>
    <cellStyle name="_VC 6.15.06 update on 06GRC power costs.xls Chart 2_ROR &amp; CONV FACTOR 2 2" xfId="8813"/>
    <cellStyle name="_VC 6.15.06 update on 06GRC power costs.xls Chart 2_ROR &amp; CONV FACTOR 2 2 2" xfId="21723"/>
    <cellStyle name="_VC 6.15.06 update on 06GRC power costs.xls Chart 2_ROR &amp; CONV FACTOR 2 3" xfId="18797"/>
    <cellStyle name="_VC 6.15.06 update on 06GRC power costs.xls Chart 2_ROR &amp; CONV FACTOR 3" xfId="8814"/>
    <cellStyle name="_VC 6.15.06 update on 06GRC power costs.xls Chart 2_ROR &amp; CONV FACTOR 3 2" xfId="21724"/>
    <cellStyle name="_VC 6.15.06 update on 06GRC power costs.xls Chart 2_ROR &amp; CONV FACTOR 4" xfId="18796"/>
    <cellStyle name="_VC 6.15.06 update on 06GRC power costs.xls Chart 2_ROR 5.02" xfId="8815"/>
    <cellStyle name="_VC 6.15.06 update on 06GRC power costs.xls Chart 2_ROR 5.02 2" xfId="8816"/>
    <cellStyle name="_VC 6.15.06 update on 06GRC power costs.xls Chart 2_ROR 5.02 2 2" xfId="8817"/>
    <cellStyle name="_VC 6.15.06 update on 06GRC power costs.xls Chart 2_ROR 5.02 2 2 2" xfId="21725"/>
    <cellStyle name="_VC 6.15.06 update on 06GRC power costs.xls Chart 2_ROR 5.02 2 3" xfId="18799"/>
    <cellStyle name="_VC 6.15.06 update on 06GRC power costs.xls Chart 2_ROR 5.02 3" xfId="8818"/>
    <cellStyle name="_VC 6.15.06 update on 06GRC power costs.xls Chart 2_ROR 5.02 3 2" xfId="21726"/>
    <cellStyle name="_VC 6.15.06 update on 06GRC power costs.xls Chart 2_ROR 5.02 4" xfId="18798"/>
    <cellStyle name="_VC 6.15.06 update on 06GRC power costs.xls Chart 2_Wind Integration 10GRC" xfId="2369"/>
    <cellStyle name="_VC 6.15.06 update on 06GRC power costs.xls Chart 2_Wind Integration 10GRC 2" xfId="2370"/>
    <cellStyle name="_VC 6.15.06 update on 06GRC power costs.xls Chart 2_Wind Integration 10GRC 2 2" xfId="5733"/>
    <cellStyle name="_VC 6.15.06 update on 06GRC power costs.xls Chart 2_Wind Integration 10GRC 2 2 2" xfId="30871"/>
    <cellStyle name="_VC 6.15.06 update on 06GRC power costs.xls Chart 2_Wind Integration 10GRC 2 2 2 2" xfId="30872"/>
    <cellStyle name="_VC 6.15.06 update on 06GRC power costs.xls Chart 2_Wind Integration 10GRC 2 3" xfId="30873"/>
    <cellStyle name="_VC 6.15.06 update on 06GRC power costs.xls Chart 2_Wind Integration 10GRC 2 3 2" xfId="30874"/>
    <cellStyle name="_VC 6.15.06 update on 06GRC power costs.xls Chart 2_Wind Integration 10GRC 2 4" xfId="30875"/>
    <cellStyle name="_VC 6.15.06 update on 06GRC power costs.xls Chart 2_Wind Integration 10GRC 2 4 2" xfId="30876"/>
    <cellStyle name="_VC 6.15.06 update on 06GRC power costs.xls Chart 2_Wind Integration 10GRC 2 5" xfId="8820"/>
    <cellStyle name="_VC 6.15.06 update on 06GRC power costs.xls Chart 2_Wind Integration 10GRC 3" xfId="5732"/>
    <cellStyle name="_VC 6.15.06 update on 06GRC power costs.xls Chart 2_Wind Integration 10GRC 3 2" xfId="30877"/>
    <cellStyle name="_VC 6.15.06 update on 06GRC power costs.xls Chart 2_Wind Integration 10GRC 3 2 2" xfId="30878"/>
    <cellStyle name="_VC 6.15.06 update on 06GRC power costs.xls Chart 2_Wind Integration 10GRC 3 3" xfId="30879"/>
    <cellStyle name="_VC 6.15.06 update on 06GRC power costs.xls Chart 2_Wind Integration 10GRC 4" xfId="30880"/>
    <cellStyle name="_VC 6.15.06 update on 06GRC power costs.xls Chart 2_Wind Integration 10GRC 4 2" xfId="30881"/>
    <cellStyle name="_VC 6.15.06 update on 06GRC power costs.xls Chart 2_Wind Integration 10GRC 4 2 2" xfId="30882"/>
    <cellStyle name="_VC 6.15.06 update on 06GRC power costs.xls Chart 2_Wind Integration 10GRC 4 3" xfId="30883"/>
    <cellStyle name="_VC 6.15.06 update on 06GRC power costs.xls Chart 2_Wind Integration 10GRC 5" xfId="30884"/>
    <cellStyle name="_VC 6.15.06 update on 06GRC power costs.xls Chart 2_Wind Integration 10GRC 5 2" xfId="30885"/>
    <cellStyle name="_VC 6.15.06 update on 06GRC power costs.xls Chart 2_Wind Integration 10GRC 6" xfId="30886"/>
    <cellStyle name="_VC 6.15.06 update on 06GRC power costs.xls Chart 2_Wind Integration 10GRC 6 2" xfId="30887"/>
    <cellStyle name="_VC 6.15.06 update on 06GRC power costs.xls Chart 2_Wind Integration 10GRC 7" xfId="8819"/>
    <cellStyle name="_VC 6.15.06 update on 06GRC power costs.xls Chart 2_Wind Integration 10GRC_DEM-WP(C) ENERG10C--ctn Mid-C_042010 2010GRC" xfId="13178"/>
    <cellStyle name="_VC 6.15.06 update on 06GRC power costs.xls Chart 2_Wind Integration 10GRC_DEM-WP(C) ENERG10C--ctn Mid-C_042010 2010GRC 2" xfId="42003"/>
    <cellStyle name="_VC 6.15.06 update on 06GRC power costs.xls Chart 3" xfId="2371"/>
    <cellStyle name="_VC 6.15.06 update on 06GRC power costs.xls Chart 3 10" xfId="30888"/>
    <cellStyle name="_VC 6.15.06 update on 06GRC power costs.xls Chart 3 10 2" xfId="30889"/>
    <cellStyle name="_VC 6.15.06 update on 06GRC power costs.xls Chart 3 11" xfId="30890"/>
    <cellStyle name="_VC 6.15.06 update on 06GRC power costs.xls Chart 3 11 2" xfId="30891"/>
    <cellStyle name="_VC 6.15.06 update on 06GRC power costs.xls Chart 3 11 3" xfId="30892"/>
    <cellStyle name="_VC 6.15.06 update on 06GRC power costs.xls Chart 3 12" xfId="8821"/>
    <cellStyle name="_VC 6.15.06 update on 06GRC power costs.xls Chart 3 2" xfId="2372"/>
    <cellStyle name="_VC 6.15.06 update on 06GRC power costs.xls Chart 3 2 2" xfId="2373"/>
    <cellStyle name="_VC 6.15.06 update on 06GRC power costs.xls Chart 3 2 2 2" xfId="5736"/>
    <cellStyle name="_VC 6.15.06 update on 06GRC power costs.xls Chart 3 2 2 2 2" xfId="21727"/>
    <cellStyle name="_VC 6.15.06 update on 06GRC power costs.xls Chart 3 2 2 2 2 2" xfId="30893"/>
    <cellStyle name="_VC 6.15.06 update on 06GRC power costs.xls Chart 3 2 2 2 3" xfId="8824"/>
    <cellStyle name="_VC 6.15.06 update on 06GRC power costs.xls Chart 3 2 2 3" xfId="17236"/>
    <cellStyle name="_VC 6.15.06 update on 06GRC power costs.xls Chart 3 2 2 3 2" xfId="30894"/>
    <cellStyle name="_VC 6.15.06 update on 06GRC power costs.xls Chart 3 2 2 4" xfId="30895"/>
    <cellStyle name="_VC 6.15.06 update on 06GRC power costs.xls Chart 3 2 2 4 2" xfId="30896"/>
    <cellStyle name="_VC 6.15.06 update on 06GRC power costs.xls Chart 3 2 2 5" xfId="8823"/>
    <cellStyle name="_VC 6.15.06 update on 06GRC power costs.xls Chart 3 2 3" xfId="5735"/>
    <cellStyle name="_VC 6.15.06 update on 06GRC power costs.xls Chart 3 2 3 2" xfId="21728"/>
    <cellStyle name="_VC 6.15.06 update on 06GRC power costs.xls Chart 3 2 3 2 2" xfId="30897"/>
    <cellStyle name="_VC 6.15.06 update on 06GRC power costs.xls Chart 3 2 3 3" xfId="30898"/>
    <cellStyle name="_VC 6.15.06 update on 06GRC power costs.xls Chart 3 2 3 4" xfId="8825"/>
    <cellStyle name="_VC 6.15.06 update on 06GRC power costs.xls Chart 3 2 4" xfId="17235"/>
    <cellStyle name="_VC 6.15.06 update on 06GRC power costs.xls Chart 3 2 4 2" xfId="30899"/>
    <cellStyle name="_VC 6.15.06 update on 06GRC power costs.xls Chart 3 2 4 2 2" xfId="30900"/>
    <cellStyle name="_VC 6.15.06 update on 06GRC power costs.xls Chart 3 2 4 3" xfId="30901"/>
    <cellStyle name="_VC 6.15.06 update on 06GRC power costs.xls Chart 3 2 5" xfId="30902"/>
    <cellStyle name="_VC 6.15.06 update on 06GRC power costs.xls Chart 3 2 5 2" xfId="30903"/>
    <cellStyle name="_VC 6.15.06 update on 06GRC power costs.xls Chart 3 2 6" xfId="30904"/>
    <cellStyle name="_VC 6.15.06 update on 06GRC power costs.xls Chart 3 2 6 2" xfId="30905"/>
    <cellStyle name="_VC 6.15.06 update on 06GRC power costs.xls Chart 3 2 7" xfId="8822"/>
    <cellStyle name="_VC 6.15.06 update on 06GRC power costs.xls Chart 3 3" xfId="2374"/>
    <cellStyle name="_VC 6.15.06 update on 06GRC power costs.xls Chart 3 3 2" xfId="5737"/>
    <cellStyle name="_VC 6.15.06 update on 06GRC power costs.xls Chart 3 3 2 2" xfId="8828"/>
    <cellStyle name="_VC 6.15.06 update on 06GRC power costs.xls Chart 3 3 2 2 2" xfId="21729"/>
    <cellStyle name="_VC 6.15.06 update on 06GRC power costs.xls Chart 3 3 2 3" xfId="18800"/>
    <cellStyle name="_VC 6.15.06 update on 06GRC power costs.xls Chart 3 3 2 4" xfId="8827"/>
    <cellStyle name="_VC 6.15.06 update on 06GRC power costs.xls Chart 3 3 3" xfId="8829"/>
    <cellStyle name="_VC 6.15.06 update on 06GRC power costs.xls Chart 3 3 3 2" xfId="8830"/>
    <cellStyle name="_VC 6.15.06 update on 06GRC power costs.xls Chart 3 3 3 2 2" xfId="21730"/>
    <cellStyle name="_VC 6.15.06 update on 06GRC power costs.xls Chart 3 3 3 3" xfId="18801"/>
    <cellStyle name="_VC 6.15.06 update on 06GRC power costs.xls Chart 3 3 4" xfId="8831"/>
    <cellStyle name="_VC 6.15.06 update on 06GRC power costs.xls Chart 3 3 4 2" xfId="8832"/>
    <cellStyle name="_VC 6.15.06 update on 06GRC power costs.xls Chart 3 3 4 2 2" xfId="21731"/>
    <cellStyle name="_VC 6.15.06 update on 06GRC power costs.xls Chart 3 3 4 3" xfId="18802"/>
    <cellStyle name="_VC 6.15.06 update on 06GRC power costs.xls Chart 3 3 5" xfId="17237"/>
    <cellStyle name="_VC 6.15.06 update on 06GRC power costs.xls Chart 3 3 5 2" xfId="30906"/>
    <cellStyle name="_VC 6.15.06 update on 06GRC power costs.xls Chart 3 3 6" xfId="8826"/>
    <cellStyle name="_VC 6.15.06 update on 06GRC power costs.xls Chart 3 4" xfId="2375"/>
    <cellStyle name="_VC 6.15.06 update on 06GRC power costs.xls Chart 3 4 2" xfId="2376"/>
    <cellStyle name="_VC 6.15.06 update on 06GRC power costs.xls Chart 3 4 2 2" xfId="5739"/>
    <cellStyle name="_VC 6.15.06 update on 06GRC power costs.xls Chart 3 4 2 2 2" xfId="30907"/>
    <cellStyle name="_VC 6.15.06 update on 06GRC power costs.xls Chart 3 4 2 2 2 2" xfId="30908"/>
    <cellStyle name="_VC 6.15.06 update on 06GRC power costs.xls Chart 3 4 2 3" xfId="30909"/>
    <cellStyle name="_VC 6.15.06 update on 06GRC power costs.xls Chart 3 4 2 3 2" xfId="30910"/>
    <cellStyle name="_VC 6.15.06 update on 06GRC power costs.xls Chart 3 4 2 4" xfId="30911"/>
    <cellStyle name="_VC 6.15.06 update on 06GRC power costs.xls Chart 3 4 2 4 2" xfId="30912"/>
    <cellStyle name="_VC 6.15.06 update on 06GRC power costs.xls Chart 3 4 2 5" xfId="8834"/>
    <cellStyle name="_VC 6.15.06 update on 06GRC power costs.xls Chart 3 4 3" xfId="5738"/>
    <cellStyle name="_VC 6.15.06 update on 06GRC power costs.xls Chart 3 4 3 2" xfId="30913"/>
    <cellStyle name="_VC 6.15.06 update on 06GRC power costs.xls Chart 3 4 3 2 2" xfId="30914"/>
    <cellStyle name="_VC 6.15.06 update on 06GRC power costs.xls Chart 3 4 3 3" xfId="30915"/>
    <cellStyle name="_VC 6.15.06 update on 06GRC power costs.xls Chart 3 4 4" xfId="30916"/>
    <cellStyle name="_VC 6.15.06 update on 06GRC power costs.xls Chart 3 4 4 2" xfId="30917"/>
    <cellStyle name="_VC 6.15.06 update on 06GRC power costs.xls Chart 3 4 4 2 2" xfId="30918"/>
    <cellStyle name="_VC 6.15.06 update on 06GRC power costs.xls Chart 3 4 4 3" xfId="30919"/>
    <cellStyle name="_VC 6.15.06 update on 06GRC power costs.xls Chart 3 4 5" xfId="30920"/>
    <cellStyle name="_VC 6.15.06 update on 06GRC power costs.xls Chart 3 4 5 2" xfId="30921"/>
    <cellStyle name="_VC 6.15.06 update on 06GRC power costs.xls Chart 3 4 6" xfId="30922"/>
    <cellStyle name="_VC 6.15.06 update on 06GRC power costs.xls Chart 3 4 6 2" xfId="30923"/>
    <cellStyle name="_VC 6.15.06 update on 06GRC power costs.xls Chart 3 4 7" xfId="8833"/>
    <cellStyle name="_VC 6.15.06 update on 06GRC power costs.xls Chart 3 5" xfId="5734"/>
    <cellStyle name="_VC 6.15.06 update on 06GRC power costs.xls Chart 3 5 2" xfId="21732"/>
    <cellStyle name="_VC 6.15.06 update on 06GRC power costs.xls Chart 3 5 2 2" xfId="30924"/>
    <cellStyle name="_VC 6.15.06 update on 06GRC power costs.xls Chart 3 5 2 2 2" xfId="30925"/>
    <cellStyle name="_VC 6.15.06 update on 06GRC power costs.xls Chart 3 5 2 2 2 2" xfId="30926"/>
    <cellStyle name="_VC 6.15.06 update on 06GRC power costs.xls Chart 3 5 2 3" xfId="30927"/>
    <cellStyle name="_VC 6.15.06 update on 06GRC power costs.xls Chart 3 5 2 3 2" xfId="30928"/>
    <cellStyle name="_VC 6.15.06 update on 06GRC power costs.xls Chart 3 5 2 4" xfId="30929"/>
    <cellStyle name="_VC 6.15.06 update on 06GRC power costs.xls Chart 3 5 2 4 2" xfId="30930"/>
    <cellStyle name="_VC 6.15.06 update on 06GRC power costs.xls Chart 3 5 2 5" xfId="30931"/>
    <cellStyle name="_VC 6.15.06 update on 06GRC power costs.xls Chart 3 5 3" xfId="30932"/>
    <cellStyle name="_VC 6.15.06 update on 06GRC power costs.xls Chart 3 5 3 2" xfId="30933"/>
    <cellStyle name="_VC 6.15.06 update on 06GRC power costs.xls Chart 3 5 3 2 2" xfId="30934"/>
    <cellStyle name="_VC 6.15.06 update on 06GRC power costs.xls Chart 3 5 4" xfId="30935"/>
    <cellStyle name="_VC 6.15.06 update on 06GRC power costs.xls Chart 3 5 4 2" xfId="30936"/>
    <cellStyle name="_VC 6.15.06 update on 06GRC power costs.xls Chart 3 5 5" xfId="30937"/>
    <cellStyle name="_VC 6.15.06 update on 06GRC power costs.xls Chart 3 5 5 2" xfId="30938"/>
    <cellStyle name="_VC 6.15.06 update on 06GRC power costs.xls Chart 3 5 6" xfId="8835"/>
    <cellStyle name="_VC 6.15.06 update on 06GRC power costs.xls Chart 3 6" xfId="8836"/>
    <cellStyle name="_VC 6.15.06 update on 06GRC power costs.xls Chart 3 6 2" xfId="13179"/>
    <cellStyle name="_VC 6.15.06 update on 06GRC power costs.xls Chart 3 6 2 2" xfId="30939"/>
    <cellStyle name="_VC 6.15.06 update on 06GRC power costs.xls Chart 3 6 2 2 2" xfId="30940"/>
    <cellStyle name="_VC 6.15.06 update on 06GRC power costs.xls Chart 3 6 3" xfId="30941"/>
    <cellStyle name="_VC 6.15.06 update on 06GRC power costs.xls Chart 3 6 3 2" xfId="30942"/>
    <cellStyle name="_VC 6.15.06 update on 06GRC power costs.xls Chart 3 6 4" xfId="30943"/>
    <cellStyle name="_VC 6.15.06 update on 06GRC power costs.xls Chart 3 6 4 2" xfId="30944"/>
    <cellStyle name="_VC 6.15.06 update on 06GRC power costs.xls Chart 3 7" xfId="13180"/>
    <cellStyle name="_VC 6.15.06 update on 06GRC power costs.xls Chart 3 7 2" xfId="13181"/>
    <cellStyle name="_VC 6.15.06 update on 06GRC power costs.xls Chart 3 7 2 2" xfId="30945"/>
    <cellStyle name="_VC 6.15.06 update on 06GRC power costs.xls Chart 3 7 3" xfId="42004"/>
    <cellStyle name="_VC 6.15.06 update on 06GRC power costs.xls Chart 3 8" xfId="30946"/>
    <cellStyle name="_VC 6.15.06 update on 06GRC power costs.xls Chart 3 8 2" xfId="30947"/>
    <cellStyle name="_VC 6.15.06 update on 06GRC power costs.xls Chart 3 8 2 2" xfId="30948"/>
    <cellStyle name="_VC 6.15.06 update on 06GRC power costs.xls Chart 3 8 3" xfId="30949"/>
    <cellStyle name="_VC 6.15.06 update on 06GRC power costs.xls Chart 3 9" xfId="30950"/>
    <cellStyle name="_VC 6.15.06 update on 06GRC power costs.xls Chart 3 9 2" xfId="30951"/>
    <cellStyle name="_VC 6.15.06 update on 06GRC power costs.xls Chart 3 9 2 2" xfId="30952"/>
    <cellStyle name="_VC 6.15.06 update on 06GRC power costs.xls Chart 3 9 2 2 2" xfId="30953"/>
    <cellStyle name="_VC 6.15.06 update on 06GRC power costs.xls Chart 3 9 2 3" xfId="30954"/>
    <cellStyle name="_VC 6.15.06 update on 06GRC power costs.xls Chart 3 9 3" xfId="30955"/>
    <cellStyle name="_VC 6.15.06 update on 06GRC power costs.xls Chart 3 9 3 2" xfId="30956"/>
    <cellStyle name="_VC 6.15.06 update on 06GRC power costs.xls Chart 3 9 4" xfId="30957"/>
    <cellStyle name="_VC 6.15.06 update on 06GRC power costs.xls Chart 3_04 07E Wild Horse Wind Expansion (C) (2)" xfId="2377"/>
    <cellStyle name="_VC 6.15.06 update on 06GRC power costs.xls Chart 3_04 07E Wild Horse Wind Expansion (C) (2) 2" xfId="2378"/>
    <cellStyle name="_VC 6.15.06 update on 06GRC power costs.xls Chart 3_04 07E Wild Horse Wind Expansion (C) (2) 2 2" xfId="5741"/>
    <cellStyle name="_VC 6.15.06 update on 06GRC power costs.xls Chart 3_04 07E Wild Horse Wind Expansion (C) (2) 2 2 2" xfId="21733"/>
    <cellStyle name="_VC 6.15.06 update on 06GRC power costs.xls Chart 3_04 07E Wild Horse Wind Expansion (C) (2) 2 2 2 2" xfId="30958"/>
    <cellStyle name="_VC 6.15.06 update on 06GRC power costs.xls Chart 3_04 07E Wild Horse Wind Expansion (C) (2) 2 2 3" xfId="8839"/>
    <cellStyle name="_VC 6.15.06 update on 06GRC power costs.xls Chart 3_04 07E Wild Horse Wind Expansion (C) (2) 2 3" xfId="17239"/>
    <cellStyle name="_VC 6.15.06 update on 06GRC power costs.xls Chart 3_04 07E Wild Horse Wind Expansion (C) (2) 2 3 2" xfId="30959"/>
    <cellStyle name="_VC 6.15.06 update on 06GRC power costs.xls Chart 3_04 07E Wild Horse Wind Expansion (C) (2) 2 4" xfId="30960"/>
    <cellStyle name="_VC 6.15.06 update on 06GRC power costs.xls Chart 3_04 07E Wild Horse Wind Expansion (C) (2) 2 4 2" xfId="30961"/>
    <cellStyle name="_VC 6.15.06 update on 06GRC power costs.xls Chart 3_04 07E Wild Horse Wind Expansion (C) (2) 2 5" xfId="8838"/>
    <cellStyle name="_VC 6.15.06 update on 06GRC power costs.xls Chart 3_04 07E Wild Horse Wind Expansion (C) (2) 3" xfId="5740"/>
    <cellStyle name="_VC 6.15.06 update on 06GRC power costs.xls Chart 3_04 07E Wild Horse Wind Expansion (C) (2) 3 2" xfId="21734"/>
    <cellStyle name="_VC 6.15.06 update on 06GRC power costs.xls Chart 3_04 07E Wild Horse Wind Expansion (C) (2) 3 2 2" xfId="30962"/>
    <cellStyle name="_VC 6.15.06 update on 06GRC power costs.xls Chart 3_04 07E Wild Horse Wind Expansion (C) (2) 3 3" xfId="30963"/>
    <cellStyle name="_VC 6.15.06 update on 06GRC power costs.xls Chart 3_04 07E Wild Horse Wind Expansion (C) (2) 3 4" xfId="8840"/>
    <cellStyle name="_VC 6.15.06 update on 06GRC power costs.xls Chart 3_04 07E Wild Horse Wind Expansion (C) (2) 4" xfId="17238"/>
    <cellStyle name="_VC 6.15.06 update on 06GRC power costs.xls Chart 3_04 07E Wild Horse Wind Expansion (C) (2) 4 2" xfId="30964"/>
    <cellStyle name="_VC 6.15.06 update on 06GRC power costs.xls Chart 3_04 07E Wild Horse Wind Expansion (C) (2) 4 2 2" xfId="30965"/>
    <cellStyle name="_VC 6.15.06 update on 06GRC power costs.xls Chart 3_04 07E Wild Horse Wind Expansion (C) (2) 4 3" xfId="30966"/>
    <cellStyle name="_VC 6.15.06 update on 06GRC power costs.xls Chart 3_04 07E Wild Horse Wind Expansion (C) (2) 5" xfId="30967"/>
    <cellStyle name="_VC 6.15.06 update on 06GRC power costs.xls Chart 3_04 07E Wild Horse Wind Expansion (C) (2) 5 2" xfId="30968"/>
    <cellStyle name="_VC 6.15.06 update on 06GRC power costs.xls Chart 3_04 07E Wild Horse Wind Expansion (C) (2) 6" xfId="30969"/>
    <cellStyle name="_VC 6.15.06 update on 06GRC power costs.xls Chart 3_04 07E Wild Horse Wind Expansion (C) (2) 6 2" xfId="30970"/>
    <cellStyle name="_VC 6.15.06 update on 06GRC power costs.xls Chart 3_04 07E Wild Horse Wind Expansion (C) (2) 7" xfId="8837"/>
    <cellStyle name="_VC 6.15.06 update on 06GRC power costs.xls Chart 3_04 07E Wild Horse Wind Expansion (C) (2)_Adj Bench DR 3 for Initial Briefs (Electric)" xfId="2379"/>
    <cellStyle name="_VC 6.15.06 update on 06GRC power costs.xls Chart 3_04 07E Wild Horse Wind Expansion (C) (2)_Adj Bench DR 3 for Initial Briefs (Electric) 2" xfId="2380"/>
    <cellStyle name="_VC 6.15.06 update on 06GRC power costs.xls Chart 3_04 07E Wild Horse Wind Expansion (C) (2)_Adj Bench DR 3 for Initial Briefs (Electric) 2 2" xfId="5743"/>
    <cellStyle name="_VC 6.15.06 update on 06GRC power costs.xls Chart 3_04 07E Wild Horse Wind Expansion (C) (2)_Adj Bench DR 3 for Initial Briefs (Electric) 2 2 2" xfId="21735"/>
    <cellStyle name="_VC 6.15.06 update on 06GRC power costs.xls Chart 3_04 07E Wild Horse Wind Expansion (C) (2)_Adj Bench DR 3 for Initial Briefs (Electric) 2 2 2 2" xfId="30971"/>
    <cellStyle name="_VC 6.15.06 update on 06GRC power costs.xls Chart 3_04 07E Wild Horse Wind Expansion (C) (2)_Adj Bench DR 3 for Initial Briefs (Electric) 2 2 3" xfId="8843"/>
    <cellStyle name="_VC 6.15.06 update on 06GRC power costs.xls Chart 3_04 07E Wild Horse Wind Expansion (C) (2)_Adj Bench DR 3 for Initial Briefs (Electric) 2 3" xfId="17241"/>
    <cellStyle name="_VC 6.15.06 update on 06GRC power costs.xls Chart 3_04 07E Wild Horse Wind Expansion (C) (2)_Adj Bench DR 3 for Initial Briefs (Electric) 2 3 2" xfId="30972"/>
    <cellStyle name="_VC 6.15.06 update on 06GRC power costs.xls Chart 3_04 07E Wild Horse Wind Expansion (C) (2)_Adj Bench DR 3 for Initial Briefs (Electric) 2 4" xfId="30973"/>
    <cellStyle name="_VC 6.15.06 update on 06GRC power costs.xls Chart 3_04 07E Wild Horse Wind Expansion (C) (2)_Adj Bench DR 3 for Initial Briefs (Electric) 2 4 2" xfId="30974"/>
    <cellStyle name="_VC 6.15.06 update on 06GRC power costs.xls Chart 3_04 07E Wild Horse Wind Expansion (C) (2)_Adj Bench DR 3 for Initial Briefs (Electric) 2 5" xfId="8842"/>
    <cellStyle name="_VC 6.15.06 update on 06GRC power costs.xls Chart 3_04 07E Wild Horse Wind Expansion (C) (2)_Adj Bench DR 3 for Initial Briefs (Electric) 3" xfId="5742"/>
    <cellStyle name="_VC 6.15.06 update on 06GRC power costs.xls Chart 3_04 07E Wild Horse Wind Expansion (C) (2)_Adj Bench DR 3 for Initial Briefs (Electric) 3 2" xfId="21736"/>
    <cellStyle name="_VC 6.15.06 update on 06GRC power costs.xls Chart 3_04 07E Wild Horse Wind Expansion (C) (2)_Adj Bench DR 3 for Initial Briefs (Electric) 3 2 2" xfId="30975"/>
    <cellStyle name="_VC 6.15.06 update on 06GRC power costs.xls Chart 3_04 07E Wild Horse Wind Expansion (C) (2)_Adj Bench DR 3 for Initial Briefs (Electric) 3 3" xfId="30976"/>
    <cellStyle name="_VC 6.15.06 update on 06GRC power costs.xls Chart 3_04 07E Wild Horse Wind Expansion (C) (2)_Adj Bench DR 3 for Initial Briefs (Electric) 3 4" xfId="8844"/>
    <cellStyle name="_VC 6.15.06 update on 06GRC power costs.xls Chart 3_04 07E Wild Horse Wind Expansion (C) (2)_Adj Bench DR 3 for Initial Briefs (Electric) 4" xfId="17240"/>
    <cellStyle name="_VC 6.15.06 update on 06GRC power costs.xls Chart 3_04 07E Wild Horse Wind Expansion (C) (2)_Adj Bench DR 3 for Initial Briefs (Electric) 4 2" xfId="30977"/>
    <cellStyle name="_VC 6.15.06 update on 06GRC power costs.xls Chart 3_04 07E Wild Horse Wind Expansion (C) (2)_Adj Bench DR 3 for Initial Briefs (Electric) 4 2 2" xfId="30978"/>
    <cellStyle name="_VC 6.15.06 update on 06GRC power costs.xls Chart 3_04 07E Wild Horse Wind Expansion (C) (2)_Adj Bench DR 3 for Initial Briefs (Electric) 4 3" xfId="30979"/>
    <cellStyle name="_VC 6.15.06 update on 06GRC power costs.xls Chart 3_04 07E Wild Horse Wind Expansion (C) (2)_Adj Bench DR 3 for Initial Briefs (Electric) 5" xfId="30980"/>
    <cellStyle name="_VC 6.15.06 update on 06GRC power costs.xls Chart 3_04 07E Wild Horse Wind Expansion (C) (2)_Adj Bench DR 3 for Initial Briefs (Electric) 5 2" xfId="30981"/>
    <cellStyle name="_VC 6.15.06 update on 06GRC power costs.xls Chart 3_04 07E Wild Horse Wind Expansion (C) (2)_Adj Bench DR 3 for Initial Briefs (Electric) 6" xfId="30982"/>
    <cellStyle name="_VC 6.15.06 update on 06GRC power costs.xls Chart 3_04 07E Wild Horse Wind Expansion (C) (2)_Adj Bench DR 3 for Initial Briefs (Electric) 6 2" xfId="30983"/>
    <cellStyle name="_VC 6.15.06 update on 06GRC power costs.xls Chart 3_04 07E Wild Horse Wind Expansion (C) (2)_Adj Bench DR 3 for Initial Briefs (Electric) 7" xfId="8841"/>
    <cellStyle name="_VC 6.15.06 update on 06GRC power costs.xls Chart 3_04 07E Wild Horse Wind Expansion (C) (2)_Adj Bench DR 3 for Initial Briefs (Electric)_DEM-WP(C) ENERG10C--ctn Mid-C_042010 2010GRC" xfId="13182"/>
    <cellStyle name="_VC 6.15.06 update on 06GRC power costs.xls Chart 3_04 07E Wild Horse Wind Expansion (C) (2)_Adj Bench DR 3 for Initial Briefs (Electric)_DEM-WP(C) ENERG10C--ctn Mid-C_042010 2010GRC 2" xfId="42005"/>
    <cellStyle name="_VC 6.15.06 update on 06GRC power costs.xls Chart 3_04 07E Wild Horse Wind Expansion (C) (2)_Book1" xfId="14296"/>
    <cellStyle name="_VC 6.15.06 update on 06GRC power costs.xls Chart 3_04 07E Wild Horse Wind Expansion (C) (2)_Book1 2" xfId="42006"/>
    <cellStyle name="_VC 6.15.06 update on 06GRC power costs.xls Chart 3_04 07E Wild Horse Wind Expansion (C) (2)_DEM-WP(C) ENERG10C--ctn Mid-C_042010 2010GRC" xfId="13183"/>
    <cellStyle name="_VC 6.15.06 update on 06GRC power costs.xls Chart 3_04 07E Wild Horse Wind Expansion (C) (2)_DEM-WP(C) ENERG10C--ctn Mid-C_042010 2010GRC 2" xfId="42007"/>
    <cellStyle name="_VC 6.15.06 update on 06GRC power costs.xls Chart 3_04 07E Wild Horse Wind Expansion (C) (2)_Electric Rev Req Model (2009 GRC) " xfId="2381"/>
    <cellStyle name="_VC 6.15.06 update on 06GRC power costs.xls Chart 3_04 07E Wild Horse Wind Expansion (C) (2)_Electric Rev Req Model (2009 GRC)  2" xfId="2382"/>
    <cellStyle name="_VC 6.15.06 update on 06GRC power costs.xls Chart 3_04 07E Wild Horse Wind Expansion (C) (2)_Electric Rev Req Model (2009 GRC)  2 2" xfId="5745"/>
    <cellStyle name="_VC 6.15.06 update on 06GRC power costs.xls Chart 3_04 07E Wild Horse Wind Expansion (C) (2)_Electric Rev Req Model (2009 GRC)  2 2 2" xfId="21737"/>
    <cellStyle name="_VC 6.15.06 update on 06GRC power costs.xls Chart 3_04 07E Wild Horse Wind Expansion (C) (2)_Electric Rev Req Model (2009 GRC)  2 2 2 2" xfId="30984"/>
    <cellStyle name="_VC 6.15.06 update on 06GRC power costs.xls Chart 3_04 07E Wild Horse Wind Expansion (C) (2)_Electric Rev Req Model (2009 GRC)  2 2 3" xfId="8847"/>
    <cellStyle name="_VC 6.15.06 update on 06GRC power costs.xls Chart 3_04 07E Wild Horse Wind Expansion (C) (2)_Electric Rev Req Model (2009 GRC)  2 3" xfId="17243"/>
    <cellStyle name="_VC 6.15.06 update on 06GRC power costs.xls Chart 3_04 07E Wild Horse Wind Expansion (C) (2)_Electric Rev Req Model (2009 GRC)  2 3 2" xfId="30985"/>
    <cellStyle name="_VC 6.15.06 update on 06GRC power costs.xls Chart 3_04 07E Wild Horse Wind Expansion (C) (2)_Electric Rev Req Model (2009 GRC)  2 4" xfId="30986"/>
    <cellStyle name="_VC 6.15.06 update on 06GRC power costs.xls Chart 3_04 07E Wild Horse Wind Expansion (C) (2)_Electric Rev Req Model (2009 GRC)  2 4 2" xfId="30987"/>
    <cellStyle name="_VC 6.15.06 update on 06GRC power costs.xls Chart 3_04 07E Wild Horse Wind Expansion (C) (2)_Electric Rev Req Model (2009 GRC)  2 5" xfId="8846"/>
    <cellStyle name="_VC 6.15.06 update on 06GRC power costs.xls Chart 3_04 07E Wild Horse Wind Expansion (C) (2)_Electric Rev Req Model (2009 GRC)  3" xfId="5744"/>
    <cellStyle name="_VC 6.15.06 update on 06GRC power costs.xls Chart 3_04 07E Wild Horse Wind Expansion (C) (2)_Electric Rev Req Model (2009 GRC)  3 2" xfId="21738"/>
    <cellStyle name="_VC 6.15.06 update on 06GRC power costs.xls Chart 3_04 07E Wild Horse Wind Expansion (C) (2)_Electric Rev Req Model (2009 GRC)  3 2 2" xfId="30988"/>
    <cellStyle name="_VC 6.15.06 update on 06GRC power costs.xls Chart 3_04 07E Wild Horse Wind Expansion (C) (2)_Electric Rev Req Model (2009 GRC)  3 3" xfId="30989"/>
    <cellStyle name="_VC 6.15.06 update on 06GRC power costs.xls Chart 3_04 07E Wild Horse Wind Expansion (C) (2)_Electric Rev Req Model (2009 GRC)  3 4" xfId="8848"/>
    <cellStyle name="_VC 6.15.06 update on 06GRC power costs.xls Chart 3_04 07E Wild Horse Wind Expansion (C) (2)_Electric Rev Req Model (2009 GRC)  4" xfId="17242"/>
    <cellStyle name="_VC 6.15.06 update on 06GRC power costs.xls Chart 3_04 07E Wild Horse Wind Expansion (C) (2)_Electric Rev Req Model (2009 GRC)  4 2" xfId="30990"/>
    <cellStyle name="_VC 6.15.06 update on 06GRC power costs.xls Chart 3_04 07E Wild Horse Wind Expansion (C) (2)_Electric Rev Req Model (2009 GRC)  4 2 2" xfId="30991"/>
    <cellStyle name="_VC 6.15.06 update on 06GRC power costs.xls Chart 3_04 07E Wild Horse Wind Expansion (C) (2)_Electric Rev Req Model (2009 GRC)  4 3" xfId="30992"/>
    <cellStyle name="_VC 6.15.06 update on 06GRC power costs.xls Chart 3_04 07E Wild Horse Wind Expansion (C) (2)_Electric Rev Req Model (2009 GRC)  5" xfId="30993"/>
    <cellStyle name="_VC 6.15.06 update on 06GRC power costs.xls Chart 3_04 07E Wild Horse Wind Expansion (C) (2)_Electric Rev Req Model (2009 GRC)  5 2" xfId="30994"/>
    <cellStyle name="_VC 6.15.06 update on 06GRC power costs.xls Chart 3_04 07E Wild Horse Wind Expansion (C) (2)_Electric Rev Req Model (2009 GRC)  6" xfId="30995"/>
    <cellStyle name="_VC 6.15.06 update on 06GRC power costs.xls Chart 3_04 07E Wild Horse Wind Expansion (C) (2)_Electric Rev Req Model (2009 GRC)  6 2" xfId="30996"/>
    <cellStyle name="_VC 6.15.06 update on 06GRC power costs.xls Chart 3_04 07E Wild Horse Wind Expansion (C) (2)_Electric Rev Req Model (2009 GRC)  7" xfId="8845"/>
    <cellStyle name="_VC 6.15.06 update on 06GRC power costs.xls Chart 3_04 07E Wild Horse Wind Expansion (C) (2)_Electric Rev Req Model (2009 GRC) _DEM-WP(C) ENERG10C--ctn Mid-C_042010 2010GRC" xfId="13184"/>
    <cellStyle name="_VC 6.15.06 update on 06GRC power costs.xls Chart 3_04 07E Wild Horse Wind Expansion (C) (2)_Electric Rev Req Model (2009 GRC) _DEM-WP(C) ENERG10C--ctn Mid-C_042010 2010GRC 2" xfId="42008"/>
    <cellStyle name="_VC 6.15.06 update on 06GRC power costs.xls Chart 3_04 07E Wild Horse Wind Expansion (C) (2)_Electric Rev Req Model (2009 GRC) Rebuttal" xfId="2383"/>
    <cellStyle name="_VC 6.15.06 update on 06GRC power costs.xls Chart 3_04 07E Wild Horse Wind Expansion (C) (2)_Electric Rev Req Model (2009 GRC) Rebuttal 2" xfId="5746"/>
    <cellStyle name="_VC 6.15.06 update on 06GRC power costs.xls Chart 3_04 07E Wild Horse Wind Expansion (C) (2)_Electric Rev Req Model (2009 GRC) Rebuttal 2 2" xfId="8851"/>
    <cellStyle name="_VC 6.15.06 update on 06GRC power costs.xls Chart 3_04 07E Wild Horse Wind Expansion (C) (2)_Electric Rev Req Model (2009 GRC) Rebuttal 2 2 2" xfId="21739"/>
    <cellStyle name="_VC 6.15.06 update on 06GRC power costs.xls Chart 3_04 07E Wild Horse Wind Expansion (C) (2)_Electric Rev Req Model (2009 GRC) Rebuttal 2 3" xfId="18803"/>
    <cellStyle name="_VC 6.15.06 update on 06GRC power costs.xls Chart 3_04 07E Wild Horse Wind Expansion (C) (2)_Electric Rev Req Model (2009 GRC) Rebuttal 2 4" xfId="8850"/>
    <cellStyle name="_VC 6.15.06 update on 06GRC power costs.xls Chart 3_04 07E Wild Horse Wind Expansion (C) (2)_Electric Rev Req Model (2009 GRC) Rebuttal 3" xfId="8852"/>
    <cellStyle name="_VC 6.15.06 update on 06GRC power costs.xls Chart 3_04 07E Wild Horse Wind Expansion (C) (2)_Electric Rev Req Model (2009 GRC) Rebuttal 3 2" xfId="21740"/>
    <cellStyle name="_VC 6.15.06 update on 06GRC power costs.xls Chart 3_04 07E Wild Horse Wind Expansion (C) (2)_Electric Rev Req Model (2009 GRC) Rebuttal 4" xfId="17244"/>
    <cellStyle name="_VC 6.15.06 update on 06GRC power costs.xls Chart 3_04 07E Wild Horse Wind Expansion (C) (2)_Electric Rev Req Model (2009 GRC) Rebuttal 5" xfId="8849"/>
    <cellStyle name="_VC 6.15.06 update on 06GRC power costs.xls Chart 3_04 07E Wild Horse Wind Expansion (C) (2)_Electric Rev Req Model (2009 GRC) Rebuttal REmoval of New  WH Solar AdjustMI" xfId="2384"/>
    <cellStyle name="_VC 6.15.06 update on 06GRC power costs.xls Chart 3_04 07E Wild Horse Wind Expansion (C) (2)_Electric Rev Req Model (2009 GRC) Rebuttal REmoval of New  WH Solar AdjustMI 2" xfId="2385"/>
    <cellStyle name="_VC 6.15.06 update on 06GRC power costs.xls Chart 3_04 07E Wild Horse Wind Expansion (C) (2)_Electric Rev Req Model (2009 GRC) Rebuttal REmoval of New  WH Solar AdjustMI 2 2" xfId="5748"/>
    <cellStyle name="_VC 6.15.06 update on 06GRC power costs.xls Chart 3_04 07E Wild Horse Wind Expansion (C) (2)_Electric Rev Req Model (2009 GRC) Rebuttal REmoval of New  WH Solar AdjustMI 2 2 2" xfId="21741"/>
    <cellStyle name="_VC 6.15.06 update on 06GRC power costs.xls Chart 3_04 07E Wild Horse Wind Expansion (C) (2)_Electric Rev Req Model (2009 GRC) Rebuttal REmoval of New  WH Solar AdjustMI 2 2 2 2" xfId="30997"/>
    <cellStyle name="_VC 6.15.06 update on 06GRC power costs.xls Chart 3_04 07E Wild Horse Wind Expansion (C) (2)_Electric Rev Req Model (2009 GRC) Rebuttal REmoval of New  WH Solar AdjustMI 2 2 3" xfId="8855"/>
    <cellStyle name="_VC 6.15.06 update on 06GRC power costs.xls Chart 3_04 07E Wild Horse Wind Expansion (C) (2)_Electric Rev Req Model (2009 GRC) Rebuttal REmoval of New  WH Solar AdjustMI 2 3" xfId="17246"/>
    <cellStyle name="_VC 6.15.06 update on 06GRC power costs.xls Chart 3_04 07E Wild Horse Wind Expansion (C) (2)_Electric Rev Req Model (2009 GRC) Rebuttal REmoval of New  WH Solar AdjustMI 2 3 2" xfId="30998"/>
    <cellStyle name="_VC 6.15.06 update on 06GRC power costs.xls Chart 3_04 07E Wild Horse Wind Expansion (C) (2)_Electric Rev Req Model (2009 GRC) Rebuttal REmoval of New  WH Solar AdjustMI 2 4" xfId="30999"/>
    <cellStyle name="_VC 6.15.06 update on 06GRC power costs.xls Chart 3_04 07E Wild Horse Wind Expansion (C) (2)_Electric Rev Req Model (2009 GRC) Rebuttal REmoval of New  WH Solar AdjustMI 2 4 2" xfId="31000"/>
    <cellStyle name="_VC 6.15.06 update on 06GRC power costs.xls Chart 3_04 07E Wild Horse Wind Expansion (C) (2)_Electric Rev Req Model (2009 GRC) Rebuttal REmoval of New  WH Solar AdjustMI 2 5" xfId="8854"/>
    <cellStyle name="_VC 6.15.06 update on 06GRC power costs.xls Chart 3_04 07E Wild Horse Wind Expansion (C) (2)_Electric Rev Req Model (2009 GRC) Rebuttal REmoval of New  WH Solar AdjustMI 3" xfId="5747"/>
    <cellStyle name="_VC 6.15.06 update on 06GRC power costs.xls Chart 3_04 07E Wild Horse Wind Expansion (C) (2)_Electric Rev Req Model (2009 GRC) Rebuttal REmoval of New  WH Solar AdjustMI 3 2" xfId="21742"/>
    <cellStyle name="_VC 6.15.06 update on 06GRC power costs.xls Chart 3_04 07E Wild Horse Wind Expansion (C) (2)_Electric Rev Req Model (2009 GRC) Rebuttal REmoval of New  WH Solar AdjustMI 3 2 2" xfId="31001"/>
    <cellStyle name="_VC 6.15.06 update on 06GRC power costs.xls Chart 3_04 07E Wild Horse Wind Expansion (C) (2)_Electric Rev Req Model (2009 GRC) Rebuttal REmoval of New  WH Solar AdjustMI 3 3" xfId="31002"/>
    <cellStyle name="_VC 6.15.06 update on 06GRC power costs.xls Chart 3_04 07E Wild Horse Wind Expansion (C) (2)_Electric Rev Req Model (2009 GRC) Rebuttal REmoval of New  WH Solar AdjustMI 3 4" xfId="8856"/>
    <cellStyle name="_VC 6.15.06 update on 06GRC power costs.xls Chart 3_04 07E Wild Horse Wind Expansion (C) (2)_Electric Rev Req Model (2009 GRC) Rebuttal REmoval of New  WH Solar AdjustMI 4" xfId="17245"/>
    <cellStyle name="_VC 6.15.06 update on 06GRC power costs.xls Chart 3_04 07E Wild Horse Wind Expansion (C) (2)_Electric Rev Req Model (2009 GRC) Rebuttal REmoval of New  WH Solar AdjustMI 4 2" xfId="31003"/>
    <cellStyle name="_VC 6.15.06 update on 06GRC power costs.xls Chart 3_04 07E Wild Horse Wind Expansion (C) (2)_Electric Rev Req Model (2009 GRC) Rebuttal REmoval of New  WH Solar AdjustMI 4 2 2" xfId="31004"/>
    <cellStyle name="_VC 6.15.06 update on 06GRC power costs.xls Chart 3_04 07E Wild Horse Wind Expansion (C) (2)_Electric Rev Req Model (2009 GRC) Rebuttal REmoval of New  WH Solar AdjustMI 4 3" xfId="31005"/>
    <cellStyle name="_VC 6.15.06 update on 06GRC power costs.xls Chart 3_04 07E Wild Horse Wind Expansion (C) (2)_Electric Rev Req Model (2009 GRC) Rebuttal REmoval of New  WH Solar AdjustMI 5" xfId="31006"/>
    <cellStyle name="_VC 6.15.06 update on 06GRC power costs.xls Chart 3_04 07E Wild Horse Wind Expansion (C) (2)_Electric Rev Req Model (2009 GRC) Rebuttal REmoval of New  WH Solar AdjustMI 5 2" xfId="31007"/>
    <cellStyle name="_VC 6.15.06 update on 06GRC power costs.xls Chart 3_04 07E Wild Horse Wind Expansion (C) (2)_Electric Rev Req Model (2009 GRC) Rebuttal REmoval of New  WH Solar AdjustMI 6" xfId="31008"/>
    <cellStyle name="_VC 6.15.06 update on 06GRC power costs.xls Chart 3_04 07E Wild Horse Wind Expansion (C) (2)_Electric Rev Req Model (2009 GRC) Rebuttal REmoval of New  WH Solar AdjustMI 6 2" xfId="31009"/>
    <cellStyle name="_VC 6.15.06 update on 06GRC power costs.xls Chart 3_04 07E Wild Horse Wind Expansion (C) (2)_Electric Rev Req Model (2009 GRC) Rebuttal REmoval of New  WH Solar AdjustMI 7" xfId="8853"/>
    <cellStyle name="_VC 6.15.06 update on 06GRC power costs.xls Chart 3_04 07E Wild Horse Wind Expansion (C) (2)_Electric Rev Req Model (2009 GRC) Rebuttal REmoval of New  WH Solar AdjustMI_DEM-WP(C) ENERG10C--ctn Mid-C_042010 2010GRC" xfId="13185"/>
    <cellStyle name="_VC 6.15.06 update on 06GRC power costs.xls Chart 3_04 07E Wild Horse Wind Expansion (C) (2)_Electric Rev Req Model (2009 GRC) Rebuttal REmoval of New  WH Solar AdjustMI_DEM-WP(C) ENERG10C--ctn Mid-C_042010 2010GRC 2" xfId="42009"/>
    <cellStyle name="_VC 6.15.06 update on 06GRC power costs.xls Chart 3_04 07E Wild Horse Wind Expansion (C) (2)_Electric Rev Req Model (2009 GRC) Revised 01-18-2010" xfId="2386"/>
    <cellStyle name="_VC 6.15.06 update on 06GRC power costs.xls Chart 3_04 07E Wild Horse Wind Expansion (C) (2)_Electric Rev Req Model (2009 GRC) Revised 01-18-2010 2" xfId="2387"/>
    <cellStyle name="_VC 6.15.06 update on 06GRC power costs.xls Chart 3_04 07E Wild Horse Wind Expansion (C) (2)_Electric Rev Req Model (2009 GRC) Revised 01-18-2010 2 2" xfId="5750"/>
    <cellStyle name="_VC 6.15.06 update on 06GRC power costs.xls Chart 3_04 07E Wild Horse Wind Expansion (C) (2)_Electric Rev Req Model (2009 GRC) Revised 01-18-2010 2 2 2" xfId="21743"/>
    <cellStyle name="_VC 6.15.06 update on 06GRC power costs.xls Chart 3_04 07E Wild Horse Wind Expansion (C) (2)_Electric Rev Req Model (2009 GRC) Revised 01-18-2010 2 2 2 2" xfId="31010"/>
    <cellStyle name="_VC 6.15.06 update on 06GRC power costs.xls Chart 3_04 07E Wild Horse Wind Expansion (C) (2)_Electric Rev Req Model (2009 GRC) Revised 01-18-2010 2 2 3" xfId="8859"/>
    <cellStyle name="_VC 6.15.06 update on 06GRC power costs.xls Chart 3_04 07E Wild Horse Wind Expansion (C) (2)_Electric Rev Req Model (2009 GRC) Revised 01-18-2010 2 3" xfId="17248"/>
    <cellStyle name="_VC 6.15.06 update on 06GRC power costs.xls Chart 3_04 07E Wild Horse Wind Expansion (C) (2)_Electric Rev Req Model (2009 GRC) Revised 01-18-2010 2 3 2" xfId="31011"/>
    <cellStyle name="_VC 6.15.06 update on 06GRC power costs.xls Chart 3_04 07E Wild Horse Wind Expansion (C) (2)_Electric Rev Req Model (2009 GRC) Revised 01-18-2010 2 4" xfId="31012"/>
    <cellStyle name="_VC 6.15.06 update on 06GRC power costs.xls Chart 3_04 07E Wild Horse Wind Expansion (C) (2)_Electric Rev Req Model (2009 GRC) Revised 01-18-2010 2 4 2" xfId="31013"/>
    <cellStyle name="_VC 6.15.06 update on 06GRC power costs.xls Chart 3_04 07E Wild Horse Wind Expansion (C) (2)_Electric Rev Req Model (2009 GRC) Revised 01-18-2010 2 5" xfId="8858"/>
    <cellStyle name="_VC 6.15.06 update on 06GRC power costs.xls Chart 3_04 07E Wild Horse Wind Expansion (C) (2)_Electric Rev Req Model (2009 GRC) Revised 01-18-2010 3" xfId="5749"/>
    <cellStyle name="_VC 6.15.06 update on 06GRC power costs.xls Chart 3_04 07E Wild Horse Wind Expansion (C) (2)_Electric Rev Req Model (2009 GRC) Revised 01-18-2010 3 2" xfId="21744"/>
    <cellStyle name="_VC 6.15.06 update on 06GRC power costs.xls Chart 3_04 07E Wild Horse Wind Expansion (C) (2)_Electric Rev Req Model (2009 GRC) Revised 01-18-2010 3 2 2" xfId="31014"/>
    <cellStyle name="_VC 6.15.06 update on 06GRC power costs.xls Chart 3_04 07E Wild Horse Wind Expansion (C) (2)_Electric Rev Req Model (2009 GRC) Revised 01-18-2010 3 3" xfId="31015"/>
    <cellStyle name="_VC 6.15.06 update on 06GRC power costs.xls Chart 3_04 07E Wild Horse Wind Expansion (C) (2)_Electric Rev Req Model (2009 GRC) Revised 01-18-2010 3 4" xfId="8860"/>
    <cellStyle name="_VC 6.15.06 update on 06GRC power costs.xls Chart 3_04 07E Wild Horse Wind Expansion (C) (2)_Electric Rev Req Model (2009 GRC) Revised 01-18-2010 4" xfId="17247"/>
    <cellStyle name="_VC 6.15.06 update on 06GRC power costs.xls Chart 3_04 07E Wild Horse Wind Expansion (C) (2)_Electric Rev Req Model (2009 GRC) Revised 01-18-2010 4 2" xfId="31016"/>
    <cellStyle name="_VC 6.15.06 update on 06GRC power costs.xls Chart 3_04 07E Wild Horse Wind Expansion (C) (2)_Electric Rev Req Model (2009 GRC) Revised 01-18-2010 4 2 2" xfId="31017"/>
    <cellStyle name="_VC 6.15.06 update on 06GRC power costs.xls Chart 3_04 07E Wild Horse Wind Expansion (C) (2)_Electric Rev Req Model (2009 GRC) Revised 01-18-2010 4 3" xfId="31018"/>
    <cellStyle name="_VC 6.15.06 update on 06GRC power costs.xls Chart 3_04 07E Wild Horse Wind Expansion (C) (2)_Electric Rev Req Model (2009 GRC) Revised 01-18-2010 5" xfId="31019"/>
    <cellStyle name="_VC 6.15.06 update on 06GRC power costs.xls Chart 3_04 07E Wild Horse Wind Expansion (C) (2)_Electric Rev Req Model (2009 GRC) Revised 01-18-2010 5 2" xfId="31020"/>
    <cellStyle name="_VC 6.15.06 update on 06GRC power costs.xls Chart 3_04 07E Wild Horse Wind Expansion (C) (2)_Electric Rev Req Model (2009 GRC) Revised 01-18-2010 6" xfId="31021"/>
    <cellStyle name="_VC 6.15.06 update on 06GRC power costs.xls Chart 3_04 07E Wild Horse Wind Expansion (C) (2)_Electric Rev Req Model (2009 GRC) Revised 01-18-2010 6 2" xfId="31022"/>
    <cellStyle name="_VC 6.15.06 update on 06GRC power costs.xls Chart 3_04 07E Wild Horse Wind Expansion (C) (2)_Electric Rev Req Model (2009 GRC) Revised 01-18-2010 7" xfId="8857"/>
    <cellStyle name="_VC 6.15.06 update on 06GRC power costs.xls Chart 3_04 07E Wild Horse Wind Expansion (C) (2)_Electric Rev Req Model (2009 GRC) Revised 01-18-2010_DEM-WP(C) ENERG10C--ctn Mid-C_042010 2010GRC" xfId="13186"/>
    <cellStyle name="_VC 6.15.06 update on 06GRC power costs.xls Chart 3_04 07E Wild Horse Wind Expansion (C) (2)_Electric Rev Req Model (2009 GRC) Revised 01-18-2010_DEM-WP(C) ENERG10C--ctn Mid-C_042010 2010GRC 2" xfId="42010"/>
    <cellStyle name="_VC 6.15.06 update on 06GRC power costs.xls Chart 3_04 07E Wild Horse Wind Expansion (C) (2)_Electric Rev Req Model (2010 GRC)" xfId="14297"/>
    <cellStyle name="_VC 6.15.06 update on 06GRC power costs.xls Chart 3_04 07E Wild Horse Wind Expansion (C) (2)_Electric Rev Req Model (2010 GRC) 2" xfId="42011"/>
    <cellStyle name="_VC 6.15.06 update on 06GRC power costs.xls Chart 3_04 07E Wild Horse Wind Expansion (C) (2)_Electric Rev Req Model (2010 GRC) SF" xfId="14298"/>
    <cellStyle name="_VC 6.15.06 update on 06GRC power costs.xls Chart 3_04 07E Wild Horse Wind Expansion (C) (2)_Electric Rev Req Model (2010 GRC) SF 2" xfId="42012"/>
    <cellStyle name="_VC 6.15.06 update on 06GRC power costs.xls Chart 3_04 07E Wild Horse Wind Expansion (C) (2)_Final Order Electric EXHIBIT A-1" xfId="2388"/>
    <cellStyle name="_VC 6.15.06 update on 06GRC power costs.xls Chart 3_04 07E Wild Horse Wind Expansion (C) (2)_Final Order Electric EXHIBIT A-1 2" xfId="5751"/>
    <cellStyle name="_VC 6.15.06 update on 06GRC power costs.xls Chart 3_04 07E Wild Horse Wind Expansion (C) (2)_Final Order Electric EXHIBIT A-1 2 2" xfId="8863"/>
    <cellStyle name="_VC 6.15.06 update on 06GRC power costs.xls Chart 3_04 07E Wild Horse Wind Expansion (C) (2)_Final Order Electric EXHIBIT A-1 2 2 2" xfId="21745"/>
    <cellStyle name="_VC 6.15.06 update on 06GRC power costs.xls Chart 3_04 07E Wild Horse Wind Expansion (C) (2)_Final Order Electric EXHIBIT A-1 2 3" xfId="18804"/>
    <cellStyle name="_VC 6.15.06 update on 06GRC power costs.xls Chart 3_04 07E Wild Horse Wind Expansion (C) (2)_Final Order Electric EXHIBIT A-1 2 4" xfId="8862"/>
    <cellStyle name="_VC 6.15.06 update on 06GRC power costs.xls Chart 3_04 07E Wild Horse Wind Expansion (C) (2)_Final Order Electric EXHIBIT A-1 3" xfId="8864"/>
    <cellStyle name="_VC 6.15.06 update on 06GRC power costs.xls Chart 3_04 07E Wild Horse Wind Expansion (C) (2)_Final Order Electric EXHIBIT A-1 3 2" xfId="21746"/>
    <cellStyle name="_VC 6.15.06 update on 06GRC power costs.xls Chart 3_04 07E Wild Horse Wind Expansion (C) (2)_Final Order Electric EXHIBIT A-1 3 2 2" xfId="31023"/>
    <cellStyle name="_VC 6.15.06 update on 06GRC power costs.xls Chart 3_04 07E Wild Horse Wind Expansion (C) (2)_Final Order Electric EXHIBIT A-1 3 3" xfId="31024"/>
    <cellStyle name="_VC 6.15.06 update on 06GRC power costs.xls Chart 3_04 07E Wild Horse Wind Expansion (C) (2)_Final Order Electric EXHIBIT A-1 4" xfId="17249"/>
    <cellStyle name="_VC 6.15.06 update on 06GRC power costs.xls Chart 3_04 07E Wild Horse Wind Expansion (C) (2)_Final Order Electric EXHIBIT A-1 4 2" xfId="31025"/>
    <cellStyle name="_VC 6.15.06 update on 06GRC power costs.xls Chart 3_04 07E Wild Horse Wind Expansion (C) (2)_Final Order Electric EXHIBIT A-1 5" xfId="31026"/>
    <cellStyle name="_VC 6.15.06 update on 06GRC power costs.xls Chart 3_04 07E Wild Horse Wind Expansion (C) (2)_Final Order Electric EXHIBIT A-1 6" xfId="31027"/>
    <cellStyle name="_VC 6.15.06 update on 06GRC power costs.xls Chart 3_04 07E Wild Horse Wind Expansion (C) (2)_Final Order Electric EXHIBIT A-1 7" xfId="8861"/>
    <cellStyle name="_VC 6.15.06 update on 06GRC power costs.xls Chart 3_04 07E Wild Horse Wind Expansion (C) (2)_TENASKA REGULATORY ASSET" xfId="2389"/>
    <cellStyle name="_VC 6.15.06 update on 06GRC power costs.xls Chart 3_04 07E Wild Horse Wind Expansion (C) (2)_TENASKA REGULATORY ASSET 2" xfId="5752"/>
    <cellStyle name="_VC 6.15.06 update on 06GRC power costs.xls Chart 3_04 07E Wild Horse Wind Expansion (C) (2)_TENASKA REGULATORY ASSET 2 2" xfId="8867"/>
    <cellStyle name="_VC 6.15.06 update on 06GRC power costs.xls Chart 3_04 07E Wild Horse Wind Expansion (C) (2)_TENASKA REGULATORY ASSET 2 2 2" xfId="21747"/>
    <cellStyle name="_VC 6.15.06 update on 06GRC power costs.xls Chart 3_04 07E Wild Horse Wind Expansion (C) (2)_TENASKA REGULATORY ASSET 2 3" xfId="18805"/>
    <cellStyle name="_VC 6.15.06 update on 06GRC power costs.xls Chart 3_04 07E Wild Horse Wind Expansion (C) (2)_TENASKA REGULATORY ASSET 2 4" xfId="8866"/>
    <cellStyle name="_VC 6.15.06 update on 06GRC power costs.xls Chart 3_04 07E Wild Horse Wind Expansion (C) (2)_TENASKA REGULATORY ASSET 3" xfId="8868"/>
    <cellStyle name="_VC 6.15.06 update on 06GRC power costs.xls Chart 3_04 07E Wild Horse Wind Expansion (C) (2)_TENASKA REGULATORY ASSET 3 2" xfId="21748"/>
    <cellStyle name="_VC 6.15.06 update on 06GRC power costs.xls Chart 3_04 07E Wild Horse Wind Expansion (C) (2)_TENASKA REGULATORY ASSET 3 2 2" xfId="31028"/>
    <cellStyle name="_VC 6.15.06 update on 06GRC power costs.xls Chart 3_04 07E Wild Horse Wind Expansion (C) (2)_TENASKA REGULATORY ASSET 3 3" xfId="31029"/>
    <cellStyle name="_VC 6.15.06 update on 06GRC power costs.xls Chart 3_04 07E Wild Horse Wind Expansion (C) (2)_TENASKA REGULATORY ASSET 4" xfId="17250"/>
    <cellStyle name="_VC 6.15.06 update on 06GRC power costs.xls Chart 3_04 07E Wild Horse Wind Expansion (C) (2)_TENASKA REGULATORY ASSET 4 2" xfId="31030"/>
    <cellStyle name="_VC 6.15.06 update on 06GRC power costs.xls Chart 3_04 07E Wild Horse Wind Expansion (C) (2)_TENASKA REGULATORY ASSET 5" xfId="31031"/>
    <cellStyle name="_VC 6.15.06 update on 06GRC power costs.xls Chart 3_04 07E Wild Horse Wind Expansion (C) (2)_TENASKA REGULATORY ASSET 6" xfId="31032"/>
    <cellStyle name="_VC 6.15.06 update on 06GRC power costs.xls Chart 3_04 07E Wild Horse Wind Expansion (C) (2)_TENASKA REGULATORY ASSET 7" xfId="8865"/>
    <cellStyle name="_VC 6.15.06 update on 06GRC power costs.xls Chart 3_16.37E Wild Horse Expansion DeferralRevwrkingfile SF" xfId="2390"/>
    <cellStyle name="_VC 6.15.06 update on 06GRC power costs.xls Chart 3_16.37E Wild Horse Expansion DeferralRevwrkingfile SF 2" xfId="2391"/>
    <cellStyle name="_VC 6.15.06 update on 06GRC power costs.xls Chart 3_16.37E Wild Horse Expansion DeferralRevwrkingfile SF 2 2" xfId="5754"/>
    <cellStyle name="_VC 6.15.06 update on 06GRC power costs.xls Chart 3_16.37E Wild Horse Expansion DeferralRevwrkingfile SF 2 2 2" xfId="21749"/>
    <cellStyle name="_VC 6.15.06 update on 06GRC power costs.xls Chart 3_16.37E Wild Horse Expansion DeferralRevwrkingfile SF 2 2 2 2" xfId="31033"/>
    <cellStyle name="_VC 6.15.06 update on 06GRC power costs.xls Chart 3_16.37E Wild Horse Expansion DeferralRevwrkingfile SF 2 2 3" xfId="8871"/>
    <cellStyle name="_VC 6.15.06 update on 06GRC power costs.xls Chart 3_16.37E Wild Horse Expansion DeferralRevwrkingfile SF 2 3" xfId="17252"/>
    <cellStyle name="_VC 6.15.06 update on 06GRC power costs.xls Chart 3_16.37E Wild Horse Expansion DeferralRevwrkingfile SF 2 3 2" xfId="31034"/>
    <cellStyle name="_VC 6.15.06 update on 06GRC power costs.xls Chart 3_16.37E Wild Horse Expansion DeferralRevwrkingfile SF 2 4" xfId="31035"/>
    <cellStyle name="_VC 6.15.06 update on 06GRC power costs.xls Chart 3_16.37E Wild Horse Expansion DeferralRevwrkingfile SF 2 4 2" xfId="31036"/>
    <cellStyle name="_VC 6.15.06 update on 06GRC power costs.xls Chart 3_16.37E Wild Horse Expansion DeferralRevwrkingfile SF 2 5" xfId="8870"/>
    <cellStyle name="_VC 6.15.06 update on 06GRC power costs.xls Chart 3_16.37E Wild Horse Expansion DeferralRevwrkingfile SF 3" xfId="5753"/>
    <cellStyle name="_VC 6.15.06 update on 06GRC power costs.xls Chart 3_16.37E Wild Horse Expansion DeferralRevwrkingfile SF 3 2" xfId="21750"/>
    <cellStyle name="_VC 6.15.06 update on 06GRC power costs.xls Chart 3_16.37E Wild Horse Expansion DeferralRevwrkingfile SF 3 2 2" xfId="31037"/>
    <cellStyle name="_VC 6.15.06 update on 06GRC power costs.xls Chart 3_16.37E Wild Horse Expansion DeferralRevwrkingfile SF 3 3" xfId="31038"/>
    <cellStyle name="_VC 6.15.06 update on 06GRC power costs.xls Chart 3_16.37E Wild Horse Expansion DeferralRevwrkingfile SF 3 4" xfId="8872"/>
    <cellStyle name="_VC 6.15.06 update on 06GRC power costs.xls Chart 3_16.37E Wild Horse Expansion DeferralRevwrkingfile SF 4" xfId="17251"/>
    <cellStyle name="_VC 6.15.06 update on 06GRC power costs.xls Chart 3_16.37E Wild Horse Expansion DeferralRevwrkingfile SF 4 2" xfId="31039"/>
    <cellStyle name="_VC 6.15.06 update on 06GRC power costs.xls Chart 3_16.37E Wild Horse Expansion DeferralRevwrkingfile SF 4 2 2" xfId="31040"/>
    <cellStyle name="_VC 6.15.06 update on 06GRC power costs.xls Chart 3_16.37E Wild Horse Expansion DeferralRevwrkingfile SF 4 3" xfId="31041"/>
    <cellStyle name="_VC 6.15.06 update on 06GRC power costs.xls Chart 3_16.37E Wild Horse Expansion DeferralRevwrkingfile SF 5" xfId="31042"/>
    <cellStyle name="_VC 6.15.06 update on 06GRC power costs.xls Chart 3_16.37E Wild Horse Expansion DeferralRevwrkingfile SF 5 2" xfId="31043"/>
    <cellStyle name="_VC 6.15.06 update on 06GRC power costs.xls Chart 3_16.37E Wild Horse Expansion DeferralRevwrkingfile SF 6" xfId="31044"/>
    <cellStyle name="_VC 6.15.06 update on 06GRC power costs.xls Chart 3_16.37E Wild Horse Expansion DeferralRevwrkingfile SF 6 2" xfId="31045"/>
    <cellStyle name="_VC 6.15.06 update on 06GRC power costs.xls Chart 3_16.37E Wild Horse Expansion DeferralRevwrkingfile SF 7" xfId="8869"/>
    <cellStyle name="_VC 6.15.06 update on 06GRC power costs.xls Chart 3_16.37E Wild Horse Expansion DeferralRevwrkingfile SF_DEM-WP(C) ENERG10C--ctn Mid-C_042010 2010GRC" xfId="13187"/>
    <cellStyle name="_VC 6.15.06 update on 06GRC power costs.xls Chart 3_16.37E Wild Horse Expansion DeferralRevwrkingfile SF_DEM-WP(C) ENERG10C--ctn Mid-C_042010 2010GRC 2" xfId="42013"/>
    <cellStyle name="_VC 6.15.06 update on 06GRC power costs.xls Chart 3_2009 Compliance Filing PCA Exhibits for GRC" xfId="14210"/>
    <cellStyle name="_VC 6.15.06 update on 06GRC power costs.xls Chart 3_2009 Compliance Filing PCA Exhibits for GRC 2" xfId="15402"/>
    <cellStyle name="_VC 6.15.06 update on 06GRC power costs.xls Chart 3_2009 Compliance Filing PCA Exhibits for GRC 2 2" xfId="42014"/>
    <cellStyle name="_VC 6.15.06 update on 06GRC power costs.xls Chart 3_2009 Compliance Filing PCA Exhibits for GRC 3" xfId="42015"/>
    <cellStyle name="_VC 6.15.06 update on 06GRC power costs.xls Chart 3_2009 GRC Compl Filing - Exhibit D" xfId="2392"/>
    <cellStyle name="_VC 6.15.06 update on 06GRC power costs.xls Chart 3_2009 GRC Compl Filing - Exhibit D 2" xfId="2393"/>
    <cellStyle name="_VC 6.15.06 update on 06GRC power costs.xls Chart 3_2009 GRC Compl Filing - Exhibit D 2 2" xfId="5756"/>
    <cellStyle name="_VC 6.15.06 update on 06GRC power costs.xls Chart 3_2009 GRC Compl Filing - Exhibit D 2 2 2" xfId="31046"/>
    <cellStyle name="_VC 6.15.06 update on 06GRC power costs.xls Chart 3_2009 GRC Compl Filing - Exhibit D 2 2 2 2" xfId="31047"/>
    <cellStyle name="_VC 6.15.06 update on 06GRC power costs.xls Chart 3_2009 GRC Compl Filing - Exhibit D 2 3" xfId="31048"/>
    <cellStyle name="_VC 6.15.06 update on 06GRC power costs.xls Chart 3_2009 GRC Compl Filing - Exhibit D 2 3 2" xfId="31049"/>
    <cellStyle name="_VC 6.15.06 update on 06GRC power costs.xls Chart 3_2009 GRC Compl Filing - Exhibit D 2 4" xfId="31050"/>
    <cellStyle name="_VC 6.15.06 update on 06GRC power costs.xls Chart 3_2009 GRC Compl Filing - Exhibit D 2 4 2" xfId="31051"/>
    <cellStyle name="_VC 6.15.06 update on 06GRC power costs.xls Chart 3_2009 GRC Compl Filing - Exhibit D 2 5" xfId="8874"/>
    <cellStyle name="_VC 6.15.06 update on 06GRC power costs.xls Chart 3_2009 GRC Compl Filing - Exhibit D 3" xfId="5755"/>
    <cellStyle name="_VC 6.15.06 update on 06GRC power costs.xls Chart 3_2009 GRC Compl Filing - Exhibit D 3 2" xfId="31052"/>
    <cellStyle name="_VC 6.15.06 update on 06GRC power costs.xls Chart 3_2009 GRC Compl Filing - Exhibit D 3 2 2" xfId="31053"/>
    <cellStyle name="_VC 6.15.06 update on 06GRC power costs.xls Chart 3_2009 GRC Compl Filing - Exhibit D 3 3" xfId="31054"/>
    <cellStyle name="_VC 6.15.06 update on 06GRC power costs.xls Chart 3_2009 GRC Compl Filing - Exhibit D 4" xfId="31055"/>
    <cellStyle name="_VC 6.15.06 update on 06GRC power costs.xls Chart 3_2009 GRC Compl Filing - Exhibit D 4 2" xfId="31056"/>
    <cellStyle name="_VC 6.15.06 update on 06GRC power costs.xls Chart 3_2009 GRC Compl Filing - Exhibit D 4 2 2" xfId="31057"/>
    <cellStyle name="_VC 6.15.06 update on 06GRC power costs.xls Chart 3_2009 GRC Compl Filing - Exhibit D 4 3" xfId="31058"/>
    <cellStyle name="_VC 6.15.06 update on 06GRC power costs.xls Chart 3_2009 GRC Compl Filing - Exhibit D 5" xfId="31059"/>
    <cellStyle name="_VC 6.15.06 update on 06GRC power costs.xls Chart 3_2009 GRC Compl Filing - Exhibit D 5 2" xfId="31060"/>
    <cellStyle name="_VC 6.15.06 update on 06GRC power costs.xls Chart 3_2009 GRC Compl Filing - Exhibit D 6" xfId="31061"/>
    <cellStyle name="_VC 6.15.06 update on 06GRC power costs.xls Chart 3_2009 GRC Compl Filing - Exhibit D 6 2" xfId="31062"/>
    <cellStyle name="_VC 6.15.06 update on 06GRC power costs.xls Chart 3_2009 GRC Compl Filing - Exhibit D 7" xfId="8873"/>
    <cellStyle name="_VC 6.15.06 update on 06GRC power costs.xls Chart 3_2009 GRC Compl Filing - Exhibit D_DEM-WP(C) ENERG10C--ctn Mid-C_042010 2010GRC" xfId="13188"/>
    <cellStyle name="_VC 6.15.06 update on 06GRC power costs.xls Chart 3_2009 GRC Compl Filing - Exhibit D_DEM-WP(C) ENERG10C--ctn Mid-C_042010 2010GRC 2" xfId="42016"/>
    <cellStyle name="_VC 6.15.06 update on 06GRC power costs.xls Chart 3_3.01 Income Statement" xfId="14211"/>
    <cellStyle name="_VC 6.15.06 update on 06GRC power costs.xls Chart 3_4 31 Regulatory Assets and Liabilities  7 06- Exhibit D" xfId="2394"/>
    <cellStyle name="_VC 6.15.06 update on 06GRC power costs.xls Chart 3_4 31 Regulatory Assets and Liabilities  7 06- Exhibit D 2" xfId="2395"/>
    <cellStyle name="_VC 6.15.06 update on 06GRC power costs.xls Chart 3_4 31 Regulatory Assets and Liabilities  7 06- Exhibit D 2 2" xfId="5758"/>
    <cellStyle name="_VC 6.15.06 update on 06GRC power costs.xls Chart 3_4 31 Regulatory Assets and Liabilities  7 06- Exhibit D 2 2 2" xfId="21751"/>
    <cellStyle name="_VC 6.15.06 update on 06GRC power costs.xls Chart 3_4 31 Regulatory Assets and Liabilities  7 06- Exhibit D 2 2 2 2" xfId="31063"/>
    <cellStyle name="_VC 6.15.06 update on 06GRC power costs.xls Chart 3_4 31 Regulatory Assets and Liabilities  7 06- Exhibit D 2 2 3" xfId="8877"/>
    <cellStyle name="_VC 6.15.06 update on 06GRC power costs.xls Chart 3_4 31 Regulatory Assets and Liabilities  7 06- Exhibit D 2 3" xfId="17254"/>
    <cellStyle name="_VC 6.15.06 update on 06GRC power costs.xls Chart 3_4 31 Regulatory Assets and Liabilities  7 06- Exhibit D 2 3 2" xfId="31064"/>
    <cellStyle name="_VC 6.15.06 update on 06GRC power costs.xls Chart 3_4 31 Regulatory Assets and Liabilities  7 06- Exhibit D 2 4" xfId="31065"/>
    <cellStyle name="_VC 6.15.06 update on 06GRC power costs.xls Chart 3_4 31 Regulatory Assets and Liabilities  7 06- Exhibit D 2 4 2" xfId="31066"/>
    <cellStyle name="_VC 6.15.06 update on 06GRC power costs.xls Chart 3_4 31 Regulatory Assets and Liabilities  7 06- Exhibit D 2 5" xfId="8876"/>
    <cellStyle name="_VC 6.15.06 update on 06GRC power costs.xls Chart 3_4 31 Regulatory Assets and Liabilities  7 06- Exhibit D 3" xfId="5757"/>
    <cellStyle name="_VC 6.15.06 update on 06GRC power costs.xls Chart 3_4 31 Regulatory Assets and Liabilities  7 06- Exhibit D 3 2" xfId="21752"/>
    <cellStyle name="_VC 6.15.06 update on 06GRC power costs.xls Chart 3_4 31 Regulatory Assets and Liabilities  7 06- Exhibit D 3 2 2" xfId="31067"/>
    <cellStyle name="_VC 6.15.06 update on 06GRC power costs.xls Chart 3_4 31 Regulatory Assets and Liabilities  7 06- Exhibit D 3 3" xfId="31068"/>
    <cellStyle name="_VC 6.15.06 update on 06GRC power costs.xls Chart 3_4 31 Regulatory Assets and Liabilities  7 06- Exhibit D 3 4" xfId="8878"/>
    <cellStyle name="_VC 6.15.06 update on 06GRC power costs.xls Chart 3_4 31 Regulatory Assets and Liabilities  7 06- Exhibit D 4" xfId="17253"/>
    <cellStyle name="_VC 6.15.06 update on 06GRC power costs.xls Chart 3_4 31 Regulatory Assets and Liabilities  7 06- Exhibit D 4 2" xfId="31069"/>
    <cellStyle name="_VC 6.15.06 update on 06GRC power costs.xls Chart 3_4 31 Regulatory Assets and Liabilities  7 06- Exhibit D 4 2 2" xfId="31070"/>
    <cellStyle name="_VC 6.15.06 update on 06GRC power costs.xls Chart 3_4 31 Regulatory Assets and Liabilities  7 06- Exhibit D 4 3" xfId="31071"/>
    <cellStyle name="_VC 6.15.06 update on 06GRC power costs.xls Chart 3_4 31 Regulatory Assets and Liabilities  7 06- Exhibit D 5" xfId="31072"/>
    <cellStyle name="_VC 6.15.06 update on 06GRC power costs.xls Chart 3_4 31 Regulatory Assets and Liabilities  7 06- Exhibit D 5 2" xfId="31073"/>
    <cellStyle name="_VC 6.15.06 update on 06GRC power costs.xls Chart 3_4 31 Regulatory Assets and Liabilities  7 06- Exhibit D 6" xfId="31074"/>
    <cellStyle name="_VC 6.15.06 update on 06GRC power costs.xls Chart 3_4 31 Regulatory Assets and Liabilities  7 06- Exhibit D 6 2" xfId="31075"/>
    <cellStyle name="_VC 6.15.06 update on 06GRC power costs.xls Chart 3_4 31 Regulatory Assets and Liabilities  7 06- Exhibit D 7" xfId="8875"/>
    <cellStyle name="_VC 6.15.06 update on 06GRC power costs.xls Chart 3_4 31 Regulatory Assets and Liabilities  7 06- Exhibit D_DEM-WP(C) ENERG10C--ctn Mid-C_042010 2010GRC" xfId="13189"/>
    <cellStyle name="_VC 6.15.06 update on 06GRC power costs.xls Chart 3_4 31 Regulatory Assets and Liabilities  7 06- Exhibit D_DEM-WP(C) ENERG10C--ctn Mid-C_042010 2010GRC 2" xfId="42017"/>
    <cellStyle name="_VC 6.15.06 update on 06GRC power costs.xls Chart 3_4 31 Regulatory Assets and Liabilities  7 06- Exhibit D_NIM Summary" xfId="2396"/>
    <cellStyle name="_VC 6.15.06 update on 06GRC power costs.xls Chart 3_4 31 Regulatory Assets and Liabilities  7 06- Exhibit D_NIM Summary 2" xfId="2397"/>
    <cellStyle name="_VC 6.15.06 update on 06GRC power costs.xls Chart 3_4 31 Regulatory Assets and Liabilities  7 06- Exhibit D_NIM Summary 2 2" xfId="5760"/>
    <cellStyle name="_VC 6.15.06 update on 06GRC power costs.xls Chart 3_4 31 Regulatory Assets and Liabilities  7 06- Exhibit D_NIM Summary 2 2 2" xfId="31076"/>
    <cellStyle name="_VC 6.15.06 update on 06GRC power costs.xls Chart 3_4 31 Regulatory Assets and Liabilities  7 06- Exhibit D_NIM Summary 2 2 2 2" xfId="31077"/>
    <cellStyle name="_VC 6.15.06 update on 06GRC power costs.xls Chart 3_4 31 Regulatory Assets and Liabilities  7 06- Exhibit D_NIM Summary 2 3" xfId="31078"/>
    <cellStyle name="_VC 6.15.06 update on 06GRC power costs.xls Chart 3_4 31 Regulatory Assets and Liabilities  7 06- Exhibit D_NIM Summary 2 3 2" xfId="31079"/>
    <cellStyle name="_VC 6.15.06 update on 06GRC power costs.xls Chart 3_4 31 Regulatory Assets and Liabilities  7 06- Exhibit D_NIM Summary 2 4" xfId="31080"/>
    <cellStyle name="_VC 6.15.06 update on 06GRC power costs.xls Chart 3_4 31 Regulatory Assets and Liabilities  7 06- Exhibit D_NIM Summary 2 4 2" xfId="31081"/>
    <cellStyle name="_VC 6.15.06 update on 06GRC power costs.xls Chart 3_4 31 Regulatory Assets and Liabilities  7 06- Exhibit D_NIM Summary 2 5" xfId="8880"/>
    <cellStyle name="_VC 6.15.06 update on 06GRC power costs.xls Chart 3_4 31 Regulatory Assets and Liabilities  7 06- Exhibit D_NIM Summary 3" xfId="5759"/>
    <cellStyle name="_VC 6.15.06 update on 06GRC power costs.xls Chart 3_4 31 Regulatory Assets and Liabilities  7 06- Exhibit D_NIM Summary 3 2" xfId="31082"/>
    <cellStyle name="_VC 6.15.06 update on 06GRC power costs.xls Chart 3_4 31 Regulatory Assets and Liabilities  7 06- Exhibit D_NIM Summary 3 2 2" xfId="31083"/>
    <cellStyle name="_VC 6.15.06 update on 06GRC power costs.xls Chart 3_4 31 Regulatory Assets and Liabilities  7 06- Exhibit D_NIM Summary 3 3" xfId="31084"/>
    <cellStyle name="_VC 6.15.06 update on 06GRC power costs.xls Chart 3_4 31 Regulatory Assets and Liabilities  7 06- Exhibit D_NIM Summary 4" xfId="31085"/>
    <cellStyle name="_VC 6.15.06 update on 06GRC power costs.xls Chart 3_4 31 Regulatory Assets and Liabilities  7 06- Exhibit D_NIM Summary 4 2" xfId="31086"/>
    <cellStyle name="_VC 6.15.06 update on 06GRC power costs.xls Chart 3_4 31 Regulatory Assets and Liabilities  7 06- Exhibit D_NIM Summary 4 2 2" xfId="31087"/>
    <cellStyle name="_VC 6.15.06 update on 06GRC power costs.xls Chart 3_4 31 Regulatory Assets and Liabilities  7 06- Exhibit D_NIM Summary 4 3" xfId="31088"/>
    <cellStyle name="_VC 6.15.06 update on 06GRC power costs.xls Chart 3_4 31 Regulatory Assets and Liabilities  7 06- Exhibit D_NIM Summary 5" xfId="31089"/>
    <cellStyle name="_VC 6.15.06 update on 06GRC power costs.xls Chart 3_4 31 Regulatory Assets and Liabilities  7 06- Exhibit D_NIM Summary 5 2" xfId="31090"/>
    <cellStyle name="_VC 6.15.06 update on 06GRC power costs.xls Chart 3_4 31 Regulatory Assets and Liabilities  7 06- Exhibit D_NIM Summary 6" xfId="31091"/>
    <cellStyle name="_VC 6.15.06 update on 06GRC power costs.xls Chart 3_4 31 Regulatory Assets and Liabilities  7 06- Exhibit D_NIM Summary 6 2" xfId="31092"/>
    <cellStyle name="_VC 6.15.06 update on 06GRC power costs.xls Chart 3_4 31 Regulatory Assets and Liabilities  7 06- Exhibit D_NIM Summary 7" xfId="8879"/>
    <cellStyle name="_VC 6.15.06 update on 06GRC power costs.xls Chart 3_4 31 Regulatory Assets and Liabilities  7 06- Exhibit D_NIM Summary_DEM-WP(C) ENERG10C--ctn Mid-C_042010 2010GRC" xfId="13190"/>
    <cellStyle name="_VC 6.15.06 update on 06GRC power costs.xls Chart 3_4 31 Regulatory Assets and Liabilities  7 06- Exhibit D_NIM Summary_DEM-WP(C) ENERG10C--ctn Mid-C_042010 2010GRC 2" xfId="42018"/>
    <cellStyle name="_VC 6.15.06 update on 06GRC power costs.xls Chart 3_4 31E Reg Asset  Liab and EXH D" xfId="13191"/>
    <cellStyle name="_VC 6.15.06 update on 06GRC power costs.xls Chart 3_4 31E Reg Asset  Liab and EXH D _ Aug 10 Filing (2)" xfId="13192"/>
    <cellStyle name="_VC 6.15.06 update on 06GRC power costs.xls Chart 3_4 31E Reg Asset  Liab and EXH D _ Aug 10 Filing (2) 2" xfId="31093"/>
    <cellStyle name="_VC 6.15.06 update on 06GRC power costs.xls Chart 3_4 31E Reg Asset  Liab and EXH D _ Aug 10 Filing (2) 2 2" xfId="31094"/>
    <cellStyle name="_VC 6.15.06 update on 06GRC power costs.xls Chart 3_4 31E Reg Asset  Liab and EXH D _ Aug 10 Filing (2) 2 2 2" xfId="31095"/>
    <cellStyle name="_VC 6.15.06 update on 06GRC power costs.xls Chart 3_4 31E Reg Asset  Liab and EXH D _ Aug 10 Filing (2) 2 3" xfId="31096"/>
    <cellStyle name="_VC 6.15.06 update on 06GRC power costs.xls Chart 3_4 31E Reg Asset  Liab and EXH D _ Aug 10 Filing (2) 3" xfId="31097"/>
    <cellStyle name="_VC 6.15.06 update on 06GRC power costs.xls Chart 3_4 31E Reg Asset  Liab and EXH D _ Aug 10 Filing (2) 3 2" xfId="31098"/>
    <cellStyle name="_VC 6.15.06 update on 06GRC power costs.xls Chart 3_4 31E Reg Asset  Liab and EXH D _ Aug 10 Filing (2) 3 2 2" xfId="31099"/>
    <cellStyle name="_VC 6.15.06 update on 06GRC power costs.xls Chart 3_4 31E Reg Asset  Liab and EXH D _ Aug 10 Filing (2) 3 3" xfId="31100"/>
    <cellStyle name="_VC 6.15.06 update on 06GRC power costs.xls Chart 3_4 31E Reg Asset  Liab and EXH D _ Aug 10 Filing (2) 4" xfId="31101"/>
    <cellStyle name="_VC 6.15.06 update on 06GRC power costs.xls Chart 3_4 31E Reg Asset  Liab and EXH D _ Aug 10 Filing (2) 4 2" xfId="31102"/>
    <cellStyle name="_VC 6.15.06 update on 06GRC power costs.xls Chart 3_4 31E Reg Asset  Liab and EXH D _ Aug 10 Filing (2) 5" xfId="31103"/>
    <cellStyle name="_VC 6.15.06 update on 06GRC power costs.xls Chart 3_4 31E Reg Asset  Liab and EXH D _ Aug 10 Filing (2) 5 2" xfId="31104"/>
    <cellStyle name="_VC 6.15.06 update on 06GRC power costs.xls Chart 3_4 31E Reg Asset  Liab and EXH D 10" xfId="31105"/>
    <cellStyle name="_VC 6.15.06 update on 06GRC power costs.xls Chart 3_4 31E Reg Asset  Liab and EXH D 10 2" xfId="31106"/>
    <cellStyle name="_VC 6.15.06 update on 06GRC power costs.xls Chart 3_4 31E Reg Asset  Liab and EXH D 10 2 2" xfId="31107"/>
    <cellStyle name="_VC 6.15.06 update on 06GRC power costs.xls Chart 3_4 31E Reg Asset  Liab and EXH D 10 3" xfId="31108"/>
    <cellStyle name="_VC 6.15.06 update on 06GRC power costs.xls Chart 3_4 31E Reg Asset  Liab and EXH D 11" xfId="31109"/>
    <cellStyle name="_VC 6.15.06 update on 06GRC power costs.xls Chart 3_4 31E Reg Asset  Liab and EXH D 11 2" xfId="31110"/>
    <cellStyle name="_VC 6.15.06 update on 06GRC power costs.xls Chart 3_4 31E Reg Asset  Liab and EXH D 11 2 2" xfId="31111"/>
    <cellStyle name="_VC 6.15.06 update on 06GRC power costs.xls Chart 3_4 31E Reg Asset  Liab and EXH D 11 3" xfId="31112"/>
    <cellStyle name="_VC 6.15.06 update on 06GRC power costs.xls Chart 3_4 31E Reg Asset  Liab and EXH D 12" xfId="31113"/>
    <cellStyle name="_VC 6.15.06 update on 06GRC power costs.xls Chart 3_4 31E Reg Asset  Liab and EXH D 12 2" xfId="31114"/>
    <cellStyle name="_VC 6.15.06 update on 06GRC power costs.xls Chart 3_4 31E Reg Asset  Liab and EXH D 12 2 2" xfId="31115"/>
    <cellStyle name="_VC 6.15.06 update on 06GRC power costs.xls Chart 3_4 31E Reg Asset  Liab and EXH D 12 3" xfId="31116"/>
    <cellStyle name="_VC 6.15.06 update on 06GRC power costs.xls Chart 3_4 31E Reg Asset  Liab and EXH D 13" xfId="31117"/>
    <cellStyle name="_VC 6.15.06 update on 06GRC power costs.xls Chart 3_4 31E Reg Asset  Liab and EXH D 13 2" xfId="31118"/>
    <cellStyle name="_VC 6.15.06 update on 06GRC power costs.xls Chart 3_4 31E Reg Asset  Liab and EXH D 13 2 2" xfId="31119"/>
    <cellStyle name="_VC 6.15.06 update on 06GRC power costs.xls Chart 3_4 31E Reg Asset  Liab and EXH D 13 3" xfId="31120"/>
    <cellStyle name="_VC 6.15.06 update on 06GRC power costs.xls Chart 3_4 31E Reg Asset  Liab and EXH D 14" xfId="31121"/>
    <cellStyle name="_VC 6.15.06 update on 06GRC power costs.xls Chart 3_4 31E Reg Asset  Liab and EXH D 14 2" xfId="31122"/>
    <cellStyle name="_VC 6.15.06 update on 06GRC power costs.xls Chart 3_4 31E Reg Asset  Liab and EXH D 14 2 2" xfId="31123"/>
    <cellStyle name="_VC 6.15.06 update on 06GRC power costs.xls Chart 3_4 31E Reg Asset  Liab and EXH D 14 3" xfId="31124"/>
    <cellStyle name="_VC 6.15.06 update on 06GRC power costs.xls Chart 3_4 31E Reg Asset  Liab and EXH D 15" xfId="31125"/>
    <cellStyle name="_VC 6.15.06 update on 06GRC power costs.xls Chart 3_4 31E Reg Asset  Liab and EXH D 15 2" xfId="31126"/>
    <cellStyle name="_VC 6.15.06 update on 06GRC power costs.xls Chart 3_4 31E Reg Asset  Liab and EXH D 15 2 2" xfId="31127"/>
    <cellStyle name="_VC 6.15.06 update on 06GRC power costs.xls Chart 3_4 31E Reg Asset  Liab and EXH D 15 3" xfId="31128"/>
    <cellStyle name="_VC 6.15.06 update on 06GRC power costs.xls Chart 3_4 31E Reg Asset  Liab and EXH D 16" xfId="31129"/>
    <cellStyle name="_VC 6.15.06 update on 06GRC power costs.xls Chart 3_4 31E Reg Asset  Liab and EXH D 16 2" xfId="31130"/>
    <cellStyle name="_VC 6.15.06 update on 06GRC power costs.xls Chart 3_4 31E Reg Asset  Liab and EXH D 16 2 2" xfId="31131"/>
    <cellStyle name="_VC 6.15.06 update on 06GRC power costs.xls Chart 3_4 31E Reg Asset  Liab and EXH D 16 3" xfId="31132"/>
    <cellStyle name="_VC 6.15.06 update on 06GRC power costs.xls Chart 3_4 31E Reg Asset  Liab and EXH D 17" xfId="31133"/>
    <cellStyle name="_VC 6.15.06 update on 06GRC power costs.xls Chart 3_4 31E Reg Asset  Liab and EXH D 17 2" xfId="31134"/>
    <cellStyle name="_VC 6.15.06 update on 06GRC power costs.xls Chart 3_4 31E Reg Asset  Liab and EXH D 18" xfId="31135"/>
    <cellStyle name="_VC 6.15.06 update on 06GRC power costs.xls Chart 3_4 31E Reg Asset  Liab and EXH D 18 2" xfId="31136"/>
    <cellStyle name="_VC 6.15.06 update on 06GRC power costs.xls Chart 3_4 31E Reg Asset  Liab and EXH D 19" xfId="31137"/>
    <cellStyle name="_VC 6.15.06 update on 06GRC power costs.xls Chart 3_4 31E Reg Asset  Liab and EXH D 19 2" xfId="31138"/>
    <cellStyle name="_VC 6.15.06 update on 06GRC power costs.xls Chart 3_4 31E Reg Asset  Liab and EXH D 2" xfId="31139"/>
    <cellStyle name="_VC 6.15.06 update on 06GRC power costs.xls Chart 3_4 31E Reg Asset  Liab and EXH D 2 2" xfId="31140"/>
    <cellStyle name="_VC 6.15.06 update on 06GRC power costs.xls Chart 3_4 31E Reg Asset  Liab and EXH D 2 2 2" xfId="31141"/>
    <cellStyle name="_VC 6.15.06 update on 06GRC power costs.xls Chart 3_4 31E Reg Asset  Liab and EXH D 2 3" xfId="31142"/>
    <cellStyle name="_VC 6.15.06 update on 06GRC power costs.xls Chart 3_4 31E Reg Asset  Liab and EXH D 20" xfId="31143"/>
    <cellStyle name="_VC 6.15.06 update on 06GRC power costs.xls Chart 3_4 31E Reg Asset  Liab and EXH D 20 2" xfId="31144"/>
    <cellStyle name="_VC 6.15.06 update on 06GRC power costs.xls Chart 3_4 31E Reg Asset  Liab and EXH D 21" xfId="31145"/>
    <cellStyle name="_VC 6.15.06 update on 06GRC power costs.xls Chart 3_4 31E Reg Asset  Liab and EXH D 21 2" xfId="31146"/>
    <cellStyle name="_VC 6.15.06 update on 06GRC power costs.xls Chart 3_4 31E Reg Asset  Liab and EXH D 22" xfId="31147"/>
    <cellStyle name="_VC 6.15.06 update on 06GRC power costs.xls Chart 3_4 31E Reg Asset  Liab and EXH D 22 2" xfId="31148"/>
    <cellStyle name="_VC 6.15.06 update on 06GRC power costs.xls Chart 3_4 31E Reg Asset  Liab and EXH D 23" xfId="31149"/>
    <cellStyle name="_VC 6.15.06 update on 06GRC power costs.xls Chart 3_4 31E Reg Asset  Liab and EXH D 23 2" xfId="31150"/>
    <cellStyle name="_VC 6.15.06 update on 06GRC power costs.xls Chart 3_4 31E Reg Asset  Liab and EXH D 24" xfId="31151"/>
    <cellStyle name="_VC 6.15.06 update on 06GRC power costs.xls Chart 3_4 31E Reg Asset  Liab and EXH D 24 2" xfId="31152"/>
    <cellStyle name="_VC 6.15.06 update on 06GRC power costs.xls Chart 3_4 31E Reg Asset  Liab and EXH D 25" xfId="31153"/>
    <cellStyle name="_VC 6.15.06 update on 06GRC power costs.xls Chart 3_4 31E Reg Asset  Liab and EXH D 25 2" xfId="31154"/>
    <cellStyle name="_VC 6.15.06 update on 06GRC power costs.xls Chart 3_4 31E Reg Asset  Liab and EXH D 26" xfId="31155"/>
    <cellStyle name="_VC 6.15.06 update on 06GRC power costs.xls Chart 3_4 31E Reg Asset  Liab and EXH D 26 2" xfId="31156"/>
    <cellStyle name="_VC 6.15.06 update on 06GRC power costs.xls Chart 3_4 31E Reg Asset  Liab and EXH D 27" xfId="31157"/>
    <cellStyle name="_VC 6.15.06 update on 06GRC power costs.xls Chart 3_4 31E Reg Asset  Liab and EXH D 27 2" xfId="31158"/>
    <cellStyle name="_VC 6.15.06 update on 06GRC power costs.xls Chart 3_4 31E Reg Asset  Liab and EXH D 28" xfId="31159"/>
    <cellStyle name="_VC 6.15.06 update on 06GRC power costs.xls Chart 3_4 31E Reg Asset  Liab and EXH D 28 2" xfId="31160"/>
    <cellStyle name="_VC 6.15.06 update on 06GRC power costs.xls Chart 3_4 31E Reg Asset  Liab and EXH D 29" xfId="31161"/>
    <cellStyle name="_VC 6.15.06 update on 06GRC power costs.xls Chart 3_4 31E Reg Asset  Liab and EXH D 29 2" xfId="31162"/>
    <cellStyle name="_VC 6.15.06 update on 06GRC power costs.xls Chart 3_4 31E Reg Asset  Liab and EXH D 3" xfId="31163"/>
    <cellStyle name="_VC 6.15.06 update on 06GRC power costs.xls Chart 3_4 31E Reg Asset  Liab and EXH D 3 2" xfId="31164"/>
    <cellStyle name="_VC 6.15.06 update on 06GRC power costs.xls Chart 3_4 31E Reg Asset  Liab and EXH D 3 2 2" xfId="31165"/>
    <cellStyle name="_VC 6.15.06 update on 06GRC power costs.xls Chart 3_4 31E Reg Asset  Liab and EXH D 3 3" xfId="31166"/>
    <cellStyle name="_VC 6.15.06 update on 06GRC power costs.xls Chart 3_4 31E Reg Asset  Liab and EXH D 30" xfId="31167"/>
    <cellStyle name="_VC 6.15.06 update on 06GRC power costs.xls Chart 3_4 31E Reg Asset  Liab and EXH D 30 2" xfId="31168"/>
    <cellStyle name="_VC 6.15.06 update on 06GRC power costs.xls Chart 3_4 31E Reg Asset  Liab and EXH D 4" xfId="31169"/>
    <cellStyle name="_VC 6.15.06 update on 06GRC power costs.xls Chart 3_4 31E Reg Asset  Liab and EXH D 4 2" xfId="31170"/>
    <cellStyle name="_VC 6.15.06 update on 06GRC power costs.xls Chart 3_4 31E Reg Asset  Liab and EXH D 4 2 2" xfId="31171"/>
    <cellStyle name="_VC 6.15.06 update on 06GRC power costs.xls Chart 3_4 31E Reg Asset  Liab and EXH D 5" xfId="31172"/>
    <cellStyle name="_VC 6.15.06 update on 06GRC power costs.xls Chart 3_4 31E Reg Asset  Liab and EXH D 5 2" xfId="31173"/>
    <cellStyle name="_VC 6.15.06 update on 06GRC power costs.xls Chart 3_4 31E Reg Asset  Liab and EXH D 5 2 2" xfId="31174"/>
    <cellStyle name="_VC 6.15.06 update on 06GRC power costs.xls Chart 3_4 31E Reg Asset  Liab and EXH D 6" xfId="31175"/>
    <cellStyle name="_VC 6.15.06 update on 06GRC power costs.xls Chart 3_4 31E Reg Asset  Liab and EXH D 6 2" xfId="31176"/>
    <cellStyle name="_VC 6.15.06 update on 06GRC power costs.xls Chart 3_4 31E Reg Asset  Liab and EXH D 6 2 2" xfId="31177"/>
    <cellStyle name="_VC 6.15.06 update on 06GRC power costs.xls Chart 3_4 31E Reg Asset  Liab and EXH D 6 3" xfId="31178"/>
    <cellStyle name="_VC 6.15.06 update on 06GRC power costs.xls Chart 3_4 31E Reg Asset  Liab and EXH D 7" xfId="31179"/>
    <cellStyle name="_VC 6.15.06 update on 06GRC power costs.xls Chart 3_4 31E Reg Asset  Liab and EXH D 7 2" xfId="31180"/>
    <cellStyle name="_VC 6.15.06 update on 06GRC power costs.xls Chart 3_4 31E Reg Asset  Liab and EXH D 7 2 2" xfId="31181"/>
    <cellStyle name="_VC 6.15.06 update on 06GRC power costs.xls Chart 3_4 31E Reg Asset  Liab and EXH D 7 3" xfId="31182"/>
    <cellStyle name="_VC 6.15.06 update on 06GRC power costs.xls Chart 3_4 31E Reg Asset  Liab and EXH D 8" xfId="31183"/>
    <cellStyle name="_VC 6.15.06 update on 06GRC power costs.xls Chart 3_4 31E Reg Asset  Liab and EXH D 8 2" xfId="31184"/>
    <cellStyle name="_VC 6.15.06 update on 06GRC power costs.xls Chart 3_4 31E Reg Asset  Liab and EXH D 8 2 2" xfId="31185"/>
    <cellStyle name="_VC 6.15.06 update on 06GRC power costs.xls Chart 3_4 31E Reg Asset  Liab and EXH D 8 3" xfId="31186"/>
    <cellStyle name="_VC 6.15.06 update on 06GRC power costs.xls Chart 3_4 31E Reg Asset  Liab and EXH D 9" xfId="31187"/>
    <cellStyle name="_VC 6.15.06 update on 06GRC power costs.xls Chart 3_4 31E Reg Asset  Liab and EXH D 9 2" xfId="31188"/>
    <cellStyle name="_VC 6.15.06 update on 06GRC power costs.xls Chart 3_4 31E Reg Asset  Liab and EXH D 9 2 2" xfId="31189"/>
    <cellStyle name="_VC 6.15.06 update on 06GRC power costs.xls Chart 3_4 31E Reg Asset  Liab and EXH D 9 3" xfId="31190"/>
    <cellStyle name="_VC 6.15.06 update on 06GRC power costs.xls Chart 3_4 32 Regulatory Assets and Liabilities  7 06- Exhibit D" xfId="2398"/>
    <cellStyle name="_VC 6.15.06 update on 06GRC power costs.xls Chart 3_4 32 Regulatory Assets and Liabilities  7 06- Exhibit D 2" xfId="2399"/>
    <cellStyle name="_VC 6.15.06 update on 06GRC power costs.xls Chart 3_4 32 Regulatory Assets and Liabilities  7 06- Exhibit D 2 2" xfId="5762"/>
    <cellStyle name="_VC 6.15.06 update on 06GRC power costs.xls Chart 3_4 32 Regulatory Assets and Liabilities  7 06- Exhibit D 2 2 2" xfId="21753"/>
    <cellStyle name="_VC 6.15.06 update on 06GRC power costs.xls Chart 3_4 32 Regulatory Assets and Liabilities  7 06- Exhibit D 2 2 2 2" xfId="31191"/>
    <cellStyle name="_VC 6.15.06 update on 06GRC power costs.xls Chart 3_4 32 Regulatory Assets and Liabilities  7 06- Exhibit D 2 2 3" xfId="8883"/>
    <cellStyle name="_VC 6.15.06 update on 06GRC power costs.xls Chart 3_4 32 Regulatory Assets and Liabilities  7 06- Exhibit D 2 3" xfId="17256"/>
    <cellStyle name="_VC 6.15.06 update on 06GRC power costs.xls Chart 3_4 32 Regulatory Assets and Liabilities  7 06- Exhibit D 2 3 2" xfId="31192"/>
    <cellStyle name="_VC 6.15.06 update on 06GRC power costs.xls Chart 3_4 32 Regulatory Assets and Liabilities  7 06- Exhibit D 2 4" xfId="31193"/>
    <cellStyle name="_VC 6.15.06 update on 06GRC power costs.xls Chart 3_4 32 Regulatory Assets and Liabilities  7 06- Exhibit D 2 4 2" xfId="31194"/>
    <cellStyle name="_VC 6.15.06 update on 06GRC power costs.xls Chart 3_4 32 Regulatory Assets and Liabilities  7 06- Exhibit D 2 5" xfId="8882"/>
    <cellStyle name="_VC 6.15.06 update on 06GRC power costs.xls Chart 3_4 32 Regulatory Assets and Liabilities  7 06- Exhibit D 3" xfId="5761"/>
    <cellStyle name="_VC 6.15.06 update on 06GRC power costs.xls Chart 3_4 32 Regulatory Assets and Liabilities  7 06- Exhibit D 3 2" xfId="21754"/>
    <cellStyle name="_VC 6.15.06 update on 06GRC power costs.xls Chart 3_4 32 Regulatory Assets and Liabilities  7 06- Exhibit D 3 2 2" xfId="31195"/>
    <cellStyle name="_VC 6.15.06 update on 06GRC power costs.xls Chart 3_4 32 Regulatory Assets and Liabilities  7 06- Exhibit D 3 3" xfId="31196"/>
    <cellStyle name="_VC 6.15.06 update on 06GRC power costs.xls Chart 3_4 32 Regulatory Assets and Liabilities  7 06- Exhibit D 3 4" xfId="8884"/>
    <cellStyle name="_VC 6.15.06 update on 06GRC power costs.xls Chart 3_4 32 Regulatory Assets and Liabilities  7 06- Exhibit D 4" xfId="17255"/>
    <cellStyle name="_VC 6.15.06 update on 06GRC power costs.xls Chart 3_4 32 Regulatory Assets and Liabilities  7 06- Exhibit D 4 2" xfId="31197"/>
    <cellStyle name="_VC 6.15.06 update on 06GRC power costs.xls Chart 3_4 32 Regulatory Assets and Liabilities  7 06- Exhibit D 4 2 2" xfId="31198"/>
    <cellStyle name="_VC 6.15.06 update on 06GRC power costs.xls Chart 3_4 32 Regulatory Assets and Liabilities  7 06- Exhibit D 4 3" xfId="31199"/>
    <cellStyle name="_VC 6.15.06 update on 06GRC power costs.xls Chart 3_4 32 Regulatory Assets and Liabilities  7 06- Exhibit D 5" xfId="31200"/>
    <cellStyle name="_VC 6.15.06 update on 06GRC power costs.xls Chart 3_4 32 Regulatory Assets and Liabilities  7 06- Exhibit D 5 2" xfId="31201"/>
    <cellStyle name="_VC 6.15.06 update on 06GRC power costs.xls Chart 3_4 32 Regulatory Assets and Liabilities  7 06- Exhibit D 6" xfId="31202"/>
    <cellStyle name="_VC 6.15.06 update on 06GRC power costs.xls Chart 3_4 32 Regulatory Assets and Liabilities  7 06- Exhibit D 6 2" xfId="31203"/>
    <cellStyle name="_VC 6.15.06 update on 06GRC power costs.xls Chart 3_4 32 Regulatory Assets and Liabilities  7 06- Exhibit D 7" xfId="8881"/>
    <cellStyle name="_VC 6.15.06 update on 06GRC power costs.xls Chart 3_4 32 Regulatory Assets and Liabilities  7 06- Exhibit D_DEM-WP(C) ENERG10C--ctn Mid-C_042010 2010GRC" xfId="13193"/>
    <cellStyle name="_VC 6.15.06 update on 06GRC power costs.xls Chart 3_4 32 Regulatory Assets and Liabilities  7 06- Exhibit D_DEM-WP(C) ENERG10C--ctn Mid-C_042010 2010GRC 2" xfId="42019"/>
    <cellStyle name="_VC 6.15.06 update on 06GRC power costs.xls Chart 3_4 32 Regulatory Assets and Liabilities  7 06- Exhibit D_NIM Summary" xfId="2400"/>
    <cellStyle name="_VC 6.15.06 update on 06GRC power costs.xls Chart 3_4 32 Regulatory Assets and Liabilities  7 06- Exhibit D_NIM Summary 2" xfId="2401"/>
    <cellStyle name="_VC 6.15.06 update on 06GRC power costs.xls Chart 3_4 32 Regulatory Assets and Liabilities  7 06- Exhibit D_NIM Summary 2 2" xfId="5764"/>
    <cellStyle name="_VC 6.15.06 update on 06GRC power costs.xls Chart 3_4 32 Regulatory Assets and Liabilities  7 06- Exhibit D_NIM Summary 2 2 2" xfId="31204"/>
    <cellStyle name="_VC 6.15.06 update on 06GRC power costs.xls Chart 3_4 32 Regulatory Assets and Liabilities  7 06- Exhibit D_NIM Summary 2 2 2 2" xfId="31205"/>
    <cellStyle name="_VC 6.15.06 update on 06GRC power costs.xls Chart 3_4 32 Regulatory Assets and Liabilities  7 06- Exhibit D_NIM Summary 2 3" xfId="31206"/>
    <cellStyle name="_VC 6.15.06 update on 06GRC power costs.xls Chart 3_4 32 Regulatory Assets and Liabilities  7 06- Exhibit D_NIM Summary 2 3 2" xfId="31207"/>
    <cellStyle name="_VC 6.15.06 update on 06GRC power costs.xls Chart 3_4 32 Regulatory Assets and Liabilities  7 06- Exhibit D_NIM Summary 2 4" xfId="31208"/>
    <cellStyle name="_VC 6.15.06 update on 06GRC power costs.xls Chart 3_4 32 Regulatory Assets and Liabilities  7 06- Exhibit D_NIM Summary 2 4 2" xfId="31209"/>
    <cellStyle name="_VC 6.15.06 update on 06GRC power costs.xls Chart 3_4 32 Regulatory Assets and Liabilities  7 06- Exhibit D_NIM Summary 2 5" xfId="8886"/>
    <cellStyle name="_VC 6.15.06 update on 06GRC power costs.xls Chart 3_4 32 Regulatory Assets and Liabilities  7 06- Exhibit D_NIM Summary 3" xfId="5763"/>
    <cellStyle name="_VC 6.15.06 update on 06GRC power costs.xls Chart 3_4 32 Regulatory Assets and Liabilities  7 06- Exhibit D_NIM Summary 3 2" xfId="31210"/>
    <cellStyle name="_VC 6.15.06 update on 06GRC power costs.xls Chart 3_4 32 Regulatory Assets and Liabilities  7 06- Exhibit D_NIM Summary 3 2 2" xfId="31211"/>
    <cellStyle name="_VC 6.15.06 update on 06GRC power costs.xls Chart 3_4 32 Regulatory Assets and Liabilities  7 06- Exhibit D_NIM Summary 3 3" xfId="31212"/>
    <cellStyle name="_VC 6.15.06 update on 06GRC power costs.xls Chart 3_4 32 Regulatory Assets and Liabilities  7 06- Exhibit D_NIM Summary 4" xfId="31213"/>
    <cellStyle name="_VC 6.15.06 update on 06GRC power costs.xls Chart 3_4 32 Regulatory Assets and Liabilities  7 06- Exhibit D_NIM Summary 4 2" xfId="31214"/>
    <cellStyle name="_VC 6.15.06 update on 06GRC power costs.xls Chart 3_4 32 Regulatory Assets and Liabilities  7 06- Exhibit D_NIM Summary 4 2 2" xfId="31215"/>
    <cellStyle name="_VC 6.15.06 update on 06GRC power costs.xls Chart 3_4 32 Regulatory Assets and Liabilities  7 06- Exhibit D_NIM Summary 4 3" xfId="31216"/>
    <cellStyle name="_VC 6.15.06 update on 06GRC power costs.xls Chart 3_4 32 Regulatory Assets and Liabilities  7 06- Exhibit D_NIM Summary 5" xfId="31217"/>
    <cellStyle name="_VC 6.15.06 update on 06GRC power costs.xls Chart 3_4 32 Regulatory Assets and Liabilities  7 06- Exhibit D_NIM Summary 5 2" xfId="31218"/>
    <cellStyle name="_VC 6.15.06 update on 06GRC power costs.xls Chart 3_4 32 Regulatory Assets and Liabilities  7 06- Exhibit D_NIM Summary 6" xfId="31219"/>
    <cellStyle name="_VC 6.15.06 update on 06GRC power costs.xls Chart 3_4 32 Regulatory Assets and Liabilities  7 06- Exhibit D_NIM Summary 6 2" xfId="31220"/>
    <cellStyle name="_VC 6.15.06 update on 06GRC power costs.xls Chart 3_4 32 Regulatory Assets and Liabilities  7 06- Exhibit D_NIM Summary 7" xfId="8885"/>
    <cellStyle name="_VC 6.15.06 update on 06GRC power costs.xls Chart 3_4 32 Regulatory Assets and Liabilities  7 06- Exhibit D_NIM Summary_DEM-WP(C) ENERG10C--ctn Mid-C_042010 2010GRC" xfId="13194"/>
    <cellStyle name="_VC 6.15.06 update on 06GRC power costs.xls Chart 3_4 32 Regulatory Assets and Liabilities  7 06- Exhibit D_NIM Summary_DEM-WP(C) ENERG10C--ctn Mid-C_042010 2010GRC 2" xfId="42020"/>
    <cellStyle name="_VC 6.15.06 update on 06GRC power costs.xls Chart 3_AURORA Total New" xfId="2402"/>
    <cellStyle name="_VC 6.15.06 update on 06GRC power costs.xls Chart 3_AURORA Total New 2" xfId="2403"/>
    <cellStyle name="_VC 6.15.06 update on 06GRC power costs.xls Chart 3_AURORA Total New 2 2" xfId="5766"/>
    <cellStyle name="_VC 6.15.06 update on 06GRC power costs.xls Chart 3_AURORA Total New 2 2 2" xfId="31221"/>
    <cellStyle name="_VC 6.15.06 update on 06GRC power costs.xls Chart 3_AURORA Total New 2 2 2 2" xfId="31222"/>
    <cellStyle name="_VC 6.15.06 update on 06GRC power costs.xls Chart 3_AURORA Total New 2 3" xfId="31223"/>
    <cellStyle name="_VC 6.15.06 update on 06GRC power costs.xls Chart 3_AURORA Total New 2 3 2" xfId="31224"/>
    <cellStyle name="_VC 6.15.06 update on 06GRC power costs.xls Chart 3_AURORA Total New 2 4" xfId="31225"/>
    <cellStyle name="_VC 6.15.06 update on 06GRC power costs.xls Chart 3_AURORA Total New 2 4 2" xfId="31226"/>
    <cellStyle name="_VC 6.15.06 update on 06GRC power costs.xls Chart 3_AURORA Total New 2 5" xfId="8888"/>
    <cellStyle name="_VC 6.15.06 update on 06GRC power costs.xls Chart 3_AURORA Total New 3" xfId="5765"/>
    <cellStyle name="_VC 6.15.06 update on 06GRC power costs.xls Chart 3_AURORA Total New 3 2" xfId="31227"/>
    <cellStyle name="_VC 6.15.06 update on 06GRC power costs.xls Chart 3_AURORA Total New 3 2 2" xfId="31228"/>
    <cellStyle name="_VC 6.15.06 update on 06GRC power costs.xls Chart 3_AURORA Total New 4" xfId="31229"/>
    <cellStyle name="_VC 6.15.06 update on 06GRC power costs.xls Chart 3_AURORA Total New 4 2" xfId="31230"/>
    <cellStyle name="_VC 6.15.06 update on 06GRC power costs.xls Chart 3_AURORA Total New 5" xfId="31231"/>
    <cellStyle name="_VC 6.15.06 update on 06GRC power costs.xls Chart 3_AURORA Total New 5 2" xfId="31232"/>
    <cellStyle name="_VC 6.15.06 update on 06GRC power costs.xls Chart 3_AURORA Total New 6" xfId="8887"/>
    <cellStyle name="_VC 6.15.06 update on 06GRC power costs.xls Chart 3_Book2" xfId="2404"/>
    <cellStyle name="_VC 6.15.06 update on 06GRC power costs.xls Chart 3_Book2 2" xfId="2405"/>
    <cellStyle name="_VC 6.15.06 update on 06GRC power costs.xls Chart 3_Book2 2 2" xfId="5768"/>
    <cellStyle name="_VC 6.15.06 update on 06GRC power costs.xls Chart 3_Book2 2 2 2" xfId="21755"/>
    <cellStyle name="_VC 6.15.06 update on 06GRC power costs.xls Chart 3_Book2 2 2 2 2" xfId="31233"/>
    <cellStyle name="_VC 6.15.06 update on 06GRC power costs.xls Chart 3_Book2 2 2 3" xfId="8891"/>
    <cellStyle name="_VC 6.15.06 update on 06GRC power costs.xls Chart 3_Book2 2 3" xfId="17258"/>
    <cellStyle name="_VC 6.15.06 update on 06GRC power costs.xls Chart 3_Book2 2 3 2" xfId="31234"/>
    <cellStyle name="_VC 6.15.06 update on 06GRC power costs.xls Chart 3_Book2 2 4" xfId="31235"/>
    <cellStyle name="_VC 6.15.06 update on 06GRC power costs.xls Chart 3_Book2 2 4 2" xfId="31236"/>
    <cellStyle name="_VC 6.15.06 update on 06GRC power costs.xls Chart 3_Book2 2 5" xfId="8890"/>
    <cellStyle name="_VC 6.15.06 update on 06GRC power costs.xls Chart 3_Book2 3" xfId="5767"/>
    <cellStyle name="_VC 6.15.06 update on 06GRC power costs.xls Chart 3_Book2 3 2" xfId="21756"/>
    <cellStyle name="_VC 6.15.06 update on 06GRC power costs.xls Chart 3_Book2 3 2 2" xfId="31237"/>
    <cellStyle name="_VC 6.15.06 update on 06GRC power costs.xls Chart 3_Book2 3 3" xfId="31238"/>
    <cellStyle name="_VC 6.15.06 update on 06GRC power costs.xls Chart 3_Book2 3 4" xfId="8892"/>
    <cellStyle name="_VC 6.15.06 update on 06GRC power costs.xls Chart 3_Book2 4" xfId="17257"/>
    <cellStyle name="_VC 6.15.06 update on 06GRC power costs.xls Chart 3_Book2 4 2" xfId="31239"/>
    <cellStyle name="_VC 6.15.06 update on 06GRC power costs.xls Chart 3_Book2 4 2 2" xfId="31240"/>
    <cellStyle name="_VC 6.15.06 update on 06GRC power costs.xls Chart 3_Book2 4 3" xfId="31241"/>
    <cellStyle name="_VC 6.15.06 update on 06GRC power costs.xls Chart 3_Book2 5" xfId="31242"/>
    <cellStyle name="_VC 6.15.06 update on 06GRC power costs.xls Chart 3_Book2 5 2" xfId="31243"/>
    <cellStyle name="_VC 6.15.06 update on 06GRC power costs.xls Chart 3_Book2 6" xfId="31244"/>
    <cellStyle name="_VC 6.15.06 update on 06GRC power costs.xls Chart 3_Book2 6 2" xfId="31245"/>
    <cellStyle name="_VC 6.15.06 update on 06GRC power costs.xls Chart 3_Book2 7" xfId="8889"/>
    <cellStyle name="_VC 6.15.06 update on 06GRC power costs.xls Chart 3_Book2_Adj Bench DR 3 for Initial Briefs (Electric)" xfId="2406"/>
    <cellStyle name="_VC 6.15.06 update on 06GRC power costs.xls Chart 3_Book2_Adj Bench DR 3 for Initial Briefs (Electric) 2" xfId="2407"/>
    <cellStyle name="_VC 6.15.06 update on 06GRC power costs.xls Chart 3_Book2_Adj Bench DR 3 for Initial Briefs (Electric) 2 2" xfId="5770"/>
    <cellStyle name="_VC 6.15.06 update on 06GRC power costs.xls Chart 3_Book2_Adj Bench DR 3 for Initial Briefs (Electric) 2 2 2" xfId="21757"/>
    <cellStyle name="_VC 6.15.06 update on 06GRC power costs.xls Chart 3_Book2_Adj Bench DR 3 for Initial Briefs (Electric) 2 2 2 2" xfId="31246"/>
    <cellStyle name="_VC 6.15.06 update on 06GRC power costs.xls Chart 3_Book2_Adj Bench DR 3 for Initial Briefs (Electric) 2 2 3" xfId="8895"/>
    <cellStyle name="_VC 6.15.06 update on 06GRC power costs.xls Chart 3_Book2_Adj Bench DR 3 for Initial Briefs (Electric) 2 3" xfId="17260"/>
    <cellStyle name="_VC 6.15.06 update on 06GRC power costs.xls Chart 3_Book2_Adj Bench DR 3 for Initial Briefs (Electric) 2 3 2" xfId="31247"/>
    <cellStyle name="_VC 6.15.06 update on 06GRC power costs.xls Chart 3_Book2_Adj Bench DR 3 for Initial Briefs (Electric) 2 4" xfId="31248"/>
    <cellStyle name="_VC 6.15.06 update on 06GRC power costs.xls Chart 3_Book2_Adj Bench DR 3 for Initial Briefs (Electric) 2 4 2" xfId="31249"/>
    <cellStyle name="_VC 6.15.06 update on 06GRC power costs.xls Chart 3_Book2_Adj Bench DR 3 for Initial Briefs (Electric) 2 5" xfId="8894"/>
    <cellStyle name="_VC 6.15.06 update on 06GRC power costs.xls Chart 3_Book2_Adj Bench DR 3 for Initial Briefs (Electric) 3" xfId="5769"/>
    <cellStyle name="_VC 6.15.06 update on 06GRC power costs.xls Chart 3_Book2_Adj Bench DR 3 for Initial Briefs (Electric) 3 2" xfId="21758"/>
    <cellStyle name="_VC 6.15.06 update on 06GRC power costs.xls Chart 3_Book2_Adj Bench DR 3 for Initial Briefs (Electric) 3 2 2" xfId="31250"/>
    <cellStyle name="_VC 6.15.06 update on 06GRC power costs.xls Chart 3_Book2_Adj Bench DR 3 for Initial Briefs (Electric) 3 3" xfId="31251"/>
    <cellStyle name="_VC 6.15.06 update on 06GRC power costs.xls Chart 3_Book2_Adj Bench DR 3 for Initial Briefs (Electric) 3 4" xfId="8896"/>
    <cellStyle name="_VC 6.15.06 update on 06GRC power costs.xls Chart 3_Book2_Adj Bench DR 3 for Initial Briefs (Electric) 4" xfId="17259"/>
    <cellStyle name="_VC 6.15.06 update on 06GRC power costs.xls Chart 3_Book2_Adj Bench DR 3 for Initial Briefs (Electric) 4 2" xfId="31252"/>
    <cellStyle name="_VC 6.15.06 update on 06GRC power costs.xls Chart 3_Book2_Adj Bench DR 3 for Initial Briefs (Electric) 4 2 2" xfId="31253"/>
    <cellStyle name="_VC 6.15.06 update on 06GRC power costs.xls Chart 3_Book2_Adj Bench DR 3 for Initial Briefs (Electric) 4 3" xfId="31254"/>
    <cellStyle name="_VC 6.15.06 update on 06GRC power costs.xls Chart 3_Book2_Adj Bench DR 3 for Initial Briefs (Electric) 5" xfId="31255"/>
    <cellStyle name="_VC 6.15.06 update on 06GRC power costs.xls Chart 3_Book2_Adj Bench DR 3 for Initial Briefs (Electric) 5 2" xfId="31256"/>
    <cellStyle name="_VC 6.15.06 update on 06GRC power costs.xls Chart 3_Book2_Adj Bench DR 3 for Initial Briefs (Electric) 6" xfId="31257"/>
    <cellStyle name="_VC 6.15.06 update on 06GRC power costs.xls Chart 3_Book2_Adj Bench DR 3 for Initial Briefs (Electric) 6 2" xfId="31258"/>
    <cellStyle name="_VC 6.15.06 update on 06GRC power costs.xls Chart 3_Book2_Adj Bench DR 3 for Initial Briefs (Electric) 7" xfId="8893"/>
    <cellStyle name="_VC 6.15.06 update on 06GRC power costs.xls Chart 3_Book2_Adj Bench DR 3 for Initial Briefs (Electric)_DEM-WP(C) ENERG10C--ctn Mid-C_042010 2010GRC" xfId="13195"/>
    <cellStyle name="_VC 6.15.06 update on 06GRC power costs.xls Chart 3_Book2_Adj Bench DR 3 for Initial Briefs (Electric)_DEM-WP(C) ENERG10C--ctn Mid-C_042010 2010GRC 2" xfId="42021"/>
    <cellStyle name="_VC 6.15.06 update on 06GRC power costs.xls Chart 3_Book2_DEM-WP(C) ENERG10C--ctn Mid-C_042010 2010GRC" xfId="13196"/>
    <cellStyle name="_VC 6.15.06 update on 06GRC power costs.xls Chart 3_Book2_DEM-WP(C) ENERG10C--ctn Mid-C_042010 2010GRC 2" xfId="42022"/>
    <cellStyle name="_VC 6.15.06 update on 06GRC power costs.xls Chart 3_Book2_Electric Rev Req Model (2009 GRC) Rebuttal" xfId="2408"/>
    <cellStyle name="_VC 6.15.06 update on 06GRC power costs.xls Chart 3_Book2_Electric Rev Req Model (2009 GRC) Rebuttal 2" xfId="5771"/>
    <cellStyle name="_VC 6.15.06 update on 06GRC power costs.xls Chart 3_Book2_Electric Rev Req Model (2009 GRC) Rebuttal 2 2" xfId="8899"/>
    <cellStyle name="_VC 6.15.06 update on 06GRC power costs.xls Chart 3_Book2_Electric Rev Req Model (2009 GRC) Rebuttal 2 2 2" xfId="21759"/>
    <cellStyle name="_VC 6.15.06 update on 06GRC power costs.xls Chart 3_Book2_Electric Rev Req Model (2009 GRC) Rebuttal 2 3" xfId="18806"/>
    <cellStyle name="_VC 6.15.06 update on 06GRC power costs.xls Chart 3_Book2_Electric Rev Req Model (2009 GRC) Rebuttal 2 4" xfId="8898"/>
    <cellStyle name="_VC 6.15.06 update on 06GRC power costs.xls Chart 3_Book2_Electric Rev Req Model (2009 GRC) Rebuttal 3" xfId="8900"/>
    <cellStyle name="_VC 6.15.06 update on 06GRC power costs.xls Chart 3_Book2_Electric Rev Req Model (2009 GRC) Rebuttal 3 2" xfId="21760"/>
    <cellStyle name="_VC 6.15.06 update on 06GRC power costs.xls Chart 3_Book2_Electric Rev Req Model (2009 GRC) Rebuttal 4" xfId="17261"/>
    <cellStyle name="_VC 6.15.06 update on 06GRC power costs.xls Chart 3_Book2_Electric Rev Req Model (2009 GRC) Rebuttal 5" xfId="8897"/>
    <cellStyle name="_VC 6.15.06 update on 06GRC power costs.xls Chart 3_Book2_Electric Rev Req Model (2009 GRC) Rebuttal REmoval of New  WH Solar AdjustMI" xfId="2409"/>
    <cellStyle name="_VC 6.15.06 update on 06GRC power costs.xls Chart 3_Book2_Electric Rev Req Model (2009 GRC) Rebuttal REmoval of New  WH Solar AdjustMI 2" xfId="2410"/>
    <cellStyle name="_VC 6.15.06 update on 06GRC power costs.xls Chart 3_Book2_Electric Rev Req Model (2009 GRC) Rebuttal REmoval of New  WH Solar AdjustMI 2 2" xfId="5773"/>
    <cellStyle name="_VC 6.15.06 update on 06GRC power costs.xls Chart 3_Book2_Electric Rev Req Model (2009 GRC) Rebuttal REmoval of New  WH Solar AdjustMI 2 2 2" xfId="21761"/>
    <cellStyle name="_VC 6.15.06 update on 06GRC power costs.xls Chart 3_Book2_Electric Rev Req Model (2009 GRC) Rebuttal REmoval of New  WH Solar AdjustMI 2 2 2 2" xfId="31259"/>
    <cellStyle name="_VC 6.15.06 update on 06GRC power costs.xls Chart 3_Book2_Electric Rev Req Model (2009 GRC) Rebuttal REmoval of New  WH Solar AdjustMI 2 2 3" xfId="8903"/>
    <cellStyle name="_VC 6.15.06 update on 06GRC power costs.xls Chart 3_Book2_Electric Rev Req Model (2009 GRC) Rebuttal REmoval of New  WH Solar AdjustMI 2 3" xfId="17263"/>
    <cellStyle name="_VC 6.15.06 update on 06GRC power costs.xls Chart 3_Book2_Electric Rev Req Model (2009 GRC) Rebuttal REmoval of New  WH Solar AdjustMI 2 3 2" xfId="31260"/>
    <cellStyle name="_VC 6.15.06 update on 06GRC power costs.xls Chart 3_Book2_Electric Rev Req Model (2009 GRC) Rebuttal REmoval of New  WH Solar AdjustMI 2 4" xfId="31261"/>
    <cellStyle name="_VC 6.15.06 update on 06GRC power costs.xls Chart 3_Book2_Electric Rev Req Model (2009 GRC) Rebuttal REmoval of New  WH Solar AdjustMI 2 4 2" xfId="31262"/>
    <cellStyle name="_VC 6.15.06 update on 06GRC power costs.xls Chart 3_Book2_Electric Rev Req Model (2009 GRC) Rebuttal REmoval of New  WH Solar AdjustMI 2 5" xfId="8902"/>
    <cellStyle name="_VC 6.15.06 update on 06GRC power costs.xls Chart 3_Book2_Electric Rev Req Model (2009 GRC) Rebuttal REmoval of New  WH Solar AdjustMI 3" xfId="5772"/>
    <cellStyle name="_VC 6.15.06 update on 06GRC power costs.xls Chart 3_Book2_Electric Rev Req Model (2009 GRC) Rebuttal REmoval of New  WH Solar AdjustMI 3 2" xfId="21762"/>
    <cellStyle name="_VC 6.15.06 update on 06GRC power costs.xls Chart 3_Book2_Electric Rev Req Model (2009 GRC) Rebuttal REmoval of New  WH Solar AdjustMI 3 2 2" xfId="31263"/>
    <cellStyle name="_VC 6.15.06 update on 06GRC power costs.xls Chart 3_Book2_Electric Rev Req Model (2009 GRC) Rebuttal REmoval of New  WH Solar AdjustMI 3 3" xfId="31264"/>
    <cellStyle name="_VC 6.15.06 update on 06GRC power costs.xls Chart 3_Book2_Electric Rev Req Model (2009 GRC) Rebuttal REmoval of New  WH Solar AdjustMI 3 4" xfId="8904"/>
    <cellStyle name="_VC 6.15.06 update on 06GRC power costs.xls Chart 3_Book2_Electric Rev Req Model (2009 GRC) Rebuttal REmoval of New  WH Solar AdjustMI 4" xfId="17262"/>
    <cellStyle name="_VC 6.15.06 update on 06GRC power costs.xls Chart 3_Book2_Electric Rev Req Model (2009 GRC) Rebuttal REmoval of New  WH Solar AdjustMI 4 2" xfId="31265"/>
    <cellStyle name="_VC 6.15.06 update on 06GRC power costs.xls Chart 3_Book2_Electric Rev Req Model (2009 GRC) Rebuttal REmoval of New  WH Solar AdjustMI 4 2 2" xfId="31266"/>
    <cellStyle name="_VC 6.15.06 update on 06GRC power costs.xls Chart 3_Book2_Electric Rev Req Model (2009 GRC) Rebuttal REmoval of New  WH Solar AdjustMI 4 3" xfId="31267"/>
    <cellStyle name="_VC 6.15.06 update on 06GRC power costs.xls Chart 3_Book2_Electric Rev Req Model (2009 GRC) Rebuttal REmoval of New  WH Solar AdjustMI 5" xfId="31268"/>
    <cellStyle name="_VC 6.15.06 update on 06GRC power costs.xls Chart 3_Book2_Electric Rev Req Model (2009 GRC) Rebuttal REmoval of New  WH Solar AdjustMI 5 2" xfId="31269"/>
    <cellStyle name="_VC 6.15.06 update on 06GRC power costs.xls Chart 3_Book2_Electric Rev Req Model (2009 GRC) Rebuttal REmoval of New  WH Solar AdjustMI 6" xfId="31270"/>
    <cellStyle name="_VC 6.15.06 update on 06GRC power costs.xls Chart 3_Book2_Electric Rev Req Model (2009 GRC) Rebuttal REmoval of New  WH Solar AdjustMI 6 2" xfId="31271"/>
    <cellStyle name="_VC 6.15.06 update on 06GRC power costs.xls Chart 3_Book2_Electric Rev Req Model (2009 GRC) Rebuttal REmoval of New  WH Solar AdjustMI 7" xfId="8901"/>
    <cellStyle name="_VC 6.15.06 update on 06GRC power costs.xls Chart 3_Book2_Electric Rev Req Model (2009 GRC) Rebuttal REmoval of New  WH Solar AdjustMI_DEM-WP(C) ENERG10C--ctn Mid-C_042010 2010GRC" xfId="13197"/>
    <cellStyle name="_VC 6.15.06 update on 06GRC power costs.xls Chart 3_Book2_Electric Rev Req Model (2009 GRC) Rebuttal REmoval of New  WH Solar AdjustMI_DEM-WP(C) ENERG10C--ctn Mid-C_042010 2010GRC 2" xfId="42023"/>
    <cellStyle name="_VC 6.15.06 update on 06GRC power costs.xls Chart 3_Book2_Electric Rev Req Model (2009 GRC) Revised 01-18-2010" xfId="2411"/>
    <cellStyle name="_VC 6.15.06 update on 06GRC power costs.xls Chart 3_Book2_Electric Rev Req Model (2009 GRC) Revised 01-18-2010 2" xfId="2412"/>
    <cellStyle name="_VC 6.15.06 update on 06GRC power costs.xls Chart 3_Book2_Electric Rev Req Model (2009 GRC) Revised 01-18-2010 2 2" xfId="5775"/>
    <cellStyle name="_VC 6.15.06 update on 06GRC power costs.xls Chart 3_Book2_Electric Rev Req Model (2009 GRC) Revised 01-18-2010 2 2 2" xfId="21763"/>
    <cellStyle name="_VC 6.15.06 update on 06GRC power costs.xls Chart 3_Book2_Electric Rev Req Model (2009 GRC) Revised 01-18-2010 2 2 2 2" xfId="31272"/>
    <cellStyle name="_VC 6.15.06 update on 06GRC power costs.xls Chart 3_Book2_Electric Rev Req Model (2009 GRC) Revised 01-18-2010 2 2 3" xfId="8907"/>
    <cellStyle name="_VC 6.15.06 update on 06GRC power costs.xls Chart 3_Book2_Electric Rev Req Model (2009 GRC) Revised 01-18-2010 2 3" xfId="17265"/>
    <cellStyle name="_VC 6.15.06 update on 06GRC power costs.xls Chart 3_Book2_Electric Rev Req Model (2009 GRC) Revised 01-18-2010 2 3 2" xfId="31273"/>
    <cellStyle name="_VC 6.15.06 update on 06GRC power costs.xls Chart 3_Book2_Electric Rev Req Model (2009 GRC) Revised 01-18-2010 2 4" xfId="31274"/>
    <cellStyle name="_VC 6.15.06 update on 06GRC power costs.xls Chart 3_Book2_Electric Rev Req Model (2009 GRC) Revised 01-18-2010 2 4 2" xfId="31275"/>
    <cellStyle name="_VC 6.15.06 update on 06GRC power costs.xls Chart 3_Book2_Electric Rev Req Model (2009 GRC) Revised 01-18-2010 2 5" xfId="8906"/>
    <cellStyle name="_VC 6.15.06 update on 06GRC power costs.xls Chart 3_Book2_Electric Rev Req Model (2009 GRC) Revised 01-18-2010 3" xfId="5774"/>
    <cellStyle name="_VC 6.15.06 update on 06GRC power costs.xls Chart 3_Book2_Electric Rev Req Model (2009 GRC) Revised 01-18-2010 3 2" xfId="21764"/>
    <cellStyle name="_VC 6.15.06 update on 06GRC power costs.xls Chart 3_Book2_Electric Rev Req Model (2009 GRC) Revised 01-18-2010 3 2 2" xfId="31276"/>
    <cellStyle name="_VC 6.15.06 update on 06GRC power costs.xls Chart 3_Book2_Electric Rev Req Model (2009 GRC) Revised 01-18-2010 3 3" xfId="31277"/>
    <cellStyle name="_VC 6.15.06 update on 06GRC power costs.xls Chart 3_Book2_Electric Rev Req Model (2009 GRC) Revised 01-18-2010 3 4" xfId="8908"/>
    <cellStyle name="_VC 6.15.06 update on 06GRC power costs.xls Chart 3_Book2_Electric Rev Req Model (2009 GRC) Revised 01-18-2010 4" xfId="17264"/>
    <cellStyle name="_VC 6.15.06 update on 06GRC power costs.xls Chart 3_Book2_Electric Rev Req Model (2009 GRC) Revised 01-18-2010 4 2" xfId="31278"/>
    <cellStyle name="_VC 6.15.06 update on 06GRC power costs.xls Chart 3_Book2_Electric Rev Req Model (2009 GRC) Revised 01-18-2010 4 2 2" xfId="31279"/>
    <cellStyle name="_VC 6.15.06 update on 06GRC power costs.xls Chart 3_Book2_Electric Rev Req Model (2009 GRC) Revised 01-18-2010 4 3" xfId="31280"/>
    <cellStyle name="_VC 6.15.06 update on 06GRC power costs.xls Chart 3_Book2_Electric Rev Req Model (2009 GRC) Revised 01-18-2010 5" xfId="31281"/>
    <cellStyle name="_VC 6.15.06 update on 06GRC power costs.xls Chart 3_Book2_Electric Rev Req Model (2009 GRC) Revised 01-18-2010 5 2" xfId="31282"/>
    <cellStyle name="_VC 6.15.06 update on 06GRC power costs.xls Chart 3_Book2_Electric Rev Req Model (2009 GRC) Revised 01-18-2010 6" xfId="31283"/>
    <cellStyle name="_VC 6.15.06 update on 06GRC power costs.xls Chart 3_Book2_Electric Rev Req Model (2009 GRC) Revised 01-18-2010 6 2" xfId="31284"/>
    <cellStyle name="_VC 6.15.06 update on 06GRC power costs.xls Chart 3_Book2_Electric Rev Req Model (2009 GRC) Revised 01-18-2010 7" xfId="8905"/>
    <cellStyle name="_VC 6.15.06 update on 06GRC power costs.xls Chart 3_Book2_Electric Rev Req Model (2009 GRC) Revised 01-18-2010_DEM-WP(C) ENERG10C--ctn Mid-C_042010 2010GRC" xfId="13198"/>
    <cellStyle name="_VC 6.15.06 update on 06GRC power costs.xls Chart 3_Book2_Electric Rev Req Model (2009 GRC) Revised 01-18-2010_DEM-WP(C) ENERG10C--ctn Mid-C_042010 2010GRC 2" xfId="42024"/>
    <cellStyle name="_VC 6.15.06 update on 06GRC power costs.xls Chart 3_Book2_Final Order Electric EXHIBIT A-1" xfId="2413"/>
    <cellStyle name="_VC 6.15.06 update on 06GRC power costs.xls Chart 3_Book2_Final Order Electric EXHIBIT A-1 2" xfId="5776"/>
    <cellStyle name="_VC 6.15.06 update on 06GRC power costs.xls Chart 3_Book2_Final Order Electric EXHIBIT A-1 2 2" xfId="8911"/>
    <cellStyle name="_VC 6.15.06 update on 06GRC power costs.xls Chart 3_Book2_Final Order Electric EXHIBIT A-1 2 2 2" xfId="21765"/>
    <cellStyle name="_VC 6.15.06 update on 06GRC power costs.xls Chart 3_Book2_Final Order Electric EXHIBIT A-1 2 3" xfId="18807"/>
    <cellStyle name="_VC 6.15.06 update on 06GRC power costs.xls Chart 3_Book2_Final Order Electric EXHIBIT A-1 2 4" xfId="8910"/>
    <cellStyle name="_VC 6.15.06 update on 06GRC power costs.xls Chart 3_Book2_Final Order Electric EXHIBIT A-1 3" xfId="8912"/>
    <cellStyle name="_VC 6.15.06 update on 06GRC power costs.xls Chart 3_Book2_Final Order Electric EXHIBIT A-1 3 2" xfId="21766"/>
    <cellStyle name="_VC 6.15.06 update on 06GRC power costs.xls Chart 3_Book2_Final Order Electric EXHIBIT A-1 3 2 2" xfId="31285"/>
    <cellStyle name="_VC 6.15.06 update on 06GRC power costs.xls Chart 3_Book2_Final Order Electric EXHIBIT A-1 3 3" xfId="31286"/>
    <cellStyle name="_VC 6.15.06 update on 06GRC power costs.xls Chart 3_Book2_Final Order Electric EXHIBIT A-1 4" xfId="17266"/>
    <cellStyle name="_VC 6.15.06 update on 06GRC power costs.xls Chart 3_Book2_Final Order Electric EXHIBIT A-1 4 2" xfId="31287"/>
    <cellStyle name="_VC 6.15.06 update on 06GRC power costs.xls Chart 3_Book2_Final Order Electric EXHIBIT A-1 5" xfId="31288"/>
    <cellStyle name="_VC 6.15.06 update on 06GRC power costs.xls Chart 3_Book2_Final Order Electric EXHIBIT A-1 6" xfId="31289"/>
    <cellStyle name="_VC 6.15.06 update on 06GRC power costs.xls Chart 3_Book2_Final Order Electric EXHIBIT A-1 7" xfId="8909"/>
    <cellStyle name="_VC 6.15.06 update on 06GRC power costs.xls Chart 3_Book4" xfId="2414"/>
    <cellStyle name="_VC 6.15.06 update on 06GRC power costs.xls Chart 3_Book4 2" xfId="2415"/>
    <cellStyle name="_VC 6.15.06 update on 06GRC power costs.xls Chart 3_Book4 2 2" xfId="5778"/>
    <cellStyle name="_VC 6.15.06 update on 06GRC power costs.xls Chart 3_Book4 2 2 2" xfId="21767"/>
    <cellStyle name="_VC 6.15.06 update on 06GRC power costs.xls Chart 3_Book4 2 2 2 2" xfId="31290"/>
    <cellStyle name="_VC 6.15.06 update on 06GRC power costs.xls Chart 3_Book4 2 2 3" xfId="8915"/>
    <cellStyle name="_VC 6.15.06 update on 06GRC power costs.xls Chart 3_Book4 2 3" xfId="17268"/>
    <cellStyle name="_VC 6.15.06 update on 06GRC power costs.xls Chart 3_Book4 2 3 2" xfId="31291"/>
    <cellStyle name="_VC 6.15.06 update on 06GRC power costs.xls Chart 3_Book4 2 4" xfId="31292"/>
    <cellStyle name="_VC 6.15.06 update on 06GRC power costs.xls Chart 3_Book4 2 4 2" xfId="31293"/>
    <cellStyle name="_VC 6.15.06 update on 06GRC power costs.xls Chart 3_Book4 2 5" xfId="8914"/>
    <cellStyle name="_VC 6.15.06 update on 06GRC power costs.xls Chart 3_Book4 3" xfId="5777"/>
    <cellStyle name="_VC 6.15.06 update on 06GRC power costs.xls Chart 3_Book4 3 2" xfId="21768"/>
    <cellStyle name="_VC 6.15.06 update on 06GRC power costs.xls Chart 3_Book4 3 2 2" xfId="31294"/>
    <cellStyle name="_VC 6.15.06 update on 06GRC power costs.xls Chart 3_Book4 3 3" xfId="31295"/>
    <cellStyle name="_VC 6.15.06 update on 06GRC power costs.xls Chart 3_Book4 3 4" xfId="8916"/>
    <cellStyle name="_VC 6.15.06 update on 06GRC power costs.xls Chart 3_Book4 4" xfId="17267"/>
    <cellStyle name="_VC 6.15.06 update on 06GRC power costs.xls Chart 3_Book4 4 2" xfId="31296"/>
    <cellStyle name="_VC 6.15.06 update on 06GRC power costs.xls Chart 3_Book4 4 2 2" xfId="31297"/>
    <cellStyle name="_VC 6.15.06 update on 06GRC power costs.xls Chart 3_Book4 4 3" xfId="31298"/>
    <cellStyle name="_VC 6.15.06 update on 06GRC power costs.xls Chart 3_Book4 5" xfId="31299"/>
    <cellStyle name="_VC 6.15.06 update on 06GRC power costs.xls Chart 3_Book4 5 2" xfId="31300"/>
    <cellStyle name="_VC 6.15.06 update on 06GRC power costs.xls Chart 3_Book4 6" xfId="31301"/>
    <cellStyle name="_VC 6.15.06 update on 06GRC power costs.xls Chart 3_Book4 6 2" xfId="31302"/>
    <cellStyle name="_VC 6.15.06 update on 06GRC power costs.xls Chart 3_Book4 7" xfId="8913"/>
    <cellStyle name="_VC 6.15.06 update on 06GRC power costs.xls Chart 3_Book4_DEM-WP(C) ENERG10C--ctn Mid-C_042010 2010GRC" xfId="13199"/>
    <cellStyle name="_VC 6.15.06 update on 06GRC power costs.xls Chart 3_Book4_DEM-WP(C) ENERG10C--ctn Mid-C_042010 2010GRC 2" xfId="42025"/>
    <cellStyle name="_VC 6.15.06 update on 06GRC power costs.xls Chart 3_Book9" xfId="2416"/>
    <cellStyle name="_VC 6.15.06 update on 06GRC power costs.xls Chart 3_Book9 2" xfId="2417"/>
    <cellStyle name="_VC 6.15.06 update on 06GRC power costs.xls Chart 3_Book9 2 2" xfId="5780"/>
    <cellStyle name="_VC 6.15.06 update on 06GRC power costs.xls Chart 3_Book9 2 2 2" xfId="21769"/>
    <cellStyle name="_VC 6.15.06 update on 06GRC power costs.xls Chart 3_Book9 2 2 2 2" xfId="31303"/>
    <cellStyle name="_VC 6.15.06 update on 06GRC power costs.xls Chart 3_Book9 2 2 3" xfId="8919"/>
    <cellStyle name="_VC 6.15.06 update on 06GRC power costs.xls Chart 3_Book9 2 3" xfId="17270"/>
    <cellStyle name="_VC 6.15.06 update on 06GRC power costs.xls Chart 3_Book9 2 3 2" xfId="31304"/>
    <cellStyle name="_VC 6.15.06 update on 06GRC power costs.xls Chart 3_Book9 2 4" xfId="31305"/>
    <cellStyle name="_VC 6.15.06 update on 06GRC power costs.xls Chart 3_Book9 2 4 2" xfId="31306"/>
    <cellStyle name="_VC 6.15.06 update on 06GRC power costs.xls Chart 3_Book9 2 5" xfId="8918"/>
    <cellStyle name="_VC 6.15.06 update on 06GRC power costs.xls Chart 3_Book9 3" xfId="5779"/>
    <cellStyle name="_VC 6.15.06 update on 06GRC power costs.xls Chart 3_Book9 3 2" xfId="21770"/>
    <cellStyle name="_VC 6.15.06 update on 06GRC power costs.xls Chart 3_Book9 3 2 2" xfId="31307"/>
    <cellStyle name="_VC 6.15.06 update on 06GRC power costs.xls Chart 3_Book9 3 3" xfId="31308"/>
    <cellStyle name="_VC 6.15.06 update on 06GRC power costs.xls Chart 3_Book9 3 4" xfId="8920"/>
    <cellStyle name="_VC 6.15.06 update on 06GRC power costs.xls Chart 3_Book9 4" xfId="17269"/>
    <cellStyle name="_VC 6.15.06 update on 06GRC power costs.xls Chart 3_Book9 4 2" xfId="31309"/>
    <cellStyle name="_VC 6.15.06 update on 06GRC power costs.xls Chart 3_Book9 4 2 2" xfId="31310"/>
    <cellStyle name="_VC 6.15.06 update on 06GRC power costs.xls Chart 3_Book9 4 3" xfId="31311"/>
    <cellStyle name="_VC 6.15.06 update on 06GRC power costs.xls Chart 3_Book9 5" xfId="31312"/>
    <cellStyle name="_VC 6.15.06 update on 06GRC power costs.xls Chart 3_Book9 5 2" xfId="31313"/>
    <cellStyle name="_VC 6.15.06 update on 06GRC power costs.xls Chart 3_Book9 6" xfId="31314"/>
    <cellStyle name="_VC 6.15.06 update on 06GRC power costs.xls Chart 3_Book9 6 2" xfId="31315"/>
    <cellStyle name="_VC 6.15.06 update on 06GRC power costs.xls Chart 3_Book9 7" xfId="8917"/>
    <cellStyle name="_VC 6.15.06 update on 06GRC power costs.xls Chart 3_Book9_DEM-WP(C) ENERG10C--ctn Mid-C_042010 2010GRC" xfId="13200"/>
    <cellStyle name="_VC 6.15.06 update on 06GRC power costs.xls Chart 3_Book9_DEM-WP(C) ENERG10C--ctn Mid-C_042010 2010GRC 2" xfId="42026"/>
    <cellStyle name="_VC 6.15.06 update on 06GRC power costs.xls Chart 3_Chelan PUD Power Costs (8-10)" xfId="13201"/>
    <cellStyle name="_VC 6.15.06 update on 06GRC power costs.xls Chart 3_Chelan PUD Power Costs (8-10) 2" xfId="31316"/>
    <cellStyle name="_VC 6.15.06 update on 06GRC power costs.xls Chart 3_DEM-WP(C) Chelan Power Costs" xfId="13202"/>
    <cellStyle name="_VC 6.15.06 update on 06GRC power costs.xls Chart 3_DEM-WP(C) Chelan Power Costs 2" xfId="31317"/>
    <cellStyle name="_VC 6.15.06 update on 06GRC power costs.xls Chart 3_DEM-WP(C) Chelan Power Costs 2 2" xfId="31318"/>
    <cellStyle name="_VC 6.15.06 update on 06GRC power costs.xls Chart 3_DEM-WP(C) Chelan Power Costs 2 2 2" xfId="31319"/>
    <cellStyle name="_VC 6.15.06 update on 06GRC power costs.xls Chart 3_DEM-WP(C) Chelan Power Costs 2 3" xfId="31320"/>
    <cellStyle name="_VC 6.15.06 update on 06GRC power costs.xls Chart 3_DEM-WP(C) Chelan Power Costs 3" xfId="31321"/>
    <cellStyle name="_VC 6.15.06 update on 06GRC power costs.xls Chart 3_DEM-WP(C) Chelan Power Costs 3 2" xfId="31322"/>
    <cellStyle name="_VC 6.15.06 update on 06GRC power costs.xls Chart 3_DEM-WP(C) Chelan Power Costs 3 2 2" xfId="31323"/>
    <cellStyle name="_VC 6.15.06 update on 06GRC power costs.xls Chart 3_DEM-WP(C) Chelan Power Costs 3 3" xfId="31324"/>
    <cellStyle name="_VC 6.15.06 update on 06GRC power costs.xls Chart 3_DEM-WP(C) Chelan Power Costs 4" xfId="31325"/>
    <cellStyle name="_VC 6.15.06 update on 06GRC power costs.xls Chart 3_DEM-WP(C) Chelan Power Costs 4 2" xfId="31326"/>
    <cellStyle name="_VC 6.15.06 update on 06GRC power costs.xls Chart 3_DEM-WP(C) Chelan Power Costs 5" xfId="31327"/>
    <cellStyle name="_VC 6.15.06 update on 06GRC power costs.xls Chart 3_DEM-WP(C) Chelan Power Costs 5 2" xfId="31328"/>
    <cellStyle name="_VC 6.15.06 update on 06GRC power costs.xls Chart 3_DEM-WP(C) ENERG10C--ctn Mid-C_042010 2010GRC" xfId="13203"/>
    <cellStyle name="_VC 6.15.06 update on 06GRC power costs.xls Chart 3_DEM-WP(C) ENERG10C--ctn Mid-C_042010 2010GRC 2" xfId="42027"/>
    <cellStyle name="_VC 6.15.06 update on 06GRC power costs.xls Chart 3_DEM-WP(C) Gas Transport 2010GRC" xfId="13204"/>
    <cellStyle name="_VC 6.15.06 update on 06GRC power costs.xls Chart 3_DEM-WP(C) Gas Transport 2010GRC 2" xfId="31329"/>
    <cellStyle name="_VC 6.15.06 update on 06GRC power costs.xls Chart 3_DEM-WP(C) Gas Transport 2010GRC 2 2" xfId="31330"/>
    <cellStyle name="_VC 6.15.06 update on 06GRC power costs.xls Chart 3_DEM-WP(C) Gas Transport 2010GRC 2 2 2" xfId="31331"/>
    <cellStyle name="_VC 6.15.06 update on 06GRC power costs.xls Chart 3_DEM-WP(C) Gas Transport 2010GRC 2 3" xfId="31332"/>
    <cellStyle name="_VC 6.15.06 update on 06GRC power costs.xls Chart 3_DEM-WP(C) Gas Transport 2010GRC 3" xfId="31333"/>
    <cellStyle name="_VC 6.15.06 update on 06GRC power costs.xls Chart 3_DEM-WP(C) Gas Transport 2010GRC 3 2" xfId="31334"/>
    <cellStyle name="_VC 6.15.06 update on 06GRC power costs.xls Chart 3_DEM-WP(C) Gas Transport 2010GRC 3 2 2" xfId="31335"/>
    <cellStyle name="_VC 6.15.06 update on 06GRC power costs.xls Chart 3_DEM-WP(C) Gas Transport 2010GRC 3 3" xfId="31336"/>
    <cellStyle name="_VC 6.15.06 update on 06GRC power costs.xls Chart 3_DEM-WP(C) Gas Transport 2010GRC 4" xfId="31337"/>
    <cellStyle name="_VC 6.15.06 update on 06GRC power costs.xls Chart 3_DEM-WP(C) Gas Transport 2010GRC 4 2" xfId="31338"/>
    <cellStyle name="_VC 6.15.06 update on 06GRC power costs.xls Chart 3_DEM-WP(C) Gas Transport 2010GRC 5" xfId="31339"/>
    <cellStyle name="_VC 6.15.06 update on 06GRC power costs.xls Chart 3_DEM-WP(C) Gas Transport 2010GRC 5 2" xfId="31340"/>
    <cellStyle name="_VC 6.15.06 update on 06GRC power costs.xls Chart 3_Exh A-1 resulting from UE-112050 effective Jan 1 2012" xfId="15403"/>
    <cellStyle name="_VC 6.15.06 update on 06GRC power costs.xls Chart 3_Exh A-1 resulting from UE-112050 effective Jan 1 2012 2" xfId="42028"/>
    <cellStyle name="_VC 6.15.06 update on 06GRC power costs.xls Chart 3_Exhibit A-1 effective 4-1-11 fr S Free 12-11" xfId="15404"/>
    <cellStyle name="_VC 6.15.06 update on 06GRC power costs.xls Chart 3_Exhibit A-1 effective 4-1-11 fr S Free 12-11 2" xfId="42029"/>
    <cellStyle name="_VC 6.15.06 update on 06GRC power costs.xls Chart 3_INPUTS" xfId="8921"/>
    <cellStyle name="_VC 6.15.06 update on 06GRC power costs.xls Chart 3_INPUTS 2" xfId="8922"/>
    <cellStyle name="_VC 6.15.06 update on 06GRC power costs.xls Chart 3_INPUTS 2 2" xfId="8923"/>
    <cellStyle name="_VC 6.15.06 update on 06GRC power costs.xls Chart 3_INPUTS 2 2 2" xfId="21771"/>
    <cellStyle name="_VC 6.15.06 update on 06GRC power costs.xls Chart 3_INPUTS 2 3" xfId="18809"/>
    <cellStyle name="_VC 6.15.06 update on 06GRC power costs.xls Chart 3_INPUTS 3" xfId="8924"/>
    <cellStyle name="_VC 6.15.06 update on 06GRC power costs.xls Chart 3_INPUTS 3 2" xfId="21772"/>
    <cellStyle name="_VC 6.15.06 update on 06GRC power costs.xls Chart 3_INPUTS 4" xfId="18808"/>
    <cellStyle name="_VC 6.15.06 update on 06GRC power costs.xls Chart 3_Mint Farm Generation BPA" xfId="31341"/>
    <cellStyle name="_VC 6.15.06 update on 06GRC power costs.xls Chart 3_NIM Summary" xfId="2418"/>
    <cellStyle name="_VC 6.15.06 update on 06GRC power costs.xls Chart 3_NIM Summary 09GRC" xfId="2419"/>
    <cellStyle name="_VC 6.15.06 update on 06GRC power costs.xls Chart 3_NIM Summary 09GRC 2" xfId="2420"/>
    <cellStyle name="_VC 6.15.06 update on 06GRC power costs.xls Chart 3_NIM Summary 09GRC 2 2" xfId="5783"/>
    <cellStyle name="_VC 6.15.06 update on 06GRC power costs.xls Chart 3_NIM Summary 09GRC 2 2 2" xfId="31342"/>
    <cellStyle name="_VC 6.15.06 update on 06GRC power costs.xls Chart 3_NIM Summary 09GRC 2 2 2 2" xfId="31343"/>
    <cellStyle name="_VC 6.15.06 update on 06GRC power costs.xls Chart 3_NIM Summary 09GRC 2 3" xfId="31344"/>
    <cellStyle name="_VC 6.15.06 update on 06GRC power costs.xls Chart 3_NIM Summary 09GRC 2 3 2" xfId="31345"/>
    <cellStyle name="_VC 6.15.06 update on 06GRC power costs.xls Chart 3_NIM Summary 09GRC 2 4" xfId="31346"/>
    <cellStyle name="_VC 6.15.06 update on 06GRC power costs.xls Chart 3_NIM Summary 09GRC 2 4 2" xfId="31347"/>
    <cellStyle name="_VC 6.15.06 update on 06GRC power costs.xls Chart 3_NIM Summary 09GRC 2 5" xfId="8927"/>
    <cellStyle name="_VC 6.15.06 update on 06GRC power costs.xls Chart 3_NIM Summary 09GRC 3" xfId="5782"/>
    <cellStyle name="_VC 6.15.06 update on 06GRC power costs.xls Chart 3_NIM Summary 09GRC 3 2" xfId="31348"/>
    <cellStyle name="_VC 6.15.06 update on 06GRC power costs.xls Chart 3_NIM Summary 09GRC 3 2 2" xfId="31349"/>
    <cellStyle name="_VC 6.15.06 update on 06GRC power costs.xls Chart 3_NIM Summary 09GRC 3 3" xfId="31350"/>
    <cellStyle name="_VC 6.15.06 update on 06GRC power costs.xls Chart 3_NIM Summary 09GRC 4" xfId="31351"/>
    <cellStyle name="_VC 6.15.06 update on 06GRC power costs.xls Chart 3_NIM Summary 09GRC 4 2" xfId="31352"/>
    <cellStyle name="_VC 6.15.06 update on 06GRC power costs.xls Chart 3_NIM Summary 09GRC 4 2 2" xfId="31353"/>
    <cellStyle name="_VC 6.15.06 update on 06GRC power costs.xls Chart 3_NIM Summary 09GRC 4 3" xfId="31354"/>
    <cellStyle name="_VC 6.15.06 update on 06GRC power costs.xls Chart 3_NIM Summary 09GRC 5" xfId="31355"/>
    <cellStyle name="_VC 6.15.06 update on 06GRC power costs.xls Chart 3_NIM Summary 09GRC 5 2" xfId="31356"/>
    <cellStyle name="_VC 6.15.06 update on 06GRC power costs.xls Chart 3_NIM Summary 09GRC 6" xfId="31357"/>
    <cellStyle name="_VC 6.15.06 update on 06GRC power costs.xls Chart 3_NIM Summary 09GRC 6 2" xfId="31358"/>
    <cellStyle name="_VC 6.15.06 update on 06GRC power costs.xls Chart 3_NIM Summary 09GRC 7" xfId="8926"/>
    <cellStyle name="_VC 6.15.06 update on 06GRC power costs.xls Chart 3_NIM Summary 09GRC_DEM-WP(C) ENERG10C--ctn Mid-C_042010 2010GRC" xfId="13205"/>
    <cellStyle name="_VC 6.15.06 update on 06GRC power costs.xls Chart 3_NIM Summary 09GRC_DEM-WP(C) ENERG10C--ctn Mid-C_042010 2010GRC 2" xfId="42030"/>
    <cellStyle name="_VC 6.15.06 update on 06GRC power costs.xls Chart 3_NIM Summary 10" xfId="5781"/>
    <cellStyle name="_VC 6.15.06 update on 06GRC power costs.xls Chart 3_NIM Summary 10 2" xfId="31359"/>
    <cellStyle name="_VC 6.15.06 update on 06GRC power costs.xls Chart 3_NIM Summary 10 2 2" xfId="31360"/>
    <cellStyle name="_VC 6.15.06 update on 06GRC power costs.xls Chart 3_NIM Summary 10 3" xfId="31361"/>
    <cellStyle name="_VC 6.15.06 update on 06GRC power costs.xls Chart 3_NIM Summary 10 4" xfId="31362"/>
    <cellStyle name="_VC 6.15.06 update on 06GRC power costs.xls Chart 3_NIM Summary 11" xfId="6262"/>
    <cellStyle name="_VC 6.15.06 update on 06GRC power costs.xls Chart 3_NIM Summary 11 2" xfId="31363"/>
    <cellStyle name="_VC 6.15.06 update on 06GRC power costs.xls Chart 3_NIM Summary 11 2 2" xfId="31364"/>
    <cellStyle name="_VC 6.15.06 update on 06GRC power costs.xls Chart 3_NIM Summary 11 3" xfId="31365"/>
    <cellStyle name="_VC 6.15.06 update on 06GRC power costs.xls Chart 3_NIM Summary 11 4" xfId="31366"/>
    <cellStyle name="_VC 6.15.06 update on 06GRC power costs.xls Chart 3_NIM Summary 12" xfId="6225"/>
    <cellStyle name="_VC 6.15.06 update on 06GRC power costs.xls Chart 3_NIM Summary 12 2" xfId="31367"/>
    <cellStyle name="_VC 6.15.06 update on 06GRC power costs.xls Chart 3_NIM Summary 12 2 2" xfId="31368"/>
    <cellStyle name="_VC 6.15.06 update on 06GRC power costs.xls Chart 3_NIM Summary 12 3" xfId="31369"/>
    <cellStyle name="_VC 6.15.06 update on 06GRC power costs.xls Chart 3_NIM Summary 12 4" xfId="31370"/>
    <cellStyle name="_VC 6.15.06 update on 06GRC power costs.xls Chart 3_NIM Summary 13" xfId="6263"/>
    <cellStyle name="_VC 6.15.06 update on 06GRC power costs.xls Chart 3_NIM Summary 13 2" xfId="31371"/>
    <cellStyle name="_VC 6.15.06 update on 06GRC power costs.xls Chart 3_NIM Summary 13 2 2" xfId="31372"/>
    <cellStyle name="_VC 6.15.06 update on 06GRC power costs.xls Chart 3_NIM Summary 13 3" xfId="31373"/>
    <cellStyle name="_VC 6.15.06 update on 06GRC power costs.xls Chart 3_NIM Summary 13 4" xfId="31374"/>
    <cellStyle name="_VC 6.15.06 update on 06GRC power costs.xls Chart 3_NIM Summary 14" xfId="6328"/>
    <cellStyle name="_VC 6.15.06 update on 06GRC power costs.xls Chart 3_NIM Summary 14 2" xfId="31375"/>
    <cellStyle name="_VC 6.15.06 update on 06GRC power costs.xls Chart 3_NIM Summary 14 2 2" xfId="31376"/>
    <cellStyle name="_VC 6.15.06 update on 06GRC power costs.xls Chart 3_NIM Summary 14 3" xfId="31377"/>
    <cellStyle name="_VC 6.15.06 update on 06GRC power costs.xls Chart 3_NIM Summary 14 4" xfId="31378"/>
    <cellStyle name="_VC 6.15.06 update on 06GRC power costs.xls Chart 3_NIM Summary 15" xfId="15405"/>
    <cellStyle name="_VC 6.15.06 update on 06GRC power costs.xls Chart 3_NIM Summary 15 2" xfId="31379"/>
    <cellStyle name="_VC 6.15.06 update on 06GRC power costs.xls Chart 3_NIM Summary 15 2 2" xfId="31380"/>
    <cellStyle name="_VC 6.15.06 update on 06GRC power costs.xls Chart 3_NIM Summary 15 3" xfId="31381"/>
    <cellStyle name="_VC 6.15.06 update on 06GRC power costs.xls Chart 3_NIM Summary 15 4" xfId="31382"/>
    <cellStyle name="_VC 6.15.06 update on 06GRC power costs.xls Chart 3_NIM Summary 16" xfId="15406"/>
    <cellStyle name="_VC 6.15.06 update on 06GRC power costs.xls Chart 3_NIM Summary 16 2" xfId="31383"/>
    <cellStyle name="_VC 6.15.06 update on 06GRC power costs.xls Chart 3_NIM Summary 16 2 2" xfId="31384"/>
    <cellStyle name="_VC 6.15.06 update on 06GRC power costs.xls Chart 3_NIM Summary 16 3" xfId="31385"/>
    <cellStyle name="_VC 6.15.06 update on 06GRC power costs.xls Chart 3_NIM Summary 16 4" xfId="31386"/>
    <cellStyle name="_VC 6.15.06 update on 06GRC power costs.xls Chart 3_NIM Summary 17" xfId="15407"/>
    <cellStyle name="_VC 6.15.06 update on 06GRC power costs.xls Chart 3_NIM Summary 17 2" xfId="31387"/>
    <cellStyle name="_VC 6.15.06 update on 06GRC power costs.xls Chart 3_NIM Summary 17 2 2" xfId="31388"/>
    <cellStyle name="_VC 6.15.06 update on 06GRC power costs.xls Chart 3_NIM Summary 17 3" xfId="31389"/>
    <cellStyle name="_VC 6.15.06 update on 06GRC power costs.xls Chart 3_NIM Summary 17 4" xfId="31390"/>
    <cellStyle name="_VC 6.15.06 update on 06GRC power costs.xls Chart 3_NIM Summary 18" xfId="15408"/>
    <cellStyle name="_VC 6.15.06 update on 06GRC power costs.xls Chart 3_NIM Summary 18 2" xfId="31391"/>
    <cellStyle name="_VC 6.15.06 update on 06GRC power costs.xls Chart 3_NIM Summary 18 3" xfId="31392"/>
    <cellStyle name="_VC 6.15.06 update on 06GRC power costs.xls Chart 3_NIM Summary 19" xfId="15409"/>
    <cellStyle name="_VC 6.15.06 update on 06GRC power costs.xls Chart 3_NIM Summary 19 2" xfId="31393"/>
    <cellStyle name="_VC 6.15.06 update on 06GRC power costs.xls Chart 3_NIM Summary 19 3" xfId="31394"/>
    <cellStyle name="_VC 6.15.06 update on 06GRC power costs.xls Chart 3_NIM Summary 2" xfId="2421"/>
    <cellStyle name="_VC 6.15.06 update on 06GRC power costs.xls Chart 3_NIM Summary 2 2" xfId="5784"/>
    <cellStyle name="_VC 6.15.06 update on 06GRC power costs.xls Chart 3_NIM Summary 2 2 2" xfId="31395"/>
    <cellStyle name="_VC 6.15.06 update on 06GRC power costs.xls Chart 3_NIM Summary 2 2 2 2" xfId="31396"/>
    <cellStyle name="_VC 6.15.06 update on 06GRC power costs.xls Chart 3_NIM Summary 2 3" xfId="31397"/>
    <cellStyle name="_VC 6.15.06 update on 06GRC power costs.xls Chart 3_NIM Summary 2 3 2" xfId="31398"/>
    <cellStyle name="_VC 6.15.06 update on 06GRC power costs.xls Chart 3_NIM Summary 2 4" xfId="31399"/>
    <cellStyle name="_VC 6.15.06 update on 06GRC power costs.xls Chart 3_NIM Summary 2 4 2" xfId="31400"/>
    <cellStyle name="_VC 6.15.06 update on 06GRC power costs.xls Chart 3_NIM Summary 2 5" xfId="8928"/>
    <cellStyle name="_VC 6.15.06 update on 06GRC power costs.xls Chart 3_NIM Summary 20" xfId="15410"/>
    <cellStyle name="_VC 6.15.06 update on 06GRC power costs.xls Chart 3_NIM Summary 20 2" xfId="31401"/>
    <cellStyle name="_VC 6.15.06 update on 06GRC power costs.xls Chart 3_NIM Summary 20 3" xfId="31402"/>
    <cellStyle name="_VC 6.15.06 update on 06GRC power costs.xls Chart 3_NIM Summary 21" xfId="15411"/>
    <cellStyle name="_VC 6.15.06 update on 06GRC power costs.xls Chart 3_NIM Summary 21 2" xfId="31403"/>
    <cellStyle name="_VC 6.15.06 update on 06GRC power costs.xls Chart 3_NIM Summary 21 3" xfId="31404"/>
    <cellStyle name="_VC 6.15.06 update on 06GRC power costs.xls Chart 3_NIM Summary 22" xfId="15412"/>
    <cellStyle name="_VC 6.15.06 update on 06GRC power costs.xls Chart 3_NIM Summary 22 2" xfId="31405"/>
    <cellStyle name="_VC 6.15.06 update on 06GRC power costs.xls Chart 3_NIM Summary 22 3" xfId="31406"/>
    <cellStyle name="_VC 6.15.06 update on 06GRC power costs.xls Chart 3_NIM Summary 23" xfId="15413"/>
    <cellStyle name="_VC 6.15.06 update on 06GRC power costs.xls Chart 3_NIM Summary 23 2" xfId="31407"/>
    <cellStyle name="_VC 6.15.06 update on 06GRC power costs.xls Chart 3_NIM Summary 23 3" xfId="31408"/>
    <cellStyle name="_VC 6.15.06 update on 06GRC power costs.xls Chart 3_NIM Summary 24" xfId="15414"/>
    <cellStyle name="_VC 6.15.06 update on 06GRC power costs.xls Chart 3_NIM Summary 24 2" xfId="31409"/>
    <cellStyle name="_VC 6.15.06 update on 06GRC power costs.xls Chart 3_NIM Summary 24 3" xfId="31410"/>
    <cellStyle name="_VC 6.15.06 update on 06GRC power costs.xls Chart 3_NIM Summary 25" xfId="15415"/>
    <cellStyle name="_VC 6.15.06 update on 06GRC power costs.xls Chart 3_NIM Summary 25 2" xfId="31411"/>
    <cellStyle name="_VC 6.15.06 update on 06GRC power costs.xls Chart 3_NIM Summary 25 3" xfId="31412"/>
    <cellStyle name="_VC 6.15.06 update on 06GRC power costs.xls Chart 3_NIM Summary 26" xfId="15416"/>
    <cellStyle name="_VC 6.15.06 update on 06GRC power costs.xls Chart 3_NIM Summary 26 2" xfId="31413"/>
    <cellStyle name="_VC 6.15.06 update on 06GRC power costs.xls Chart 3_NIM Summary 26 3" xfId="31414"/>
    <cellStyle name="_VC 6.15.06 update on 06GRC power costs.xls Chart 3_NIM Summary 27" xfId="15417"/>
    <cellStyle name="_VC 6.15.06 update on 06GRC power costs.xls Chart 3_NIM Summary 27 2" xfId="31415"/>
    <cellStyle name="_VC 6.15.06 update on 06GRC power costs.xls Chart 3_NIM Summary 27 3" xfId="31416"/>
    <cellStyle name="_VC 6.15.06 update on 06GRC power costs.xls Chart 3_NIM Summary 28" xfId="15418"/>
    <cellStyle name="_VC 6.15.06 update on 06GRC power costs.xls Chart 3_NIM Summary 28 2" xfId="31417"/>
    <cellStyle name="_VC 6.15.06 update on 06GRC power costs.xls Chart 3_NIM Summary 28 3" xfId="31418"/>
    <cellStyle name="_VC 6.15.06 update on 06GRC power costs.xls Chart 3_NIM Summary 29" xfId="15419"/>
    <cellStyle name="_VC 6.15.06 update on 06GRC power costs.xls Chart 3_NIM Summary 29 2" xfId="31419"/>
    <cellStyle name="_VC 6.15.06 update on 06GRC power costs.xls Chart 3_NIM Summary 29 3" xfId="31420"/>
    <cellStyle name="_VC 6.15.06 update on 06GRC power costs.xls Chart 3_NIM Summary 3" xfId="2422"/>
    <cellStyle name="_VC 6.15.06 update on 06GRC power costs.xls Chart 3_NIM Summary 3 2" xfId="5785"/>
    <cellStyle name="_VC 6.15.06 update on 06GRC power costs.xls Chart 3_NIM Summary 3 2 2" xfId="31421"/>
    <cellStyle name="_VC 6.15.06 update on 06GRC power costs.xls Chart 3_NIM Summary 3 3" xfId="31422"/>
    <cellStyle name="_VC 6.15.06 update on 06GRC power costs.xls Chart 3_NIM Summary 3 4" xfId="8929"/>
    <cellStyle name="_VC 6.15.06 update on 06GRC power costs.xls Chart 3_NIM Summary 30" xfId="15420"/>
    <cellStyle name="_VC 6.15.06 update on 06GRC power costs.xls Chart 3_NIM Summary 30 2" xfId="31423"/>
    <cellStyle name="_VC 6.15.06 update on 06GRC power costs.xls Chart 3_NIM Summary 30 3" xfId="31424"/>
    <cellStyle name="_VC 6.15.06 update on 06GRC power costs.xls Chart 3_NIM Summary 31" xfId="15421"/>
    <cellStyle name="_VC 6.15.06 update on 06GRC power costs.xls Chart 3_NIM Summary 31 2" xfId="31425"/>
    <cellStyle name="_VC 6.15.06 update on 06GRC power costs.xls Chart 3_NIM Summary 31 3" xfId="31426"/>
    <cellStyle name="_VC 6.15.06 update on 06GRC power costs.xls Chart 3_NIM Summary 32" xfId="15422"/>
    <cellStyle name="_VC 6.15.06 update on 06GRC power costs.xls Chart 3_NIM Summary 32 2" xfId="42031"/>
    <cellStyle name="_VC 6.15.06 update on 06GRC power costs.xls Chart 3_NIM Summary 33" xfId="15423"/>
    <cellStyle name="_VC 6.15.06 update on 06GRC power costs.xls Chart 3_NIM Summary 33 2" xfId="42032"/>
    <cellStyle name="_VC 6.15.06 update on 06GRC power costs.xls Chart 3_NIM Summary 34" xfId="15424"/>
    <cellStyle name="_VC 6.15.06 update on 06GRC power costs.xls Chart 3_NIM Summary 34 2" xfId="42033"/>
    <cellStyle name="_VC 6.15.06 update on 06GRC power costs.xls Chart 3_NIM Summary 35" xfId="15425"/>
    <cellStyle name="_VC 6.15.06 update on 06GRC power costs.xls Chart 3_NIM Summary 35 2" xfId="42034"/>
    <cellStyle name="_VC 6.15.06 update on 06GRC power costs.xls Chart 3_NIM Summary 36" xfId="15426"/>
    <cellStyle name="_VC 6.15.06 update on 06GRC power costs.xls Chart 3_NIM Summary 36 2" xfId="42035"/>
    <cellStyle name="_VC 6.15.06 update on 06GRC power costs.xls Chart 3_NIM Summary 37" xfId="15427"/>
    <cellStyle name="_VC 6.15.06 update on 06GRC power costs.xls Chart 3_NIM Summary 37 2" xfId="42036"/>
    <cellStyle name="_VC 6.15.06 update on 06GRC power costs.xls Chart 3_NIM Summary 38" xfId="15428"/>
    <cellStyle name="_VC 6.15.06 update on 06GRC power costs.xls Chart 3_NIM Summary 38 2" xfId="42037"/>
    <cellStyle name="_VC 6.15.06 update on 06GRC power costs.xls Chart 3_NIM Summary 39" xfId="15429"/>
    <cellStyle name="_VC 6.15.06 update on 06GRC power costs.xls Chart 3_NIM Summary 39 2" xfId="42038"/>
    <cellStyle name="_VC 6.15.06 update on 06GRC power costs.xls Chart 3_NIM Summary 4" xfId="2423"/>
    <cellStyle name="_VC 6.15.06 update on 06GRC power costs.xls Chart 3_NIM Summary 4 2" xfId="5786"/>
    <cellStyle name="_VC 6.15.06 update on 06GRC power costs.xls Chart 3_NIM Summary 4 2 2" xfId="31427"/>
    <cellStyle name="_VC 6.15.06 update on 06GRC power costs.xls Chart 3_NIM Summary 4 3" xfId="31428"/>
    <cellStyle name="_VC 6.15.06 update on 06GRC power costs.xls Chart 3_NIM Summary 4 4" xfId="8930"/>
    <cellStyle name="_VC 6.15.06 update on 06GRC power costs.xls Chart 3_NIM Summary 40" xfId="15430"/>
    <cellStyle name="_VC 6.15.06 update on 06GRC power costs.xls Chart 3_NIM Summary 40 2" xfId="42039"/>
    <cellStyle name="_VC 6.15.06 update on 06GRC power costs.xls Chart 3_NIM Summary 41" xfId="15431"/>
    <cellStyle name="_VC 6.15.06 update on 06GRC power costs.xls Chart 3_NIM Summary 41 2" xfId="42040"/>
    <cellStyle name="_VC 6.15.06 update on 06GRC power costs.xls Chart 3_NIM Summary 42" xfId="17271"/>
    <cellStyle name="_VC 6.15.06 update on 06GRC power costs.xls Chart 3_NIM Summary 42 2" xfId="42041"/>
    <cellStyle name="_VC 6.15.06 update on 06GRC power costs.xls Chart 3_NIM Summary 43" xfId="22329"/>
    <cellStyle name="_VC 6.15.06 update on 06GRC power costs.xls Chart 3_NIM Summary 43 2" xfId="42042"/>
    <cellStyle name="_VC 6.15.06 update on 06GRC power costs.xls Chart 3_NIM Summary 44" xfId="31429"/>
    <cellStyle name="_VC 6.15.06 update on 06GRC power costs.xls Chart 3_NIM Summary 44 2" xfId="42043"/>
    <cellStyle name="_VC 6.15.06 update on 06GRC power costs.xls Chart 3_NIM Summary 45" xfId="31430"/>
    <cellStyle name="_VC 6.15.06 update on 06GRC power costs.xls Chart 3_NIM Summary 45 2" xfId="42044"/>
    <cellStyle name="_VC 6.15.06 update on 06GRC power costs.xls Chart 3_NIM Summary 46" xfId="31431"/>
    <cellStyle name="_VC 6.15.06 update on 06GRC power costs.xls Chart 3_NIM Summary 46 2" xfId="42045"/>
    <cellStyle name="_VC 6.15.06 update on 06GRC power costs.xls Chart 3_NIM Summary 47" xfId="31432"/>
    <cellStyle name="_VC 6.15.06 update on 06GRC power costs.xls Chart 3_NIM Summary 47 2" xfId="42046"/>
    <cellStyle name="_VC 6.15.06 update on 06GRC power costs.xls Chart 3_NIM Summary 48" xfId="31433"/>
    <cellStyle name="_VC 6.15.06 update on 06GRC power costs.xls Chart 3_NIM Summary 49" xfId="31434"/>
    <cellStyle name="_VC 6.15.06 update on 06GRC power costs.xls Chart 3_NIM Summary 5" xfId="2424"/>
    <cellStyle name="_VC 6.15.06 update on 06GRC power costs.xls Chart 3_NIM Summary 5 2" xfId="5787"/>
    <cellStyle name="_VC 6.15.06 update on 06GRC power costs.xls Chart 3_NIM Summary 5 2 2" xfId="31435"/>
    <cellStyle name="_VC 6.15.06 update on 06GRC power costs.xls Chart 3_NIM Summary 5 3" xfId="31436"/>
    <cellStyle name="_VC 6.15.06 update on 06GRC power costs.xls Chart 3_NIM Summary 5 4" xfId="8931"/>
    <cellStyle name="_VC 6.15.06 update on 06GRC power costs.xls Chart 3_NIM Summary 50" xfId="31437"/>
    <cellStyle name="_VC 6.15.06 update on 06GRC power costs.xls Chart 3_NIM Summary 51" xfId="42047"/>
    <cellStyle name="_VC 6.15.06 update on 06GRC power costs.xls Chart 3_NIM Summary 52" xfId="8925"/>
    <cellStyle name="_VC 6.15.06 update on 06GRC power costs.xls Chart 3_NIM Summary 6" xfId="2425"/>
    <cellStyle name="_VC 6.15.06 update on 06GRC power costs.xls Chart 3_NIM Summary 6 2" xfId="5788"/>
    <cellStyle name="_VC 6.15.06 update on 06GRC power costs.xls Chart 3_NIM Summary 6 2 2" xfId="31438"/>
    <cellStyle name="_VC 6.15.06 update on 06GRC power costs.xls Chart 3_NIM Summary 6 3" xfId="31439"/>
    <cellStyle name="_VC 6.15.06 update on 06GRC power costs.xls Chart 3_NIM Summary 6 4" xfId="8932"/>
    <cellStyle name="_VC 6.15.06 update on 06GRC power costs.xls Chart 3_NIM Summary 7" xfId="2426"/>
    <cellStyle name="_VC 6.15.06 update on 06GRC power costs.xls Chart 3_NIM Summary 7 2" xfId="5789"/>
    <cellStyle name="_VC 6.15.06 update on 06GRC power costs.xls Chart 3_NIM Summary 7 2 2" xfId="31440"/>
    <cellStyle name="_VC 6.15.06 update on 06GRC power costs.xls Chart 3_NIM Summary 7 3" xfId="31441"/>
    <cellStyle name="_VC 6.15.06 update on 06GRC power costs.xls Chart 3_NIM Summary 7 4" xfId="31442"/>
    <cellStyle name="_VC 6.15.06 update on 06GRC power costs.xls Chart 3_NIM Summary 7 5" xfId="8933"/>
    <cellStyle name="_VC 6.15.06 update on 06GRC power costs.xls Chart 3_NIM Summary 8" xfId="2427"/>
    <cellStyle name="_VC 6.15.06 update on 06GRC power costs.xls Chart 3_NIM Summary 8 2" xfId="5790"/>
    <cellStyle name="_VC 6.15.06 update on 06GRC power costs.xls Chart 3_NIM Summary 8 2 2" xfId="31443"/>
    <cellStyle name="_VC 6.15.06 update on 06GRC power costs.xls Chart 3_NIM Summary 8 3" xfId="31444"/>
    <cellStyle name="_VC 6.15.06 update on 06GRC power costs.xls Chart 3_NIM Summary 8 4" xfId="31445"/>
    <cellStyle name="_VC 6.15.06 update on 06GRC power costs.xls Chart 3_NIM Summary 8 5" xfId="8934"/>
    <cellStyle name="_VC 6.15.06 update on 06GRC power costs.xls Chart 3_NIM Summary 9" xfId="2428"/>
    <cellStyle name="_VC 6.15.06 update on 06GRC power costs.xls Chart 3_NIM Summary 9 2" xfId="5791"/>
    <cellStyle name="_VC 6.15.06 update on 06GRC power costs.xls Chart 3_NIM Summary 9 2 2" xfId="31446"/>
    <cellStyle name="_VC 6.15.06 update on 06GRC power costs.xls Chart 3_NIM Summary 9 3" xfId="31447"/>
    <cellStyle name="_VC 6.15.06 update on 06GRC power costs.xls Chart 3_NIM Summary 9 4" xfId="31448"/>
    <cellStyle name="_VC 6.15.06 update on 06GRC power costs.xls Chart 3_NIM Summary 9 5" xfId="8935"/>
    <cellStyle name="_VC 6.15.06 update on 06GRC power costs.xls Chart 3_NIM Summary_DEM-WP(C) ENERG10C--ctn Mid-C_042010 2010GRC" xfId="13206"/>
    <cellStyle name="_VC 6.15.06 update on 06GRC power costs.xls Chart 3_NIM Summary_DEM-WP(C) ENERG10C--ctn Mid-C_042010 2010GRC 2" xfId="42048"/>
    <cellStyle name="_VC 6.15.06 update on 06GRC power costs.xls Chart 3_PCA 10 -  Exhibit D Dec 2011" xfId="15432"/>
    <cellStyle name="_VC 6.15.06 update on 06GRC power costs.xls Chart 3_PCA 10 -  Exhibit D Dec 2011 2" xfId="42049"/>
    <cellStyle name="_VC 6.15.06 update on 06GRC power costs.xls Chart 3_PCA 10 -  Exhibit D from A Kellogg Jan 2011" xfId="14212"/>
    <cellStyle name="_VC 6.15.06 update on 06GRC power costs.xls Chart 3_PCA 10 -  Exhibit D from A Kellogg Jan 2011 2" xfId="42050"/>
    <cellStyle name="_VC 6.15.06 update on 06GRC power costs.xls Chart 3_PCA 10 -  Exhibit D from A Kellogg July 2011" xfId="14213"/>
    <cellStyle name="_VC 6.15.06 update on 06GRC power costs.xls Chart 3_PCA 10 -  Exhibit D from A Kellogg July 2011 2" xfId="42051"/>
    <cellStyle name="_VC 6.15.06 update on 06GRC power costs.xls Chart 3_PCA 10 -  Exhibit D from S Free Rcv'd 12-11" xfId="14214"/>
    <cellStyle name="_VC 6.15.06 update on 06GRC power costs.xls Chart 3_PCA 10 -  Exhibit D from S Free Rcv'd 12-11 2" xfId="42052"/>
    <cellStyle name="_VC 6.15.06 update on 06GRC power costs.xls Chart 3_PCA 11 -  Exhibit D Jan 2012 fr A Kellogg" xfId="15433"/>
    <cellStyle name="_VC 6.15.06 update on 06GRC power costs.xls Chart 3_PCA 11 -  Exhibit D Jan 2012 fr A Kellogg 2" xfId="42053"/>
    <cellStyle name="_VC 6.15.06 update on 06GRC power costs.xls Chart 3_PCA 11 -  Exhibit D Jan 2012 WF" xfId="15434"/>
    <cellStyle name="_VC 6.15.06 update on 06GRC power costs.xls Chart 3_PCA 11 -  Exhibit D Jan 2012 WF 2" xfId="42054"/>
    <cellStyle name="_VC 6.15.06 update on 06GRC power costs.xls Chart 3_PCA 9 -  Exhibit D April 2010" xfId="14215"/>
    <cellStyle name="_VC 6.15.06 update on 06GRC power costs.xls Chart 3_PCA 9 -  Exhibit D April 2010 (3)" xfId="2429"/>
    <cellStyle name="_VC 6.15.06 update on 06GRC power costs.xls Chart 3_PCA 9 -  Exhibit D April 2010 (3) 2" xfId="2430"/>
    <cellStyle name="_VC 6.15.06 update on 06GRC power costs.xls Chart 3_PCA 9 -  Exhibit D April 2010 (3) 2 2" xfId="5793"/>
    <cellStyle name="_VC 6.15.06 update on 06GRC power costs.xls Chart 3_PCA 9 -  Exhibit D April 2010 (3) 2 2 2" xfId="31449"/>
    <cellStyle name="_VC 6.15.06 update on 06GRC power costs.xls Chart 3_PCA 9 -  Exhibit D April 2010 (3) 2 2 2 2" xfId="31450"/>
    <cellStyle name="_VC 6.15.06 update on 06GRC power costs.xls Chart 3_PCA 9 -  Exhibit D April 2010 (3) 2 3" xfId="31451"/>
    <cellStyle name="_VC 6.15.06 update on 06GRC power costs.xls Chart 3_PCA 9 -  Exhibit D April 2010 (3) 2 3 2" xfId="31452"/>
    <cellStyle name="_VC 6.15.06 update on 06GRC power costs.xls Chart 3_PCA 9 -  Exhibit D April 2010 (3) 2 4" xfId="31453"/>
    <cellStyle name="_VC 6.15.06 update on 06GRC power costs.xls Chart 3_PCA 9 -  Exhibit D April 2010 (3) 2 4 2" xfId="31454"/>
    <cellStyle name="_VC 6.15.06 update on 06GRC power costs.xls Chart 3_PCA 9 -  Exhibit D April 2010 (3) 2 5" xfId="8937"/>
    <cellStyle name="_VC 6.15.06 update on 06GRC power costs.xls Chart 3_PCA 9 -  Exhibit D April 2010 (3) 3" xfId="5792"/>
    <cellStyle name="_VC 6.15.06 update on 06GRC power costs.xls Chart 3_PCA 9 -  Exhibit D April 2010 (3) 3 2" xfId="31455"/>
    <cellStyle name="_VC 6.15.06 update on 06GRC power costs.xls Chart 3_PCA 9 -  Exhibit D April 2010 (3) 3 2 2" xfId="31456"/>
    <cellStyle name="_VC 6.15.06 update on 06GRC power costs.xls Chart 3_PCA 9 -  Exhibit D April 2010 (3) 3 3" xfId="31457"/>
    <cellStyle name="_VC 6.15.06 update on 06GRC power costs.xls Chart 3_PCA 9 -  Exhibit D April 2010 (3) 4" xfId="31458"/>
    <cellStyle name="_VC 6.15.06 update on 06GRC power costs.xls Chart 3_PCA 9 -  Exhibit D April 2010 (3) 4 2" xfId="31459"/>
    <cellStyle name="_VC 6.15.06 update on 06GRC power costs.xls Chart 3_PCA 9 -  Exhibit D April 2010 (3) 4 2 2" xfId="31460"/>
    <cellStyle name="_VC 6.15.06 update on 06GRC power costs.xls Chart 3_PCA 9 -  Exhibit D April 2010 (3) 4 3" xfId="31461"/>
    <cellStyle name="_VC 6.15.06 update on 06GRC power costs.xls Chart 3_PCA 9 -  Exhibit D April 2010 (3) 5" xfId="31462"/>
    <cellStyle name="_VC 6.15.06 update on 06GRC power costs.xls Chart 3_PCA 9 -  Exhibit D April 2010 (3) 5 2" xfId="31463"/>
    <cellStyle name="_VC 6.15.06 update on 06GRC power costs.xls Chart 3_PCA 9 -  Exhibit D April 2010 (3) 6" xfId="31464"/>
    <cellStyle name="_VC 6.15.06 update on 06GRC power costs.xls Chart 3_PCA 9 -  Exhibit D April 2010 (3) 6 2" xfId="31465"/>
    <cellStyle name="_VC 6.15.06 update on 06GRC power costs.xls Chart 3_PCA 9 -  Exhibit D April 2010 (3) 7" xfId="8936"/>
    <cellStyle name="_VC 6.15.06 update on 06GRC power costs.xls Chart 3_PCA 9 -  Exhibit D April 2010 (3)_DEM-WP(C) ENERG10C--ctn Mid-C_042010 2010GRC" xfId="13207"/>
    <cellStyle name="_VC 6.15.06 update on 06GRC power costs.xls Chart 3_PCA 9 -  Exhibit D April 2010 (3)_DEM-WP(C) ENERG10C--ctn Mid-C_042010 2010GRC 2" xfId="42055"/>
    <cellStyle name="_VC 6.15.06 update on 06GRC power costs.xls Chart 3_PCA 9 -  Exhibit D April 2010 2" xfId="15435"/>
    <cellStyle name="_VC 6.15.06 update on 06GRC power costs.xls Chart 3_PCA 9 -  Exhibit D April 2010 2 2" xfId="42056"/>
    <cellStyle name="_VC 6.15.06 update on 06GRC power costs.xls Chart 3_PCA 9 -  Exhibit D April 2010 3" xfId="15436"/>
    <cellStyle name="_VC 6.15.06 update on 06GRC power costs.xls Chart 3_PCA 9 -  Exhibit D April 2010 3 2" xfId="42057"/>
    <cellStyle name="_VC 6.15.06 update on 06GRC power costs.xls Chart 3_PCA 9 -  Exhibit D April 2010 4" xfId="15437"/>
    <cellStyle name="_VC 6.15.06 update on 06GRC power costs.xls Chart 3_PCA 9 -  Exhibit D April 2010 4 2" xfId="42058"/>
    <cellStyle name="_VC 6.15.06 update on 06GRC power costs.xls Chart 3_PCA 9 -  Exhibit D April 2010 5" xfId="15438"/>
    <cellStyle name="_VC 6.15.06 update on 06GRC power costs.xls Chart 3_PCA 9 -  Exhibit D April 2010 5 2" xfId="42059"/>
    <cellStyle name="_VC 6.15.06 update on 06GRC power costs.xls Chart 3_PCA 9 -  Exhibit D April 2010 6" xfId="15439"/>
    <cellStyle name="_VC 6.15.06 update on 06GRC power costs.xls Chart 3_PCA 9 -  Exhibit D April 2010 6 2" xfId="42060"/>
    <cellStyle name="_VC 6.15.06 update on 06GRC power costs.xls Chart 3_PCA 9 -  Exhibit D April 2010 7" xfId="42061"/>
    <cellStyle name="_VC 6.15.06 update on 06GRC power costs.xls Chart 3_PCA 9 -  Exhibit D Nov 2010" xfId="14216"/>
    <cellStyle name="_VC 6.15.06 update on 06GRC power costs.xls Chart 3_PCA 9 -  Exhibit D Nov 2010 2" xfId="15440"/>
    <cellStyle name="_VC 6.15.06 update on 06GRC power costs.xls Chart 3_PCA 9 -  Exhibit D Nov 2010 2 2" xfId="42062"/>
    <cellStyle name="_VC 6.15.06 update on 06GRC power costs.xls Chart 3_PCA 9 -  Exhibit D Nov 2010 3" xfId="42063"/>
    <cellStyle name="_VC 6.15.06 update on 06GRC power costs.xls Chart 3_PCA 9 - Exhibit D at August 2010" xfId="14217"/>
    <cellStyle name="_VC 6.15.06 update on 06GRC power costs.xls Chart 3_PCA 9 - Exhibit D at August 2010 2" xfId="15441"/>
    <cellStyle name="_VC 6.15.06 update on 06GRC power costs.xls Chart 3_PCA 9 - Exhibit D at August 2010 2 2" xfId="42064"/>
    <cellStyle name="_VC 6.15.06 update on 06GRC power costs.xls Chart 3_PCA 9 - Exhibit D at August 2010 3" xfId="42065"/>
    <cellStyle name="_VC 6.15.06 update on 06GRC power costs.xls Chart 3_PCA 9 - Exhibit D June 2010 GRC" xfId="14218"/>
    <cellStyle name="_VC 6.15.06 update on 06GRC power costs.xls Chart 3_PCA 9 - Exhibit D June 2010 GRC 2" xfId="15442"/>
    <cellStyle name="_VC 6.15.06 update on 06GRC power costs.xls Chart 3_PCA 9 - Exhibit D June 2010 GRC 2 2" xfId="42066"/>
    <cellStyle name="_VC 6.15.06 update on 06GRC power costs.xls Chart 3_PCA 9 - Exhibit D June 2010 GRC 3" xfId="42067"/>
    <cellStyle name="_VC 6.15.06 update on 06GRC power costs.xls Chart 3_Power Costs - Comparison bx Rbtl-Staff-Jt-PC" xfId="2431"/>
    <cellStyle name="_VC 6.15.06 update on 06GRC power costs.xls Chart 3_Power Costs - Comparison bx Rbtl-Staff-Jt-PC 2" xfId="2432"/>
    <cellStyle name="_VC 6.15.06 update on 06GRC power costs.xls Chart 3_Power Costs - Comparison bx Rbtl-Staff-Jt-PC 2 2" xfId="5795"/>
    <cellStyle name="_VC 6.15.06 update on 06GRC power costs.xls Chart 3_Power Costs - Comparison bx Rbtl-Staff-Jt-PC 2 2 2" xfId="21773"/>
    <cellStyle name="_VC 6.15.06 update on 06GRC power costs.xls Chart 3_Power Costs - Comparison bx Rbtl-Staff-Jt-PC 2 2 2 2" xfId="31466"/>
    <cellStyle name="_VC 6.15.06 update on 06GRC power costs.xls Chart 3_Power Costs - Comparison bx Rbtl-Staff-Jt-PC 2 2 3" xfId="8940"/>
    <cellStyle name="_VC 6.15.06 update on 06GRC power costs.xls Chart 3_Power Costs - Comparison bx Rbtl-Staff-Jt-PC 2 3" xfId="17273"/>
    <cellStyle name="_VC 6.15.06 update on 06GRC power costs.xls Chart 3_Power Costs - Comparison bx Rbtl-Staff-Jt-PC 2 3 2" xfId="31467"/>
    <cellStyle name="_VC 6.15.06 update on 06GRC power costs.xls Chart 3_Power Costs - Comparison bx Rbtl-Staff-Jt-PC 2 4" xfId="31468"/>
    <cellStyle name="_VC 6.15.06 update on 06GRC power costs.xls Chart 3_Power Costs - Comparison bx Rbtl-Staff-Jt-PC 2 4 2" xfId="31469"/>
    <cellStyle name="_VC 6.15.06 update on 06GRC power costs.xls Chart 3_Power Costs - Comparison bx Rbtl-Staff-Jt-PC 2 5" xfId="8939"/>
    <cellStyle name="_VC 6.15.06 update on 06GRC power costs.xls Chart 3_Power Costs - Comparison bx Rbtl-Staff-Jt-PC 3" xfId="5794"/>
    <cellStyle name="_VC 6.15.06 update on 06GRC power costs.xls Chart 3_Power Costs - Comparison bx Rbtl-Staff-Jt-PC 3 2" xfId="21774"/>
    <cellStyle name="_VC 6.15.06 update on 06GRC power costs.xls Chart 3_Power Costs - Comparison bx Rbtl-Staff-Jt-PC 3 2 2" xfId="31470"/>
    <cellStyle name="_VC 6.15.06 update on 06GRC power costs.xls Chart 3_Power Costs - Comparison bx Rbtl-Staff-Jt-PC 3 3" xfId="31471"/>
    <cellStyle name="_VC 6.15.06 update on 06GRC power costs.xls Chart 3_Power Costs - Comparison bx Rbtl-Staff-Jt-PC 3 4" xfId="8941"/>
    <cellStyle name="_VC 6.15.06 update on 06GRC power costs.xls Chart 3_Power Costs - Comparison bx Rbtl-Staff-Jt-PC 4" xfId="17272"/>
    <cellStyle name="_VC 6.15.06 update on 06GRC power costs.xls Chart 3_Power Costs - Comparison bx Rbtl-Staff-Jt-PC 4 2" xfId="31472"/>
    <cellStyle name="_VC 6.15.06 update on 06GRC power costs.xls Chart 3_Power Costs - Comparison bx Rbtl-Staff-Jt-PC 4 2 2" xfId="31473"/>
    <cellStyle name="_VC 6.15.06 update on 06GRC power costs.xls Chart 3_Power Costs - Comparison bx Rbtl-Staff-Jt-PC 4 3" xfId="31474"/>
    <cellStyle name="_VC 6.15.06 update on 06GRC power costs.xls Chart 3_Power Costs - Comparison bx Rbtl-Staff-Jt-PC 5" xfId="31475"/>
    <cellStyle name="_VC 6.15.06 update on 06GRC power costs.xls Chart 3_Power Costs - Comparison bx Rbtl-Staff-Jt-PC 5 2" xfId="31476"/>
    <cellStyle name="_VC 6.15.06 update on 06GRC power costs.xls Chart 3_Power Costs - Comparison bx Rbtl-Staff-Jt-PC 6" xfId="31477"/>
    <cellStyle name="_VC 6.15.06 update on 06GRC power costs.xls Chart 3_Power Costs - Comparison bx Rbtl-Staff-Jt-PC 6 2" xfId="31478"/>
    <cellStyle name="_VC 6.15.06 update on 06GRC power costs.xls Chart 3_Power Costs - Comparison bx Rbtl-Staff-Jt-PC 7" xfId="8938"/>
    <cellStyle name="_VC 6.15.06 update on 06GRC power costs.xls Chart 3_Power Costs - Comparison bx Rbtl-Staff-Jt-PC_Adj Bench DR 3 for Initial Briefs (Electric)" xfId="2433"/>
    <cellStyle name="_VC 6.15.06 update on 06GRC power costs.xls Chart 3_Power Costs - Comparison bx Rbtl-Staff-Jt-PC_Adj Bench DR 3 for Initial Briefs (Electric) 2" xfId="2434"/>
    <cellStyle name="_VC 6.15.06 update on 06GRC power costs.xls Chart 3_Power Costs - Comparison bx Rbtl-Staff-Jt-PC_Adj Bench DR 3 for Initial Briefs (Electric) 2 2" xfId="5797"/>
    <cellStyle name="_VC 6.15.06 update on 06GRC power costs.xls Chart 3_Power Costs - Comparison bx Rbtl-Staff-Jt-PC_Adj Bench DR 3 for Initial Briefs (Electric) 2 2 2" xfId="21775"/>
    <cellStyle name="_VC 6.15.06 update on 06GRC power costs.xls Chart 3_Power Costs - Comparison bx Rbtl-Staff-Jt-PC_Adj Bench DR 3 for Initial Briefs (Electric) 2 2 2 2" xfId="31479"/>
    <cellStyle name="_VC 6.15.06 update on 06GRC power costs.xls Chart 3_Power Costs - Comparison bx Rbtl-Staff-Jt-PC_Adj Bench DR 3 for Initial Briefs (Electric) 2 2 3" xfId="8944"/>
    <cellStyle name="_VC 6.15.06 update on 06GRC power costs.xls Chart 3_Power Costs - Comparison bx Rbtl-Staff-Jt-PC_Adj Bench DR 3 for Initial Briefs (Electric) 2 3" xfId="17275"/>
    <cellStyle name="_VC 6.15.06 update on 06GRC power costs.xls Chart 3_Power Costs - Comparison bx Rbtl-Staff-Jt-PC_Adj Bench DR 3 for Initial Briefs (Electric) 2 3 2" xfId="31480"/>
    <cellStyle name="_VC 6.15.06 update on 06GRC power costs.xls Chart 3_Power Costs - Comparison bx Rbtl-Staff-Jt-PC_Adj Bench DR 3 for Initial Briefs (Electric) 2 4" xfId="31481"/>
    <cellStyle name="_VC 6.15.06 update on 06GRC power costs.xls Chart 3_Power Costs - Comparison bx Rbtl-Staff-Jt-PC_Adj Bench DR 3 for Initial Briefs (Electric) 2 4 2" xfId="31482"/>
    <cellStyle name="_VC 6.15.06 update on 06GRC power costs.xls Chart 3_Power Costs - Comparison bx Rbtl-Staff-Jt-PC_Adj Bench DR 3 for Initial Briefs (Electric) 2 5" xfId="8943"/>
    <cellStyle name="_VC 6.15.06 update on 06GRC power costs.xls Chart 3_Power Costs - Comparison bx Rbtl-Staff-Jt-PC_Adj Bench DR 3 for Initial Briefs (Electric) 3" xfId="5796"/>
    <cellStyle name="_VC 6.15.06 update on 06GRC power costs.xls Chart 3_Power Costs - Comparison bx Rbtl-Staff-Jt-PC_Adj Bench DR 3 for Initial Briefs (Electric) 3 2" xfId="21776"/>
    <cellStyle name="_VC 6.15.06 update on 06GRC power costs.xls Chart 3_Power Costs - Comparison bx Rbtl-Staff-Jt-PC_Adj Bench DR 3 for Initial Briefs (Electric) 3 2 2" xfId="31483"/>
    <cellStyle name="_VC 6.15.06 update on 06GRC power costs.xls Chart 3_Power Costs - Comparison bx Rbtl-Staff-Jt-PC_Adj Bench DR 3 for Initial Briefs (Electric) 3 3" xfId="31484"/>
    <cellStyle name="_VC 6.15.06 update on 06GRC power costs.xls Chart 3_Power Costs - Comparison bx Rbtl-Staff-Jt-PC_Adj Bench DR 3 for Initial Briefs (Electric) 3 4" xfId="8945"/>
    <cellStyle name="_VC 6.15.06 update on 06GRC power costs.xls Chart 3_Power Costs - Comparison bx Rbtl-Staff-Jt-PC_Adj Bench DR 3 for Initial Briefs (Electric) 4" xfId="17274"/>
    <cellStyle name="_VC 6.15.06 update on 06GRC power costs.xls Chart 3_Power Costs - Comparison bx Rbtl-Staff-Jt-PC_Adj Bench DR 3 for Initial Briefs (Electric) 4 2" xfId="31485"/>
    <cellStyle name="_VC 6.15.06 update on 06GRC power costs.xls Chart 3_Power Costs - Comparison bx Rbtl-Staff-Jt-PC_Adj Bench DR 3 for Initial Briefs (Electric) 4 2 2" xfId="31486"/>
    <cellStyle name="_VC 6.15.06 update on 06GRC power costs.xls Chart 3_Power Costs - Comparison bx Rbtl-Staff-Jt-PC_Adj Bench DR 3 for Initial Briefs (Electric) 4 3" xfId="31487"/>
    <cellStyle name="_VC 6.15.06 update on 06GRC power costs.xls Chart 3_Power Costs - Comparison bx Rbtl-Staff-Jt-PC_Adj Bench DR 3 for Initial Briefs (Electric) 5" xfId="31488"/>
    <cellStyle name="_VC 6.15.06 update on 06GRC power costs.xls Chart 3_Power Costs - Comparison bx Rbtl-Staff-Jt-PC_Adj Bench DR 3 for Initial Briefs (Electric) 5 2" xfId="31489"/>
    <cellStyle name="_VC 6.15.06 update on 06GRC power costs.xls Chart 3_Power Costs - Comparison bx Rbtl-Staff-Jt-PC_Adj Bench DR 3 for Initial Briefs (Electric) 6" xfId="31490"/>
    <cellStyle name="_VC 6.15.06 update on 06GRC power costs.xls Chart 3_Power Costs - Comparison bx Rbtl-Staff-Jt-PC_Adj Bench DR 3 for Initial Briefs (Electric) 6 2" xfId="31491"/>
    <cellStyle name="_VC 6.15.06 update on 06GRC power costs.xls Chart 3_Power Costs - Comparison bx Rbtl-Staff-Jt-PC_Adj Bench DR 3 for Initial Briefs (Electric) 7" xfId="8942"/>
    <cellStyle name="_VC 6.15.06 update on 06GRC power costs.xls Chart 3_Power Costs - Comparison bx Rbtl-Staff-Jt-PC_Adj Bench DR 3 for Initial Briefs (Electric)_DEM-WP(C) ENERG10C--ctn Mid-C_042010 2010GRC" xfId="13208"/>
    <cellStyle name="_VC 6.15.06 update on 06GRC power costs.xls Chart 3_Power Costs - Comparison bx Rbtl-Staff-Jt-PC_Adj Bench DR 3 for Initial Briefs (Electric)_DEM-WP(C) ENERG10C--ctn Mid-C_042010 2010GRC 2" xfId="42068"/>
    <cellStyle name="_VC 6.15.06 update on 06GRC power costs.xls Chart 3_Power Costs - Comparison bx Rbtl-Staff-Jt-PC_DEM-WP(C) ENERG10C--ctn Mid-C_042010 2010GRC" xfId="13209"/>
    <cellStyle name="_VC 6.15.06 update on 06GRC power costs.xls Chart 3_Power Costs - Comparison bx Rbtl-Staff-Jt-PC_DEM-WP(C) ENERG10C--ctn Mid-C_042010 2010GRC 2" xfId="42069"/>
    <cellStyle name="_VC 6.15.06 update on 06GRC power costs.xls Chart 3_Power Costs - Comparison bx Rbtl-Staff-Jt-PC_Electric Rev Req Model (2009 GRC) Rebuttal" xfId="2435"/>
    <cellStyle name="_VC 6.15.06 update on 06GRC power costs.xls Chart 3_Power Costs - Comparison bx Rbtl-Staff-Jt-PC_Electric Rev Req Model (2009 GRC) Rebuttal 2" xfId="5798"/>
    <cellStyle name="_VC 6.15.06 update on 06GRC power costs.xls Chart 3_Power Costs - Comparison bx Rbtl-Staff-Jt-PC_Electric Rev Req Model (2009 GRC) Rebuttal 2 2" xfId="8948"/>
    <cellStyle name="_VC 6.15.06 update on 06GRC power costs.xls Chart 3_Power Costs - Comparison bx Rbtl-Staff-Jt-PC_Electric Rev Req Model (2009 GRC) Rebuttal 2 2 2" xfId="21777"/>
    <cellStyle name="_VC 6.15.06 update on 06GRC power costs.xls Chart 3_Power Costs - Comparison bx Rbtl-Staff-Jt-PC_Electric Rev Req Model (2009 GRC) Rebuttal 2 3" xfId="18810"/>
    <cellStyle name="_VC 6.15.06 update on 06GRC power costs.xls Chart 3_Power Costs - Comparison bx Rbtl-Staff-Jt-PC_Electric Rev Req Model (2009 GRC) Rebuttal 2 4" xfId="8947"/>
    <cellStyle name="_VC 6.15.06 update on 06GRC power costs.xls Chart 3_Power Costs - Comparison bx Rbtl-Staff-Jt-PC_Electric Rev Req Model (2009 GRC) Rebuttal 3" xfId="8949"/>
    <cellStyle name="_VC 6.15.06 update on 06GRC power costs.xls Chart 3_Power Costs - Comparison bx Rbtl-Staff-Jt-PC_Electric Rev Req Model (2009 GRC) Rebuttal 3 2" xfId="21778"/>
    <cellStyle name="_VC 6.15.06 update on 06GRC power costs.xls Chart 3_Power Costs - Comparison bx Rbtl-Staff-Jt-PC_Electric Rev Req Model (2009 GRC) Rebuttal 4" xfId="17276"/>
    <cellStyle name="_VC 6.15.06 update on 06GRC power costs.xls Chart 3_Power Costs - Comparison bx Rbtl-Staff-Jt-PC_Electric Rev Req Model (2009 GRC) Rebuttal 5" xfId="8946"/>
    <cellStyle name="_VC 6.15.06 update on 06GRC power costs.xls Chart 3_Power Costs - Comparison bx Rbtl-Staff-Jt-PC_Electric Rev Req Model (2009 GRC) Rebuttal REmoval of New  WH Solar AdjustMI" xfId="2436"/>
    <cellStyle name="_VC 6.15.06 update on 06GRC power costs.xls Chart 3_Power Costs - Comparison bx Rbtl-Staff-Jt-PC_Electric Rev Req Model (2009 GRC) Rebuttal REmoval of New  WH Solar AdjustMI 2" xfId="2437"/>
    <cellStyle name="_VC 6.15.06 update on 06GRC power costs.xls Chart 3_Power Costs - Comparison bx Rbtl-Staff-Jt-PC_Electric Rev Req Model (2009 GRC) Rebuttal REmoval of New  WH Solar AdjustMI 2 2" xfId="5800"/>
    <cellStyle name="_VC 6.15.06 update on 06GRC power costs.xls Chart 3_Power Costs - Comparison bx Rbtl-Staff-Jt-PC_Electric Rev Req Model (2009 GRC) Rebuttal REmoval of New  WH Solar AdjustMI 2 2 2" xfId="21779"/>
    <cellStyle name="_VC 6.15.06 update on 06GRC power costs.xls Chart 3_Power Costs - Comparison bx Rbtl-Staff-Jt-PC_Electric Rev Req Model (2009 GRC) Rebuttal REmoval of New  WH Solar AdjustMI 2 2 2 2" xfId="31492"/>
    <cellStyle name="_VC 6.15.06 update on 06GRC power costs.xls Chart 3_Power Costs - Comparison bx Rbtl-Staff-Jt-PC_Electric Rev Req Model (2009 GRC) Rebuttal REmoval of New  WH Solar AdjustMI 2 2 3" xfId="8952"/>
    <cellStyle name="_VC 6.15.06 update on 06GRC power costs.xls Chart 3_Power Costs - Comparison bx Rbtl-Staff-Jt-PC_Electric Rev Req Model (2009 GRC) Rebuttal REmoval of New  WH Solar AdjustMI 2 3" xfId="17278"/>
    <cellStyle name="_VC 6.15.06 update on 06GRC power costs.xls Chart 3_Power Costs - Comparison bx Rbtl-Staff-Jt-PC_Electric Rev Req Model (2009 GRC) Rebuttal REmoval of New  WH Solar AdjustMI 2 3 2" xfId="31493"/>
    <cellStyle name="_VC 6.15.06 update on 06GRC power costs.xls Chart 3_Power Costs - Comparison bx Rbtl-Staff-Jt-PC_Electric Rev Req Model (2009 GRC) Rebuttal REmoval of New  WH Solar AdjustMI 2 4" xfId="31494"/>
    <cellStyle name="_VC 6.15.06 update on 06GRC power costs.xls Chart 3_Power Costs - Comparison bx Rbtl-Staff-Jt-PC_Electric Rev Req Model (2009 GRC) Rebuttal REmoval of New  WH Solar AdjustMI 2 4 2" xfId="31495"/>
    <cellStyle name="_VC 6.15.06 update on 06GRC power costs.xls Chart 3_Power Costs - Comparison bx Rbtl-Staff-Jt-PC_Electric Rev Req Model (2009 GRC) Rebuttal REmoval of New  WH Solar AdjustMI 2 5" xfId="8951"/>
    <cellStyle name="_VC 6.15.06 update on 06GRC power costs.xls Chart 3_Power Costs - Comparison bx Rbtl-Staff-Jt-PC_Electric Rev Req Model (2009 GRC) Rebuttal REmoval of New  WH Solar AdjustMI 3" xfId="5799"/>
    <cellStyle name="_VC 6.15.06 update on 06GRC power costs.xls Chart 3_Power Costs - Comparison bx Rbtl-Staff-Jt-PC_Electric Rev Req Model (2009 GRC) Rebuttal REmoval of New  WH Solar AdjustMI 3 2" xfId="21780"/>
    <cellStyle name="_VC 6.15.06 update on 06GRC power costs.xls Chart 3_Power Costs - Comparison bx Rbtl-Staff-Jt-PC_Electric Rev Req Model (2009 GRC) Rebuttal REmoval of New  WH Solar AdjustMI 3 2 2" xfId="31496"/>
    <cellStyle name="_VC 6.15.06 update on 06GRC power costs.xls Chart 3_Power Costs - Comparison bx Rbtl-Staff-Jt-PC_Electric Rev Req Model (2009 GRC) Rebuttal REmoval of New  WH Solar AdjustMI 3 3" xfId="31497"/>
    <cellStyle name="_VC 6.15.06 update on 06GRC power costs.xls Chart 3_Power Costs - Comparison bx Rbtl-Staff-Jt-PC_Electric Rev Req Model (2009 GRC) Rebuttal REmoval of New  WH Solar AdjustMI 3 4" xfId="8953"/>
    <cellStyle name="_VC 6.15.06 update on 06GRC power costs.xls Chart 3_Power Costs - Comparison bx Rbtl-Staff-Jt-PC_Electric Rev Req Model (2009 GRC) Rebuttal REmoval of New  WH Solar AdjustMI 4" xfId="17277"/>
    <cellStyle name="_VC 6.15.06 update on 06GRC power costs.xls Chart 3_Power Costs - Comparison bx Rbtl-Staff-Jt-PC_Electric Rev Req Model (2009 GRC) Rebuttal REmoval of New  WH Solar AdjustMI 4 2" xfId="31498"/>
    <cellStyle name="_VC 6.15.06 update on 06GRC power costs.xls Chart 3_Power Costs - Comparison bx Rbtl-Staff-Jt-PC_Electric Rev Req Model (2009 GRC) Rebuttal REmoval of New  WH Solar AdjustMI 4 2 2" xfId="31499"/>
    <cellStyle name="_VC 6.15.06 update on 06GRC power costs.xls Chart 3_Power Costs - Comparison bx Rbtl-Staff-Jt-PC_Electric Rev Req Model (2009 GRC) Rebuttal REmoval of New  WH Solar AdjustMI 4 3" xfId="31500"/>
    <cellStyle name="_VC 6.15.06 update on 06GRC power costs.xls Chart 3_Power Costs - Comparison bx Rbtl-Staff-Jt-PC_Electric Rev Req Model (2009 GRC) Rebuttal REmoval of New  WH Solar AdjustMI 5" xfId="31501"/>
    <cellStyle name="_VC 6.15.06 update on 06GRC power costs.xls Chart 3_Power Costs - Comparison bx Rbtl-Staff-Jt-PC_Electric Rev Req Model (2009 GRC) Rebuttal REmoval of New  WH Solar AdjustMI 5 2" xfId="31502"/>
    <cellStyle name="_VC 6.15.06 update on 06GRC power costs.xls Chart 3_Power Costs - Comparison bx Rbtl-Staff-Jt-PC_Electric Rev Req Model (2009 GRC) Rebuttal REmoval of New  WH Solar AdjustMI 6" xfId="31503"/>
    <cellStyle name="_VC 6.15.06 update on 06GRC power costs.xls Chart 3_Power Costs - Comparison bx Rbtl-Staff-Jt-PC_Electric Rev Req Model (2009 GRC) Rebuttal REmoval of New  WH Solar AdjustMI 6 2" xfId="31504"/>
    <cellStyle name="_VC 6.15.06 update on 06GRC power costs.xls Chart 3_Power Costs - Comparison bx Rbtl-Staff-Jt-PC_Electric Rev Req Model (2009 GRC) Rebuttal REmoval of New  WH Solar AdjustMI 7" xfId="8950"/>
    <cellStyle name="_VC 6.15.06 update on 06GRC power costs.xls Chart 3_Power Costs - Comparison bx Rbtl-Staff-Jt-PC_Electric Rev Req Model (2009 GRC) Rebuttal REmoval of New  WH Solar AdjustMI_DEM-WP(C) ENERG10C--ctn Mid-C_042010 2010GRC" xfId="13210"/>
    <cellStyle name="_VC 6.15.06 update on 06GRC power costs.xls Chart 3_Power Costs - Comparison bx Rbtl-Staff-Jt-PC_Electric Rev Req Model (2009 GRC) Rebuttal REmoval of New  WH Solar AdjustMI_DEM-WP(C) ENERG10C--ctn Mid-C_042010 2010GRC 2" xfId="42070"/>
    <cellStyle name="_VC 6.15.06 update on 06GRC power costs.xls Chart 3_Power Costs - Comparison bx Rbtl-Staff-Jt-PC_Electric Rev Req Model (2009 GRC) Revised 01-18-2010" xfId="2438"/>
    <cellStyle name="_VC 6.15.06 update on 06GRC power costs.xls Chart 3_Power Costs - Comparison bx Rbtl-Staff-Jt-PC_Electric Rev Req Model (2009 GRC) Revised 01-18-2010 2" xfId="2439"/>
    <cellStyle name="_VC 6.15.06 update on 06GRC power costs.xls Chart 3_Power Costs - Comparison bx Rbtl-Staff-Jt-PC_Electric Rev Req Model (2009 GRC) Revised 01-18-2010 2 2" xfId="5802"/>
    <cellStyle name="_VC 6.15.06 update on 06GRC power costs.xls Chart 3_Power Costs - Comparison bx Rbtl-Staff-Jt-PC_Electric Rev Req Model (2009 GRC) Revised 01-18-2010 2 2 2" xfId="21781"/>
    <cellStyle name="_VC 6.15.06 update on 06GRC power costs.xls Chart 3_Power Costs - Comparison bx Rbtl-Staff-Jt-PC_Electric Rev Req Model (2009 GRC) Revised 01-18-2010 2 2 2 2" xfId="31505"/>
    <cellStyle name="_VC 6.15.06 update on 06GRC power costs.xls Chart 3_Power Costs - Comparison bx Rbtl-Staff-Jt-PC_Electric Rev Req Model (2009 GRC) Revised 01-18-2010 2 2 3" xfId="8956"/>
    <cellStyle name="_VC 6.15.06 update on 06GRC power costs.xls Chart 3_Power Costs - Comparison bx Rbtl-Staff-Jt-PC_Electric Rev Req Model (2009 GRC) Revised 01-18-2010 2 3" xfId="17280"/>
    <cellStyle name="_VC 6.15.06 update on 06GRC power costs.xls Chart 3_Power Costs - Comparison bx Rbtl-Staff-Jt-PC_Electric Rev Req Model (2009 GRC) Revised 01-18-2010 2 3 2" xfId="31506"/>
    <cellStyle name="_VC 6.15.06 update on 06GRC power costs.xls Chart 3_Power Costs - Comparison bx Rbtl-Staff-Jt-PC_Electric Rev Req Model (2009 GRC) Revised 01-18-2010 2 4" xfId="31507"/>
    <cellStyle name="_VC 6.15.06 update on 06GRC power costs.xls Chart 3_Power Costs - Comparison bx Rbtl-Staff-Jt-PC_Electric Rev Req Model (2009 GRC) Revised 01-18-2010 2 4 2" xfId="31508"/>
    <cellStyle name="_VC 6.15.06 update on 06GRC power costs.xls Chart 3_Power Costs - Comparison bx Rbtl-Staff-Jt-PC_Electric Rev Req Model (2009 GRC) Revised 01-18-2010 2 5" xfId="8955"/>
    <cellStyle name="_VC 6.15.06 update on 06GRC power costs.xls Chart 3_Power Costs - Comparison bx Rbtl-Staff-Jt-PC_Electric Rev Req Model (2009 GRC) Revised 01-18-2010 3" xfId="5801"/>
    <cellStyle name="_VC 6.15.06 update on 06GRC power costs.xls Chart 3_Power Costs - Comparison bx Rbtl-Staff-Jt-PC_Electric Rev Req Model (2009 GRC) Revised 01-18-2010 3 2" xfId="21782"/>
    <cellStyle name="_VC 6.15.06 update on 06GRC power costs.xls Chart 3_Power Costs - Comparison bx Rbtl-Staff-Jt-PC_Electric Rev Req Model (2009 GRC) Revised 01-18-2010 3 2 2" xfId="31509"/>
    <cellStyle name="_VC 6.15.06 update on 06GRC power costs.xls Chart 3_Power Costs - Comparison bx Rbtl-Staff-Jt-PC_Electric Rev Req Model (2009 GRC) Revised 01-18-2010 3 3" xfId="31510"/>
    <cellStyle name="_VC 6.15.06 update on 06GRC power costs.xls Chart 3_Power Costs - Comparison bx Rbtl-Staff-Jt-PC_Electric Rev Req Model (2009 GRC) Revised 01-18-2010 3 4" xfId="8957"/>
    <cellStyle name="_VC 6.15.06 update on 06GRC power costs.xls Chart 3_Power Costs - Comparison bx Rbtl-Staff-Jt-PC_Electric Rev Req Model (2009 GRC) Revised 01-18-2010 4" xfId="17279"/>
    <cellStyle name="_VC 6.15.06 update on 06GRC power costs.xls Chart 3_Power Costs - Comparison bx Rbtl-Staff-Jt-PC_Electric Rev Req Model (2009 GRC) Revised 01-18-2010 4 2" xfId="31511"/>
    <cellStyle name="_VC 6.15.06 update on 06GRC power costs.xls Chart 3_Power Costs - Comparison bx Rbtl-Staff-Jt-PC_Electric Rev Req Model (2009 GRC) Revised 01-18-2010 4 2 2" xfId="31512"/>
    <cellStyle name="_VC 6.15.06 update on 06GRC power costs.xls Chart 3_Power Costs - Comparison bx Rbtl-Staff-Jt-PC_Electric Rev Req Model (2009 GRC) Revised 01-18-2010 4 3" xfId="31513"/>
    <cellStyle name="_VC 6.15.06 update on 06GRC power costs.xls Chart 3_Power Costs - Comparison bx Rbtl-Staff-Jt-PC_Electric Rev Req Model (2009 GRC) Revised 01-18-2010 5" xfId="31514"/>
    <cellStyle name="_VC 6.15.06 update on 06GRC power costs.xls Chart 3_Power Costs - Comparison bx Rbtl-Staff-Jt-PC_Electric Rev Req Model (2009 GRC) Revised 01-18-2010 5 2" xfId="31515"/>
    <cellStyle name="_VC 6.15.06 update on 06GRC power costs.xls Chart 3_Power Costs - Comparison bx Rbtl-Staff-Jt-PC_Electric Rev Req Model (2009 GRC) Revised 01-18-2010 6" xfId="31516"/>
    <cellStyle name="_VC 6.15.06 update on 06GRC power costs.xls Chart 3_Power Costs - Comparison bx Rbtl-Staff-Jt-PC_Electric Rev Req Model (2009 GRC) Revised 01-18-2010 6 2" xfId="31517"/>
    <cellStyle name="_VC 6.15.06 update on 06GRC power costs.xls Chart 3_Power Costs - Comparison bx Rbtl-Staff-Jt-PC_Electric Rev Req Model (2009 GRC) Revised 01-18-2010 7" xfId="8954"/>
    <cellStyle name="_VC 6.15.06 update on 06GRC power costs.xls Chart 3_Power Costs - Comparison bx Rbtl-Staff-Jt-PC_Electric Rev Req Model (2009 GRC) Revised 01-18-2010_DEM-WP(C) ENERG10C--ctn Mid-C_042010 2010GRC" xfId="13211"/>
    <cellStyle name="_VC 6.15.06 update on 06GRC power costs.xls Chart 3_Power Costs - Comparison bx Rbtl-Staff-Jt-PC_Electric Rev Req Model (2009 GRC) Revised 01-18-2010_DEM-WP(C) ENERG10C--ctn Mid-C_042010 2010GRC 2" xfId="42071"/>
    <cellStyle name="_VC 6.15.06 update on 06GRC power costs.xls Chart 3_Power Costs - Comparison bx Rbtl-Staff-Jt-PC_Final Order Electric EXHIBIT A-1" xfId="2440"/>
    <cellStyle name="_VC 6.15.06 update on 06GRC power costs.xls Chart 3_Power Costs - Comparison bx Rbtl-Staff-Jt-PC_Final Order Electric EXHIBIT A-1 2" xfId="5803"/>
    <cellStyle name="_VC 6.15.06 update on 06GRC power costs.xls Chart 3_Power Costs - Comparison bx Rbtl-Staff-Jt-PC_Final Order Electric EXHIBIT A-1 2 2" xfId="8960"/>
    <cellStyle name="_VC 6.15.06 update on 06GRC power costs.xls Chart 3_Power Costs - Comparison bx Rbtl-Staff-Jt-PC_Final Order Electric EXHIBIT A-1 2 2 2" xfId="21783"/>
    <cellStyle name="_VC 6.15.06 update on 06GRC power costs.xls Chart 3_Power Costs - Comparison bx Rbtl-Staff-Jt-PC_Final Order Electric EXHIBIT A-1 2 3" xfId="18811"/>
    <cellStyle name="_VC 6.15.06 update on 06GRC power costs.xls Chart 3_Power Costs - Comparison bx Rbtl-Staff-Jt-PC_Final Order Electric EXHIBIT A-1 2 4" xfId="8959"/>
    <cellStyle name="_VC 6.15.06 update on 06GRC power costs.xls Chart 3_Power Costs - Comparison bx Rbtl-Staff-Jt-PC_Final Order Electric EXHIBIT A-1 3" xfId="8961"/>
    <cellStyle name="_VC 6.15.06 update on 06GRC power costs.xls Chart 3_Power Costs - Comparison bx Rbtl-Staff-Jt-PC_Final Order Electric EXHIBIT A-1 3 2" xfId="21784"/>
    <cellStyle name="_VC 6.15.06 update on 06GRC power costs.xls Chart 3_Power Costs - Comparison bx Rbtl-Staff-Jt-PC_Final Order Electric EXHIBIT A-1 3 2 2" xfId="31518"/>
    <cellStyle name="_VC 6.15.06 update on 06GRC power costs.xls Chart 3_Power Costs - Comparison bx Rbtl-Staff-Jt-PC_Final Order Electric EXHIBIT A-1 3 3" xfId="31519"/>
    <cellStyle name="_VC 6.15.06 update on 06GRC power costs.xls Chart 3_Power Costs - Comparison bx Rbtl-Staff-Jt-PC_Final Order Electric EXHIBIT A-1 4" xfId="17281"/>
    <cellStyle name="_VC 6.15.06 update on 06GRC power costs.xls Chart 3_Power Costs - Comparison bx Rbtl-Staff-Jt-PC_Final Order Electric EXHIBIT A-1 4 2" xfId="31520"/>
    <cellStyle name="_VC 6.15.06 update on 06GRC power costs.xls Chart 3_Power Costs - Comparison bx Rbtl-Staff-Jt-PC_Final Order Electric EXHIBIT A-1 5" xfId="31521"/>
    <cellStyle name="_VC 6.15.06 update on 06GRC power costs.xls Chart 3_Power Costs - Comparison bx Rbtl-Staff-Jt-PC_Final Order Electric EXHIBIT A-1 6" xfId="31522"/>
    <cellStyle name="_VC 6.15.06 update on 06GRC power costs.xls Chart 3_Power Costs - Comparison bx Rbtl-Staff-Jt-PC_Final Order Electric EXHIBIT A-1 7" xfId="8958"/>
    <cellStyle name="_VC 6.15.06 update on 06GRC power costs.xls Chart 3_Production Adj 4.37" xfId="8962"/>
    <cellStyle name="_VC 6.15.06 update on 06GRC power costs.xls Chart 3_Production Adj 4.37 2" xfId="8963"/>
    <cellStyle name="_VC 6.15.06 update on 06GRC power costs.xls Chart 3_Production Adj 4.37 2 2" xfId="8964"/>
    <cellStyle name="_VC 6.15.06 update on 06GRC power costs.xls Chart 3_Production Adj 4.37 2 2 2" xfId="21785"/>
    <cellStyle name="_VC 6.15.06 update on 06GRC power costs.xls Chart 3_Production Adj 4.37 2 3" xfId="18813"/>
    <cellStyle name="_VC 6.15.06 update on 06GRC power costs.xls Chart 3_Production Adj 4.37 3" xfId="8965"/>
    <cellStyle name="_VC 6.15.06 update on 06GRC power costs.xls Chart 3_Production Adj 4.37 3 2" xfId="21786"/>
    <cellStyle name="_VC 6.15.06 update on 06GRC power costs.xls Chart 3_Production Adj 4.37 4" xfId="18812"/>
    <cellStyle name="_VC 6.15.06 update on 06GRC power costs.xls Chart 3_Purchased Power Adj 4.03" xfId="8966"/>
    <cellStyle name="_VC 6.15.06 update on 06GRC power costs.xls Chart 3_Purchased Power Adj 4.03 2" xfId="8967"/>
    <cellStyle name="_VC 6.15.06 update on 06GRC power costs.xls Chart 3_Purchased Power Adj 4.03 2 2" xfId="8968"/>
    <cellStyle name="_VC 6.15.06 update on 06GRC power costs.xls Chart 3_Purchased Power Adj 4.03 2 2 2" xfId="21787"/>
    <cellStyle name="_VC 6.15.06 update on 06GRC power costs.xls Chart 3_Purchased Power Adj 4.03 2 3" xfId="18815"/>
    <cellStyle name="_VC 6.15.06 update on 06GRC power costs.xls Chart 3_Purchased Power Adj 4.03 3" xfId="8969"/>
    <cellStyle name="_VC 6.15.06 update on 06GRC power costs.xls Chart 3_Purchased Power Adj 4.03 3 2" xfId="21788"/>
    <cellStyle name="_VC 6.15.06 update on 06GRC power costs.xls Chart 3_Purchased Power Adj 4.03 4" xfId="18814"/>
    <cellStyle name="_VC 6.15.06 update on 06GRC power costs.xls Chart 3_Rebuttal Power Costs" xfId="2441"/>
    <cellStyle name="_VC 6.15.06 update on 06GRC power costs.xls Chart 3_Rebuttal Power Costs 2" xfId="2442"/>
    <cellStyle name="_VC 6.15.06 update on 06GRC power costs.xls Chart 3_Rebuttal Power Costs 2 2" xfId="5805"/>
    <cellStyle name="_VC 6.15.06 update on 06GRC power costs.xls Chart 3_Rebuttal Power Costs 2 2 2" xfId="21789"/>
    <cellStyle name="_VC 6.15.06 update on 06GRC power costs.xls Chart 3_Rebuttal Power Costs 2 2 2 2" xfId="31523"/>
    <cellStyle name="_VC 6.15.06 update on 06GRC power costs.xls Chart 3_Rebuttal Power Costs 2 2 3" xfId="8972"/>
    <cellStyle name="_VC 6.15.06 update on 06GRC power costs.xls Chart 3_Rebuttal Power Costs 2 3" xfId="17283"/>
    <cellStyle name="_VC 6.15.06 update on 06GRC power costs.xls Chart 3_Rebuttal Power Costs 2 3 2" xfId="31524"/>
    <cellStyle name="_VC 6.15.06 update on 06GRC power costs.xls Chart 3_Rebuttal Power Costs 2 4" xfId="31525"/>
    <cellStyle name="_VC 6.15.06 update on 06GRC power costs.xls Chart 3_Rebuttal Power Costs 2 4 2" xfId="31526"/>
    <cellStyle name="_VC 6.15.06 update on 06GRC power costs.xls Chart 3_Rebuttal Power Costs 2 5" xfId="8971"/>
    <cellStyle name="_VC 6.15.06 update on 06GRC power costs.xls Chart 3_Rebuttal Power Costs 3" xfId="5804"/>
    <cellStyle name="_VC 6.15.06 update on 06GRC power costs.xls Chart 3_Rebuttal Power Costs 3 2" xfId="21790"/>
    <cellStyle name="_VC 6.15.06 update on 06GRC power costs.xls Chart 3_Rebuttal Power Costs 3 2 2" xfId="31527"/>
    <cellStyle name="_VC 6.15.06 update on 06GRC power costs.xls Chart 3_Rebuttal Power Costs 3 3" xfId="31528"/>
    <cellStyle name="_VC 6.15.06 update on 06GRC power costs.xls Chart 3_Rebuttal Power Costs 3 4" xfId="8973"/>
    <cellStyle name="_VC 6.15.06 update on 06GRC power costs.xls Chart 3_Rebuttal Power Costs 4" xfId="17282"/>
    <cellStyle name="_VC 6.15.06 update on 06GRC power costs.xls Chart 3_Rebuttal Power Costs 4 2" xfId="31529"/>
    <cellStyle name="_VC 6.15.06 update on 06GRC power costs.xls Chart 3_Rebuttal Power Costs 4 2 2" xfId="31530"/>
    <cellStyle name="_VC 6.15.06 update on 06GRC power costs.xls Chart 3_Rebuttal Power Costs 4 3" xfId="31531"/>
    <cellStyle name="_VC 6.15.06 update on 06GRC power costs.xls Chart 3_Rebuttal Power Costs 5" xfId="31532"/>
    <cellStyle name="_VC 6.15.06 update on 06GRC power costs.xls Chart 3_Rebuttal Power Costs 5 2" xfId="31533"/>
    <cellStyle name="_VC 6.15.06 update on 06GRC power costs.xls Chart 3_Rebuttal Power Costs 6" xfId="31534"/>
    <cellStyle name="_VC 6.15.06 update on 06GRC power costs.xls Chart 3_Rebuttal Power Costs 6 2" xfId="31535"/>
    <cellStyle name="_VC 6.15.06 update on 06GRC power costs.xls Chart 3_Rebuttal Power Costs 7" xfId="8970"/>
    <cellStyle name="_VC 6.15.06 update on 06GRC power costs.xls Chart 3_Rebuttal Power Costs_Adj Bench DR 3 for Initial Briefs (Electric)" xfId="2443"/>
    <cellStyle name="_VC 6.15.06 update on 06GRC power costs.xls Chart 3_Rebuttal Power Costs_Adj Bench DR 3 for Initial Briefs (Electric) 2" xfId="2444"/>
    <cellStyle name="_VC 6.15.06 update on 06GRC power costs.xls Chart 3_Rebuttal Power Costs_Adj Bench DR 3 for Initial Briefs (Electric) 2 2" xfId="5807"/>
    <cellStyle name="_VC 6.15.06 update on 06GRC power costs.xls Chart 3_Rebuttal Power Costs_Adj Bench DR 3 for Initial Briefs (Electric) 2 2 2" xfId="21791"/>
    <cellStyle name="_VC 6.15.06 update on 06GRC power costs.xls Chart 3_Rebuttal Power Costs_Adj Bench DR 3 for Initial Briefs (Electric) 2 2 2 2" xfId="31536"/>
    <cellStyle name="_VC 6.15.06 update on 06GRC power costs.xls Chart 3_Rebuttal Power Costs_Adj Bench DR 3 for Initial Briefs (Electric) 2 2 3" xfId="8976"/>
    <cellStyle name="_VC 6.15.06 update on 06GRC power costs.xls Chart 3_Rebuttal Power Costs_Adj Bench DR 3 for Initial Briefs (Electric) 2 3" xfId="17285"/>
    <cellStyle name="_VC 6.15.06 update on 06GRC power costs.xls Chart 3_Rebuttal Power Costs_Adj Bench DR 3 for Initial Briefs (Electric) 2 3 2" xfId="31537"/>
    <cellStyle name="_VC 6.15.06 update on 06GRC power costs.xls Chart 3_Rebuttal Power Costs_Adj Bench DR 3 for Initial Briefs (Electric) 2 4" xfId="31538"/>
    <cellStyle name="_VC 6.15.06 update on 06GRC power costs.xls Chart 3_Rebuttal Power Costs_Adj Bench DR 3 for Initial Briefs (Electric) 2 4 2" xfId="31539"/>
    <cellStyle name="_VC 6.15.06 update on 06GRC power costs.xls Chart 3_Rebuttal Power Costs_Adj Bench DR 3 for Initial Briefs (Electric) 2 5" xfId="8975"/>
    <cellStyle name="_VC 6.15.06 update on 06GRC power costs.xls Chart 3_Rebuttal Power Costs_Adj Bench DR 3 for Initial Briefs (Electric) 3" xfId="5806"/>
    <cellStyle name="_VC 6.15.06 update on 06GRC power costs.xls Chart 3_Rebuttal Power Costs_Adj Bench DR 3 for Initial Briefs (Electric) 3 2" xfId="21792"/>
    <cellStyle name="_VC 6.15.06 update on 06GRC power costs.xls Chart 3_Rebuttal Power Costs_Adj Bench DR 3 for Initial Briefs (Electric) 3 2 2" xfId="31540"/>
    <cellStyle name="_VC 6.15.06 update on 06GRC power costs.xls Chart 3_Rebuttal Power Costs_Adj Bench DR 3 for Initial Briefs (Electric) 3 3" xfId="31541"/>
    <cellStyle name="_VC 6.15.06 update on 06GRC power costs.xls Chart 3_Rebuttal Power Costs_Adj Bench DR 3 for Initial Briefs (Electric) 3 4" xfId="8977"/>
    <cellStyle name="_VC 6.15.06 update on 06GRC power costs.xls Chart 3_Rebuttal Power Costs_Adj Bench DR 3 for Initial Briefs (Electric) 4" xfId="17284"/>
    <cellStyle name="_VC 6.15.06 update on 06GRC power costs.xls Chart 3_Rebuttal Power Costs_Adj Bench DR 3 for Initial Briefs (Electric) 4 2" xfId="31542"/>
    <cellStyle name="_VC 6.15.06 update on 06GRC power costs.xls Chart 3_Rebuttal Power Costs_Adj Bench DR 3 for Initial Briefs (Electric) 4 2 2" xfId="31543"/>
    <cellStyle name="_VC 6.15.06 update on 06GRC power costs.xls Chart 3_Rebuttal Power Costs_Adj Bench DR 3 for Initial Briefs (Electric) 4 3" xfId="31544"/>
    <cellStyle name="_VC 6.15.06 update on 06GRC power costs.xls Chart 3_Rebuttal Power Costs_Adj Bench DR 3 for Initial Briefs (Electric) 5" xfId="31545"/>
    <cellStyle name="_VC 6.15.06 update on 06GRC power costs.xls Chart 3_Rebuttal Power Costs_Adj Bench DR 3 for Initial Briefs (Electric) 5 2" xfId="31546"/>
    <cellStyle name="_VC 6.15.06 update on 06GRC power costs.xls Chart 3_Rebuttal Power Costs_Adj Bench DR 3 for Initial Briefs (Electric) 6" xfId="31547"/>
    <cellStyle name="_VC 6.15.06 update on 06GRC power costs.xls Chart 3_Rebuttal Power Costs_Adj Bench DR 3 for Initial Briefs (Electric) 6 2" xfId="31548"/>
    <cellStyle name="_VC 6.15.06 update on 06GRC power costs.xls Chart 3_Rebuttal Power Costs_Adj Bench DR 3 for Initial Briefs (Electric) 7" xfId="8974"/>
    <cellStyle name="_VC 6.15.06 update on 06GRC power costs.xls Chart 3_Rebuttal Power Costs_Adj Bench DR 3 for Initial Briefs (Electric)_DEM-WP(C) ENERG10C--ctn Mid-C_042010 2010GRC" xfId="13212"/>
    <cellStyle name="_VC 6.15.06 update on 06GRC power costs.xls Chart 3_Rebuttal Power Costs_Adj Bench DR 3 for Initial Briefs (Electric)_DEM-WP(C) ENERG10C--ctn Mid-C_042010 2010GRC 2" xfId="42072"/>
    <cellStyle name="_VC 6.15.06 update on 06GRC power costs.xls Chart 3_Rebuttal Power Costs_DEM-WP(C) ENERG10C--ctn Mid-C_042010 2010GRC" xfId="13213"/>
    <cellStyle name="_VC 6.15.06 update on 06GRC power costs.xls Chart 3_Rebuttal Power Costs_DEM-WP(C) ENERG10C--ctn Mid-C_042010 2010GRC 2" xfId="42073"/>
    <cellStyle name="_VC 6.15.06 update on 06GRC power costs.xls Chart 3_Rebuttal Power Costs_Electric Rev Req Model (2009 GRC) Rebuttal" xfId="2445"/>
    <cellStyle name="_VC 6.15.06 update on 06GRC power costs.xls Chart 3_Rebuttal Power Costs_Electric Rev Req Model (2009 GRC) Rebuttal 2" xfId="5808"/>
    <cellStyle name="_VC 6.15.06 update on 06GRC power costs.xls Chart 3_Rebuttal Power Costs_Electric Rev Req Model (2009 GRC) Rebuttal 2 2" xfId="8980"/>
    <cellStyle name="_VC 6.15.06 update on 06GRC power costs.xls Chart 3_Rebuttal Power Costs_Electric Rev Req Model (2009 GRC) Rebuttal 2 2 2" xfId="21793"/>
    <cellStyle name="_VC 6.15.06 update on 06GRC power costs.xls Chart 3_Rebuttal Power Costs_Electric Rev Req Model (2009 GRC) Rebuttal 2 3" xfId="18816"/>
    <cellStyle name="_VC 6.15.06 update on 06GRC power costs.xls Chart 3_Rebuttal Power Costs_Electric Rev Req Model (2009 GRC) Rebuttal 2 4" xfId="8979"/>
    <cellStyle name="_VC 6.15.06 update on 06GRC power costs.xls Chart 3_Rebuttal Power Costs_Electric Rev Req Model (2009 GRC) Rebuttal 3" xfId="8981"/>
    <cellStyle name="_VC 6.15.06 update on 06GRC power costs.xls Chart 3_Rebuttal Power Costs_Electric Rev Req Model (2009 GRC) Rebuttal 3 2" xfId="21794"/>
    <cellStyle name="_VC 6.15.06 update on 06GRC power costs.xls Chart 3_Rebuttal Power Costs_Electric Rev Req Model (2009 GRC) Rebuttal 4" xfId="17286"/>
    <cellStyle name="_VC 6.15.06 update on 06GRC power costs.xls Chart 3_Rebuttal Power Costs_Electric Rev Req Model (2009 GRC) Rebuttal 5" xfId="8978"/>
    <cellStyle name="_VC 6.15.06 update on 06GRC power costs.xls Chart 3_Rebuttal Power Costs_Electric Rev Req Model (2009 GRC) Rebuttal REmoval of New  WH Solar AdjustMI" xfId="2446"/>
    <cellStyle name="_VC 6.15.06 update on 06GRC power costs.xls Chart 3_Rebuttal Power Costs_Electric Rev Req Model (2009 GRC) Rebuttal REmoval of New  WH Solar AdjustMI 2" xfId="2447"/>
    <cellStyle name="_VC 6.15.06 update on 06GRC power costs.xls Chart 3_Rebuttal Power Costs_Electric Rev Req Model (2009 GRC) Rebuttal REmoval of New  WH Solar AdjustMI 2 2" xfId="5810"/>
    <cellStyle name="_VC 6.15.06 update on 06GRC power costs.xls Chart 3_Rebuttal Power Costs_Electric Rev Req Model (2009 GRC) Rebuttal REmoval of New  WH Solar AdjustMI 2 2 2" xfId="21795"/>
    <cellStyle name="_VC 6.15.06 update on 06GRC power costs.xls Chart 3_Rebuttal Power Costs_Electric Rev Req Model (2009 GRC) Rebuttal REmoval of New  WH Solar AdjustMI 2 2 2 2" xfId="31549"/>
    <cellStyle name="_VC 6.15.06 update on 06GRC power costs.xls Chart 3_Rebuttal Power Costs_Electric Rev Req Model (2009 GRC) Rebuttal REmoval of New  WH Solar AdjustMI 2 2 3" xfId="8984"/>
    <cellStyle name="_VC 6.15.06 update on 06GRC power costs.xls Chart 3_Rebuttal Power Costs_Electric Rev Req Model (2009 GRC) Rebuttal REmoval of New  WH Solar AdjustMI 2 3" xfId="17288"/>
    <cellStyle name="_VC 6.15.06 update on 06GRC power costs.xls Chart 3_Rebuttal Power Costs_Electric Rev Req Model (2009 GRC) Rebuttal REmoval of New  WH Solar AdjustMI 2 3 2" xfId="31550"/>
    <cellStyle name="_VC 6.15.06 update on 06GRC power costs.xls Chart 3_Rebuttal Power Costs_Electric Rev Req Model (2009 GRC) Rebuttal REmoval of New  WH Solar AdjustMI 2 4" xfId="31551"/>
    <cellStyle name="_VC 6.15.06 update on 06GRC power costs.xls Chart 3_Rebuttal Power Costs_Electric Rev Req Model (2009 GRC) Rebuttal REmoval of New  WH Solar AdjustMI 2 4 2" xfId="31552"/>
    <cellStyle name="_VC 6.15.06 update on 06GRC power costs.xls Chart 3_Rebuttal Power Costs_Electric Rev Req Model (2009 GRC) Rebuttal REmoval of New  WH Solar AdjustMI 2 5" xfId="8983"/>
    <cellStyle name="_VC 6.15.06 update on 06GRC power costs.xls Chart 3_Rebuttal Power Costs_Electric Rev Req Model (2009 GRC) Rebuttal REmoval of New  WH Solar AdjustMI 3" xfId="5809"/>
    <cellStyle name="_VC 6.15.06 update on 06GRC power costs.xls Chart 3_Rebuttal Power Costs_Electric Rev Req Model (2009 GRC) Rebuttal REmoval of New  WH Solar AdjustMI 3 2" xfId="21796"/>
    <cellStyle name="_VC 6.15.06 update on 06GRC power costs.xls Chart 3_Rebuttal Power Costs_Electric Rev Req Model (2009 GRC) Rebuttal REmoval of New  WH Solar AdjustMI 3 2 2" xfId="31553"/>
    <cellStyle name="_VC 6.15.06 update on 06GRC power costs.xls Chart 3_Rebuttal Power Costs_Electric Rev Req Model (2009 GRC) Rebuttal REmoval of New  WH Solar AdjustMI 3 3" xfId="31554"/>
    <cellStyle name="_VC 6.15.06 update on 06GRC power costs.xls Chart 3_Rebuttal Power Costs_Electric Rev Req Model (2009 GRC) Rebuttal REmoval of New  WH Solar AdjustMI 3 4" xfId="8985"/>
    <cellStyle name="_VC 6.15.06 update on 06GRC power costs.xls Chart 3_Rebuttal Power Costs_Electric Rev Req Model (2009 GRC) Rebuttal REmoval of New  WH Solar AdjustMI 4" xfId="17287"/>
    <cellStyle name="_VC 6.15.06 update on 06GRC power costs.xls Chart 3_Rebuttal Power Costs_Electric Rev Req Model (2009 GRC) Rebuttal REmoval of New  WH Solar AdjustMI 4 2" xfId="31555"/>
    <cellStyle name="_VC 6.15.06 update on 06GRC power costs.xls Chart 3_Rebuttal Power Costs_Electric Rev Req Model (2009 GRC) Rebuttal REmoval of New  WH Solar AdjustMI 4 2 2" xfId="31556"/>
    <cellStyle name="_VC 6.15.06 update on 06GRC power costs.xls Chart 3_Rebuttal Power Costs_Electric Rev Req Model (2009 GRC) Rebuttal REmoval of New  WH Solar AdjustMI 4 3" xfId="31557"/>
    <cellStyle name="_VC 6.15.06 update on 06GRC power costs.xls Chart 3_Rebuttal Power Costs_Electric Rev Req Model (2009 GRC) Rebuttal REmoval of New  WH Solar AdjustMI 5" xfId="31558"/>
    <cellStyle name="_VC 6.15.06 update on 06GRC power costs.xls Chart 3_Rebuttal Power Costs_Electric Rev Req Model (2009 GRC) Rebuttal REmoval of New  WH Solar AdjustMI 5 2" xfId="31559"/>
    <cellStyle name="_VC 6.15.06 update on 06GRC power costs.xls Chart 3_Rebuttal Power Costs_Electric Rev Req Model (2009 GRC) Rebuttal REmoval of New  WH Solar AdjustMI 6" xfId="31560"/>
    <cellStyle name="_VC 6.15.06 update on 06GRC power costs.xls Chart 3_Rebuttal Power Costs_Electric Rev Req Model (2009 GRC) Rebuttal REmoval of New  WH Solar AdjustMI 6 2" xfId="31561"/>
    <cellStyle name="_VC 6.15.06 update on 06GRC power costs.xls Chart 3_Rebuttal Power Costs_Electric Rev Req Model (2009 GRC) Rebuttal REmoval of New  WH Solar AdjustMI 7" xfId="8982"/>
    <cellStyle name="_VC 6.15.06 update on 06GRC power costs.xls Chart 3_Rebuttal Power Costs_Electric Rev Req Model (2009 GRC) Rebuttal REmoval of New  WH Solar AdjustMI_DEM-WP(C) ENERG10C--ctn Mid-C_042010 2010GRC" xfId="13214"/>
    <cellStyle name="_VC 6.15.06 update on 06GRC power costs.xls Chart 3_Rebuttal Power Costs_Electric Rev Req Model (2009 GRC) Rebuttal REmoval of New  WH Solar AdjustMI_DEM-WP(C) ENERG10C--ctn Mid-C_042010 2010GRC 2" xfId="42074"/>
    <cellStyle name="_VC 6.15.06 update on 06GRC power costs.xls Chart 3_Rebuttal Power Costs_Electric Rev Req Model (2009 GRC) Revised 01-18-2010" xfId="2448"/>
    <cellStyle name="_VC 6.15.06 update on 06GRC power costs.xls Chart 3_Rebuttal Power Costs_Electric Rev Req Model (2009 GRC) Revised 01-18-2010 2" xfId="2449"/>
    <cellStyle name="_VC 6.15.06 update on 06GRC power costs.xls Chart 3_Rebuttal Power Costs_Electric Rev Req Model (2009 GRC) Revised 01-18-2010 2 2" xfId="5812"/>
    <cellStyle name="_VC 6.15.06 update on 06GRC power costs.xls Chart 3_Rebuttal Power Costs_Electric Rev Req Model (2009 GRC) Revised 01-18-2010 2 2 2" xfId="21797"/>
    <cellStyle name="_VC 6.15.06 update on 06GRC power costs.xls Chart 3_Rebuttal Power Costs_Electric Rev Req Model (2009 GRC) Revised 01-18-2010 2 2 2 2" xfId="31562"/>
    <cellStyle name="_VC 6.15.06 update on 06GRC power costs.xls Chart 3_Rebuttal Power Costs_Electric Rev Req Model (2009 GRC) Revised 01-18-2010 2 2 3" xfId="8988"/>
    <cellStyle name="_VC 6.15.06 update on 06GRC power costs.xls Chart 3_Rebuttal Power Costs_Electric Rev Req Model (2009 GRC) Revised 01-18-2010 2 3" xfId="17290"/>
    <cellStyle name="_VC 6.15.06 update on 06GRC power costs.xls Chart 3_Rebuttal Power Costs_Electric Rev Req Model (2009 GRC) Revised 01-18-2010 2 3 2" xfId="31563"/>
    <cellStyle name="_VC 6.15.06 update on 06GRC power costs.xls Chart 3_Rebuttal Power Costs_Electric Rev Req Model (2009 GRC) Revised 01-18-2010 2 4" xfId="31564"/>
    <cellStyle name="_VC 6.15.06 update on 06GRC power costs.xls Chart 3_Rebuttal Power Costs_Electric Rev Req Model (2009 GRC) Revised 01-18-2010 2 4 2" xfId="31565"/>
    <cellStyle name="_VC 6.15.06 update on 06GRC power costs.xls Chart 3_Rebuttal Power Costs_Electric Rev Req Model (2009 GRC) Revised 01-18-2010 2 5" xfId="8987"/>
    <cellStyle name="_VC 6.15.06 update on 06GRC power costs.xls Chart 3_Rebuttal Power Costs_Electric Rev Req Model (2009 GRC) Revised 01-18-2010 3" xfId="5811"/>
    <cellStyle name="_VC 6.15.06 update on 06GRC power costs.xls Chart 3_Rebuttal Power Costs_Electric Rev Req Model (2009 GRC) Revised 01-18-2010 3 2" xfId="21798"/>
    <cellStyle name="_VC 6.15.06 update on 06GRC power costs.xls Chart 3_Rebuttal Power Costs_Electric Rev Req Model (2009 GRC) Revised 01-18-2010 3 2 2" xfId="31566"/>
    <cellStyle name="_VC 6.15.06 update on 06GRC power costs.xls Chart 3_Rebuttal Power Costs_Electric Rev Req Model (2009 GRC) Revised 01-18-2010 3 3" xfId="31567"/>
    <cellStyle name="_VC 6.15.06 update on 06GRC power costs.xls Chart 3_Rebuttal Power Costs_Electric Rev Req Model (2009 GRC) Revised 01-18-2010 3 4" xfId="8989"/>
    <cellStyle name="_VC 6.15.06 update on 06GRC power costs.xls Chart 3_Rebuttal Power Costs_Electric Rev Req Model (2009 GRC) Revised 01-18-2010 4" xfId="17289"/>
    <cellStyle name="_VC 6.15.06 update on 06GRC power costs.xls Chart 3_Rebuttal Power Costs_Electric Rev Req Model (2009 GRC) Revised 01-18-2010 4 2" xfId="31568"/>
    <cellStyle name="_VC 6.15.06 update on 06GRC power costs.xls Chart 3_Rebuttal Power Costs_Electric Rev Req Model (2009 GRC) Revised 01-18-2010 4 2 2" xfId="31569"/>
    <cellStyle name="_VC 6.15.06 update on 06GRC power costs.xls Chart 3_Rebuttal Power Costs_Electric Rev Req Model (2009 GRC) Revised 01-18-2010 4 3" xfId="31570"/>
    <cellStyle name="_VC 6.15.06 update on 06GRC power costs.xls Chart 3_Rebuttal Power Costs_Electric Rev Req Model (2009 GRC) Revised 01-18-2010 5" xfId="31571"/>
    <cellStyle name="_VC 6.15.06 update on 06GRC power costs.xls Chart 3_Rebuttal Power Costs_Electric Rev Req Model (2009 GRC) Revised 01-18-2010 5 2" xfId="31572"/>
    <cellStyle name="_VC 6.15.06 update on 06GRC power costs.xls Chart 3_Rebuttal Power Costs_Electric Rev Req Model (2009 GRC) Revised 01-18-2010 6" xfId="31573"/>
    <cellStyle name="_VC 6.15.06 update on 06GRC power costs.xls Chart 3_Rebuttal Power Costs_Electric Rev Req Model (2009 GRC) Revised 01-18-2010 6 2" xfId="31574"/>
    <cellStyle name="_VC 6.15.06 update on 06GRC power costs.xls Chart 3_Rebuttal Power Costs_Electric Rev Req Model (2009 GRC) Revised 01-18-2010 7" xfId="8986"/>
    <cellStyle name="_VC 6.15.06 update on 06GRC power costs.xls Chart 3_Rebuttal Power Costs_Electric Rev Req Model (2009 GRC) Revised 01-18-2010_DEM-WP(C) ENERG10C--ctn Mid-C_042010 2010GRC" xfId="13215"/>
    <cellStyle name="_VC 6.15.06 update on 06GRC power costs.xls Chart 3_Rebuttal Power Costs_Electric Rev Req Model (2009 GRC) Revised 01-18-2010_DEM-WP(C) ENERG10C--ctn Mid-C_042010 2010GRC 2" xfId="42075"/>
    <cellStyle name="_VC 6.15.06 update on 06GRC power costs.xls Chart 3_Rebuttal Power Costs_Final Order Electric EXHIBIT A-1" xfId="2450"/>
    <cellStyle name="_VC 6.15.06 update on 06GRC power costs.xls Chart 3_Rebuttal Power Costs_Final Order Electric EXHIBIT A-1 2" xfId="5813"/>
    <cellStyle name="_VC 6.15.06 update on 06GRC power costs.xls Chart 3_Rebuttal Power Costs_Final Order Electric EXHIBIT A-1 2 2" xfId="8992"/>
    <cellStyle name="_VC 6.15.06 update on 06GRC power costs.xls Chart 3_Rebuttal Power Costs_Final Order Electric EXHIBIT A-1 2 2 2" xfId="21799"/>
    <cellStyle name="_VC 6.15.06 update on 06GRC power costs.xls Chart 3_Rebuttal Power Costs_Final Order Electric EXHIBIT A-1 2 3" xfId="18817"/>
    <cellStyle name="_VC 6.15.06 update on 06GRC power costs.xls Chart 3_Rebuttal Power Costs_Final Order Electric EXHIBIT A-1 2 4" xfId="8991"/>
    <cellStyle name="_VC 6.15.06 update on 06GRC power costs.xls Chart 3_Rebuttal Power Costs_Final Order Electric EXHIBIT A-1 3" xfId="8993"/>
    <cellStyle name="_VC 6.15.06 update on 06GRC power costs.xls Chart 3_Rebuttal Power Costs_Final Order Electric EXHIBIT A-1 3 2" xfId="21800"/>
    <cellStyle name="_VC 6.15.06 update on 06GRC power costs.xls Chart 3_Rebuttal Power Costs_Final Order Electric EXHIBIT A-1 3 2 2" xfId="31575"/>
    <cellStyle name="_VC 6.15.06 update on 06GRC power costs.xls Chart 3_Rebuttal Power Costs_Final Order Electric EXHIBIT A-1 3 3" xfId="31576"/>
    <cellStyle name="_VC 6.15.06 update on 06GRC power costs.xls Chart 3_Rebuttal Power Costs_Final Order Electric EXHIBIT A-1 4" xfId="17291"/>
    <cellStyle name="_VC 6.15.06 update on 06GRC power costs.xls Chart 3_Rebuttal Power Costs_Final Order Electric EXHIBIT A-1 4 2" xfId="31577"/>
    <cellStyle name="_VC 6.15.06 update on 06GRC power costs.xls Chart 3_Rebuttal Power Costs_Final Order Electric EXHIBIT A-1 5" xfId="31578"/>
    <cellStyle name="_VC 6.15.06 update on 06GRC power costs.xls Chart 3_Rebuttal Power Costs_Final Order Electric EXHIBIT A-1 6" xfId="31579"/>
    <cellStyle name="_VC 6.15.06 update on 06GRC power costs.xls Chart 3_Rebuttal Power Costs_Final Order Electric EXHIBIT A-1 7" xfId="8990"/>
    <cellStyle name="_VC 6.15.06 update on 06GRC power costs.xls Chart 3_ROR &amp; CONV FACTOR" xfId="8994"/>
    <cellStyle name="_VC 6.15.06 update on 06GRC power costs.xls Chart 3_ROR &amp; CONV FACTOR 2" xfId="8995"/>
    <cellStyle name="_VC 6.15.06 update on 06GRC power costs.xls Chart 3_ROR &amp; CONV FACTOR 2 2" xfId="8996"/>
    <cellStyle name="_VC 6.15.06 update on 06GRC power costs.xls Chart 3_ROR &amp; CONV FACTOR 2 2 2" xfId="21801"/>
    <cellStyle name="_VC 6.15.06 update on 06GRC power costs.xls Chart 3_ROR &amp; CONV FACTOR 2 3" xfId="18819"/>
    <cellStyle name="_VC 6.15.06 update on 06GRC power costs.xls Chart 3_ROR &amp; CONV FACTOR 3" xfId="8997"/>
    <cellStyle name="_VC 6.15.06 update on 06GRC power costs.xls Chart 3_ROR &amp; CONV FACTOR 3 2" xfId="21802"/>
    <cellStyle name="_VC 6.15.06 update on 06GRC power costs.xls Chart 3_ROR &amp; CONV FACTOR 4" xfId="18818"/>
    <cellStyle name="_VC 6.15.06 update on 06GRC power costs.xls Chart 3_ROR 5.02" xfId="8998"/>
    <cellStyle name="_VC 6.15.06 update on 06GRC power costs.xls Chart 3_ROR 5.02 2" xfId="8999"/>
    <cellStyle name="_VC 6.15.06 update on 06GRC power costs.xls Chart 3_ROR 5.02 2 2" xfId="9000"/>
    <cellStyle name="_VC 6.15.06 update on 06GRC power costs.xls Chart 3_ROR 5.02 2 2 2" xfId="21803"/>
    <cellStyle name="_VC 6.15.06 update on 06GRC power costs.xls Chart 3_ROR 5.02 2 3" xfId="18821"/>
    <cellStyle name="_VC 6.15.06 update on 06GRC power costs.xls Chart 3_ROR 5.02 3" xfId="9001"/>
    <cellStyle name="_VC 6.15.06 update on 06GRC power costs.xls Chart 3_ROR 5.02 3 2" xfId="21804"/>
    <cellStyle name="_VC 6.15.06 update on 06GRC power costs.xls Chart 3_ROR 5.02 4" xfId="18820"/>
    <cellStyle name="_VC 6.15.06 update on 06GRC power costs.xls Chart 3_Wind Integration 10GRC" xfId="2451"/>
    <cellStyle name="_VC 6.15.06 update on 06GRC power costs.xls Chart 3_Wind Integration 10GRC 2" xfId="2452"/>
    <cellStyle name="_VC 6.15.06 update on 06GRC power costs.xls Chart 3_Wind Integration 10GRC 2 2" xfId="5815"/>
    <cellStyle name="_VC 6.15.06 update on 06GRC power costs.xls Chart 3_Wind Integration 10GRC 2 2 2" xfId="31580"/>
    <cellStyle name="_VC 6.15.06 update on 06GRC power costs.xls Chart 3_Wind Integration 10GRC 2 2 2 2" xfId="31581"/>
    <cellStyle name="_VC 6.15.06 update on 06GRC power costs.xls Chart 3_Wind Integration 10GRC 2 3" xfId="31582"/>
    <cellStyle name="_VC 6.15.06 update on 06GRC power costs.xls Chart 3_Wind Integration 10GRC 2 3 2" xfId="31583"/>
    <cellStyle name="_VC 6.15.06 update on 06GRC power costs.xls Chart 3_Wind Integration 10GRC 2 4" xfId="31584"/>
    <cellStyle name="_VC 6.15.06 update on 06GRC power costs.xls Chart 3_Wind Integration 10GRC 2 4 2" xfId="31585"/>
    <cellStyle name="_VC 6.15.06 update on 06GRC power costs.xls Chart 3_Wind Integration 10GRC 2 5" xfId="9003"/>
    <cellStyle name="_VC 6.15.06 update on 06GRC power costs.xls Chart 3_Wind Integration 10GRC 3" xfId="5814"/>
    <cellStyle name="_VC 6.15.06 update on 06GRC power costs.xls Chart 3_Wind Integration 10GRC 3 2" xfId="31586"/>
    <cellStyle name="_VC 6.15.06 update on 06GRC power costs.xls Chart 3_Wind Integration 10GRC 3 2 2" xfId="31587"/>
    <cellStyle name="_VC 6.15.06 update on 06GRC power costs.xls Chart 3_Wind Integration 10GRC 3 3" xfId="31588"/>
    <cellStyle name="_VC 6.15.06 update on 06GRC power costs.xls Chart 3_Wind Integration 10GRC 4" xfId="31589"/>
    <cellStyle name="_VC 6.15.06 update on 06GRC power costs.xls Chart 3_Wind Integration 10GRC 4 2" xfId="31590"/>
    <cellStyle name="_VC 6.15.06 update on 06GRC power costs.xls Chart 3_Wind Integration 10GRC 4 2 2" xfId="31591"/>
    <cellStyle name="_VC 6.15.06 update on 06GRC power costs.xls Chart 3_Wind Integration 10GRC 4 3" xfId="31592"/>
    <cellStyle name="_VC 6.15.06 update on 06GRC power costs.xls Chart 3_Wind Integration 10GRC 5" xfId="31593"/>
    <cellStyle name="_VC 6.15.06 update on 06GRC power costs.xls Chart 3_Wind Integration 10GRC 5 2" xfId="31594"/>
    <cellStyle name="_VC 6.15.06 update on 06GRC power costs.xls Chart 3_Wind Integration 10GRC 6" xfId="31595"/>
    <cellStyle name="_VC 6.15.06 update on 06GRC power costs.xls Chart 3_Wind Integration 10GRC 6 2" xfId="31596"/>
    <cellStyle name="_VC 6.15.06 update on 06GRC power costs.xls Chart 3_Wind Integration 10GRC 7" xfId="9002"/>
    <cellStyle name="_VC 6.15.06 update on 06GRC power costs.xls Chart 3_Wind Integration 10GRC_DEM-WP(C) ENERG10C--ctn Mid-C_042010 2010GRC" xfId="13216"/>
    <cellStyle name="_VC 6.15.06 update on 06GRC power costs.xls Chart 3_Wind Integration 10GRC_DEM-WP(C) ENERG10C--ctn Mid-C_042010 2010GRC 2" xfId="42076"/>
    <cellStyle name="_VC Mid C Generation-ctn Mid-C_011209" xfId="13217"/>
    <cellStyle name="_VC Mid C Generation-ctn Mid-C_011209 2" xfId="13218"/>
    <cellStyle name="_VC Mid C Generation-ctn Mid-C_011209 2 2" xfId="13219"/>
    <cellStyle name="_VC Mid C Generation-ctn Mid-C_011209 2 2 2" xfId="42077"/>
    <cellStyle name="_VC Mid C Generation-ctn Mid-C_011209 2 3" xfId="42078"/>
    <cellStyle name="_VC Mid C Generation-ctn Mid-C_011209 3" xfId="31597"/>
    <cellStyle name="_VC Mid C Generation-ctn Mid-C_011209 3 2" xfId="31598"/>
    <cellStyle name="_Worksheet" xfId="2453"/>
    <cellStyle name="_Worksheet 10" xfId="9004"/>
    <cellStyle name="_Worksheet 2" xfId="5816"/>
    <cellStyle name="_Worksheet 2 2" xfId="13220"/>
    <cellStyle name="_Worksheet 2 2 2" xfId="31599"/>
    <cellStyle name="_Worksheet 2 2 2 2" xfId="31600"/>
    <cellStyle name="_Worksheet 2 2 2 2 2" xfId="31601"/>
    <cellStyle name="_Worksheet 2 2 3" xfId="31602"/>
    <cellStyle name="_Worksheet 2 2 3 2" xfId="31603"/>
    <cellStyle name="_Worksheet 2 2 4" xfId="31604"/>
    <cellStyle name="_Worksheet 2 2 4 2" xfId="31605"/>
    <cellStyle name="_Worksheet 2 3" xfId="31606"/>
    <cellStyle name="_Worksheet 2 3 2" xfId="31607"/>
    <cellStyle name="_Worksheet 2 3 2 2" xfId="31608"/>
    <cellStyle name="_Worksheet 2 4" xfId="31609"/>
    <cellStyle name="_Worksheet 2 4 2" xfId="31610"/>
    <cellStyle name="_Worksheet 2 4 2 2" xfId="31611"/>
    <cellStyle name="_Worksheet 2 4 3" xfId="31612"/>
    <cellStyle name="_Worksheet 2 5" xfId="31613"/>
    <cellStyle name="_Worksheet 2 5 2" xfId="31614"/>
    <cellStyle name="_Worksheet 2 6" xfId="31615"/>
    <cellStyle name="_Worksheet 2 6 2" xfId="31616"/>
    <cellStyle name="_Worksheet 3" xfId="13221"/>
    <cellStyle name="_Worksheet 3 2" xfId="31617"/>
    <cellStyle name="_Worksheet 3 2 2" xfId="31618"/>
    <cellStyle name="_Worksheet 3 2 2 2" xfId="31619"/>
    <cellStyle name="_Worksheet 3 2 2 2 2" xfId="31620"/>
    <cellStyle name="_Worksheet 3 2 3" xfId="31621"/>
    <cellStyle name="_Worksheet 3 2 3 2" xfId="31622"/>
    <cellStyle name="_Worksheet 3 2 4" xfId="31623"/>
    <cellStyle name="_Worksheet 3 2 4 2" xfId="31624"/>
    <cellStyle name="_Worksheet 3 2 5" xfId="31625"/>
    <cellStyle name="_Worksheet 3 3" xfId="31626"/>
    <cellStyle name="_Worksheet 3 3 2" xfId="31627"/>
    <cellStyle name="_Worksheet 3 3 2 2" xfId="31628"/>
    <cellStyle name="_Worksheet 3 4" xfId="31629"/>
    <cellStyle name="_Worksheet 3 4 2" xfId="31630"/>
    <cellStyle name="_Worksheet 3 5" xfId="31631"/>
    <cellStyle name="_Worksheet 3 5 2" xfId="31632"/>
    <cellStyle name="_Worksheet 4" xfId="13222"/>
    <cellStyle name="_Worksheet 4 2" xfId="13223"/>
    <cellStyle name="_Worksheet 4 2 2" xfId="31633"/>
    <cellStyle name="_Worksheet 4 2 2 2" xfId="31634"/>
    <cellStyle name="_Worksheet 4 3" xfId="31635"/>
    <cellStyle name="_Worksheet 4 3 2" xfId="31636"/>
    <cellStyle name="_Worksheet 4 4" xfId="31637"/>
    <cellStyle name="_Worksheet 4 4 2" xfId="31638"/>
    <cellStyle name="_Worksheet 5" xfId="31639"/>
    <cellStyle name="_Worksheet 5 2" xfId="31640"/>
    <cellStyle name="_Worksheet 5 2 2" xfId="31641"/>
    <cellStyle name="_Worksheet 5 2 3" xfId="31642"/>
    <cellStyle name="_Worksheet 5 3" xfId="31643"/>
    <cellStyle name="_Worksheet 6" xfId="31644"/>
    <cellStyle name="_Worksheet 6 2" xfId="31645"/>
    <cellStyle name="_Worksheet 6 2 2" xfId="31646"/>
    <cellStyle name="_Worksheet 6 2 3" xfId="31647"/>
    <cellStyle name="_Worksheet 6 3" xfId="31648"/>
    <cellStyle name="_Worksheet 6 4" xfId="31649"/>
    <cellStyle name="_Worksheet 7" xfId="31650"/>
    <cellStyle name="_Worksheet 7 2" xfId="31651"/>
    <cellStyle name="_Worksheet 7 2 2" xfId="31652"/>
    <cellStyle name="_Worksheet 7 2 2 2" xfId="31653"/>
    <cellStyle name="_Worksheet 7 2 3" xfId="31654"/>
    <cellStyle name="_Worksheet 7 3" xfId="31655"/>
    <cellStyle name="_Worksheet 7 3 2" xfId="31656"/>
    <cellStyle name="_Worksheet 7 4" xfId="31657"/>
    <cellStyle name="_Worksheet 8" xfId="31658"/>
    <cellStyle name="_Worksheet 8 2" xfId="31659"/>
    <cellStyle name="_Worksheet 9" xfId="31660"/>
    <cellStyle name="_Worksheet 9 2" xfId="31661"/>
    <cellStyle name="_Worksheet_Chelan PUD Power Costs (8-10)" xfId="13224"/>
    <cellStyle name="_Worksheet_Chelan PUD Power Costs (8-10) 2" xfId="31662"/>
    <cellStyle name="_Worksheet_DEM-WP(C) Chelan Power Costs" xfId="13225"/>
    <cellStyle name="_Worksheet_DEM-WP(C) Chelan Power Costs 2" xfId="31663"/>
    <cellStyle name="_Worksheet_DEM-WP(C) Chelan Power Costs 2 2" xfId="31664"/>
    <cellStyle name="_Worksheet_DEM-WP(C) Chelan Power Costs 2 2 2" xfId="31665"/>
    <cellStyle name="_Worksheet_DEM-WP(C) Chelan Power Costs 2 3" xfId="31666"/>
    <cellStyle name="_Worksheet_DEM-WP(C) Chelan Power Costs 3" xfId="31667"/>
    <cellStyle name="_Worksheet_DEM-WP(C) Chelan Power Costs 3 2" xfId="31668"/>
    <cellStyle name="_Worksheet_DEM-WP(C) Chelan Power Costs 3 2 2" xfId="31669"/>
    <cellStyle name="_Worksheet_DEM-WP(C) Chelan Power Costs 3 3" xfId="31670"/>
    <cellStyle name="_Worksheet_DEM-WP(C) Chelan Power Costs 4" xfId="31671"/>
    <cellStyle name="_Worksheet_DEM-WP(C) Chelan Power Costs 4 2" xfId="31672"/>
    <cellStyle name="_Worksheet_DEM-WP(C) Chelan Power Costs 5" xfId="31673"/>
    <cellStyle name="_Worksheet_DEM-WP(C) Chelan Power Costs 5 2" xfId="31674"/>
    <cellStyle name="_Worksheet_DEM-WP(C) ENERG10C--ctn Mid-C_042010 2010GRC" xfId="13226"/>
    <cellStyle name="_Worksheet_DEM-WP(C) ENERG10C--ctn Mid-C_042010 2010GRC 2" xfId="42079"/>
    <cellStyle name="_Worksheet_DEM-WP(C) Gas Transport 2010GRC" xfId="13227"/>
    <cellStyle name="_Worksheet_DEM-WP(C) Gas Transport 2010GRC 2" xfId="31675"/>
    <cellStyle name="_Worksheet_DEM-WP(C) Gas Transport 2010GRC 2 2" xfId="31676"/>
    <cellStyle name="_Worksheet_DEM-WP(C) Gas Transport 2010GRC 2 2 2" xfId="31677"/>
    <cellStyle name="_Worksheet_DEM-WP(C) Gas Transport 2010GRC 2 3" xfId="31678"/>
    <cellStyle name="_Worksheet_DEM-WP(C) Gas Transport 2010GRC 3" xfId="31679"/>
    <cellStyle name="_Worksheet_DEM-WP(C) Gas Transport 2010GRC 3 2" xfId="31680"/>
    <cellStyle name="_Worksheet_DEM-WP(C) Gas Transport 2010GRC 3 2 2" xfId="31681"/>
    <cellStyle name="_Worksheet_DEM-WP(C) Gas Transport 2010GRC 3 3" xfId="31682"/>
    <cellStyle name="_Worksheet_DEM-WP(C) Gas Transport 2010GRC 4" xfId="31683"/>
    <cellStyle name="_Worksheet_DEM-WP(C) Gas Transport 2010GRC 4 2" xfId="31684"/>
    <cellStyle name="_Worksheet_DEM-WP(C) Gas Transport 2010GRC 5" xfId="31685"/>
    <cellStyle name="_Worksheet_DEM-WP(C) Gas Transport 2010GRC 5 2" xfId="31686"/>
    <cellStyle name="_Worksheet_NIM Summary" xfId="2454"/>
    <cellStyle name="_Worksheet_NIM Summary 2" xfId="2455"/>
    <cellStyle name="_Worksheet_NIM Summary 2 2" xfId="5818"/>
    <cellStyle name="_Worksheet_NIM Summary 2 2 2" xfId="31687"/>
    <cellStyle name="_Worksheet_NIM Summary 2 2 2 2" xfId="31688"/>
    <cellStyle name="_Worksheet_NIM Summary 2 3" xfId="31689"/>
    <cellStyle name="_Worksheet_NIM Summary 2 3 2" xfId="31690"/>
    <cellStyle name="_Worksheet_NIM Summary 2 4" xfId="31691"/>
    <cellStyle name="_Worksheet_NIM Summary 2 4 2" xfId="31692"/>
    <cellStyle name="_Worksheet_NIM Summary 2 5" xfId="9006"/>
    <cellStyle name="_Worksheet_NIM Summary 3" xfId="5817"/>
    <cellStyle name="_Worksheet_NIM Summary 3 2" xfId="31693"/>
    <cellStyle name="_Worksheet_NIM Summary 3 2 2" xfId="31694"/>
    <cellStyle name="_Worksheet_NIM Summary 3 3" xfId="31695"/>
    <cellStyle name="_Worksheet_NIM Summary 4" xfId="31696"/>
    <cellStyle name="_Worksheet_NIM Summary 4 2" xfId="31697"/>
    <cellStyle name="_Worksheet_NIM Summary 4 2 2" xfId="31698"/>
    <cellStyle name="_Worksheet_NIM Summary 4 3" xfId="31699"/>
    <cellStyle name="_Worksheet_NIM Summary 5" xfId="31700"/>
    <cellStyle name="_Worksheet_NIM Summary 5 2" xfId="31701"/>
    <cellStyle name="_Worksheet_NIM Summary 6" xfId="31702"/>
    <cellStyle name="_Worksheet_NIM Summary 6 2" xfId="31703"/>
    <cellStyle name="_Worksheet_NIM Summary 7" xfId="9005"/>
    <cellStyle name="_Worksheet_NIM Summary_DEM-WP(C) ENERG10C--ctn Mid-C_042010 2010GRC" xfId="13228"/>
    <cellStyle name="_Worksheet_NIM Summary_DEM-WP(C) ENERG10C--ctn Mid-C_042010 2010GRC 2" xfId="42080"/>
    <cellStyle name="_Worksheet_Transmission Workbook for May BOD" xfId="2456"/>
    <cellStyle name="_Worksheet_Transmission Workbook for May BOD 2" xfId="2457"/>
    <cellStyle name="_Worksheet_Transmission Workbook for May BOD 2 2" xfId="5820"/>
    <cellStyle name="_Worksheet_Transmission Workbook for May BOD 2 2 2" xfId="31704"/>
    <cellStyle name="_Worksheet_Transmission Workbook for May BOD 2 2 2 2" xfId="31705"/>
    <cellStyle name="_Worksheet_Transmission Workbook for May BOD 2 3" xfId="31706"/>
    <cellStyle name="_Worksheet_Transmission Workbook for May BOD 2 3 2" xfId="31707"/>
    <cellStyle name="_Worksheet_Transmission Workbook for May BOD 2 4" xfId="31708"/>
    <cellStyle name="_Worksheet_Transmission Workbook for May BOD 2 4 2" xfId="31709"/>
    <cellStyle name="_Worksheet_Transmission Workbook for May BOD 2 5" xfId="9008"/>
    <cellStyle name="_Worksheet_Transmission Workbook for May BOD 3" xfId="5819"/>
    <cellStyle name="_Worksheet_Transmission Workbook for May BOD 3 2" xfId="31710"/>
    <cellStyle name="_Worksheet_Transmission Workbook for May BOD 3 2 2" xfId="31711"/>
    <cellStyle name="_Worksheet_Transmission Workbook for May BOD 3 3" xfId="31712"/>
    <cellStyle name="_Worksheet_Transmission Workbook for May BOD 4" xfId="31713"/>
    <cellStyle name="_Worksheet_Transmission Workbook for May BOD 4 2" xfId="31714"/>
    <cellStyle name="_Worksheet_Transmission Workbook for May BOD 4 2 2" xfId="31715"/>
    <cellStyle name="_Worksheet_Transmission Workbook for May BOD 4 3" xfId="31716"/>
    <cellStyle name="_Worksheet_Transmission Workbook for May BOD 5" xfId="31717"/>
    <cellStyle name="_Worksheet_Transmission Workbook for May BOD 5 2" xfId="31718"/>
    <cellStyle name="_Worksheet_Transmission Workbook for May BOD 6" xfId="31719"/>
    <cellStyle name="_Worksheet_Transmission Workbook for May BOD 6 2" xfId="31720"/>
    <cellStyle name="_Worksheet_Transmission Workbook for May BOD 7" xfId="9007"/>
    <cellStyle name="_Worksheet_Transmission Workbook for May BOD_DEM-WP(C) ENERG10C--ctn Mid-C_042010 2010GRC" xfId="13229"/>
    <cellStyle name="_Worksheet_Transmission Workbook for May BOD_DEM-WP(C) ENERG10C--ctn Mid-C_042010 2010GRC 2" xfId="42081"/>
    <cellStyle name="_Worksheet_Wind Integration 10GRC" xfId="2458"/>
    <cellStyle name="_Worksheet_Wind Integration 10GRC 2" xfId="2459"/>
    <cellStyle name="_Worksheet_Wind Integration 10GRC 2 2" xfId="5822"/>
    <cellStyle name="_Worksheet_Wind Integration 10GRC 2 2 2" xfId="31721"/>
    <cellStyle name="_Worksheet_Wind Integration 10GRC 2 2 2 2" xfId="31722"/>
    <cellStyle name="_Worksheet_Wind Integration 10GRC 2 3" xfId="31723"/>
    <cellStyle name="_Worksheet_Wind Integration 10GRC 2 3 2" xfId="31724"/>
    <cellStyle name="_Worksheet_Wind Integration 10GRC 2 4" xfId="31725"/>
    <cellStyle name="_Worksheet_Wind Integration 10GRC 2 4 2" xfId="31726"/>
    <cellStyle name="_Worksheet_Wind Integration 10GRC 2 5" xfId="9010"/>
    <cellStyle name="_Worksheet_Wind Integration 10GRC 3" xfId="5821"/>
    <cellStyle name="_Worksheet_Wind Integration 10GRC 3 2" xfId="31727"/>
    <cellStyle name="_Worksheet_Wind Integration 10GRC 3 2 2" xfId="31728"/>
    <cellStyle name="_Worksheet_Wind Integration 10GRC 3 3" xfId="31729"/>
    <cellStyle name="_Worksheet_Wind Integration 10GRC 4" xfId="31730"/>
    <cellStyle name="_Worksheet_Wind Integration 10GRC 4 2" xfId="31731"/>
    <cellStyle name="_Worksheet_Wind Integration 10GRC 4 2 2" xfId="31732"/>
    <cellStyle name="_Worksheet_Wind Integration 10GRC 4 3" xfId="31733"/>
    <cellStyle name="_Worksheet_Wind Integration 10GRC 5" xfId="31734"/>
    <cellStyle name="_Worksheet_Wind Integration 10GRC 5 2" xfId="31735"/>
    <cellStyle name="_Worksheet_Wind Integration 10GRC 6" xfId="31736"/>
    <cellStyle name="_Worksheet_Wind Integration 10GRC 6 2" xfId="31737"/>
    <cellStyle name="_Worksheet_Wind Integration 10GRC 7" xfId="9009"/>
    <cellStyle name="_Worksheet_Wind Integration 10GRC_DEM-WP(C) ENERG10C--ctn Mid-C_042010 2010GRC" xfId="13230"/>
    <cellStyle name="_Worksheet_Wind Integration 10GRC_DEM-WP(C) ENERG10C--ctn Mid-C_042010 2010GRC 2" xfId="42082"/>
    <cellStyle name="0,0_x000d__x000a_NA_x000d__x000a_" xfId="2460"/>
    <cellStyle name="0,0_x000d__x000a_NA_x000d__x000a_ 2" xfId="17292"/>
    <cellStyle name="0,0_x000d__x000a_NA_x000d__x000a_ 2 2" xfId="31738"/>
    <cellStyle name="0,0_x000d__x000a_NA_x000d__x000a_ 2 2 2" xfId="31739"/>
    <cellStyle name="0,0_x000d__x000a_NA_x000d__x000a_ 2 3" xfId="31740"/>
    <cellStyle name="0,0_x000d__x000a_NA_x000d__x000a_ 3" xfId="31741"/>
    <cellStyle name="0,0_x000d__x000a_NA_x000d__x000a_ 3 2" xfId="31742"/>
    <cellStyle name="0,0_x000d__x000a_NA_x000d__x000a_ 4" xfId="31743"/>
    <cellStyle name="0,0_x000d__x000a_NA_x000d__x000a_ 4 2" xfId="31744"/>
    <cellStyle name="0,0_x000d__x000a_NA_x000d__x000a_ 5" xfId="9011"/>
    <cellStyle name="0000" xfId="14219"/>
    <cellStyle name="000000" xfId="14220"/>
    <cellStyle name="14BLIN - Style8" xfId="13231"/>
    <cellStyle name="14-BT - Style1" xfId="13232"/>
    <cellStyle name="20% - Accent1 10" xfId="13233"/>
    <cellStyle name="20% - Accent1 10 2" xfId="31745"/>
    <cellStyle name="20% - Accent1 10 2 2" xfId="31746"/>
    <cellStyle name="20% - Accent1 10 3" xfId="31747"/>
    <cellStyle name="20% - Accent1 10 4" xfId="31748"/>
    <cellStyle name="20% - Accent1 11" xfId="17293"/>
    <cellStyle name="20% - Accent1 11 2" xfId="31749"/>
    <cellStyle name="20% - Accent1 11 3" xfId="31750"/>
    <cellStyle name="20% - Accent1 12" xfId="31751"/>
    <cellStyle name="20% - Accent1 13" xfId="9012"/>
    <cellStyle name="20% - Accent1 2" xfId="2461"/>
    <cellStyle name="20% - Accent1 2 2" xfId="2462"/>
    <cellStyle name="20% - Accent1 2 2 2" xfId="2463"/>
    <cellStyle name="20% - Accent1 2 2 2 2" xfId="13234"/>
    <cellStyle name="20% - Accent1 2 2 2 2 2" xfId="31752"/>
    <cellStyle name="20% - Accent1 2 2 2 3" xfId="31753"/>
    <cellStyle name="20% - Accent1 2 2 2 3 2" xfId="31754"/>
    <cellStyle name="20% - Accent1 2 2 2 4" xfId="9015"/>
    <cellStyle name="20% - Accent1 2 2 3" xfId="5823"/>
    <cellStyle name="20% - Accent1 2 2 3 2" xfId="6397"/>
    <cellStyle name="20% - Accent1 2 2 3 2 2" xfId="31756"/>
    <cellStyle name="20% - Accent1 2 2 3 2 3" xfId="31755"/>
    <cellStyle name="20% - Accent1 2 2 3 3" xfId="31757"/>
    <cellStyle name="20% - Accent1 2 2 3 4" xfId="13235"/>
    <cellStyle name="20% - Accent1 2 2 4" xfId="6329"/>
    <cellStyle name="20% - Accent1 2 2 4 2" xfId="31759"/>
    <cellStyle name="20% - Accent1 2 2 4 3" xfId="31758"/>
    <cellStyle name="20% - Accent1 2 2 5" xfId="31760"/>
    <cellStyle name="20% - Accent1 2 2 5 2" xfId="31761"/>
    <cellStyle name="20% - Accent1 2 2 6" xfId="9014"/>
    <cellStyle name="20% - Accent1 2 3" xfId="2464"/>
    <cellStyle name="20% - Accent1 2 3 2" xfId="13236"/>
    <cellStyle name="20% - Accent1 2 3 2 2" xfId="13237"/>
    <cellStyle name="20% - Accent1 2 3 2 2 2" xfId="31762"/>
    <cellStyle name="20% - Accent1 2 3 2 3" xfId="31763"/>
    <cellStyle name="20% - Accent1 2 3 3" xfId="13238"/>
    <cellStyle name="20% - Accent1 2 3 3 2" xfId="31764"/>
    <cellStyle name="20% - Accent1 2 3 4" xfId="31765"/>
    <cellStyle name="20% - Accent1 2 3 4 2" xfId="31766"/>
    <cellStyle name="20% - Accent1 2 3 5" xfId="9016"/>
    <cellStyle name="20% - Accent1 2 4" xfId="13239"/>
    <cellStyle name="20% - Accent1 2 4 2" xfId="13240"/>
    <cellStyle name="20% - Accent1 2 4 2 2" xfId="31767"/>
    <cellStyle name="20% - Accent1 2 4 2 2 2" xfId="31768"/>
    <cellStyle name="20% - Accent1 2 4 2 3" xfId="31769"/>
    <cellStyle name="20% - Accent1 2 4 2 3 2" xfId="31770"/>
    <cellStyle name="20% - Accent1 2 4 3" xfId="13241"/>
    <cellStyle name="20% - Accent1 2 4 3 2" xfId="31771"/>
    <cellStyle name="20% - Accent1 2 4 3 2 2" xfId="31772"/>
    <cellStyle name="20% - Accent1 2 4 3 3" xfId="31773"/>
    <cellStyle name="20% - Accent1 2 4 4" xfId="31774"/>
    <cellStyle name="20% - Accent1 2 4 4 2" xfId="31775"/>
    <cellStyle name="20% - Accent1 2 4 5" xfId="31776"/>
    <cellStyle name="20% - Accent1 2 4 5 2" xfId="31777"/>
    <cellStyle name="20% - Accent1 2 5" xfId="13242"/>
    <cellStyle name="20% - Accent1 2 5 2" xfId="31778"/>
    <cellStyle name="20% - Accent1 2 5 2 2" xfId="31779"/>
    <cellStyle name="20% - Accent1 2 5 3" xfId="31780"/>
    <cellStyle name="20% - Accent1 2 6" xfId="31781"/>
    <cellStyle name="20% - Accent1 2 6 2" xfId="31782"/>
    <cellStyle name="20% - Accent1 2 6 2 2" xfId="31783"/>
    <cellStyle name="20% - Accent1 2 6 3" xfId="31784"/>
    <cellStyle name="20% - Accent1 2 7" xfId="31785"/>
    <cellStyle name="20% - Accent1 2 7 2" xfId="31786"/>
    <cellStyle name="20% - Accent1 2 8" xfId="31787"/>
    <cellStyle name="20% - Accent1 2 9" xfId="9013"/>
    <cellStyle name="20% - Accent1 2_12PCORC Wind Vestas and Royalties" xfId="31788"/>
    <cellStyle name="20% - Accent1 3" xfId="2465"/>
    <cellStyle name="20% - Accent1 3 2" xfId="2466"/>
    <cellStyle name="20% - Accent1 3 2 2" xfId="13243"/>
    <cellStyle name="20% - Accent1 3 2 2 2" xfId="31789"/>
    <cellStyle name="20% - Accent1 3 2 3" xfId="13244"/>
    <cellStyle name="20% - Accent1 3 2 3 2" xfId="31790"/>
    <cellStyle name="20% - Accent1 3 2 4" xfId="15443"/>
    <cellStyle name="20% - Accent1 3 2 4 2" xfId="42083"/>
    <cellStyle name="20% - Accent1 3 2 5" xfId="42084"/>
    <cellStyle name="20% - Accent1 3 2 6" xfId="9018"/>
    <cellStyle name="20% - Accent1 3 3" xfId="2467"/>
    <cellStyle name="20% - Accent1 3 3 2" xfId="5824"/>
    <cellStyle name="20% - Accent1 3 3 2 2" xfId="6398"/>
    <cellStyle name="20% - Accent1 3 3 2 2 2" xfId="31791"/>
    <cellStyle name="20% - Accent1 3 3 2 3" xfId="31792"/>
    <cellStyle name="20% - Accent1 3 3 2 4" xfId="31793"/>
    <cellStyle name="20% - Accent1 3 3 2 5" xfId="15444"/>
    <cellStyle name="20% - Accent1 3 3 3" xfId="6330"/>
    <cellStyle name="20% - Accent1 3 3 3 2" xfId="17998"/>
    <cellStyle name="20% - Accent1 3 3 4" xfId="9019"/>
    <cellStyle name="20% - Accent1 3 4" xfId="13245"/>
    <cellStyle name="20% - Accent1 3 4 2" xfId="31794"/>
    <cellStyle name="20% - Accent1 3 4 2 2" xfId="31795"/>
    <cellStyle name="20% - Accent1 3 4 3" xfId="31796"/>
    <cellStyle name="20% - Accent1 3 4 4" xfId="31797"/>
    <cellStyle name="20% - Accent1 3 5" xfId="31798"/>
    <cellStyle name="20% - Accent1 3 5 2" xfId="31799"/>
    <cellStyle name="20% - Accent1 3 6" xfId="31800"/>
    <cellStyle name="20% - Accent1 3 7" xfId="9017"/>
    <cellStyle name="20% - Accent1 4" xfId="2468"/>
    <cellStyle name="20% - Accent1 4 2" xfId="9021"/>
    <cellStyle name="20% - Accent1 4 2 2" xfId="9022"/>
    <cellStyle name="20% - Accent1 4 2 2 2" xfId="18823"/>
    <cellStyle name="20% - Accent1 4 2 3" xfId="9023"/>
    <cellStyle name="20% - Accent1 4 2 3 2" xfId="18824"/>
    <cellStyle name="20% - Accent1 4 2 4" xfId="9024"/>
    <cellStyle name="20% - Accent1 4 2 4 2" xfId="21805"/>
    <cellStyle name="20% - Accent1 4 2 5" xfId="18822"/>
    <cellStyle name="20% - Accent1 4 3" xfId="9025"/>
    <cellStyle name="20% - Accent1 4 3 2" xfId="9026"/>
    <cellStyle name="20% - Accent1 4 3 2 2" xfId="18826"/>
    <cellStyle name="20% - Accent1 4 3 3" xfId="18825"/>
    <cellStyle name="20% - Accent1 4 4" xfId="9027"/>
    <cellStyle name="20% - Accent1 4 4 2" xfId="18827"/>
    <cellStyle name="20% - Accent1 4 5" xfId="9028"/>
    <cellStyle name="20% - Accent1 4 5 2" xfId="18828"/>
    <cellStyle name="20% - Accent1 4 6" xfId="9029"/>
    <cellStyle name="20% - Accent1 4 6 2" xfId="21806"/>
    <cellStyle name="20% - Accent1 4 7" xfId="9030"/>
    <cellStyle name="20% - Accent1 4 7 2" xfId="21807"/>
    <cellStyle name="20% - Accent1 4 8" xfId="17294"/>
    <cellStyle name="20% - Accent1 4 9" xfId="9020"/>
    <cellStyle name="20% - Accent1 5" xfId="9031"/>
    <cellStyle name="20% - Accent1 5 2" xfId="13246"/>
    <cellStyle name="20% - Accent1 5 2 2" xfId="31801"/>
    <cellStyle name="20% - Accent1 5 2 2 2" xfId="31802"/>
    <cellStyle name="20% - Accent1 5 2 3" xfId="31803"/>
    <cellStyle name="20% - Accent1 5 3" xfId="15445"/>
    <cellStyle name="20% - Accent1 5 3 2" xfId="31804"/>
    <cellStyle name="20% - Accent1 5 3 3" xfId="31805"/>
    <cellStyle name="20% - Accent1 5 4" xfId="17880"/>
    <cellStyle name="20% - Accent1 5 4 2" xfId="31806"/>
    <cellStyle name="20% - Accent1 5 4 3" xfId="31807"/>
    <cellStyle name="20% - Accent1 5 5" xfId="42085"/>
    <cellStyle name="20% - Accent1 6" xfId="13247"/>
    <cellStyle name="20% - Accent1 6 2" xfId="13248"/>
    <cellStyle name="20% - Accent1 6 2 2" xfId="31808"/>
    <cellStyle name="20% - Accent1 6 2 2 2" xfId="31809"/>
    <cellStyle name="20% - Accent1 6 2 3" xfId="31810"/>
    <cellStyle name="20% - Accent1 6 2 4" xfId="31811"/>
    <cellStyle name="20% - Accent1 6 3" xfId="31812"/>
    <cellStyle name="20% - Accent1 6 3 2" xfId="31813"/>
    <cellStyle name="20% - Accent1 6 3 3" xfId="31814"/>
    <cellStyle name="20% - Accent1 6 4" xfId="31815"/>
    <cellStyle name="20% - Accent1 6 4 2" xfId="31816"/>
    <cellStyle name="20% - Accent1 6 5" xfId="31817"/>
    <cellStyle name="20% - Accent1 7" xfId="13249"/>
    <cellStyle name="20% - Accent1 7 2" xfId="31818"/>
    <cellStyle name="20% - Accent1 7 2 2" xfId="31819"/>
    <cellStyle name="20% - Accent1 7 2 2 2" xfId="31820"/>
    <cellStyle name="20% - Accent1 7 2 3" xfId="31821"/>
    <cellStyle name="20% - Accent1 7 2 4" xfId="31822"/>
    <cellStyle name="20% - Accent1 7 3" xfId="31823"/>
    <cellStyle name="20% - Accent1 7 3 2" xfId="31824"/>
    <cellStyle name="20% - Accent1 7 4" xfId="31825"/>
    <cellStyle name="20% - Accent1 7 4 2" xfId="31826"/>
    <cellStyle name="20% - Accent1 7 5" xfId="31827"/>
    <cellStyle name="20% - Accent1 8" xfId="13250"/>
    <cellStyle name="20% - Accent1 8 2" xfId="31828"/>
    <cellStyle name="20% - Accent1 8 2 2" xfId="31829"/>
    <cellStyle name="20% - Accent1 8 2 3" xfId="31830"/>
    <cellStyle name="20% - Accent1 8 3" xfId="31831"/>
    <cellStyle name="20% - Accent1 9" xfId="13251"/>
    <cellStyle name="20% - Accent1 9 2" xfId="31832"/>
    <cellStyle name="20% - Accent1 9 2 2" xfId="31833"/>
    <cellStyle name="20% - Accent1 9 2 3" xfId="31834"/>
    <cellStyle name="20% - Accent1 9 3" xfId="31835"/>
    <cellStyle name="20% - Accent1 9 4" xfId="31836"/>
    <cellStyle name="20% - Accent1 9 5" xfId="31837"/>
    <cellStyle name="20% - Accent2 10" xfId="13252"/>
    <cellStyle name="20% - Accent2 10 2" xfId="31838"/>
    <cellStyle name="20% - Accent2 10 2 2" xfId="31839"/>
    <cellStyle name="20% - Accent2 10 3" xfId="31840"/>
    <cellStyle name="20% - Accent2 10 4" xfId="31841"/>
    <cellStyle name="20% - Accent2 11" xfId="17295"/>
    <cellStyle name="20% - Accent2 11 2" xfId="31842"/>
    <cellStyle name="20% - Accent2 11 3" xfId="31843"/>
    <cellStyle name="20% - Accent2 12" xfId="31844"/>
    <cellStyle name="20% - Accent2 13" xfId="9032"/>
    <cellStyle name="20% - Accent2 2" xfId="2469"/>
    <cellStyle name="20% - Accent2 2 2" xfId="2470"/>
    <cellStyle name="20% - Accent2 2 2 2" xfId="2471"/>
    <cellStyle name="20% - Accent2 2 2 2 2" xfId="13253"/>
    <cellStyle name="20% - Accent2 2 2 2 2 2" xfId="31845"/>
    <cellStyle name="20% - Accent2 2 2 2 3" xfId="31846"/>
    <cellStyle name="20% - Accent2 2 2 2 3 2" xfId="31847"/>
    <cellStyle name="20% - Accent2 2 2 2 4" xfId="9035"/>
    <cellStyle name="20% - Accent2 2 2 3" xfId="5825"/>
    <cellStyle name="20% - Accent2 2 2 3 2" xfId="6399"/>
    <cellStyle name="20% - Accent2 2 2 3 2 2" xfId="31849"/>
    <cellStyle name="20% - Accent2 2 2 3 2 3" xfId="31848"/>
    <cellStyle name="20% - Accent2 2 2 3 3" xfId="31850"/>
    <cellStyle name="20% - Accent2 2 2 3 4" xfId="13254"/>
    <cellStyle name="20% - Accent2 2 2 4" xfId="6331"/>
    <cellStyle name="20% - Accent2 2 2 4 2" xfId="31852"/>
    <cellStyle name="20% - Accent2 2 2 4 3" xfId="31851"/>
    <cellStyle name="20% - Accent2 2 2 5" xfId="31853"/>
    <cellStyle name="20% - Accent2 2 2 5 2" xfId="31854"/>
    <cellStyle name="20% - Accent2 2 2 6" xfId="9034"/>
    <cellStyle name="20% - Accent2 2 3" xfId="2472"/>
    <cellStyle name="20% - Accent2 2 3 2" xfId="13255"/>
    <cellStyle name="20% - Accent2 2 3 2 2" xfId="13256"/>
    <cellStyle name="20% - Accent2 2 3 2 2 2" xfId="31855"/>
    <cellStyle name="20% - Accent2 2 3 2 3" xfId="31856"/>
    <cellStyle name="20% - Accent2 2 3 3" xfId="13257"/>
    <cellStyle name="20% - Accent2 2 3 3 2" xfId="31857"/>
    <cellStyle name="20% - Accent2 2 3 4" xfId="31858"/>
    <cellStyle name="20% - Accent2 2 3 4 2" xfId="31859"/>
    <cellStyle name="20% - Accent2 2 3 5" xfId="9036"/>
    <cellStyle name="20% - Accent2 2 4" xfId="13258"/>
    <cellStyle name="20% - Accent2 2 4 2" xfId="13259"/>
    <cellStyle name="20% - Accent2 2 4 2 2" xfId="31860"/>
    <cellStyle name="20% - Accent2 2 4 2 2 2" xfId="31861"/>
    <cellStyle name="20% - Accent2 2 4 2 3" xfId="31862"/>
    <cellStyle name="20% - Accent2 2 4 2 3 2" xfId="31863"/>
    <cellStyle name="20% - Accent2 2 4 3" xfId="13260"/>
    <cellStyle name="20% - Accent2 2 4 3 2" xfId="31864"/>
    <cellStyle name="20% - Accent2 2 4 3 2 2" xfId="31865"/>
    <cellStyle name="20% - Accent2 2 4 3 3" xfId="31866"/>
    <cellStyle name="20% - Accent2 2 4 4" xfId="31867"/>
    <cellStyle name="20% - Accent2 2 4 4 2" xfId="31868"/>
    <cellStyle name="20% - Accent2 2 4 5" xfId="31869"/>
    <cellStyle name="20% - Accent2 2 4 5 2" xfId="31870"/>
    <cellStyle name="20% - Accent2 2 5" xfId="13261"/>
    <cellStyle name="20% - Accent2 2 5 2" xfId="31871"/>
    <cellStyle name="20% - Accent2 2 5 2 2" xfId="31872"/>
    <cellStyle name="20% - Accent2 2 5 3" xfId="31873"/>
    <cellStyle name="20% - Accent2 2 6" xfId="31874"/>
    <cellStyle name="20% - Accent2 2 6 2" xfId="31875"/>
    <cellStyle name="20% - Accent2 2 6 2 2" xfId="31876"/>
    <cellStyle name="20% - Accent2 2 6 3" xfId="31877"/>
    <cellStyle name="20% - Accent2 2 7" xfId="31878"/>
    <cellStyle name="20% - Accent2 2 7 2" xfId="31879"/>
    <cellStyle name="20% - Accent2 2 8" xfId="31880"/>
    <cellStyle name="20% - Accent2 2 9" xfId="9033"/>
    <cellStyle name="20% - Accent2 2_12PCORC Wind Vestas and Royalties" xfId="31881"/>
    <cellStyle name="20% - Accent2 3" xfId="2473"/>
    <cellStyle name="20% - Accent2 3 2" xfId="2474"/>
    <cellStyle name="20% - Accent2 3 2 2" xfId="13262"/>
    <cellStyle name="20% - Accent2 3 2 2 2" xfId="31882"/>
    <cellStyle name="20% - Accent2 3 2 3" xfId="13263"/>
    <cellStyle name="20% - Accent2 3 2 3 2" xfId="31883"/>
    <cellStyle name="20% - Accent2 3 2 4" xfId="15446"/>
    <cellStyle name="20% - Accent2 3 2 4 2" xfId="42086"/>
    <cellStyle name="20% - Accent2 3 2 5" xfId="42087"/>
    <cellStyle name="20% - Accent2 3 2 6" xfId="9038"/>
    <cellStyle name="20% - Accent2 3 3" xfId="2475"/>
    <cellStyle name="20% - Accent2 3 3 2" xfId="5826"/>
    <cellStyle name="20% - Accent2 3 3 2 2" xfId="6400"/>
    <cellStyle name="20% - Accent2 3 3 2 2 2" xfId="31884"/>
    <cellStyle name="20% - Accent2 3 3 2 3" xfId="31885"/>
    <cellStyle name="20% - Accent2 3 3 2 4" xfId="31886"/>
    <cellStyle name="20% - Accent2 3 3 2 5" xfId="15447"/>
    <cellStyle name="20% - Accent2 3 3 3" xfId="6332"/>
    <cellStyle name="20% - Accent2 3 3 3 2" xfId="17999"/>
    <cellStyle name="20% - Accent2 3 3 4" xfId="9039"/>
    <cellStyle name="20% - Accent2 3 4" xfId="13264"/>
    <cellStyle name="20% - Accent2 3 4 2" xfId="31887"/>
    <cellStyle name="20% - Accent2 3 4 2 2" xfId="31888"/>
    <cellStyle name="20% - Accent2 3 4 3" xfId="31889"/>
    <cellStyle name="20% - Accent2 3 4 4" xfId="31890"/>
    <cellStyle name="20% - Accent2 3 5" xfId="31891"/>
    <cellStyle name="20% - Accent2 3 5 2" xfId="31892"/>
    <cellStyle name="20% - Accent2 3 6" xfId="31893"/>
    <cellStyle name="20% - Accent2 3 7" xfId="9037"/>
    <cellStyle name="20% - Accent2 4" xfId="2476"/>
    <cellStyle name="20% - Accent2 4 2" xfId="9041"/>
    <cellStyle name="20% - Accent2 4 2 2" xfId="9042"/>
    <cellStyle name="20% - Accent2 4 2 2 2" xfId="18830"/>
    <cellStyle name="20% - Accent2 4 2 3" xfId="9043"/>
    <cellStyle name="20% - Accent2 4 2 3 2" xfId="18831"/>
    <cellStyle name="20% - Accent2 4 2 4" xfId="9044"/>
    <cellStyle name="20% - Accent2 4 2 4 2" xfId="21808"/>
    <cellStyle name="20% - Accent2 4 2 5" xfId="18829"/>
    <cellStyle name="20% - Accent2 4 3" xfId="9045"/>
    <cellStyle name="20% - Accent2 4 3 2" xfId="9046"/>
    <cellStyle name="20% - Accent2 4 3 2 2" xfId="18833"/>
    <cellStyle name="20% - Accent2 4 3 3" xfId="18832"/>
    <cellStyle name="20% - Accent2 4 4" xfId="9047"/>
    <cellStyle name="20% - Accent2 4 4 2" xfId="18834"/>
    <cellStyle name="20% - Accent2 4 5" xfId="9048"/>
    <cellStyle name="20% - Accent2 4 5 2" xfId="18835"/>
    <cellStyle name="20% - Accent2 4 6" xfId="9049"/>
    <cellStyle name="20% - Accent2 4 6 2" xfId="21809"/>
    <cellStyle name="20% - Accent2 4 7" xfId="9050"/>
    <cellStyle name="20% - Accent2 4 7 2" xfId="21810"/>
    <cellStyle name="20% - Accent2 4 8" xfId="17296"/>
    <cellStyle name="20% - Accent2 4 9" xfId="9040"/>
    <cellStyle name="20% - Accent2 5" xfId="9051"/>
    <cellStyle name="20% - Accent2 5 2" xfId="13265"/>
    <cellStyle name="20% - Accent2 5 2 2" xfId="31894"/>
    <cellStyle name="20% - Accent2 5 2 2 2" xfId="31895"/>
    <cellStyle name="20% - Accent2 5 2 3" xfId="31896"/>
    <cellStyle name="20% - Accent2 5 3" xfId="15448"/>
    <cellStyle name="20% - Accent2 5 3 2" xfId="31897"/>
    <cellStyle name="20% - Accent2 5 3 3" xfId="31898"/>
    <cellStyle name="20% - Accent2 5 4" xfId="17881"/>
    <cellStyle name="20% - Accent2 5 4 2" xfId="31899"/>
    <cellStyle name="20% - Accent2 5 4 3" xfId="31900"/>
    <cellStyle name="20% - Accent2 5 5" xfId="42088"/>
    <cellStyle name="20% - Accent2 6" xfId="13266"/>
    <cellStyle name="20% - Accent2 6 2" xfId="13267"/>
    <cellStyle name="20% - Accent2 6 2 2" xfId="31901"/>
    <cellStyle name="20% - Accent2 6 2 2 2" xfId="31902"/>
    <cellStyle name="20% - Accent2 6 2 3" xfId="31903"/>
    <cellStyle name="20% - Accent2 6 2 4" xfId="31904"/>
    <cellStyle name="20% - Accent2 6 3" xfId="31905"/>
    <cellStyle name="20% - Accent2 6 3 2" xfId="31906"/>
    <cellStyle name="20% - Accent2 6 3 3" xfId="31907"/>
    <cellStyle name="20% - Accent2 6 4" xfId="31908"/>
    <cellStyle name="20% - Accent2 6 4 2" xfId="31909"/>
    <cellStyle name="20% - Accent2 6 5" xfId="31910"/>
    <cellStyle name="20% - Accent2 7" xfId="13268"/>
    <cellStyle name="20% - Accent2 7 2" xfId="31911"/>
    <cellStyle name="20% - Accent2 7 2 2" xfId="31912"/>
    <cellStyle name="20% - Accent2 7 2 2 2" xfId="31913"/>
    <cellStyle name="20% - Accent2 7 2 3" xfId="31914"/>
    <cellStyle name="20% - Accent2 7 2 4" xfId="31915"/>
    <cellStyle name="20% - Accent2 7 3" xfId="31916"/>
    <cellStyle name="20% - Accent2 7 3 2" xfId="31917"/>
    <cellStyle name="20% - Accent2 7 4" xfId="31918"/>
    <cellStyle name="20% - Accent2 7 4 2" xfId="31919"/>
    <cellStyle name="20% - Accent2 7 5" xfId="31920"/>
    <cellStyle name="20% - Accent2 8" xfId="13269"/>
    <cellStyle name="20% - Accent2 8 2" xfId="31921"/>
    <cellStyle name="20% - Accent2 8 2 2" xfId="31922"/>
    <cellStyle name="20% - Accent2 8 2 3" xfId="31923"/>
    <cellStyle name="20% - Accent2 8 3" xfId="31924"/>
    <cellStyle name="20% - Accent2 9" xfId="13270"/>
    <cellStyle name="20% - Accent2 9 2" xfId="31925"/>
    <cellStyle name="20% - Accent2 9 2 2" xfId="31926"/>
    <cellStyle name="20% - Accent2 9 2 3" xfId="31927"/>
    <cellStyle name="20% - Accent2 9 3" xfId="31928"/>
    <cellStyle name="20% - Accent2 9 4" xfId="31929"/>
    <cellStyle name="20% - Accent2 9 5" xfId="31930"/>
    <cellStyle name="20% - Accent3 10" xfId="13271"/>
    <cellStyle name="20% - Accent3 10 2" xfId="31931"/>
    <cellStyle name="20% - Accent3 10 2 2" xfId="31932"/>
    <cellStyle name="20% - Accent3 10 3" xfId="31933"/>
    <cellStyle name="20% - Accent3 10 4" xfId="31934"/>
    <cellStyle name="20% - Accent3 11" xfId="17297"/>
    <cellStyle name="20% - Accent3 11 2" xfId="31935"/>
    <cellStyle name="20% - Accent3 11 3" xfId="31936"/>
    <cellStyle name="20% - Accent3 12" xfId="31937"/>
    <cellStyle name="20% - Accent3 13" xfId="9052"/>
    <cellStyle name="20% - Accent3 2" xfId="2477"/>
    <cellStyle name="20% - Accent3 2 2" xfId="2478"/>
    <cellStyle name="20% - Accent3 2 2 2" xfId="2479"/>
    <cellStyle name="20% - Accent3 2 2 2 2" xfId="13272"/>
    <cellStyle name="20% - Accent3 2 2 2 2 2" xfId="31938"/>
    <cellStyle name="20% - Accent3 2 2 2 3" xfId="31939"/>
    <cellStyle name="20% - Accent3 2 2 2 3 2" xfId="31940"/>
    <cellStyle name="20% - Accent3 2 2 2 4" xfId="9055"/>
    <cellStyle name="20% - Accent3 2 2 3" xfId="5827"/>
    <cellStyle name="20% - Accent3 2 2 3 2" xfId="6401"/>
    <cellStyle name="20% - Accent3 2 2 3 2 2" xfId="31942"/>
    <cellStyle name="20% - Accent3 2 2 3 2 3" xfId="31941"/>
    <cellStyle name="20% - Accent3 2 2 3 3" xfId="31943"/>
    <cellStyle name="20% - Accent3 2 2 3 4" xfId="13273"/>
    <cellStyle name="20% - Accent3 2 2 4" xfId="6333"/>
    <cellStyle name="20% - Accent3 2 2 4 2" xfId="31945"/>
    <cellStyle name="20% - Accent3 2 2 4 3" xfId="31944"/>
    <cellStyle name="20% - Accent3 2 2 5" xfId="31946"/>
    <cellStyle name="20% - Accent3 2 2 5 2" xfId="31947"/>
    <cellStyle name="20% - Accent3 2 2 6" xfId="9054"/>
    <cellStyle name="20% - Accent3 2 3" xfId="2480"/>
    <cellStyle name="20% - Accent3 2 3 2" xfId="13274"/>
    <cellStyle name="20% - Accent3 2 3 2 2" xfId="13275"/>
    <cellStyle name="20% - Accent3 2 3 2 2 2" xfId="31948"/>
    <cellStyle name="20% - Accent3 2 3 2 3" xfId="31949"/>
    <cellStyle name="20% - Accent3 2 3 3" xfId="13276"/>
    <cellStyle name="20% - Accent3 2 3 3 2" xfId="31950"/>
    <cellStyle name="20% - Accent3 2 3 4" xfId="31951"/>
    <cellStyle name="20% - Accent3 2 3 4 2" xfId="31952"/>
    <cellStyle name="20% - Accent3 2 3 5" xfId="9056"/>
    <cellStyle name="20% - Accent3 2 4" xfId="13277"/>
    <cellStyle name="20% - Accent3 2 4 2" xfId="13278"/>
    <cellStyle name="20% - Accent3 2 4 2 2" xfId="31953"/>
    <cellStyle name="20% - Accent3 2 4 2 2 2" xfId="31954"/>
    <cellStyle name="20% - Accent3 2 4 2 3" xfId="31955"/>
    <cellStyle name="20% - Accent3 2 4 2 3 2" xfId="31956"/>
    <cellStyle name="20% - Accent3 2 4 3" xfId="13279"/>
    <cellStyle name="20% - Accent3 2 4 3 2" xfId="31957"/>
    <cellStyle name="20% - Accent3 2 4 3 2 2" xfId="31958"/>
    <cellStyle name="20% - Accent3 2 4 3 3" xfId="31959"/>
    <cellStyle name="20% - Accent3 2 4 4" xfId="31960"/>
    <cellStyle name="20% - Accent3 2 4 4 2" xfId="31961"/>
    <cellStyle name="20% - Accent3 2 4 5" xfId="31962"/>
    <cellStyle name="20% - Accent3 2 4 5 2" xfId="31963"/>
    <cellStyle name="20% - Accent3 2 5" xfId="13280"/>
    <cellStyle name="20% - Accent3 2 5 2" xfId="31964"/>
    <cellStyle name="20% - Accent3 2 5 2 2" xfId="31965"/>
    <cellStyle name="20% - Accent3 2 5 3" xfId="31966"/>
    <cellStyle name="20% - Accent3 2 6" xfId="31967"/>
    <cellStyle name="20% - Accent3 2 6 2" xfId="31968"/>
    <cellStyle name="20% - Accent3 2 6 2 2" xfId="31969"/>
    <cellStyle name="20% - Accent3 2 6 3" xfId="31970"/>
    <cellStyle name="20% - Accent3 2 7" xfId="31971"/>
    <cellStyle name="20% - Accent3 2 7 2" xfId="31972"/>
    <cellStyle name="20% - Accent3 2 8" xfId="31973"/>
    <cellStyle name="20% - Accent3 2 9" xfId="9053"/>
    <cellStyle name="20% - Accent3 2_12PCORC Wind Vestas and Royalties" xfId="31974"/>
    <cellStyle name="20% - Accent3 3" xfId="2481"/>
    <cellStyle name="20% - Accent3 3 2" xfId="2482"/>
    <cellStyle name="20% - Accent3 3 2 2" xfId="13281"/>
    <cellStyle name="20% - Accent3 3 2 2 2" xfId="31975"/>
    <cellStyle name="20% - Accent3 3 2 3" xfId="13282"/>
    <cellStyle name="20% - Accent3 3 2 3 2" xfId="31976"/>
    <cellStyle name="20% - Accent3 3 2 4" xfId="15449"/>
    <cellStyle name="20% - Accent3 3 2 4 2" xfId="42089"/>
    <cellStyle name="20% - Accent3 3 2 5" xfId="42090"/>
    <cellStyle name="20% - Accent3 3 2 6" xfId="9058"/>
    <cellStyle name="20% - Accent3 3 3" xfId="2483"/>
    <cellStyle name="20% - Accent3 3 3 2" xfId="5828"/>
    <cellStyle name="20% - Accent3 3 3 2 2" xfId="6402"/>
    <cellStyle name="20% - Accent3 3 3 2 2 2" xfId="31977"/>
    <cellStyle name="20% - Accent3 3 3 2 3" xfId="31978"/>
    <cellStyle name="20% - Accent3 3 3 2 4" xfId="31979"/>
    <cellStyle name="20% - Accent3 3 3 2 5" xfId="15450"/>
    <cellStyle name="20% - Accent3 3 3 3" xfId="6334"/>
    <cellStyle name="20% - Accent3 3 3 3 2" xfId="18000"/>
    <cellStyle name="20% - Accent3 3 3 4" xfId="9059"/>
    <cellStyle name="20% - Accent3 3 4" xfId="13283"/>
    <cellStyle name="20% - Accent3 3 4 2" xfId="31980"/>
    <cellStyle name="20% - Accent3 3 4 2 2" xfId="31981"/>
    <cellStyle name="20% - Accent3 3 4 3" xfId="31982"/>
    <cellStyle name="20% - Accent3 3 4 4" xfId="31983"/>
    <cellStyle name="20% - Accent3 3 5" xfId="31984"/>
    <cellStyle name="20% - Accent3 3 5 2" xfId="31985"/>
    <cellStyle name="20% - Accent3 3 6" xfId="31986"/>
    <cellStyle name="20% - Accent3 3 7" xfId="9057"/>
    <cellStyle name="20% - Accent3 4" xfId="2484"/>
    <cellStyle name="20% - Accent3 4 2" xfId="9061"/>
    <cellStyle name="20% - Accent3 4 2 2" xfId="9062"/>
    <cellStyle name="20% - Accent3 4 2 2 2" xfId="18837"/>
    <cellStyle name="20% - Accent3 4 2 3" xfId="9063"/>
    <cellStyle name="20% - Accent3 4 2 3 2" xfId="18838"/>
    <cellStyle name="20% - Accent3 4 2 4" xfId="9064"/>
    <cellStyle name="20% - Accent3 4 2 4 2" xfId="21811"/>
    <cellStyle name="20% - Accent3 4 2 5" xfId="18836"/>
    <cellStyle name="20% - Accent3 4 3" xfId="9065"/>
    <cellStyle name="20% - Accent3 4 3 2" xfId="9066"/>
    <cellStyle name="20% - Accent3 4 3 2 2" xfId="18840"/>
    <cellStyle name="20% - Accent3 4 3 3" xfId="18839"/>
    <cellStyle name="20% - Accent3 4 4" xfId="9067"/>
    <cellStyle name="20% - Accent3 4 4 2" xfId="18841"/>
    <cellStyle name="20% - Accent3 4 5" xfId="9068"/>
    <cellStyle name="20% - Accent3 4 5 2" xfId="18842"/>
    <cellStyle name="20% - Accent3 4 6" xfId="9069"/>
    <cellStyle name="20% - Accent3 4 6 2" xfId="21812"/>
    <cellStyle name="20% - Accent3 4 7" xfId="9070"/>
    <cellStyle name="20% - Accent3 4 7 2" xfId="21813"/>
    <cellStyle name="20% - Accent3 4 8" xfId="17299"/>
    <cellStyle name="20% - Accent3 4 9" xfId="9060"/>
    <cellStyle name="20% - Accent3 5" xfId="9071"/>
    <cellStyle name="20% - Accent3 5 2" xfId="13284"/>
    <cellStyle name="20% - Accent3 5 2 2" xfId="31987"/>
    <cellStyle name="20% - Accent3 5 2 2 2" xfId="31988"/>
    <cellStyle name="20% - Accent3 5 2 3" xfId="31989"/>
    <cellStyle name="20% - Accent3 5 3" xfId="15451"/>
    <cellStyle name="20% - Accent3 5 3 2" xfId="31990"/>
    <cellStyle name="20% - Accent3 5 3 3" xfId="31991"/>
    <cellStyle name="20% - Accent3 5 4" xfId="17882"/>
    <cellStyle name="20% - Accent3 5 4 2" xfId="31992"/>
    <cellStyle name="20% - Accent3 5 4 3" xfId="31993"/>
    <cellStyle name="20% - Accent3 5 5" xfId="42091"/>
    <cellStyle name="20% - Accent3 6" xfId="13285"/>
    <cellStyle name="20% - Accent3 6 2" xfId="13286"/>
    <cellStyle name="20% - Accent3 6 2 2" xfId="31994"/>
    <cellStyle name="20% - Accent3 6 2 2 2" xfId="31995"/>
    <cellStyle name="20% - Accent3 6 2 3" xfId="31996"/>
    <cellStyle name="20% - Accent3 6 2 4" xfId="31997"/>
    <cellStyle name="20% - Accent3 6 3" xfId="31998"/>
    <cellStyle name="20% - Accent3 6 3 2" xfId="31999"/>
    <cellStyle name="20% - Accent3 6 3 3" xfId="32000"/>
    <cellStyle name="20% - Accent3 6 4" xfId="32001"/>
    <cellStyle name="20% - Accent3 6 4 2" xfId="32002"/>
    <cellStyle name="20% - Accent3 6 5" xfId="32003"/>
    <cellStyle name="20% - Accent3 7" xfId="13287"/>
    <cellStyle name="20% - Accent3 7 2" xfId="32004"/>
    <cellStyle name="20% - Accent3 7 2 2" xfId="32005"/>
    <cellStyle name="20% - Accent3 7 2 2 2" xfId="32006"/>
    <cellStyle name="20% - Accent3 7 2 3" xfId="32007"/>
    <cellStyle name="20% - Accent3 7 2 4" xfId="32008"/>
    <cellStyle name="20% - Accent3 7 3" xfId="32009"/>
    <cellStyle name="20% - Accent3 7 3 2" xfId="32010"/>
    <cellStyle name="20% - Accent3 7 4" xfId="32011"/>
    <cellStyle name="20% - Accent3 7 4 2" xfId="32012"/>
    <cellStyle name="20% - Accent3 7 5" xfId="32013"/>
    <cellStyle name="20% - Accent3 8" xfId="13288"/>
    <cellStyle name="20% - Accent3 8 2" xfId="32014"/>
    <cellStyle name="20% - Accent3 8 2 2" xfId="32015"/>
    <cellStyle name="20% - Accent3 8 2 3" xfId="32016"/>
    <cellStyle name="20% - Accent3 8 3" xfId="32017"/>
    <cellStyle name="20% - Accent3 9" xfId="13289"/>
    <cellStyle name="20% - Accent3 9 2" xfId="32018"/>
    <cellStyle name="20% - Accent3 9 2 2" xfId="32019"/>
    <cellStyle name="20% - Accent3 9 2 3" xfId="32020"/>
    <cellStyle name="20% - Accent3 9 3" xfId="32021"/>
    <cellStyle name="20% - Accent3 9 4" xfId="32022"/>
    <cellStyle name="20% - Accent3 9 5" xfId="32023"/>
    <cellStyle name="20% - Accent4 10" xfId="13290"/>
    <cellStyle name="20% - Accent4 10 2" xfId="32024"/>
    <cellStyle name="20% - Accent4 10 2 2" xfId="32025"/>
    <cellStyle name="20% - Accent4 10 3" xfId="32026"/>
    <cellStyle name="20% - Accent4 10 4" xfId="32027"/>
    <cellStyle name="20% - Accent4 11" xfId="17300"/>
    <cellStyle name="20% - Accent4 11 2" xfId="32028"/>
    <cellStyle name="20% - Accent4 11 3" xfId="32029"/>
    <cellStyle name="20% - Accent4 12" xfId="32030"/>
    <cellStyle name="20% - Accent4 13" xfId="9072"/>
    <cellStyle name="20% - Accent4 2" xfId="2485"/>
    <cellStyle name="20% - Accent4 2 2" xfId="2486"/>
    <cellStyle name="20% - Accent4 2 2 2" xfId="2487"/>
    <cellStyle name="20% - Accent4 2 2 2 2" xfId="13291"/>
    <cellStyle name="20% - Accent4 2 2 2 2 2" xfId="32031"/>
    <cellStyle name="20% - Accent4 2 2 2 3" xfId="32032"/>
    <cellStyle name="20% - Accent4 2 2 2 3 2" xfId="32033"/>
    <cellStyle name="20% - Accent4 2 2 2 4" xfId="9075"/>
    <cellStyle name="20% - Accent4 2 2 3" xfId="5829"/>
    <cellStyle name="20% - Accent4 2 2 3 2" xfId="6403"/>
    <cellStyle name="20% - Accent4 2 2 3 2 2" xfId="32035"/>
    <cellStyle name="20% - Accent4 2 2 3 2 3" xfId="32034"/>
    <cellStyle name="20% - Accent4 2 2 3 3" xfId="32036"/>
    <cellStyle name="20% - Accent4 2 2 3 4" xfId="13292"/>
    <cellStyle name="20% - Accent4 2 2 4" xfId="6335"/>
    <cellStyle name="20% - Accent4 2 2 4 2" xfId="32038"/>
    <cellStyle name="20% - Accent4 2 2 4 3" xfId="32037"/>
    <cellStyle name="20% - Accent4 2 2 5" xfId="32039"/>
    <cellStyle name="20% - Accent4 2 2 5 2" xfId="32040"/>
    <cellStyle name="20% - Accent4 2 2 6" xfId="9074"/>
    <cellStyle name="20% - Accent4 2 3" xfId="2488"/>
    <cellStyle name="20% - Accent4 2 3 2" xfId="13293"/>
    <cellStyle name="20% - Accent4 2 3 2 2" xfId="13294"/>
    <cellStyle name="20% - Accent4 2 3 2 2 2" xfId="32041"/>
    <cellStyle name="20% - Accent4 2 3 2 3" xfId="32042"/>
    <cellStyle name="20% - Accent4 2 3 3" xfId="13295"/>
    <cellStyle name="20% - Accent4 2 3 3 2" xfId="32043"/>
    <cellStyle name="20% - Accent4 2 3 4" xfId="32044"/>
    <cellStyle name="20% - Accent4 2 3 4 2" xfId="32045"/>
    <cellStyle name="20% - Accent4 2 3 5" xfId="9076"/>
    <cellStyle name="20% - Accent4 2 4" xfId="13296"/>
    <cellStyle name="20% - Accent4 2 4 2" xfId="13297"/>
    <cellStyle name="20% - Accent4 2 4 2 2" xfId="32046"/>
    <cellStyle name="20% - Accent4 2 4 2 2 2" xfId="32047"/>
    <cellStyle name="20% - Accent4 2 4 2 3" xfId="32048"/>
    <cellStyle name="20% - Accent4 2 4 2 3 2" xfId="32049"/>
    <cellStyle name="20% - Accent4 2 4 3" xfId="13298"/>
    <cellStyle name="20% - Accent4 2 4 3 2" xfId="32050"/>
    <cellStyle name="20% - Accent4 2 4 3 2 2" xfId="32051"/>
    <cellStyle name="20% - Accent4 2 4 3 3" xfId="32052"/>
    <cellStyle name="20% - Accent4 2 4 4" xfId="32053"/>
    <cellStyle name="20% - Accent4 2 4 4 2" xfId="32054"/>
    <cellStyle name="20% - Accent4 2 4 5" xfId="32055"/>
    <cellStyle name="20% - Accent4 2 4 5 2" xfId="32056"/>
    <cellStyle name="20% - Accent4 2 5" xfId="13299"/>
    <cellStyle name="20% - Accent4 2 5 2" xfId="32057"/>
    <cellStyle name="20% - Accent4 2 5 2 2" xfId="32058"/>
    <cellStyle name="20% - Accent4 2 5 3" xfId="32059"/>
    <cellStyle name="20% - Accent4 2 6" xfId="32060"/>
    <cellStyle name="20% - Accent4 2 6 2" xfId="32061"/>
    <cellStyle name="20% - Accent4 2 6 2 2" xfId="32062"/>
    <cellStyle name="20% - Accent4 2 6 3" xfId="32063"/>
    <cellStyle name="20% - Accent4 2 7" xfId="32064"/>
    <cellStyle name="20% - Accent4 2 7 2" xfId="32065"/>
    <cellStyle name="20% - Accent4 2 8" xfId="32066"/>
    <cellStyle name="20% - Accent4 2 9" xfId="9073"/>
    <cellStyle name="20% - Accent4 2_12PCORC Wind Vestas and Royalties" xfId="32067"/>
    <cellStyle name="20% - Accent4 3" xfId="2489"/>
    <cellStyle name="20% - Accent4 3 2" xfId="2490"/>
    <cellStyle name="20% - Accent4 3 2 2" xfId="13300"/>
    <cellStyle name="20% - Accent4 3 2 2 2" xfId="32068"/>
    <cellStyle name="20% - Accent4 3 2 3" xfId="13301"/>
    <cellStyle name="20% - Accent4 3 2 3 2" xfId="32069"/>
    <cellStyle name="20% - Accent4 3 2 4" xfId="15452"/>
    <cellStyle name="20% - Accent4 3 2 4 2" xfId="42092"/>
    <cellStyle name="20% - Accent4 3 2 5" xfId="42093"/>
    <cellStyle name="20% - Accent4 3 2 6" xfId="9078"/>
    <cellStyle name="20% - Accent4 3 3" xfId="2491"/>
    <cellStyle name="20% - Accent4 3 3 2" xfId="5830"/>
    <cellStyle name="20% - Accent4 3 3 2 2" xfId="6404"/>
    <cellStyle name="20% - Accent4 3 3 2 2 2" xfId="32070"/>
    <cellStyle name="20% - Accent4 3 3 2 3" xfId="32071"/>
    <cellStyle name="20% - Accent4 3 3 2 4" xfId="32072"/>
    <cellStyle name="20% - Accent4 3 3 2 5" xfId="15453"/>
    <cellStyle name="20% - Accent4 3 3 3" xfId="6336"/>
    <cellStyle name="20% - Accent4 3 3 3 2" xfId="18001"/>
    <cellStyle name="20% - Accent4 3 3 4" xfId="9079"/>
    <cellStyle name="20% - Accent4 3 4" xfId="13302"/>
    <cellStyle name="20% - Accent4 3 4 2" xfId="32073"/>
    <cellStyle name="20% - Accent4 3 4 2 2" xfId="32074"/>
    <cellStyle name="20% - Accent4 3 4 3" xfId="32075"/>
    <cellStyle name="20% - Accent4 3 4 4" xfId="32076"/>
    <cellStyle name="20% - Accent4 3 5" xfId="32077"/>
    <cellStyle name="20% - Accent4 3 5 2" xfId="32078"/>
    <cellStyle name="20% - Accent4 3 6" xfId="32079"/>
    <cellStyle name="20% - Accent4 3 7" xfId="9077"/>
    <cellStyle name="20% - Accent4 4" xfId="2492"/>
    <cellStyle name="20% - Accent4 4 2" xfId="9081"/>
    <cellStyle name="20% - Accent4 4 2 2" xfId="9082"/>
    <cellStyle name="20% - Accent4 4 2 2 2" xfId="18844"/>
    <cellStyle name="20% - Accent4 4 2 3" xfId="9083"/>
    <cellStyle name="20% - Accent4 4 2 3 2" xfId="18845"/>
    <cellStyle name="20% - Accent4 4 2 4" xfId="9084"/>
    <cellStyle name="20% - Accent4 4 2 4 2" xfId="21814"/>
    <cellStyle name="20% - Accent4 4 2 5" xfId="18843"/>
    <cellStyle name="20% - Accent4 4 3" xfId="9085"/>
    <cellStyle name="20% - Accent4 4 3 2" xfId="9086"/>
    <cellStyle name="20% - Accent4 4 3 2 2" xfId="18847"/>
    <cellStyle name="20% - Accent4 4 3 3" xfId="18846"/>
    <cellStyle name="20% - Accent4 4 4" xfId="9087"/>
    <cellStyle name="20% - Accent4 4 4 2" xfId="18848"/>
    <cellStyle name="20% - Accent4 4 5" xfId="9088"/>
    <cellStyle name="20% - Accent4 4 5 2" xfId="18849"/>
    <cellStyle name="20% - Accent4 4 6" xfId="9089"/>
    <cellStyle name="20% - Accent4 4 6 2" xfId="21815"/>
    <cellStyle name="20% - Accent4 4 7" xfId="9090"/>
    <cellStyle name="20% - Accent4 4 7 2" xfId="21816"/>
    <cellStyle name="20% - Accent4 4 8" xfId="17302"/>
    <cellStyle name="20% - Accent4 4 9" xfId="9080"/>
    <cellStyle name="20% - Accent4 5" xfId="9091"/>
    <cellStyle name="20% - Accent4 5 2" xfId="13303"/>
    <cellStyle name="20% - Accent4 5 2 2" xfId="32080"/>
    <cellStyle name="20% - Accent4 5 2 2 2" xfId="32081"/>
    <cellStyle name="20% - Accent4 5 2 3" xfId="32082"/>
    <cellStyle name="20% - Accent4 5 3" xfId="15454"/>
    <cellStyle name="20% - Accent4 5 3 2" xfId="32083"/>
    <cellStyle name="20% - Accent4 5 3 3" xfId="32084"/>
    <cellStyle name="20% - Accent4 5 4" xfId="17883"/>
    <cellStyle name="20% - Accent4 5 4 2" xfId="32085"/>
    <cellStyle name="20% - Accent4 5 4 3" xfId="32086"/>
    <cellStyle name="20% - Accent4 5 5" xfId="42094"/>
    <cellStyle name="20% - Accent4 6" xfId="13304"/>
    <cellStyle name="20% - Accent4 6 2" xfId="13305"/>
    <cellStyle name="20% - Accent4 6 2 2" xfId="32087"/>
    <cellStyle name="20% - Accent4 6 2 2 2" xfId="32088"/>
    <cellStyle name="20% - Accent4 6 2 3" xfId="32089"/>
    <cellStyle name="20% - Accent4 6 2 4" xfId="32090"/>
    <cellStyle name="20% - Accent4 6 3" xfId="32091"/>
    <cellStyle name="20% - Accent4 6 3 2" xfId="32092"/>
    <cellStyle name="20% - Accent4 6 3 3" xfId="32093"/>
    <cellStyle name="20% - Accent4 6 4" xfId="32094"/>
    <cellStyle name="20% - Accent4 6 4 2" xfId="32095"/>
    <cellStyle name="20% - Accent4 6 5" xfId="32096"/>
    <cellStyle name="20% - Accent4 7" xfId="13306"/>
    <cellStyle name="20% - Accent4 7 2" xfId="32097"/>
    <cellStyle name="20% - Accent4 7 2 2" xfId="32098"/>
    <cellStyle name="20% - Accent4 7 2 2 2" xfId="32099"/>
    <cellStyle name="20% - Accent4 7 2 3" xfId="32100"/>
    <cellStyle name="20% - Accent4 7 2 4" xfId="32101"/>
    <cellStyle name="20% - Accent4 7 3" xfId="32102"/>
    <cellStyle name="20% - Accent4 7 3 2" xfId="32103"/>
    <cellStyle name="20% - Accent4 7 4" xfId="32104"/>
    <cellStyle name="20% - Accent4 7 4 2" xfId="32105"/>
    <cellStyle name="20% - Accent4 7 5" xfId="32106"/>
    <cellStyle name="20% - Accent4 8" xfId="13307"/>
    <cellStyle name="20% - Accent4 8 2" xfId="32107"/>
    <cellStyle name="20% - Accent4 8 2 2" xfId="32108"/>
    <cellStyle name="20% - Accent4 8 2 3" xfId="32109"/>
    <cellStyle name="20% - Accent4 8 3" xfId="32110"/>
    <cellStyle name="20% - Accent4 9" xfId="13308"/>
    <cellStyle name="20% - Accent4 9 2" xfId="32111"/>
    <cellStyle name="20% - Accent4 9 2 2" xfId="32112"/>
    <cellStyle name="20% - Accent4 9 2 3" xfId="32113"/>
    <cellStyle name="20% - Accent4 9 3" xfId="32114"/>
    <cellStyle name="20% - Accent4 9 4" xfId="32115"/>
    <cellStyle name="20% - Accent4 9 5" xfId="32116"/>
    <cellStyle name="20% - Accent5 10" xfId="17303"/>
    <cellStyle name="20% - Accent5 10 2" xfId="32117"/>
    <cellStyle name="20% - Accent5 10 2 2" xfId="32118"/>
    <cellStyle name="20% - Accent5 10 3" xfId="32119"/>
    <cellStyle name="20% - Accent5 11" xfId="32120"/>
    <cellStyle name="20% - Accent5 11 2" xfId="32121"/>
    <cellStyle name="20% - Accent5 11 3" xfId="32122"/>
    <cellStyle name="20% - Accent5 12" xfId="32123"/>
    <cellStyle name="20% - Accent5 13" xfId="9092"/>
    <cellStyle name="20% - Accent5 2" xfId="2493"/>
    <cellStyle name="20% - Accent5 2 2" xfId="2494"/>
    <cellStyle name="20% - Accent5 2 2 2" xfId="2495"/>
    <cellStyle name="20% - Accent5 2 2 2 2" xfId="13309"/>
    <cellStyle name="20% - Accent5 2 2 2 2 2" xfId="32124"/>
    <cellStyle name="20% - Accent5 2 2 2 3" xfId="32125"/>
    <cellStyle name="20% - Accent5 2 2 2 3 2" xfId="32126"/>
    <cellStyle name="20% - Accent5 2 2 2 4" xfId="9095"/>
    <cellStyle name="20% - Accent5 2 2 3" xfId="5831"/>
    <cellStyle name="20% - Accent5 2 2 3 2" xfId="6405"/>
    <cellStyle name="20% - Accent5 2 2 3 2 2" xfId="32128"/>
    <cellStyle name="20% - Accent5 2 2 3 2 3" xfId="32127"/>
    <cellStyle name="20% - Accent5 2 2 3 3" xfId="32129"/>
    <cellStyle name="20% - Accent5 2 2 3 4" xfId="13310"/>
    <cellStyle name="20% - Accent5 2 2 4" xfId="6337"/>
    <cellStyle name="20% - Accent5 2 2 4 2" xfId="32131"/>
    <cellStyle name="20% - Accent5 2 2 4 3" xfId="32130"/>
    <cellStyle name="20% - Accent5 2 2 5" xfId="32132"/>
    <cellStyle name="20% - Accent5 2 2 5 2" xfId="32133"/>
    <cellStyle name="20% - Accent5 2 2 6" xfId="9094"/>
    <cellStyle name="20% - Accent5 2 3" xfId="2496"/>
    <cellStyle name="20% - Accent5 2 3 2" xfId="13311"/>
    <cellStyle name="20% - Accent5 2 3 2 2" xfId="13312"/>
    <cellStyle name="20% - Accent5 2 3 2 2 2" xfId="32134"/>
    <cellStyle name="20% - Accent5 2 3 2 3" xfId="32135"/>
    <cellStyle name="20% - Accent5 2 3 3" xfId="13313"/>
    <cellStyle name="20% - Accent5 2 3 3 2" xfId="32136"/>
    <cellStyle name="20% - Accent5 2 3 4" xfId="32137"/>
    <cellStyle name="20% - Accent5 2 3 4 2" xfId="32138"/>
    <cellStyle name="20% - Accent5 2 3 5" xfId="9096"/>
    <cellStyle name="20% - Accent5 2 4" xfId="13314"/>
    <cellStyle name="20% - Accent5 2 4 2" xfId="13315"/>
    <cellStyle name="20% - Accent5 2 4 2 2" xfId="32139"/>
    <cellStyle name="20% - Accent5 2 4 2 2 2" xfId="32140"/>
    <cellStyle name="20% - Accent5 2 4 2 3" xfId="32141"/>
    <cellStyle name="20% - Accent5 2 4 3" xfId="32142"/>
    <cellStyle name="20% - Accent5 2 4 3 2" xfId="32143"/>
    <cellStyle name="20% - Accent5 2 4 3 3" xfId="32144"/>
    <cellStyle name="20% - Accent5 2 4 4" xfId="32145"/>
    <cellStyle name="20% - Accent5 2 4 4 2" xfId="32146"/>
    <cellStyle name="20% - Accent5 2 4 5" xfId="32147"/>
    <cellStyle name="20% - Accent5 2 5" xfId="13316"/>
    <cellStyle name="20% - Accent5 2 5 2" xfId="32148"/>
    <cellStyle name="20% - Accent5 2 5 2 2" xfId="32149"/>
    <cellStyle name="20% - Accent5 2 5 3" xfId="32150"/>
    <cellStyle name="20% - Accent5 2 6" xfId="32151"/>
    <cellStyle name="20% - Accent5 2 6 2" xfId="32152"/>
    <cellStyle name="20% - Accent5 2 6 2 2" xfId="32153"/>
    <cellStyle name="20% - Accent5 2 6 3" xfId="32154"/>
    <cellStyle name="20% - Accent5 2 7" xfId="32155"/>
    <cellStyle name="20% - Accent5 2 7 2" xfId="32156"/>
    <cellStyle name="20% - Accent5 2 8" xfId="32157"/>
    <cellStyle name="20% - Accent5 2 9" xfId="9093"/>
    <cellStyle name="20% - Accent5 2_12PCORC Wind Vestas and Royalties" xfId="32158"/>
    <cellStyle name="20% - Accent5 3" xfId="2497"/>
    <cellStyle name="20% - Accent5 3 2" xfId="2498"/>
    <cellStyle name="20% - Accent5 3 2 2" xfId="13317"/>
    <cellStyle name="20% - Accent5 3 2 2 2" xfId="32159"/>
    <cellStyle name="20% - Accent5 3 2 3" xfId="13318"/>
    <cellStyle name="20% - Accent5 3 2 3 2" xfId="32160"/>
    <cellStyle name="20% - Accent5 3 2 4" xfId="15455"/>
    <cellStyle name="20% - Accent5 3 2 4 2" xfId="42095"/>
    <cellStyle name="20% - Accent5 3 2 5" xfId="42096"/>
    <cellStyle name="20% - Accent5 3 2 6" xfId="9098"/>
    <cellStyle name="20% - Accent5 3 3" xfId="2499"/>
    <cellStyle name="20% - Accent5 3 3 2" xfId="5832"/>
    <cellStyle name="20% - Accent5 3 3 2 2" xfId="6406"/>
    <cellStyle name="20% - Accent5 3 3 2 2 2" xfId="32161"/>
    <cellStyle name="20% - Accent5 3 3 2 3" xfId="32162"/>
    <cellStyle name="20% - Accent5 3 3 2 4" xfId="32163"/>
    <cellStyle name="20% - Accent5 3 3 2 5" xfId="15456"/>
    <cellStyle name="20% - Accent5 3 3 3" xfId="6338"/>
    <cellStyle name="20% - Accent5 3 3 3 2" xfId="18002"/>
    <cellStyle name="20% - Accent5 3 3 4" xfId="9099"/>
    <cellStyle name="20% - Accent5 3 4" xfId="13319"/>
    <cellStyle name="20% - Accent5 3 4 2" xfId="32164"/>
    <cellStyle name="20% - Accent5 3 4 2 2" xfId="32165"/>
    <cellStyle name="20% - Accent5 3 4 3" xfId="32166"/>
    <cellStyle name="20% - Accent5 3 4 4" xfId="32167"/>
    <cellStyle name="20% - Accent5 3 5" xfId="32168"/>
    <cellStyle name="20% - Accent5 3 5 2" xfId="32169"/>
    <cellStyle name="20% - Accent5 3 6" xfId="9097"/>
    <cellStyle name="20% - Accent5 4" xfId="2500"/>
    <cellStyle name="20% - Accent5 4 2" xfId="9101"/>
    <cellStyle name="20% - Accent5 4 2 2" xfId="13320"/>
    <cellStyle name="20% - Accent5 4 2 2 2" xfId="32170"/>
    <cellStyle name="20% - Accent5 4 2 3" xfId="18850"/>
    <cellStyle name="20% - Accent5 4 3" xfId="9102"/>
    <cellStyle name="20% - Accent5 4 3 2" xfId="18851"/>
    <cellStyle name="20% - Accent5 4 4" xfId="32171"/>
    <cellStyle name="20% - Accent5 4 4 2" xfId="32172"/>
    <cellStyle name="20% - Accent5 4 5" xfId="9100"/>
    <cellStyle name="20% - Accent5 5" xfId="9103"/>
    <cellStyle name="20% - Accent5 5 2" xfId="9104"/>
    <cellStyle name="20% - Accent5 5 2 2" xfId="18852"/>
    <cellStyle name="20% - Accent5 5 2 2 2" xfId="32173"/>
    <cellStyle name="20% - Accent5 5 2 3" xfId="32174"/>
    <cellStyle name="20% - Accent5 5 3" xfId="17884"/>
    <cellStyle name="20% - Accent5 5 3 2" xfId="32175"/>
    <cellStyle name="20% - Accent5 5 3 3" xfId="32176"/>
    <cellStyle name="20% - Accent5 5 4" xfId="32177"/>
    <cellStyle name="20% - Accent5 5 4 2" xfId="32178"/>
    <cellStyle name="20% - Accent5 6" xfId="9105"/>
    <cellStyle name="20% - Accent5 6 2" xfId="9106"/>
    <cellStyle name="20% - Accent5 6 2 2" xfId="18854"/>
    <cellStyle name="20% - Accent5 6 2 2 2" xfId="32179"/>
    <cellStyle name="20% - Accent5 6 2 3" xfId="32180"/>
    <cellStyle name="20% - Accent5 6 2 4" xfId="32181"/>
    <cellStyle name="20% - Accent5 6 3" xfId="18853"/>
    <cellStyle name="20% - Accent5 6 3 2" xfId="32182"/>
    <cellStyle name="20% - Accent5 6 3 3" xfId="32183"/>
    <cellStyle name="20% - Accent5 6 4" xfId="32184"/>
    <cellStyle name="20% - Accent5 6 4 2" xfId="32185"/>
    <cellStyle name="20% - Accent5 6 5" xfId="32186"/>
    <cellStyle name="20% - Accent5 7" xfId="9107"/>
    <cellStyle name="20% - Accent5 7 2" xfId="18855"/>
    <cellStyle name="20% - Accent5 7 2 2" xfId="32187"/>
    <cellStyle name="20% - Accent5 7 2 2 2" xfId="32188"/>
    <cellStyle name="20% - Accent5 7 2 3" xfId="32189"/>
    <cellStyle name="20% - Accent5 7 2 4" xfId="32190"/>
    <cellStyle name="20% - Accent5 7 3" xfId="32191"/>
    <cellStyle name="20% - Accent5 7 3 2" xfId="32192"/>
    <cellStyle name="20% - Accent5 7 4" xfId="32193"/>
    <cellStyle name="20% - Accent5 7 4 2" xfId="32194"/>
    <cellStyle name="20% - Accent5 7 5" xfId="32195"/>
    <cellStyle name="20% - Accent5 8" xfId="9108"/>
    <cellStyle name="20% - Accent5 8 2" xfId="18856"/>
    <cellStyle name="20% - Accent5 8 2 2" xfId="32196"/>
    <cellStyle name="20% - Accent5 8 2 3" xfId="32197"/>
    <cellStyle name="20% - Accent5 8 3" xfId="32198"/>
    <cellStyle name="20% - Accent5 9" xfId="13321"/>
    <cellStyle name="20% - Accent5 9 2" xfId="32199"/>
    <cellStyle name="20% - Accent5 9 2 2" xfId="32200"/>
    <cellStyle name="20% - Accent5 9 2 3" xfId="32201"/>
    <cellStyle name="20% - Accent5 9 3" xfId="32202"/>
    <cellStyle name="20% - Accent5 9 4" xfId="32203"/>
    <cellStyle name="20% - Accent5 9 5" xfId="32204"/>
    <cellStyle name="20% - Accent6 10" xfId="13322"/>
    <cellStyle name="20% - Accent6 10 2" xfId="32205"/>
    <cellStyle name="20% - Accent6 10 2 2" xfId="32206"/>
    <cellStyle name="20% - Accent6 10 3" xfId="32207"/>
    <cellStyle name="20% - Accent6 10 4" xfId="32208"/>
    <cellStyle name="20% - Accent6 11" xfId="17304"/>
    <cellStyle name="20% - Accent6 11 2" xfId="32209"/>
    <cellStyle name="20% - Accent6 11 3" xfId="32210"/>
    <cellStyle name="20% - Accent6 12" xfId="32211"/>
    <cellStyle name="20% - Accent6 13" xfId="9109"/>
    <cellStyle name="20% - Accent6 2" xfId="2501"/>
    <cellStyle name="20% - Accent6 2 2" xfId="2502"/>
    <cellStyle name="20% - Accent6 2 2 2" xfId="2503"/>
    <cellStyle name="20% - Accent6 2 2 2 2" xfId="13323"/>
    <cellStyle name="20% - Accent6 2 2 2 2 2" xfId="32212"/>
    <cellStyle name="20% - Accent6 2 2 2 3" xfId="32213"/>
    <cellStyle name="20% - Accent6 2 2 2 3 2" xfId="32214"/>
    <cellStyle name="20% - Accent6 2 2 2 4" xfId="9112"/>
    <cellStyle name="20% - Accent6 2 2 3" xfId="5833"/>
    <cellStyle name="20% - Accent6 2 2 3 2" xfId="6407"/>
    <cellStyle name="20% - Accent6 2 2 3 2 2" xfId="32216"/>
    <cellStyle name="20% - Accent6 2 2 3 2 3" xfId="32215"/>
    <cellStyle name="20% - Accent6 2 2 3 3" xfId="32217"/>
    <cellStyle name="20% - Accent6 2 2 3 4" xfId="13324"/>
    <cellStyle name="20% - Accent6 2 2 4" xfId="6339"/>
    <cellStyle name="20% - Accent6 2 2 4 2" xfId="32219"/>
    <cellStyle name="20% - Accent6 2 2 4 3" xfId="32218"/>
    <cellStyle name="20% - Accent6 2 2 5" xfId="32220"/>
    <cellStyle name="20% - Accent6 2 2 5 2" xfId="32221"/>
    <cellStyle name="20% - Accent6 2 2 6" xfId="9111"/>
    <cellStyle name="20% - Accent6 2 3" xfId="2504"/>
    <cellStyle name="20% - Accent6 2 3 2" xfId="13325"/>
    <cellStyle name="20% - Accent6 2 3 2 2" xfId="13326"/>
    <cellStyle name="20% - Accent6 2 3 2 2 2" xfId="32222"/>
    <cellStyle name="20% - Accent6 2 3 2 3" xfId="32223"/>
    <cellStyle name="20% - Accent6 2 3 3" xfId="13327"/>
    <cellStyle name="20% - Accent6 2 3 3 2" xfId="32224"/>
    <cellStyle name="20% - Accent6 2 3 4" xfId="32225"/>
    <cellStyle name="20% - Accent6 2 3 4 2" xfId="32226"/>
    <cellStyle name="20% - Accent6 2 3 5" xfId="9113"/>
    <cellStyle name="20% - Accent6 2 4" xfId="13328"/>
    <cellStyle name="20% - Accent6 2 4 2" xfId="13329"/>
    <cellStyle name="20% - Accent6 2 4 2 2" xfId="32227"/>
    <cellStyle name="20% - Accent6 2 4 2 2 2" xfId="32228"/>
    <cellStyle name="20% - Accent6 2 4 2 3" xfId="32229"/>
    <cellStyle name="20% - Accent6 2 4 3" xfId="32230"/>
    <cellStyle name="20% - Accent6 2 4 3 2" xfId="32231"/>
    <cellStyle name="20% - Accent6 2 4 3 3" xfId="32232"/>
    <cellStyle name="20% - Accent6 2 4 4" xfId="32233"/>
    <cellStyle name="20% - Accent6 2 4 4 2" xfId="32234"/>
    <cellStyle name="20% - Accent6 2 4 5" xfId="32235"/>
    <cellStyle name="20% - Accent6 2 5" xfId="13330"/>
    <cellStyle name="20% - Accent6 2 5 2" xfId="32236"/>
    <cellStyle name="20% - Accent6 2 5 2 2" xfId="32237"/>
    <cellStyle name="20% - Accent6 2 5 3" xfId="32238"/>
    <cellStyle name="20% - Accent6 2 6" xfId="32239"/>
    <cellStyle name="20% - Accent6 2 6 2" xfId="32240"/>
    <cellStyle name="20% - Accent6 2 6 2 2" xfId="32241"/>
    <cellStyle name="20% - Accent6 2 6 3" xfId="32242"/>
    <cellStyle name="20% - Accent6 2 7" xfId="32243"/>
    <cellStyle name="20% - Accent6 2 7 2" xfId="32244"/>
    <cellStyle name="20% - Accent6 2 8" xfId="32245"/>
    <cellStyle name="20% - Accent6 2 9" xfId="9110"/>
    <cellStyle name="20% - Accent6 2_12PCORC Wind Vestas and Royalties" xfId="32246"/>
    <cellStyle name="20% - Accent6 3" xfId="2505"/>
    <cellStyle name="20% - Accent6 3 2" xfId="2506"/>
    <cellStyle name="20% - Accent6 3 2 2" xfId="13331"/>
    <cellStyle name="20% - Accent6 3 2 2 2" xfId="32247"/>
    <cellStyle name="20% - Accent6 3 2 3" xfId="13332"/>
    <cellStyle name="20% - Accent6 3 2 3 2" xfId="32248"/>
    <cellStyle name="20% - Accent6 3 2 4" xfId="15457"/>
    <cellStyle name="20% - Accent6 3 2 4 2" xfId="42097"/>
    <cellStyle name="20% - Accent6 3 2 5" xfId="42098"/>
    <cellStyle name="20% - Accent6 3 2 6" xfId="9115"/>
    <cellStyle name="20% - Accent6 3 3" xfId="2507"/>
    <cellStyle name="20% - Accent6 3 3 2" xfId="5834"/>
    <cellStyle name="20% - Accent6 3 3 2 2" xfId="6408"/>
    <cellStyle name="20% - Accent6 3 3 2 2 2" xfId="32249"/>
    <cellStyle name="20% - Accent6 3 3 2 3" xfId="32250"/>
    <cellStyle name="20% - Accent6 3 3 2 4" xfId="32251"/>
    <cellStyle name="20% - Accent6 3 3 2 5" xfId="15458"/>
    <cellStyle name="20% - Accent6 3 3 3" xfId="6340"/>
    <cellStyle name="20% - Accent6 3 3 3 2" xfId="18003"/>
    <cellStyle name="20% - Accent6 3 3 4" xfId="9116"/>
    <cellStyle name="20% - Accent6 3 4" xfId="13333"/>
    <cellStyle name="20% - Accent6 3 4 2" xfId="32252"/>
    <cellStyle name="20% - Accent6 3 4 2 2" xfId="32253"/>
    <cellStyle name="20% - Accent6 3 4 3" xfId="32254"/>
    <cellStyle name="20% - Accent6 3 4 4" xfId="32255"/>
    <cellStyle name="20% - Accent6 3 5" xfId="32256"/>
    <cellStyle name="20% - Accent6 3 5 2" xfId="32257"/>
    <cellStyle name="20% - Accent6 3 6" xfId="32258"/>
    <cellStyle name="20% - Accent6 3 7" xfId="9114"/>
    <cellStyle name="20% - Accent6 4" xfId="2508"/>
    <cellStyle name="20% - Accent6 4 2" xfId="9118"/>
    <cellStyle name="20% - Accent6 4 2 2" xfId="9119"/>
    <cellStyle name="20% - Accent6 4 2 2 2" xfId="18858"/>
    <cellStyle name="20% - Accent6 4 2 3" xfId="9120"/>
    <cellStyle name="20% - Accent6 4 2 3 2" xfId="18859"/>
    <cellStyle name="20% - Accent6 4 2 4" xfId="9121"/>
    <cellStyle name="20% - Accent6 4 2 4 2" xfId="21817"/>
    <cellStyle name="20% - Accent6 4 2 5" xfId="18857"/>
    <cellStyle name="20% - Accent6 4 3" xfId="9122"/>
    <cellStyle name="20% - Accent6 4 3 2" xfId="9123"/>
    <cellStyle name="20% - Accent6 4 3 2 2" xfId="18861"/>
    <cellStyle name="20% - Accent6 4 3 3" xfId="18860"/>
    <cellStyle name="20% - Accent6 4 4" xfId="9124"/>
    <cellStyle name="20% - Accent6 4 4 2" xfId="18862"/>
    <cellStyle name="20% - Accent6 4 5" xfId="9125"/>
    <cellStyle name="20% - Accent6 4 5 2" xfId="18863"/>
    <cellStyle name="20% - Accent6 4 6" xfId="9126"/>
    <cellStyle name="20% - Accent6 4 6 2" xfId="21818"/>
    <cellStyle name="20% - Accent6 4 7" xfId="9127"/>
    <cellStyle name="20% - Accent6 4 7 2" xfId="21819"/>
    <cellStyle name="20% - Accent6 4 8" xfId="17305"/>
    <cellStyle name="20% - Accent6 4 9" xfId="9117"/>
    <cellStyle name="20% - Accent6 5" xfId="9128"/>
    <cellStyle name="20% - Accent6 5 2" xfId="13334"/>
    <cellStyle name="20% - Accent6 5 2 2" xfId="32259"/>
    <cellStyle name="20% - Accent6 5 2 2 2" xfId="32260"/>
    <cellStyle name="20% - Accent6 5 2 3" xfId="32261"/>
    <cellStyle name="20% - Accent6 5 3" xfId="15459"/>
    <cellStyle name="20% - Accent6 5 3 2" xfId="32262"/>
    <cellStyle name="20% - Accent6 5 3 3" xfId="32263"/>
    <cellStyle name="20% - Accent6 5 4" xfId="17885"/>
    <cellStyle name="20% - Accent6 5 4 2" xfId="32264"/>
    <cellStyle name="20% - Accent6 5 4 3" xfId="32265"/>
    <cellStyle name="20% - Accent6 5 5" xfId="42099"/>
    <cellStyle name="20% - Accent6 6" xfId="13335"/>
    <cellStyle name="20% - Accent6 6 2" xfId="13336"/>
    <cellStyle name="20% - Accent6 6 2 2" xfId="32266"/>
    <cellStyle name="20% - Accent6 6 2 2 2" xfId="32267"/>
    <cellStyle name="20% - Accent6 6 2 3" xfId="32268"/>
    <cellStyle name="20% - Accent6 6 2 4" xfId="32269"/>
    <cellStyle name="20% - Accent6 6 3" xfId="32270"/>
    <cellStyle name="20% - Accent6 6 3 2" xfId="32271"/>
    <cellStyle name="20% - Accent6 6 3 3" xfId="32272"/>
    <cellStyle name="20% - Accent6 6 4" xfId="32273"/>
    <cellStyle name="20% - Accent6 6 4 2" xfId="32274"/>
    <cellStyle name="20% - Accent6 6 5" xfId="32275"/>
    <cellStyle name="20% - Accent6 7" xfId="13337"/>
    <cellStyle name="20% - Accent6 7 2" xfId="32276"/>
    <cellStyle name="20% - Accent6 7 2 2" xfId="32277"/>
    <cellStyle name="20% - Accent6 7 2 2 2" xfId="32278"/>
    <cellStyle name="20% - Accent6 7 2 3" xfId="32279"/>
    <cellStyle name="20% - Accent6 7 2 4" xfId="32280"/>
    <cellStyle name="20% - Accent6 7 3" xfId="32281"/>
    <cellStyle name="20% - Accent6 7 3 2" xfId="32282"/>
    <cellStyle name="20% - Accent6 7 4" xfId="32283"/>
    <cellStyle name="20% - Accent6 7 4 2" xfId="32284"/>
    <cellStyle name="20% - Accent6 7 5" xfId="32285"/>
    <cellStyle name="20% - Accent6 8" xfId="13338"/>
    <cellStyle name="20% - Accent6 8 2" xfId="32286"/>
    <cellStyle name="20% - Accent6 8 2 2" xfId="32287"/>
    <cellStyle name="20% - Accent6 8 2 3" xfId="32288"/>
    <cellStyle name="20% - Accent6 8 3" xfId="32289"/>
    <cellStyle name="20% - Accent6 9" xfId="13339"/>
    <cellStyle name="20% - Accent6 9 2" xfId="32290"/>
    <cellStyle name="20% - Accent6 9 2 2" xfId="32291"/>
    <cellStyle name="20% - Accent6 9 2 3" xfId="32292"/>
    <cellStyle name="20% - Accent6 9 3" xfId="32293"/>
    <cellStyle name="20% - Accent6 9 4" xfId="32294"/>
    <cellStyle name="20% - Accent6 9 5" xfId="32295"/>
    <cellStyle name="40% - Accent1 10" xfId="13340"/>
    <cellStyle name="40% - Accent1 10 2" xfId="32296"/>
    <cellStyle name="40% - Accent1 10 2 2" xfId="32297"/>
    <cellStyle name="40% - Accent1 10 3" xfId="32298"/>
    <cellStyle name="40% - Accent1 10 4" xfId="32299"/>
    <cellStyle name="40% - Accent1 11" xfId="17306"/>
    <cellStyle name="40% - Accent1 11 2" xfId="32300"/>
    <cellStyle name="40% - Accent1 11 3" xfId="32301"/>
    <cellStyle name="40% - Accent1 12" xfId="32302"/>
    <cellStyle name="40% - Accent1 13" xfId="9129"/>
    <cellStyle name="40% - Accent1 2" xfId="2509"/>
    <cellStyle name="40% - Accent1 2 2" xfId="2510"/>
    <cellStyle name="40% - Accent1 2 2 2" xfId="2511"/>
    <cellStyle name="40% - Accent1 2 2 2 2" xfId="13341"/>
    <cellStyle name="40% - Accent1 2 2 2 2 2" xfId="32303"/>
    <cellStyle name="40% - Accent1 2 2 2 3" xfId="32304"/>
    <cellStyle name="40% - Accent1 2 2 2 3 2" xfId="32305"/>
    <cellStyle name="40% - Accent1 2 2 2 4" xfId="9132"/>
    <cellStyle name="40% - Accent1 2 2 3" xfId="5835"/>
    <cellStyle name="40% - Accent1 2 2 3 2" xfId="6409"/>
    <cellStyle name="40% - Accent1 2 2 3 2 2" xfId="32307"/>
    <cellStyle name="40% - Accent1 2 2 3 2 3" xfId="32306"/>
    <cellStyle name="40% - Accent1 2 2 3 3" xfId="32308"/>
    <cellStyle name="40% - Accent1 2 2 3 4" xfId="13342"/>
    <cellStyle name="40% - Accent1 2 2 4" xfId="6341"/>
    <cellStyle name="40% - Accent1 2 2 4 2" xfId="32310"/>
    <cellStyle name="40% - Accent1 2 2 4 3" xfId="32309"/>
    <cellStyle name="40% - Accent1 2 2 5" xfId="32311"/>
    <cellStyle name="40% - Accent1 2 2 5 2" xfId="32312"/>
    <cellStyle name="40% - Accent1 2 2 6" xfId="9131"/>
    <cellStyle name="40% - Accent1 2 3" xfId="2512"/>
    <cellStyle name="40% - Accent1 2 3 2" xfId="13343"/>
    <cellStyle name="40% - Accent1 2 3 2 2" xfId="13344"/>
    <cellStyle name="40% - Accent1 2 3 2 2 2" xfId="32313"/>
    <cellStyle name="40% - Accent1 2 3 2 3" xfId="32314"/>
    <cellStyle name="40% - Accent1 2 3 3" xfId="13345"/>
    <cellStyle name="40% - Accent1 2 3 3 2" xfId="32315"/>
    <cellStyle name="40% - Accent1 2 3 4" xfId="32316"/>
    <cellStyle name="40% - Accent1 2 3 4 2" xfId="32317"/>
    <cellStyle name="40% - Accent1 2 3 5" xfId="9133"/>
    <cellStyle name="40% - Accent1 2 4" xfId="13346"/>
    <cellStyle name="40% - Accent1 2 4 2" xfId="13347"/>
    <cellStyle name="40% - Accent1 2 4 2 2" xfId="32318"/>
    <cellStyle name="40% - Accent1 2 4 2 2 2" xfId="32319"/>
    <cellStyle name="40% - Accent1 2 4 2 3" xfId="32320"/>
    <cellStyle name="40% - Accent1 2 4 2 3 2" xfId="32321"/>
    <cellStyle name="40% - Accent1 2 4 3" xfId="13348"/>
    <cellStyle name="40% - Accent1 2 4 3 2" xfId="32322"/>
    <cellStyle name="40% - Accent1 2 4 3 2 2" xfId="32323"/>
    <cellStyle name="40% - Accent1 2 4 3 3" xfId="32324"/>
    <cellStyle name="40% - Accent1 2 4 4" xfId="32325"/>
    <cellStyle name="40% - Accent1 2 4 4 2" xfId="32326"/>
    <cellStyle name="40% - Accent1 2 4 5" xfId="32327"/>
    <cellStyle name="40% - Accent1 2 4 5 2" xfId="32328"/>
    <cellStyle name="40% - Accent1 2 5" xfId="13349"/>
    <cellStyle name="40% - Accent1 2 5 2" xfId="32329"/>
    <cellStyle name="40% - Accent1 2 5 2 2" xfId="32330"/>
    <cellStyle name="40% - Accent1 2 5 3" xfId="32331"/>
    <cellStyle name="40% - Accent1 2 6" xfId="32332"/>
    <cellStyle name="40% - Accent1 2 6 2" xfId="32333"/>
    <cellStyle name="40% - Accent1 2 6 2 2" xfId="32334"/>
    <cellStyle name="40% - Accent1 2 6 3" xfId="32335"/>
    <cellStyle name="40% - Accent1 2 7" xfId="32336"/>
    <cellStyle name="40% - Accent1 2 7 2" xfId="32337"/>
    <cellStyle name="40% - Accent1 2 8" xfId="32338"/>
    <cellStyle name="40% - Accent1 2 9" xfId="9130"/>
    <cellStyle name="40% - Accent1 2_12PCORC Wind Vestas and Royalties" xfId="32339"/>
    <cellStyle name="40% - Accent1 3" xfId="2513"/>
    <cellStyle name="40% - Accent1 3 2" xfId="2514"/>
    <cellStyle name="40% - Accent1 3 2 2" xfId="13350"/>
    <cellStyle name="40% - Accent1 3 2 2 2" xfId="32340"/>
    <cellStyle name="40% - Accent1 3 2 3" xfId="13351"/>
    <cellStyle name="40% - Accent1 3 2 3 2" xfId="32341"/>
    <cellStyle name="40% - Accent1 3 2 4" xfId="15460"/>
    <cellStyle name="40% - Accent1 3 2 4 2" xfId="42100"/>
    <cellStyle name="40% - Accent1 3 2 5" xfId="42101"/>
    <cellStyle name="40% - Accent1 3 2 6" xfId="9135"/>
    <cellStyle name="40% - Accent1 3 3" xfId="2515"/>
    <cellStyle name="40% - Accent1 3 3 2" xfId="5836"/>
    <cellStyle name="40% - Accent1 3 3 2 2" xfId="6410"/>
    <cellStyle name="40% - Accent1 3 3 2 2 2" xfId="32342"/>
    <cellStyle name="40% - Accent1 3 3 2 3" xfId="32343"/>
    <cellStyle name="40% - Accent1 3 3 2 4" xfId="32344"/>
    <cellStyle name="40% - Accent1 3 3 2 5" xfId="15461"/>
    <cellStyle name="40% - Accent1 3 3 3" xfId="6342"/>
    <cellStyle name="40% - Accent1 3 3 3 2" xfId="18004"/>
    <cellStyle name="40% - Accent1 3 3 4" xfId="9136"/>
    <cellStyle name="40% - Accent1 3 4" xfId="13352"/>
    <cellStyle name="40% - Accent1 3 4 2" xfId="32345"/>
    <cellStyle name="40% - Accent1 3 4 2 2" xfId="32346"/>
    <cellStyle name="40% - Accent1 3 4 3" xfId="32347"/>
    <cellStyle name="40% - Accent1 3 4 4" xfId="32348"/>
    <cellStyle name="40% - Accent1 3 5" xfId="32349"/>
    <cellStyle name="40% - Accent1 3 5 2" xfId="32350"/>
    <cellStyle name="40% - Accent1 3 6" xfId="32351"/>
    <cellStyle name="40% - Accent1 3 7" xfId="9134"/>
    <cellStyle name="40% - Accent1 4" xfId="2516"/>
    <cellStyle name="40% - Accent1 4 2" xfId="9138"/>
    <cellStyle name="40% - Accent1 4 2 2" xfId="9139"/>
    <cellStyle name="40% - Accent1 4 2 2 2" xfId="18865"/>
    <cellStyle name="40% - Accent1 4 2 3" xfId="9140"/>
    <cellStyle name="40% - Accent1 4 2 3 2" xfId="18866"/>
    <cellStyle name="40% - Accent1 4 2 4" xfId="9141"/>
    <cellStyle name="40% - Accent1 4 2 4 2" xfId="21820"/>
    <cellStyle name="40% - Accent1 4 2 5" xfId="18864"/>
    <cellStyle name="40% - Accent1 4 3" xfId="9142"/>
    <cellStyle name="40% - Accent1 4 3 2" xfId="9143"/>
    <cellStyle name="40% - Accent1 4 3 2 2" xfId="18868"/>
    <cellStyle name="40% - Accent1 4 3 3" xfId="18867"/>
    <cellStyle name="40% - Accent1 4 4" xfId="9144"/>
    <cellStyle name="40% - Accent1 4 4 2" xfId="18869"/>
    <cellStyle name="40% - Accent1 4 5" xfId="9145"/>
    <cellStyle name="40% - Accent1 4 5 2" xfId="18870"/>
    <cellStyle name="40% - Accent1 4 6" xfId="9146"/>
    <cellStyle name="40% - Accent1 4 6 2" xfId="21821"/>
    <cellStyle name="40% - Accent1 4 7" xfId="9147"/>
    <cellStyle name="40% - Accent1 4 7 2" xfId="21822"/>
    <cellStyle name="40% - Accent1 4 8" xfId="17307"/>
    <cellStyle name="40% - Accent1 4 9" xfId="9137"/>
    <cellStyle name="40% - Accent1 5" xfId="9148"/>
    <cellStyle name="40% - Accent1 5 2" xfId="13353"/>
    <cellStyle name="40% - Accent1 5 2 2" xfId="32352"/>
    <cellStyle name="40% - Accent1 5 2 2 2" xfId="32353"/>
    <cellStyle name="40% - Accent1 5 2 3" xfId="32354"/>
    <cellStyle name="40% - Accent1 5 3" xfId="15462"/>
    <cellStyle name="40% - Accent1 5 3 2" xfId="32355"/>
    <cellStyle name="40% - Accent1 5 3 3" xfId="32356"/>
    <cellStyle name="40% - Accent1 5 4" xfId="17886"/>
    <cellStyle name="40% - Accent1 5 4 2" xfId="32357"/>
    <cellStyle name="40% - Accent1 5 4 3" xfId="32358"/>
    <cellStyle name="40% - Accent1 5 5" xfId="42102"/>
    <cellStyle name="40% - Accent1 6" xfId="13354"/>
    <cellStyle name="40% - Accent1 6 2" xfId="13355"/>
    <cellStyle name="40% - Accent1 6 2 2" xfId="32359"/>
    <cellStyle name="40% - Accent1 6 2 2 2" xfId="32360"/>
    <cellStyle name="40% - Accent1 6 2 3" xfId="32361"/>
    <cellStyle name="40% - Accent1 6 2 4" xfId="32362"/>
    <cellStyle name="40% - Accent1 6 3" xfId="32363"/>
    <cellStyle name="40% - Accent1 6 3 2" xfId="32364"/>
    <cellStyle name="40% - Accent1 6 3 3" xfId="32365"/>
    <cellStyle name="40% - Accent1 6 4" xfId="32366"/>
    <cellStyle name="40% - Accent1 6 4 2" xfId="32367"/>
    <cellStyle name="40% - Accent1 6 5" xfId="32368"/>
    <cellStyle name="40% - Accent1 7" xfId="13356"/>
    <cellStyle name="40% - Accent1 7 2" xfId="32369"/>
    <cellStyle name="40% - Accent1 7 2 2" xfId="32370"/>
    <cellStyle name="40% - Accent1 7 2 2 2" xfId="32371"/>
    <cellStyle name="40% - Accent1 7 2 3" xfId="32372"/>
    <cellStyle name="40% - Accent1 7 2 4" xfId="32373"/>
    <cellStyle name="40% - Accent1 7 3" xfId="32374"/>
    <cellStyle name="40% - Accent1 7 3 2" xfId="32375"/>
    <cellStyle name="40% - Accent1 7 4" xfId="32376"/>
    <cellStyle name="40% - Accent1 7 4 2" xfId="32377"/>
    <cellStyle name="40% - Accent1 7 5" xfId="32378"/>
    <cellStyle name="40% - Accent1 8" xfId="13357"/>
    <cellStyle name="40% - Accent1 8 2" xfId="32379"/>
    <cellStyle name="40% - Accent1 8 2 2" xfId="32380"/>
    <cellStyle name="40% - Accent1 8 2 3" xfId="32381"/>
    <cellStyle name="40% - Accent1 8 3" xfId="32382"/>
    <cellStyle name="40% - Accent1 9" xfId="13358"/>
    <cellStyle name="40% - Accent1 9 2" xfId="32383"/>
    <cellStyle name="40% - Accent1 9 2 2" xfId="32384"/>
    <cellStyle name="40% - Accent1 9 2 3" xfId="32385"/>
    <cellStyle name="40% - Accent1 9 3" xfId="32386"/>
    <cellStyle name="40% - Accent1 9 4" xfId="32387"/>
    <cellStyle name="40% - Accent1 9 5" xfId="32388"/>
    <cellStyle name="40% - Accent2 10" xfId="17308"/>
    <cellStyle name="40% - Accent2 10 2" xfId="32389"/>
    <cellStyle name="40% - Accent2 10 2 2" xfId="32390"/>
    <cellStyle name="40% - Accent2 10 3" xfId="32391"/>
    <cellStyle name="40% - Accent2 11" xfId="32392"/>
    <cellStyle name="40% - Accent2 11 2" xfId="32393"/>
    <cellStyle name="40% - Accent2 11 3" xfId="32394"/>
    <cellStyle name="40% - Accent2 12" xfId="32395"/>
    <cellStyle name="40% - Accent2 13" xfId="9149"/>
    <cellStyle name="40% - Accent2 2" xfId="2517"/>
    <cellStyle name="40% - Accent2 2 2" xfId="2518"/>
    <cellStyle name="40% - Accent2 2 2 2" xfId="2519"/>
    <cellStyle name="40% - Accent2 2 2 2 2" xfId="13359"/>
    <cellStyle name="40% - Accent2 2 2 2 2 2" xfId="32396"/>
    <cellStyle name="40% - Accent2 2 2 2 3" xfId="32397"/>
    <cellStyle name="40% - Accent2 2 2 2 3 2" xfId="32398"/>
    <cellStyle name="40% - Accent2 2 2 2 4" xfId="9152"/>
    <cellStyle name="40% - Accent2 2 2 3" xfId="5837"/>
    <cellStyle name="40% - Accent2 2 2 3 2" xfId="6411"/>
    <cellStyle name="40% - Accent2 2 2 3 2 2" xfId="32400"/>
    <cellStyle name="40% - Accent2 2 2 3 2 3" xfId="32399"/>
    <cellStyle name="40% - Accent2 2 2 3 3" xfId="32401"/>
    <cellStyle name="40% - Accent2 2 2 3 4" xfId="13360"/>
    <cellStyle name="40% - Accent2 2 2 4" xfId="6343"/>
    <cellStyle name="40% - Accent2 2 2 4 2" xfId="32403"/>
    <cellStyle name="40% - Accent2 2 2 4 3" xfId="32402"/>
    <cellStyle name="40% - Accent2 2 2 5" xfId="32404"/>
    <cellStyle name="40% - Accent2 2 2 5 2" xfId="32405"/>
    <cellStyle name="40% - Accent2 2 2 6" xfId="9151"/>
    <cellStyle name="40% - Accent2 2 3" xfId="2520"/>
    <cellStyle name="40% - Accent2 2 3 2" xfId="13361"/>
    <cellStyle name="40% - Accent2 2 3 2 2" xfId="13362"/>
    <cellStyle name="40% - Accent2 2 3 2 2 2" xfId="32406"/>
    <cellStyle name="40% - Accent2 2 3 2 3" xfId="32407"/>
    <cellStyle name="40% - Accent2 2 3 3" xfId="13363"/>
    <cellStyle name="40% - Accent2 2 3 3 2" xfId="32408"/>
    <cellStyle name="40% - Accent2 2 3 4" xfId="32409"/>
    <cellStyle name="40% - Accent2 2 3 4 2" xfId="32410"/>
    <cellStyle name="40% - Accent2 2 3 5" xfId="9153"/>
    <cellStyle name="40% - Accent2 2 4" xfId="13364"/>
    <cellStyle name="40% - Accent2 2 4 2" xfId="13365"/>
    <cellStyle name="40% - Accent2 2 4 2 2" xfId="32411"/>
    <cellStyle name="40% - Accent2 2 4 2 2 2" xfId="32412"/>
    <cellStyle name="40% - Accent2 2 4 2 3" xfId="32413"/>
    <cellStyle name="40% - Accent2 2 4 3" xfId="32414"/>
    <cellStyle name="40% - Accent2 2 4 3 2" xfId="32415"/>
    <cellStyle name="40% - Accent2 2 4 3 3" xfId="32416"/>
    <cellStyle name="40% - Accent2 2 4 4" xfId="32417"/>
    <cellStyle name="40% - Accent2 2 4 4 2" xfId="32418"/>
    <cellStyle name="40% - Accent2 2 4 5" xfId="32419"/>
    <cellStyle name="40% - Accent2 2 5" xfId="13366"/>
    <cellStyle name="40% - Accent2 2 5 2" xfId="32420"/>
    <cellStyle name="40% - Accent2 2 5 2 2" xfId="32421"/>
    <cellStyle name="40% - Accent2 2 5 3" xfId="32422"/>
    <cellStyle name="40% - Accent2 2 6" xfId="32423"/>
    <cellStyle name="40% - Accent2 2 6 2" xfId="32424"/>
    <cellStyle name="40% - Accent2 2 6 2 2" xfId="32425"/>
    <cellStyle name="40% - Accent2 2 6 3" xfId="32426"/>
    <cellStyle name="40% - Accent2 2 7" xfId="32427"/>
    <cellStyle name="40% - Accent2 2 7 2" xfId="32428"/>
    <cellStyle name="40% - Accent2 2 8" xfId="32429"/>
    <cellStyle name="40% - Accent2 2 9" xfId="9150"/>
    <cellStyle name="40% - Accent2 2_12PCORC Wind Vestas and Royalties" xfId="32430"/>
    <cellStyle name="40% - Accent2 3" xfId="2521"/>
    <cellStyle name="40% - Accent2 3 2" xfId="2522"/>
    <cellStyle name="40% - Accent2 3 2 2" xfId="13367"/>
    <cellStyle name="40% - Accent2 3 2 2 2" xfId="32431"/>
    <cellStyle name="40% - Accent2 3 2 3" xfId="13368"/>
    <cellStyle name="40% - Accent2 3 2 3 2" xfId="32432"/>
    <cellStyle name="40% - Accent2 3 2 4" xfId="15463"/>
    <cellStyle name="40% - Accent2 3 2 4 2" xfId="42103"/>
    <cellStyle name="40% - Accent2 3 2 5" xfId="42104"/>
    <cellStyle name="40% - Accent2 3 2 6" xfId="9155"/>
    <cellStyle name="40% - Accent2 3 3" xfId="2523"/>
    <cellStyle name="40% - Accent2 3 3 2" xfId="5838"/>
    <cellStyle name="40% - Accent2 3 3 2 2" xfId="6412"/>
    <cellStyle name="40% - Accent2 3 3 2 2 2" xfId="32433"/>
    <cellStyle name="40% - Accent2 3 3 2 3" xfId="32434"/>
    <cellStyle name="40% - Accent2 3 3 2 4" xfId="32435"/>
    <cellStyle name="40% - Accent2 3 3 2 5" xfId="15464"/>
    <cellStyle name="40% - Accent2 3 3 3" xfId="6344"/>
    <cellStyle name="40% - Accent2 3 3 3 2" xfId="18005"/>
    <cellStyle name="40% - Accent2 3 3 4" xfId="9156"/>
    <cellStyle name="40% - Accent2 3 4" xfId="13369"/>
    <cellStyle name="40% - Accent2 3 4 2" xfId="32436"/>
    <cellStyle name="40% - Accent2 3 4 2 2" xfId="32437"/>
    <cellStyle name="40% - Accent2 3 4 3" xfId="32438"/>
    <cellStyle name="40% - Accent2 3 4 4" xfId="32439"/>
    <cellStyle name="40% - Accent2 3 5" xfId="32440"/>
    <cellStyle name="40% - Accent2 3 5 2" xfId="32441"/>
    <cellStyle name="40% - Accent2 3 6" xfId="9154"/>
    <cellStyle name="40% - Accent2 4" xfId="2524"/>
    <cellStyle name="40% - Accent2 4 2" xfId="9158"/>
    <cellStyle name="40% - Accent2 4 2 2" xfId="13370"/>
    <cellStyle name="40% - Accent2 4 2 2 2" xfId="32442"/>
    <cellStyle name="40% - Accent2 4 2 3" xfId="18871"/>
    <cellStyle name="40% - Accent2 4 3" xfId="9159"/>
    <cellStyle name="40% - Accent2 4 3 2" xfId="18872"/>
    <cellStyle name="40% - Accent2 4 4" xfId="32443"/>
    <cellStyle name="40% - Accent2 4 4 2" xfId="32444"/>
    <cellStyle name="40% - Accent2 4 5" xfId="9157"/>
    <cellStyle name="40% - Accent2 5" xfId="9160"/>
    <cellStyle name="40% - Accent2 5 2" xfId="9161"/>
    <cellStyle name="40% - Accent2 5 2 2" xfId="18873"/>
    <cellStyle name="40% - Accent2 5 2 2 2" xfId="32445"/>
    <cellStyle name="40% - Accent2 5 2 3" xfId="32446"/>
    <cellStyle name="40% - Accent2 5 3" xfId="17887"/>
    <cellStyle name="40% - Accent2 5 3 2" xfId="32447"/>
    <cellStyle name="40% - Accent2 5 3 3" xfId="32448"/>
    <cellStyle name="40% - Accent2 5 4" xfId="32449"/>
    <cellStyle name="40% - Accent2 5 4 2" xfId="32450"/>
    <cellStyle name="40% - Accent2 6" xfId="9162"/>
    <cellStyle name="40% - Accent2 6 2" xfId="9163"/>
    <cellStyle name="40% - Accent2 6 2 2" xfId="18875"/>
    <cellStyle name="40% - Accent2 6 2 2 2" xfId="32451"/>
    <cellStyle name="40% - Accent2 6 2 3" xfId="32452"/>
    <cellStyle name="40% - Accent2 6 2 4" xfId="32453"/>
    <cellStyle name="40% - Accent2 6 3" xfId="18874"/>
    <cellStyle name="40% - Accent2 6 3 2" xfId="32454"/>
    <cellStyle name="40% - Accent2 6 3 3" xfId="32455"/>
    <cellStyle name="40% - Accent2 6 4" xfId="32456"/>
    <cellStyle name="40% - Accent2 6 4 2" xfId="32457"/>
    <cellStyle name="40% - Accent2 6 5" xfId="32458"/>
    <cellStyle name="40% - Accent2 7" xfId="9164"/>
    <cellStyle name="40% - Accent2 7 2" xfId="18876"/>
    <cellStyle name="40% - Accent2 7 2 2" xfId="32459"/>
    <cellStyle name="40% - Accent2 7 2 2 2" xfId="32460"/>
    <cellStyle name="40% - Accent2 7 2 3" xfId="32461"/>
    <cellStyle name="40% - Accent2 7 2 4" xfId="32462"/>
    <cellStyle name="40% - Accent2 7 3" xfId="32463"/>
    <cellStyle name="40% - Accent2 7 3 2" xfId="32464"/>
    <cellStyle name="40% - Accent2 7 4" xfId="32465"/>
    <cellStyle name="40% - Accent2 7 4 2" xfId="32466"/>
    <cellStyle name="40% - Accent2 7 5" xfId="32467"/>
    <cellStyle name="40% - Accent2 8" xfId="9165"/>
    <cellStyle name="40% - Accent2 8 2" xfId="18877"/>
    <cellStyle name="40% - Accent2 8 2 2" xfId="32468"/>
    <cellStyle name="40% - Accent2 8 2 3" xfId="32469"/>
    <cellStyle name="40% - Accent2 8 3" xfId="32470"/>
    <cellStyle name="40% - Accent2 9" xfId="13371"/>
    <cellStyle name="40% - Accent2 9 2" xfId="32471"/>
    <cellStyle name="40% - Accent2 9 2 2" xfId="32472"/>
    <cellStyle name="40% - Accent2 9 2 3" xfId="32473"/>
    <cellStyle name="40% - Accent2 9 3" xfId="32474"/>
    <cellStyle name="40% - Accent2 9 4" xfId="32475"/>
    <cellStyle name="40% - Accent2 9 5" xfId="32476"/>
    <cellStyle name="40% - Accent3 10" xfId="13372"/>
    <cellStyle name="40% - Accent3 10 2" xfId="32477"/>
    <cellStyle name="40% - Accent3 10 2 2" xfId="32478"/>
    <cellStyle name="40% - Accent3 10 3" xfId="32479"/>
    <cellStyle name="40% - Accent3 10 4" xfId="32480"/>
    <cellStyle name="40% - Accent3 11" xfId="17309"/>
    <cellStyle name="40% - Accent3 11 2" xfId="32481"/>
    <cellStyle name="40% - Accent3 11 3" xfId="32482"/>
    <cellStyle name="40% - Accent3 12" xfId="32483"/>
    <cellStyle name="40% - Accent3 13" xfId="9166"/>
    <cellStyle name="40% - Accent3 2" xfId="2525"/>
    <cellStyle name="40% - Accent3 2 2" xfId="2526"/>
    <cellStyle name="40% - Accent3 2 2 2" xfId="2527"/>
    <cellStyle name="40% - Accent3 2 2 2 2" xfId="13373"/>
    <cellStyle name="40% - Accent3 2 2 2 2 2" xfId="32484"/>
    <cellStyle name="40% - Accent3 2 2 2 3" xfId="32485"/>
    <cellStyle name="40% - Accent3 2 2 2 3 2" xfId="32486"/>
    <cellStyle name="40% - Accent3 2 2 2 4" xfId="9169"/>
    <cellStyle name="40% - Accent3 2 2 3" xfId="5840"/>
    <cellStyle name="40% - Accent3 2 2 3 2" xfId="6413"/>
    <cellStyle name="40% - Accent3 2 2 3 2 2" xfId="32488"/>
    <cellStyle name="40% - Accent3 2 2 3 2 3" xfId="32487"/>
    <cellStyle name="40% - Accent3 2 2 3 3" xfId="32489"/>
    <cellStyle name="40% - Accent3 2 2 3 4" xfId="13374"/>
    <cellStyle name="40% - Accent3 2 2 4" xfId="6345"/>
    <cellStyle name="40% - Accent3 2 2 4 2" xfId="32491"/>
    <cellStyle name="40% - Accent3 2 2 4 3" xfId="32490"/>
    <cellStyle name="40% - Accent3 2 2 5" xfId="32492"/>
    <cellStyle name="40% - Accent3 2 2 5 2" xfId="32493"/>
    <cellStyle name="40% - Accent3 2 2 6" xfId="9168"/>
    <cellStyle name="40% - Accent3 2 3" xfId="2528"/>
    <cellStyle name="40% - Accent3 2 3 2" xfId="13375"/>
    <cellStyle name="40% - Accent3 2 3 2 2" xfId="13376"/>
    <cellStyle name="40% - Accent3 2 3 2 2 2" xfId="32494"/>
    <cellStyle name="40% - Accent3 2 3 2 3" xfId="32495"/>
    <cellStyle name="40% - Accent3 2 3 3" xfId="13377"/>
    <cellStyle name="40% - Accent3 2 3 3 2" xfId="32496"/>
    <cellStyle name="40% - Accent3 2 3 4" xfId="32497"/>
    <cellStyle name="40% - Accent3 2 3 4 2" xfId="32498"/>
    <cellStyle name="40% - Accent3 2 3 5" xfId="9170"/>
    <cellStyle name="40% - Accent3 2 4" xfId="13378"/>
    <cellStyle name="40% - Accent3 2 4 2" xfId="13379"/>
    <cellStyle name="40% - Accent3 2 4 2 2" xfId="32499"/>
    <cellStyle name="40% - Accent3 2 4 2 2 2" xfId="32500"/>
    <cellStyle name="40% - Accent3 2 4 2 3" xfId="32501"/>
    <cellStyle name="40% - Accent3 2 4 2 3 2" xfId="32502"/>
    <cellStyle name="40% - Accent3 2 4 3" xfId="13380"/>
    <cellStyle name="40% - Accent3 2 4 3 2" xfId="32503"/>
    <cellStyle name="40% - Accent3 2 4 3 2 2" xfId="32504"/>
    <cellStyle name="40% - Accent3 2 4 3 3" xfId="32505"/>
    <cellStyle name="40% - Accent3 2 4 4" xfId="32506"/>
    <cellStyle name="40% - Accent3 2 4 4 2" xfId="32507"/>
    <cellStyle name="40% - Accent3 2 4 5" xfId="32508"/>
    <cellStyle name="40% - Accent3 2 4 5 2" xfId="32509"/>
    <cellStyle name="40% - Accent3 2 5" xfId="13381"/>
    <cellStyle name="40% - Accent3 2 5 2" xfId="32510"/>
    <cellStyle name="40% - Accent3 2 5 2 2" xfId="32511"/>
    <cellStyle name="40% - Accent3 2 5 3" xfId="32512"/>
    <cellStyle name="40% - Accent3 2 6" xfId="32513"/>
    <cellStyle name="40% - Accent3 2 6 2" xfId="32514"/>
    <cellStyle name="40% - Accent3 2 6 2 2" xfId="32515"/>
    <cellStyle name="40% - Accent3 2 6 3" xfId="32516"/>
    <cellStyle name="40% - Accent3 2 7" xfId="32517"/>
    <cellStyle name="40% - Accent3 2 7 2" xfId="32518"/>
    <cellStyle name="40% - Accent3 2 8" xfId="32519"/>
    <cellStyle name="40% - Accent3 2 9" xfId="9167"/>
    <cellStyle name="40% - Accent3 2_12PCORC Wind Vestas and Royalties" xfId="32520"/>
    <cellStyle name="40% - Accent3 3" xfId="2529"/>
    <cellStyle name="40% - Accent3 3 2" xfId="2530"/>
    <cellStyle name="40% - Accent3 3 2 2" xfId="13382"/>
    <cellStyle name="40% - Accent3 3 2 2 2" xfId="32521"/>
    <cellStyle name="40% - Accent3 3 2 3" xfId="13383"/>
    <cellStyle name="40% - Accent3 3 2 3 2" xfId="32522"/>
    <cellStyle name="40% - Accent3 3 2 4" xfId="15465"/>
    <cellStyle name="40% - Accent3 3 2 4 2" xfId="42105"/>
    <cellStyle name="40% - Accent3 3 2 5" xfId="42106"/>
    <cellStyle name="40% - Accent3 3 2 6" xfId="9172"/>
    <cellStyle name="40% - Accent3 3 3" xfId="2531"/>
    <cellStyle name="40% - Accent3 3 3 2" xfId="5841"/>
    <cellStyle name="40% - Accent3 3 3 2 2" xfId="6414"/>
    <cellStyle name="40% - Accent3 3 3 2 2 2" xfId="32523"/>
    <cellStyle name="40% - Accent3 3 3 2 3" xfId="32524"/>
    <cellStyle name="40% - Accent3 3 3 2 4" xfId="32525"/>
    <cellStyle name="40% - Accent3 3 3 2 5" xfId="15466"/>
    <cellStyle name="40% - Accent3 3 3 3" xfId="6346"/>
    <cellStyle name="40% - Accent3 3 3 3 2" xfId="18006"/>
    <cellStyle name="40% - Accent3 3 3 4" xfId="9173"/>
    <cellStyle name="40% - Accent3 3 4" xfId="13384"/>
    <cellStyle name="40% - Accent3 3 4 2" xfId="32526"/>
    <cellStyle name="40% - Accent3 3 4 2 2" xfId="32527"/>
    <cellStyle name="40% - Accent3 3 4 3" xfId="32528"/>
    <cellStyle name="40% - Accent3 3 4 4" xfId="32529"/>
    <cellStyle name="40% - Accent3 3 5" xfId="32530"/>
    <cellStyle name="40% - Accent3 3 5 2" xfId="32531"/>
    <cellStyle name="40% - Accent3 3 6" xfId="32532"/>
    <cellStyle name="40% - Accent3 3 7" xfId="9171"/>
    <cellStyle name="40% - Accent3 4" xfId="2532"/>
    <cellStyle name="40% - Accent3 4 2" xfId="9175"/>
    <cellStyle name="40% - Accent3 4 2 2" xfId="9176"/>
    <cellStyle name="40% - Accent3 4 2 2 2" xfId="18879"/>
    <cellStyle name="40% - Accent3 4 2 3" xfId="9177"/>
    <cellStyle name="40% - Accent3 4 2 3 2" xfId="18880"/>
    <cellStyle name="40% - Accent3 4 2 4" xfId="9178"/>
    <cellStyle name="40% - Accent3 4 2 4 2" xfId="21823"/>
    <cellStyle name="40% - Accent3 4 2 5" xfId="18878"/>
    <cellStyle name="40% - Accent3 4 3" xfId="9179"/>
    <cellStyle name="40% - Accent3 4 3 2" xfId="9180"/>
    <cellStyle name="40% - Accent3 4 3 2 2" xfId="18882"/>
    <cellStyle name="40% - Accent3 4 3 3" xfId="18881"/>
    <cellStyle name="40% - Accent3 4 4" xfId="9181"/>
    <cellStyle name="40% - Accent3 4 4 2" xfId="18883"/>
    <cellStyle name="40% - Accent3 4 5" xfId="9182"/>
    <cellStyle name="40% - Accent3 4 5 2" xfId="18884"/>
    <cellStyle name="40% - Accent3 4 6" xfId="9183"/>
    <cellStyle name="40% - Accent3 4 6 2" xfId="21824"/>
    <cellStyle name="40% - Accent3 4 7" xfId="9184"/>
    <cellStyle name="40% - Accent3 4 7 2" xfId="21825"/>
    <cellStyle name="40% - Accent3 4 8" xfId="17310"/>
    <cellStyle name="40% - Accent3 4 9" xfId="9174"/>
    <cellStyle name="40% - Accent3 5" xfId="9185"/>
    <cellStyle name="40% - Accent3 5 2" xfId="13385"/>
    <cellStyle name="40% - Accent3 5 2 2" xfId="32533"/>
    <cellStyle name="40% - Accent3 5 2 2 2" xfId="32534"/>
    <cellStyle name="40% - Accent3 5 2 3" xfId="32535"/>
    <cellStyle name="40% - Accent3 5 3" xfId="15467"/>
    <cellStyle name="40% - Accent3 5 3 2" xfId="32536"/>
    <cellStyle name="40% - Accent3 5 3 3" xfId="32537"/>
    <cellStyle name="40% - Accent3 5 4" xfId="17888"/>
    <cellStyle name="40% - Accent3 5 4 2" xfId="32538"/>
    <cellStyle name="40% - Accent3 5 4 3" xfId="32539"/>
    <cellStyle name="40% - Accent3 5 5" xfId="42107"/>
    <cellStyle name="40% - Accent3 6" xfId="13386"/>
    <cellStyle name="40% - Accent3 6 2" xfId="13387"/>
    <cellStyle name="40% - Accent3 6 2 2" xfId="32540"/>
    <cellStyle name="40% - Accent3 6 2 2 2" xfId="32541"/>
    <cellStyle name="40% - Accent3 6 2 3" xfId="32542"/>
    <cellStyle name="40% - Accent3 6 2 4" xfId="32543"/>
    <cellStyle name="40% - Accent3 6 3" xfId="32544"/>
    <cellStyle name="40% - Accent3 6 3 2" xfId="32545"/>
    <cellStyle name="40% - Accent3 6 3 3" xfId="32546"/>
    <cellStyle name="40% - Accent3 6 4" xfId="32547"/>
    <cellStyle name="40% - Accent3 6 4 2" xfId="32548"/>
    <cellStyle name="40% - Accent3 6 5" xfId="32549"/>
    <cellStyle name="40% - Accent3 7" xfId="13388"/>
    <cellStyle name="40% - Accent3 7 2" xfId="32550"/>
    <cellStyle name="40% - Accent3 7 2 2" xfId="32551"/>
    <cellStyle name="40% - Accent3 7 2 2 2" xfId="32552"/>
    <cellStyle name="40% - Accent3 7 2 3" xfId="32553"/>
    <cellStyle name="40% - Accent3 7 2 4" xfId="32554"/>
    <cellStyle name="40% - Accent3 7 3" xfId="32555"/>
    <cellStyle name="40% - Accent3 7 3 2" xfId="32556"/>
    <cellStyle name="40% - Accent3 7 4" xfId="32557"/>
    <cellStyle name="40% - Accent3 7 4 2" xfId="32558"/>
    <cellStyle name="40% - Accent3 7 5" xfId="32559"/>
    <cellStyle name="40% - Accent3 8" xfId="13389"/>
    <cellStyle name="40% - Accent3 8 2" xfId="32560"/>
    <cellStyle name="40% - Accent3 8 2 2" xfId="32561"/>
    <cellStyle name="40% - Accent3 8 2 3" xfId="32562"/>
    <cellStyle name="40% - Accent3 8 3" xfId="32563"/>
    <cellStyle name="40% - Accent3 9" xfId="13390"/>
    <cellStyle name="40% - Accent3 9 2" xfId="32564"/>
    <cellStyle name="40% - Accent3 9 2 2" xfId="32565"/>
    <cellStyle name="40% - Accent3 9 2 3" xfId="32566"/>
    <cellStyle name="40% - Accent3 9 3" xfId="32567"/>
    <cellStyle name="40% - Accent3 9 4" xfId="32568"/>
    <cellStyle name="40% - Accent3 9 5" xfId="32569"/>
    <cellStyle name="40% - Accent4 10" xfId="13391"/>
    <cellStyle name="40% - Accent4 10 2" xfId="32570"/>
    <cellStyle name="40% - Accent4 10 2 2" xfId="32571"/>
    <cellStyle name="40% - Accent4 10 3" xfId="32572"/>
    <cellStyle name="40% - Accent4 10 4" xfId="32573"/>
    <cellStyle name="40% - Accent4 11" xfId="17311"/>
    <cellStyle name="40% - Accent4 11 2" xfId="32574"/>
    <cellStyle name="40% - Accent4 11 3" xfId="32575"/>
    <cellStyle name="40% - Accent4 12" xfId="32576"/>
    <cellStyle name="40% - Accent4 13" xfId="9186"/>
    <cellStyle name="40% - Accent4 2" xfId="2533"/>
    <cellStyle name="40% - Accent4 2 2" xfId="2534"/>
    <cellStyle name="40% - Accent4 2 2 2" xfId="2535"/>
    <cellStyle name="40% - Accent4 2 2 2 2" xfId="13392"/>
    <cellStyle name="40% - Accent4 2 2 2 2 2" xfId="32577"/>
    <cellStyle name="40% - Accent4 2 2 2 3" xfId="32578"/>
    <cellStyle name="40% - Accent4 2 2 2 3 2" xfId="32579"/>
    <cellStyle name="40% - Accent4 2 2 2 4" xfId="9189"/>
    <cellStyle name="40% - Accent4 2 2 3" xfId="5843"/>
    <cellStyle name="40% - Accent4 2 2 3 2" xfId="6415"/>
    <cellStyle name="40% - Accent4 2 2 3 2 2" xfId="32581"/>
    <cellStyle name="40% - Accent4 2 2 3 2 3" xfId="32580"/>
    <cellStyle name="40% - Accent4 2 2 3 3" xfId="32582"/>
    <cellStyle name="40% - Accent4 2 2 3 4" xfId="13393"/>
    <cellStyle name="40% - Accent4 2 2 4" xfId="6347"/>
    <cellStyle name="40% - Accent4 2 2 4 2" xfId="32584"/>
    <cellStyle name="40% - Accent4 2 2 4 3" xfId="32583"/>
    <cellStyle name="40% - Accent4 2 2 5" xfId="32585"/>
    <cellStyle name="40% - Accent4 2 2 5 2" xfId="32586"/>
    <cellStyle name="40% - Accent4 2 2 6" xfId="9188"/>
    <cellStyle name="40% - Accent4 2 3" xfId="2536"/>
    <cellStyle name="40% - Accent4 2 3 2" xfId="13394"/>
    <cellStyle name="40% - Accent4 2 3 2 2" xfId="13395"/>
    <cellStyle name="40% - Accent4 2 3 2 2 2" xfId="32587"/>
    <cellStyle name="40% - Accent4 2 3 2 3" xfId="32588"/>
    <cellStyle name="40% - Accent4 2 3 3" xfId="13396"/>
    <cellStyle name="40% - Accent4 2 3 3 2" xfId="32589"/>
    <cellStyle name="40% - Accent4 2 3 4" xfId="32590"/>
    <cellStyle name="40% - Accent4 2 3 4 2" xfId="32591"/>
    <cellStyle name="40% - Accent4 2 3 5" xfId="9190"/>
    <cellStyle name="40% - Accent4 2 4" xfId="13397"/>
    <cellStyle name="40% - Accent4 2 4 2" xfId="13398"/>
    <cellStyle name="40% - Accent4 2 4 2 2" xfId="32592"/>
    <cellStyle name="40% - Accent4 2 4 2 2 2" xfId="32593"/>
    <cellStyle name="40% - Accent4 2 4 2 3" xfId="32594"/>
    <cellStyle name="40% - Accent4 2 4 2 3 2" xfId="32595"/>
    <cellStyle name="40% - Accent4 2 4 3" xfId="13399"/>
    <cellStyle name="40% - Accent4 2 4 3 2" xfId="32596"/>
    <cellStyle name="40% - Accent4 2 4 3 2 2" xfId="32597"/>
    <cellStyle name="40% - Accent4 2 4 3 3" xfId="32598"/>
    <cellStyle name="40% - Accent4 2 4 4" xfId="32599"/>
    <cellStyle name="40% - Accent4 2 4 4 2" xfId="32600"/>
    <cellStyle name="40% - Accent4 2 4 5" xfId="32601"/>
    <cellStyle name="40% - Accent4 2 4 5 2" xfId="32602"/>
    <cellStyle name="40% - Accent4 2 5" xfId="13400"/>
    <cellStyle name="40% - Accent4 2 5 2" xfId="32603"/>
    <cellStyle name="40% - Accent4 2 5 2 2" xfId="32604"/>
    <cellStyle name="40% - Accent4 2 5 3" xfId="32605"/>
    <cellStyle name="40% - Accent4 2 6" xfId="32606"/>
    <cellStyle name="40% - Accent4 2 6 2" xfId="32607"/>
    <cellStyle name="40% - Accent4 2 6 2 2" xfId="32608"/>
    <cellStyle name="40% - Accent4 2 6 3" xfId="32609"/>
    <cellStyle name="40% - Accent4 2 7" xfId="32610"/>
    <cellStyle name="40% - Accent4 2 7 2" xfId="32611"/>
    <cellStyle name="40% - Accent4 2 8" xfId="32612"/>
    <cellStyle name="40% - Accent4 2 9" xfId="9187"/>
    <cellStyle name="40% - Accent4 2_12PCORC Wind Vestas and Royalties" xfId="32613"/>
    <cellStyle name="40% - Accent4 3" xfId="2537"/>
    <cellStyle name="40% - Accent4 3 2" xfId="2538"/>
    <cellStyle name="40% - Accent4 3 2 2" xfId="13401"/>
    <cellStyle name="40% - Accent4 3 2 2 2" xfId="32614"/>
    <cellStyle name="40% - Accent4 3 2 3" xfId="13402"/>
    <cellStyle name="40% - Accent4 3 2 3 2" xfId="32615"/>
    <cellStyle name="40% - Accent4 3 2 4" xfId="15468"/>
    <cellStyle name="40% - Accent4 3 2 4 2" xfId="42108"/>
    <cellStyle name="40% - Accent4 3 2 5" xfId="42109"/>
    <cellStyle name="40% - Accent4 3 2 6" xfId="9192"/>
    <cellStyle name="40% - Accent4 3 3" xfId="2539"/>
    <cellStyle name="40% - Accent4 3 3 2" xfId="5844"/>
    <cellStyle name="40% - Accent4 3 3 2 2" xfId="6416"/>
    <cellStyle name="40% - Accent4 3 3 2 2 2" xfId="32616"/>
    <cellStyle name="40% - Accent4 3 3 2 3" xfId="32617"/>
    <cellStyle name="40% - Accent4 3 3 2 4" xfId="32618"/>
    <cellStyle name="40% - Accent4 3 3 2 5" xfId="15469"/>
    <cellStyle name="40% - Accent4 3 3 3" xfId="6348"/>
    <cellStyle name="40% - Accent4 3 3 3 2" xfId="18007"/>
    <cellStyle name="40% - Accent4 3 3 4" xfId="9193"/>
    <cellStyle name="40% - Accent4 3 4" xfId="13403"/>
    <cellStyle name="40% - Accent4 3 4 2" xfId="32619"/>
    <cellStyle name="40% - Accent4 3 4 2 2" xfId="32620"/>
    <cellStyle name="40% - Accent4 3 4 3" xfId="32621"/>
    <cellStyle name="40% - Accent4 3 4 4" xfId="32622"/>
    <cellStyle name="40% - Accent4 3 5" xfId="32623"/>
    <cellStyle name="40% - Accent4 3 5 2" xfId="32624"/>
    <cellStyle name="40% - Accent4 3 6" xfId="32625"/>
    <cellStyle name="40% - Accent4 3 7" xfId="9191"/>
    <cellStyle name="40% - Accent4 4" xfId="2540"/>
    <cellStyle name="40% - Accent4 4 2" xfId="9195"/>
    <cellStyle name="40% - Accent4 4 2 2" xfId="9196"/>
    <cellStyle name="40% - Accent4 4 2 2 2" xfId="18886"/>
    <cellStyle name="40% - Accent4 4 2 3" xfId="9197"/>
    <cellStyle name="40% - Accent4 4 2 3 2" xfId="18887"/>
    <cellStyle name="40% - Accent4 4 2 4" xfId="9198"/>
    <cellStyle name="40% - Accent4 4 2 4 2" xfId="21826"/>
    <cellStyle name="40% - Accent4 4 2 5" xfId="18885"/>
    <cellStyle name="40% - Accent4 4 3" xfId="9199"/>
    <cellStyle name="40% - Accent4 4 3 2" xfId="9200"/>
    <cellStyle name="40% - Accent4 4 3 2 2" xfId="18889"/>
    <cellStyle name="40% - Accent4 4 3 3" xfId="18888"/>
    <cellStyle name="40% - Accent4 4 4" xfId="9201"/>
    <cellStyle name="40% - Accent4 4 4 2" xfId="18890"/>
    <cellStyle name="40% - Accent4 4 5" xfId="9202"/>
    <cellStyle name="40% - Accent4 4 5 2" xfId="18891"/>
    <cellStyle name="40% - Accent4 4 6" xfId="9203"/>
    <cellStyle name="40% - Accent4 4 6 2" xfId="21827"/>
    <cellStyle name="40% - Accent4 4 7" xfId="9204"/>
    <cellStyle name="40% - Accent4 4 7 2" xfId="21828"/>
    <cellStyle name="40% - Accent4 4 8" xfId="17313"/>
    <cellStyle name="40% - Accent4 4 9" xfId="9194"/>
    <cellStyle name="40% - Accent4 5" xfId="9205"/>
    <cellStyle name="40% - Accent4 5 2" xfId="13404"/>
    <cellStyle name="40% - Accent4 5 2 2" xfId="32626"/>
    <cellStyle name="40% - Accent4 5 2 2 2" xfId="32627"/>
    <cellStyle name="40% - Accent4 5 2 3" xfId="32628"/>
    <cellStyle name="40% - Accent4 5 3" xfId="15470"/>
    <cellStyle name="40% - Accent4 5 3 2" xfId="32629"/>
    <cellStyle name="40% - Accent4 5 3 3" xfId="32630"/>
    <cellStyle name="40% - Accent4 5 4" xfId="17889"/>
    <cellStyle name="40% - Accent4 5 4 2" xfId="32631"/>
    <cellStyle name="40% - Accent4 5 4 3" xfId="32632"/>
    <cellStyle name="40% - Accent4 5 5" xfId="42110"/>
    <cellStyle name="40% - Accent4 6" xfId="13405"/>
    <cellStyle name="40% - Accent4 6 2" xfId="13406"/>
    <cellStyle name="40% - Accent4 6 2 2" xfId="32633"/>
    <cellStyle name="40% - Accent4 6 2 2 2" xfId="32634"/>
    <cellStyle name="40% - Accent4 6 2 3" xfId="32635"/>
    <cellStyle name="40% - Accent4 6 2 4" xfId="32636"/>
    <cellStyle name="40% - Accent4 6 3" xfId="32637"/>
    <cellStyle name="40% - Accent4 6 3 2" xfId="32638"/>
    <cellStyle name="40% - Accent4 6 3 3" xfId="32639"/>
    <cellStyle name="40% - Accent4 6 4" xfId="32640"/>
    <cellStyle name="40% - Accent4 6 4 2" xfId="32641"/>
    <cellStyle name="40% - Accent4 6 5" xfId="32642"/>
    <cellStyle name="40% - Accent4 7" xfId="13407"/>
    <cellStyle name="40% - Accent4 7 2" xfId="32643"/>
    <cellStyle name="40% - Accent4 7 2 2" xfId="32644"/>
    <cellStyle name="40% - Accent4 7 2 2 2" xfId="32645"/>
    <cellStyle name="40% - Accent4 7 2 3" xfId="32646"/>
    <cellStyle name="40% - Accent4 7 2 4" xfId="32647"/>
    <cellStyle name="40% - Accent4 7 3" xfId="32648"/>
    <cellStyle name="40% - Accent4 7 3 2" xfId="32649"/>
    <cellStyle name="40% - Accent4 7 4" xfId="32650"/>
    <cellStyle name="40% - Accent4 7 4 2" xfId="32651"/>
    <cellStyle name="40% - Accent4 7 5" xfId="32652"/>
    <cellStyle name="40% - Accent4 8" xfId="13408"/>
    <cellStyle name="40% - Accent4 8 2" xfId="32653"/>
    <cellStyle name="40% - Accent4 8 2 2" xfId="32654"/>
    <cellStyle name="40% - Accent4 8 2 3" xfId="32655"/>
    <cellStyle name="40% - Accent4 8 3" xfId="32656"/>
    <cellStyle name="40% - Accent4 9" xfId="13409"/>
    <cellStyle name="40% - Accent4 9 2" xfId="32657"/>
    <cellStyle name="40% - Accent4 9 2 2" xfId="32658"/>
    <cellStyle name="40% - Accent4 9 2 3" xfId="32659"/>
    <cellStyle name="40% - Accent4 9 3" xfId="32660"/>
    <cellStyle name="40% - Accent4 9 4" xfId="32661"/>
    <cellStyle name="40% - Accent4 9 5" xfId="32662"/>
    <cellStyle name="40% - Accent5 10" xfId="13410"/>
    <cellStyle name="40% - Accent5 10 2" xfId="32663"/>
    <cellStyle name="40% - Accent5 10 2 2" xfId="32664"/>
    <cellStyle name="40% - Accent5 10 3" xfId="32665"/>
    <cellStyle name="40% - Accent5 10 4" xfId="32666"/>
    <cellStyle name="40% - Accent5 11" xfId="17314"/>
    <cellStyle name="40% - Accent5 11 2" xfId="32667"/>
    <cellStyle name="40% - Accent5 11 3" xfId="32668"/>
    <cellStyle name="40% - Accent5 12" xfId="32669"/>
    <cellStyle name="40% - Accent5 13" xfId="9206"/>
    <cellStyle name="40% - Accent5 2" xfId="2541"/>
    <cellStyle name="40% - Accent5 2 2" xfId="2542"/>
    <cellStyle name="40% - Accent5 2 2 2" xfId="2543"/>
    <cellStyle name="40% - Accent5 2 2 2 2" xfId="13411"/>
    <cellStyle name="40% - Accent5 2 2 2 2 2" xfId="32670"/>
    <cellStyle name="40% - Accent5 2 2 2 3" xfId="32671"/>
    <cellStyle name="40% - Accent5 2 2 2 3 2" xfId="32672"/>
    <cellStyle name="40% - Accent5 2 2 2 4" xfId="9209"/>
    <cellStyle name="40% - Accent5 2 2 3" xfId="5845"/>
    <cellStyle name="40% - Accent5 2 2 3 2" xfId="6417"/>
    <cellStyle name="40% - Accent5 2 2 3 2 2" xfId="32674"/>
    <cellStyle name="40% - Accent5 2 2 3 2 3" xfId="32673"/>
    <cellStyle name="40% - Accent5 2 2 3 3" xfId="32675"/>
    <cellStyle name="40% - Accent5 2 2 3 4" xfId="13412"/>
    <cellStyle name="40% - Accent5 2 2 4" xfId="6349"/>
    <cellStyle name="40% - Accent5 2 2 4 2" xfId="32677"/>
    <cellStyle name="40% - Accent5 2 2 4 3" xfId="32676"/>
    <cellStyle name="40% - Accent5 2 2 5" xfId="32678"/>
    <cellStyle name="40% - Accent5 2 2 5 2" xfId="32679"/>
    <cellStyle name="40% - Accent5 2 2 6" xfId="9208"/>
    <cellStyle name="40% - Accent5 2 3" xfId="2544"/>
    <cellStyle name="40% - Accent5 2 3 2" xfId="13413"/>
    <cellStyle name="40% - Accent5 2 3 2 2" xfId="13414"/>
    <cellStyle name="40% - Accent5 2 3 2 2 2" xfId="32680"/>
    <cellStyle name="40% - Accent5 2 3 2 3" xfId="32681"/>
    <cellStyle name="40% - Accent5 2 3 3" xfId="13415"/>
    <cellStyle name="40% - Accent5 2 3 3 2" xfId="32682"/>
    <cellStyle name="40% - Accent5 2 3 4" xfId="32683"/>
    <cellStyle name="40% - Accent5 2 3 4 2" xfId="32684"/>
    <cellStyle name="40% - Accent5 2 3 5" xfId="9210"/>
    <cellStyle name="40% - Accent5 2 4" xfId="13416"/>
    <cellStyle name="40% - Accent5 2 4 2" xfId="13417"/>
    <cellStyle name="40% - Accent5 2 4 2 2" xfId="32685"/>
    <cellStyle name="40% - Accent5 2 4 2 2 2" xfId="32686"/>
    <cellStyle name="40% - Accent5 2 4 2 3" xfId="32687"/>
    <cellStyle name="40% - Accent5 2 4 3" xfId="32688"/>
    <cellStyle name="40% - Accent5 2 4 3 2" xfId="32689"/>
    <cellStyle name="40% - Accent5 2 4 3 3" xfId="32690"/>
    <cellStyle name="40% - Accent5 2 4 4" xfId="32691"/>
    <cellStyle name="40% - Accent5 2 4 4 2" xfId="32692"/>
    <cellStyle name="40% - Accent5 2 4 5" xfId="32693"/>
    <cellStyle name="40% - Accent5 2 5" xfId="13418"/>
    <cellStyle name="40% - Accent5 2 5 2" xfId="32694"/>
    <cellStyle name="40% - Accent5 2 5 2 2" xfId="32695"/>
    <cellStyle name="40% - Accent5 2 5 3" xfId="32696"/>
    <cellStyle name="40% - Accent5 2 6" xfId="32697"/>
    <cellStyle name="40% - Accent5 2 6 2" xfId="32698"/>
    <cellStyle name="40% - Accent5 2 6 2 2" xfId="32699"/>
    <cellStyle name="40% - Accent5 2 6 3" xfId="32700"/>
    <cellStyle name="40% - Accent5 2 7" xfId="32701"/>
    <cellStyle name="40% - Accent5 2 7 2" xfId="32702"/>
    <cellStyle name="40% - Accent5 2 8" xfId="32703"/>
    <cellStyle name="40% - Accent5 2 9" xfId="9207"/>
    <cellStyle name="40% - Accent5 2_12PCORC Wind Vestas and Royalties" xfId="32704"/>
    <cellStyle name="40% - Accent5 3" xfId="2545"/>
    <cellStyle name="40% - Accent5 3 2" xfId="2546"/>
    <cellStyle name="40% - Accent5 3 2 2" xfId="13419"/>
    <cellStyle name="40% - Accent5 3 2 2 2" xfId="32705"/>
    <cellStyle name="40% - Accent5 3 2 3" xfId="13420"/>
    <cellStyle name="40% - Accent5 3 2 3 2" xfId="32706"/>
    <cellStyle name="40% - Accent5 3 2 4" xfId="15471"/>
    <cellStyle name="40% - Accent5 3 2 4 2" xfId="42111"/>
    <cellStyle name="40% - Accent5 3 2 5" xfId="42112"/>
    <cellStyle name="40% - Accent5 3 2 6" xfId="9212"/>
    <cellStyle name="40% - Accent5 3 3" xfId="2547"/>
    <cellStyle name="40% - Accent5 3 3 2" xfId="5846"/>
    <cellStyle name="40% - Accent5 3 3 2 2" xfId="6418"/>
    <cellStyle name="40% - Accent5 3 3 2 2 2" xfId="32707"/>
    <cellStyle name="40% - Accent5 3 3 2 3" xfId="32708"/>
    <cellStyle name="40% - Accent5 3 3 2 4" xfId="32709"/>
    <cellStyle name="40% - Accent5 3 3 2 5" xfId="15472"/>
    <cellStyle name="40% - Accent5 3 3 3" xfId="6350"/>
    <cellStyle name="40% - Accent5 3 3 3 2" xfId="18008"/>
    <cellStyle name="40% - Accent5 3 3 4" xfId="9213"/>
    <cellStyle name="40% - Accent5 3 4" xfId="13421"/>
    <cellStyle name="40% - Accent5 3 4 2" xfId="32710"/>
    <cellStyle name="40% - Accent5 3 4 2 2" xfId="32711"/>
    <cellStyle name="40% - Accent5 3 4 3" xfId="32712"/>
    <cellStyle name="40% - Accent5 3 4 4" xfId="32713"/>
    <cellStyle name="40% - Accent5 3 5" xfId="32714"/>
    <cellStyle name="40% - Accent5 3 5 2" xfId="32715"/>
    <cellStyle name="40% - Accent5 3 6" xfId="32716"/>
    <cellStyle name="40% - Accent5 3 7" xfId="9211"/>
    <cellStyle name="40% - Accent5 4" xfId="2548"/>
    <cellStyle name="40% - Accent5 4 2" xfId="9215"/>
    <cellStyle name="40% - Accent5 4 2 2" xfId="9216"/>
    <cellStyle name="40% - Accent5 4 2 2 2" xfId="18893"/>
    <cellStyle name="40% - Accent5 4 2 3" xfId="9217"/>
    <cellStyle name="40% - Accent5 4 2 3 2" xfId="18894"/>
    <cellStyle name="40% - Accent5 4 2 4" xfId="9218"/>
    <cellStyle name="40% - Accent5 4 2 4 2" xfId="21829"/>
    <cellStyle name="40% - Accent5 4 2 5" xfId="18892"/>
    <cellStyle name="40% - Accent5 4 3" xfId="9219"/>
    <cellStyle name="40% - Accent5 4 3 2" xfId="9220"/>
    <cellStyle name="40% - Accent5 4 3 2 2" xfId="18896"/>
    <cellStyle name="40% - Accent5 4 3 3" xfId="18895"/>
    <cellStyle name="40% - Accent5 4 4" xfId="9221"/>
    <cellStyle name="40% - Accent5 4 4 2" xfId="18897"/>
    <cellStyle name="40% - Accent5 4 5" xfId="9222"/>
    <cellStyle name="40% - Accent5 4 5 2" xfId="18898"/>
    <cellStyle name="40% - Accent5 4 6" xfId="9223"/>
    <cellStyle name="40% - Accent5 4 6 2" xfId="21830"/>
    <cellStyle name="40% - Accent5 4 7" xfId="9224"/>
    <cellStyle name="40% - Accent5 4 7 2" xfId="21831"/>
    <cellStyle name="40% - Accent5 4 8" xfId="17315"/>
    <cellStyle name="40% - Accent5 4 9" xfId="9214"/>
    <cellStyle name="40% - Accent5 5" xfId="9225"/>
    <cellStyle name="40% - Accent5 5 2" xfId="13422"/>
    <cellStyle name="40% - Accent5 5 2 2" xfId="32717"/>
    <cellStyle name="40% - Accent5 5 2 2 2" xfId="32718"/>
    <cellStyle name="40% - Accent5 5 2 3" xfId="32719"/>
    <cellStyle name="40% - Accent5 5 3" xfId="15473"/>
    <cellStyle name="40% - Accent5 5 3 2" xfId="32720"/>
    <cellStyle name="40% - Accent5 5 3 3" xfId="32721"/>
    <cellStyle name="40% - Accent5 5 4" xfId="17890"/>
    <cellStyle name="40% - Accent5 5 4 2" xfId="32722"/>
    <cellStyle name="40% - Accent5 5 4 3" xfId="32723"/>
    <cellStyle name="40% - Accent5 5 5" xfId="42113"/>
    <cellStyle name="40% - Accent5 6" xfId="13423"/>
    <cellStyle name="40% - Accent5 6 2" xfId="13424"/>
    <cellStyle name="40% - Accent5 6 2 2" xfId="32724"/>
    <cellStyle name="40% - Accent5 6 2 2 2" xfId="32725"/>
    <cellStyle name="40% - Accent5 6 2 3" xfId="32726"/>
    <cellStyle name="40% - Accent5 6 2 4" xfId="32727"/>
    <cellStyle name="40% - Accent5 6 3" xfId="32728"/>
    <cellStyle name="40% - Accent5 6 3 2" xfId="32729"/>
    <cellStyle name="40% - Accent5 6 3 3" xfId="32730"/>
    <cellStyle name="40% - Accent5 6 4" xfId="32731"/>
    <cellStyle name="40% - Accent5 6 4 2" xfId="32732"/>
    <cellStyle name="40% - Accent5 6 5" xfId="32733"/>
    <cellStyle name="40% - Accent5 7" xfId="13425"/>
    <cellStyle name="40% - Accent5 7 2" xfId="32734"/>
    <cellStyle name="40% - Accent5 7 2 2" xfId="32735"/>
    <cellStyle name="40% - Accent5 7 2 2 2" xfId="32736"/>
    <cellStyle name="40% - Accent5 7 2 3" xfId="32737"/>
    <cellStyle name="40% - Accent5 7 2 4" xfId="32738"/>
    <cellStyle name="40% - Accent5 7 3" xfId="32739"/>
    <cellStyle name="40% - Accent5 7 3 2" xfId="32740"/>
    <cellStyle name="40% - Accent5 7 4" xfId="32741"/>
    <cellStyle name="40% - Accent5 7 4 2" xfId="32742"/>
    <cellStyle name="40% - Accent5 7 5" xfId="32743"/>
    <cellStyle name="40% - Accent5 8" xfId="13426"/>
    <cellStyle name="40% - Accent5 8 2" xfId="32744"/>
    <cellStyle name="40% - Accent5 8 2 2" xfId="32745"/>
    <cellStyle name="40% - Accent5 8 2 3" xfId="32746"/>
    <cellStyle name="40% - Accent5 8 3" xfId="32747"/>
    <cellStyle name="40% - Accent5 9" xfId="13427"/>
    <cellStyle name="40% - Accent5 9 2" xfId="32748"/>
    <cellStyle name="40% - Accent5 9 2 2" xfId="32749"/>
    <cellStyle name="40% - Accent5 9 2 3" xfId="32750"/>
    <cellStyle name="40% - Accent5 9 3" xfId="32751"/>
    <cellStyle name="40% - Accent5 9 4" xfId="32752"/>
    <cellStyle name="40% - Accent5 9 5" xfId="32753"/>
    <cellStyle name="40% - Accent6 10" xfId="13428"/>
    <cellStyle name="40% - Accent6 10 2" xfId="32754"/>
    <cellStyle name="40% - Accent6 10 2 2" xfId="32755"/>
    <cellStyle name="40% - Accent6 10 3" xfId="32756"/>
    <cellStyle name="40% - Accent6 10 4" xfId="32757"/>
    <cellStyle name="40% - Accent6 11" xfId="17316"/>
    <cellStyle name="40% - Accent6 11 2" xfId="32758"/>
    <cellStyle name="40% - Accent6 11 3" xfId="32759"/>
    <cellStyle name="40% - Accent6 12" xfId="32760"/>
    <cellStyle name="40% - Accent6 13" xfId="9226"/>
    <cellStyle name="40% - Accent6 2" xfId="2549"/>
    <cellStyle name="40% - Accent6 2 2" xfId="2550"/>
    <cellStyle name="40% - Accent6 2 2 2" xfId="2551"/>
    <cellStyle name="40% - Accent6 2 2 2 2" xfId="13429"/>
    <cellStyle name="40% - Accent6 2 2 2 2 2" xfId="32761"/>
    <cellStyle name="40% - Accent6 2 2 2 3" xfId="32762"/>
    <cellStyle name="40% - Accent6 2 2 2 3 2" xfId="32763"/>
    <cellStyle name="40% - Accent6 2 2 2 4" xfId="9229"/>
    <cellStyle name="40% - Accent6 2 2 3" xfId="5847"/>
    <cellStyle name="40% - Accent6 2 2 3 2" xfId="6419"/>
    <cellStyle name="40% - Accent6 2 2 3 2 2" xfId="32765"/>
    <cellStyle name="40% - Accent6 2 2 3 2 3" xfId="32764"/>
    <cellStyle name="40% - Accent6 2 2 3 3" xfId="32766"/>
    <cellStyle name="40% - Accent6 2 2 3 4" xfId="13430"/>
    <cellStyle name="40% - Accent6 2 2 4" xfId="6351"/>
    <cellStyle name="40% - Accent6 2 2 4 2" xfId="32768"/>
    <cellStyle name="40% - Accent6 2 2 4 3" xfId="32767"/>
    <cellStyle name="40% - Accent6 2 2 5" xfId="32769"/>
    <cellStyle name="40% - Accent6 2 2 5 2" xfId="32770"/>
    <cellStyle name="40% - Accent6 2 2 6" xfId="9228"/>
    <cellStyle name="40% - Accent6 2 3" xfId="2552"/>
    <cellStyle name="40% - Accent6 2 3 2" xfId="13431"/>
    <cellStyle name="40% - Accent6 2 3 2 2" xfId="13432"/>
    <cellStyle name="40% - Accent6 2 3 2 2 2" xfId="32771"/>
    <cellStyle name="40% - Accent6 2 3 2 3" xfId="32772"/>
    <cellStyle name="40% - Accent6 2 3 3" xfId="13433"/>
    <cellStyle name="40% - Accent6 2 3 3 2" xfId="32773"/>
    <cellStyle name="40% - Accent6 2 3 4" xfId="32774"/>
    <cellStyle name="40% - Accent6 2 3 4 2" xfId="32775"/>
    <cellStyle name="40% - Accent6 2 3 5" xfId="9230"/>
    <cellStyle name="40% - Accent6 2 4" xfId="13434"/>
    <cellStyle name="40% - Accent6 2 4 2" xfId="13435"/>
    <cellStyle name="40% - Accent6 2 4 2 2" xfId="32776"/>
    <cellStyle name="40% - Accent6 2 4 2 2 2" xfId="32777"/>
    <cellStyle name="40% - Accent6 2 4 2 3" xfId="32778"/>
    <cellStyle name="40% - Accent6 2 4 2 3 2" xfId="32779"/>
    <cellStyle name="40% - Accent6 2 4 3" xfId="13436"/>
    <cellStyle name="40% - Accent6 2 4 3 2" xfId="32780"/>
    <cellStyle name="40% - Accent6 2 4 3 2 2" xfId="32781"/>
    <cellStyle name="40% - Accent6 2 4 3 3" xfId="32782"/>
    <cellStyle name="40% - Accent6 2 4 4" xfId="32783"/>
    <cellStyle name="40% - Accent6 2 4 4 2" xfId="32784"/>
    <cellStyle name="40% - Accent6 2 4 5" xfId="32785"/>
    <cellStyle name="40% - Accent6 2 4 5 2" xfId="32786"/>
    <cellStyle name="40% - Accent6 2 5" xfId="13437"/>
    <cellStyle name="40% - Accent6 2 5 2" xfId="32787"/>
    <cellStyle name="40% - Accent6 2 5 2 2" xfId="32788"/>
    <cellStyle name="40% - Accent6 2 5 3" xfId="32789"/>
    <cellStyle name="40% - Accent6 2 6" xfId="32790"/>
    <cellStyle name="40% - Accent6 2 6 2" xfId="32791"/>
    <cellStyle name="40% - Accent6 2 6 2 2" xfId="32792"/>
    <cellStyle name="40% - Accent6 2 6 3" xfId="32793"/>
    <cellStyle name="40% - Accent6 2 7" xfId="32794"/>
    <cellStyle name="40% - Accent6 2 7 2" xfId="32795"/>
    <cellStyle name="40% - Accent6 2 8" xfId="32796"/>
    <cellStyle name="40% - Accent6 2 9" xfId="9227"/>
    <cellStyle name="40% - Accent6 2_12PCORC Wind Vestas and Royalties" xfId="32797"/>
    <cellStyle name="40% - Accent6 3" xfId="2553"/>
    <cellStyle name="40% - Accent6 3 2" xfId="2554"/>
    <cellStyle name="40% - Accent6 3 2 2" xfId="13438"/>
    <cellStyle name="40% - Accent6 3 2 2 2" xfId="32798"/>
    <cellStyle name="40% - Accent6 3 2 3" xfId="13439"/>
    <cellStyle name="40% - Accent6 3 2 3 2" xfId="32799"/>
    <cellStyle name="40% - Accent6 3 2 4" xfId="15474"/>
    <cellStyle name="40% - Accent6 3 2 4 2" xfId="42114"/>
    <cellStyle name="40% - Accent6 3 2 5" xfId="42115"/>
    <cellStyle name="40% - Accent6 3 2 6" xfId="9232"/>
    <cellStyle name="40% - Accent6 3 3" xfId="2555"/>
    <cellStyle name="40% - Accent6 3 3 2" xfId="5848"/>
    <cellStyle name="40% - Accent6 3 3 2 2" xfId="6420"/>
    <cellStyle name="40% - Accent6 3 3 2 2 2" xfId="32800"/>
    <cellStyle name="40% - Accent6 3 3 2 3" xfId="32801"/>
    <cellStyle name="40% - Accent6 3 3 2 4" xfId="32802"/>
    <cellStyle name="40% - Accent6 3 3 2 5" xfId="15475"/>
    <cellStyle name="40% - Accent6 3 3 3" xfId="6352"/>
    <cellStyle name="40% - Accent6 3 3 3 2" xfId="18009"/>
    <cellStyle name="40% - Accent6 3 3 4" xfId="9233"/>
    <cellStyle name="40% - Accent6 3 4" xfId="13440"/>
    <cellStyle name="40% - Accent6 3 4 2" xfId="32803"/>
    <cellStyle name="40% - Accent6 3 4 2 2" xfId="32804"/>
    <cellStyle name="40% - Accent6 3 4 3" xfId="32805"/>
    <cellStyle name="40% - Accent6 3 4 4" xfId="32806"/>
    <cellStyle name="40% - Accent6 3 5" xfId="32807"/>
    <cellStyle name="40% - Accent6 3 5 2" xfId="32808"/>
    <cellStyle name="40% - Accent6 3 6" xfId="32809"/>
    <cellStyle name="40% - Accent6 3 7" xfId="9231"/>
    <cellStyle name="40% - Accent6 4" xfId="2556"/>
    <cellStyle name="40% - Accent6 4 2" xfId="9235"/>
    <cellStyle name="40% - Accent6 4 2 2" xfId="9236"/>
    <cellStyle name="40% - Accent6 4 2 2 2" xfId="18900"/>
    <cellStyle name="40% - Accent6 4 2 3" xfId="9237"/>
    <cellStyle name="40% - Accent6 4 2 3 2" xfId="18901"/>
    <cellStyle name="40% - Accent6 4 2 4" xfId="9238"/>
    <cellStyle name="40% - Accent6 4 2 4 2" xfId="21832"/>
    <cellStyle name="40% - Accent6 4 2 5" xfId="18899"/>
    <cellStyle name="40% - Accent6 4 3" xfId="9239"/>
    <cellStyle name="40% - Accent6 4 3 2" xfId="9240"/>
    <cellStyle name="40% - Accent6 4 3 2 2" xfId="18903"/>
    <cellStyle name="40% - Accent6 4 3 3" xfId="18902"/>
    <cellStyle name="40% - Accent6 4 4" xfId="9241"/>
    <cellStyle name="40% - Accent6 4 4 2" xfId="18904"/>
    <cellStyle name="40% - Accent6 4 5" xfId="9242"/>
    <cellStyle name="40% - Accent6 4 5 2" xfId="18905"/>
    <cellStyle name="40% - Accent6 4 6" xfId="9243"/>
    <cellStyle name="40% - Accent6 4 6 2" xfId="21833"/>
    <cellStyle name="40% - Accent6 4 7" xfId="9244"/>
    <cellStyle name="40% - Accent6 4 7 2" xfId="21834"/>
    <cellStyle name="40% - Accent6 4 8" xfId="17317"/>
    <cellStyle name="40% - Accent6 4 9" xfId="9234"/>
    <cellStyle name="40% - Accent6 5" xfId="9245"/>
    <cellStyle name="40% - Accent6 5 2" xfId="13441"/>
    <cellStyle name="40% - Accent6 5 2 2" xfId="32810"/>
    <cellStyle name="40% - Accent6 5 2 2 2" xfId="32811"/>
    <cellStyle name="40% - Accent6 5 2 3" xfId="32812"/>
    <cellStyle name="40% - Accent6 5 3" xfId="15476"/>
    <cellStyle name="40% - Accent6 5 3 2" xfId="32813"/>
    <cellStyle name="40% - Accent6 5 3 3" xfId="32814"/>
    <cellStyle name="40% - Accent6 5 4" xfId="17891"/>
    <cellStyle name="40% - Accent6 5 4 2" xfId="32815"/>
    <cellStyle name="40% - Accent6 5 4 3" xfId="32816"/>
    <cellStyle name="40% - Accent6 5 5" xfId="42116"/>
    <cellStyle name="40% - Accent6 6" xfId="13442"/>
    <cellStyle name="40% - Accent6 6 2" xfId="13443"/>
    <cellStyle name="40% - Accent6 6 2 2" xfId="32817"/>
    <cellStyle name="40% - Accent6 6 2 2 2" xfId="32818"/>
    <cellStyle name="40% - Accent6 6 2 3" xfId="32819"/>
    <cellStyle name="40% - Accent6 6 2 4" xfId="32820"/>
    <cellStyle name="40% - Accent6 6 3" xfId="32821"/>
    <cellStyle name="40% - Accent6 6 3 2" xfId="32822"/>
    <cellStyle name="40% - Accent6 6 3 3" xfId="32823"/>
    <cellStyle name="40% - Accent6 6 4" xfId="32824"/>
    <cellStyle name="40% - Accent6 6 4 2" xfId="32825"/>
    <cellStyle name="40% - Accent6 6 5" xfId="32826"/>
    <cellStyle name="40% - Accent6 7" xfId="13444"/>
    <cellStyle name="40% - Accent6 7 2" xfId="32827"/>
    <cellStyle name="40% - Accent6 7 2 2" xfId="32828"/>
    <cellStyle name="40% - Accent6 7 2 2 2" xfId="32829"/>
    <cellStyle name="40% - Accent6 7 2 3" xfId="32830"/>
    <cellStyle name="40% - Accent6 7 2 4" xfId="32831"/>
    <cellStyle name="40% - Accent6 7 3" xfId="32832"/>
    <cellStyle name="40% - Accent6 7 3 2" xfId="32833"/>
    <cellStyle name="40% - Accent6 7 4" xfId="32834"/>
    <cellStyle name="40% - Accent6 7 4 2" xfId="32835"/>
    <cellStyle name="40% - Accent6 7 5" xfId="32836"/>
    <cellStyle name="40% - Accent6 8" xfId="13445"/>
    <cellStyle name="40% - Accent6 8 2" xfId="32837"/>
    <cellStyle name="40% - Accent6 8 2 2" xfId="32838"/>
    <cellStyle name="40% - Accent6 8 2 3" xfId="32839"/>
    <cellStyle name="40% - Accent6 8 3" xfId="32840"/>
    <cellStyle name="40% - Accent6 9" xfId="13446"/>
    <cellStyle name="40% - Accent6 9 2" xfId="32841"/>
    <cellStyle name="40% - Accent6 9 2 2" xfId="32842"/>
    <cellStyle name="40% - Accent6 9 2 3" xfId="32843"/>
    <cellStyle name="40% - Accent6 9 3" xfId="32844"/>
    <cellStyle name="40% - Accent6 9 4" xfId="32845"/>
    <cellStyle name="40% - Accent6 9 5" xfId="32846"/>
    <cellStyle name="60% - Accent1 2" xfId="2557"/>
    <cellStyle name="60% - Accent1 2 2" xfId="2558"/>
    <cellStyle name="60% - Accent1 2 2 2" xfId="2559"/>
    <cellStyle name="60% - Accent1 2 2 2 2" xfId="32847"/>
    <cellStyle name="60% - Accent1 2 2 2 2 2" xfId="32848"/>
    <cellStyle name="60% - Accent1 2 2 2 3" xfId="32849"/>
    <cellStyle name="60% - Accent1 2 2 3" xfId="32850"/>
    <cellStyle name="60% - Accent1 2 2 3 2" xfId="32851"/>
    <cellStyle name="60% - Accent1 2 2 4" xfId="32852"/>
    <cellStyle name="60% - Accent1 2 2 4 2" xfId="32853"/>
    <cellStyle name="60% - Accent1 2 2 5" xfId="9248"/>
    <cellStyle name="60% - Accent1 2 3" xfId="2560"/>
    <cellStyle name="60% - Accent1 2 3 2" xfId="15477"/>
    <cellStyle name="60% - Accent1 2 3 2 2" xfId="32854"/>
    <cellStyle name="60% - Accent1 2 3 2 2 2" xfId="32855"/>
    <cellStyle name="60% - Accent1 2 3 2 3" xfId="32856"/>
    <cellStyle name="60% - Accent1 2 3 2 4" xfId="32857"/>
    <cellStyle name="60% - Accent1 2 3 3" xfId="18010"/>
    <cellStyle name="60% - Accent1 2 3 3 2" xfId="32858"/>
    <cellStyle name="60% - Accent1 2 3 3 3" xfId="32859"/>
    <cellStyle name="60% - Accent1 2 3 4" xfId="32860"/>
    <cellStyle name="60% - Accent1 2 3 4 2" xfId="32861"/>
    <cellStyle name="60% - Accent1 2 3 5" xfId="32862"/>
    <cellStyle name="60% - Accent1 2 3 6" xfId="9249"/>
    <cellStyle name="60% - Accent1 2 4" xfId="13447"/>
    <cellStyle name="60% - Accent1 2 4 2" xfId="32863"/>
    <cellStyle name="60% - Accent1 2 4 2 2" xfId="32864"/>
    <cellStyle name="60% - Accent1 2 4 3" xfId="32865"/>
    <cellStyle name="60% - Accent1 2 4 4" xfId="32866"/>
    <cellStyle name="60% - Accent1 2 4 5" xfId="32867"/>
    <cellStyle name="60% - Accent1 2 5" xfId="17318"/>
    <cellStyle name="60% - Accent1 2 5 2" xfId="32868"/>
    <cellStyle name="60% - Accent1 2 6" xfId="32869"/>
    <cellStyle name="60% - Accent1 2 6 2" xfId="32870"/>
    <cellStyle name="60% - Accent1 2 7" xfId="9247"/>
    <cellStyle name="60% - Accent1 3" xfId="2561"/>
    <cellStyle name="60% - Accent1 3 2" xfId="9251"/>
    <cellStyle name="60% - Accent1 3 2 2" xfId="18906"/>
    <cellStyle name="60% - Accent1 3 2 2 2" xfId="32871"/>
    <cellStyle name="60% - Accent1 3 2 3" xfId="32872"/>
    <cellStyle name="60% - Accent1 3 3" xfId="9252"/>
    <cellStyle name="60% - Accent1 3 3 2" xfId="21835"/>
    <cellStyle name="60% - Accent1 3 4" xfId="9253"/>
    <cellStyle name="60% - Accent1 3 4 2" xfId="21836"/>
    <cellStyle name="60% - Accent1 3 5" xfId="17319"/>
    <cellStyle name="60% - Accent1 3 6" xfId="9250"/>
    <cellStyle name="60% - Accent1 4" xfId="13448"/>
    <cellStyle name="60% - Accent1 4 2" xfId="32873"/>
    <cellStyle name="60% - Accent1 4 2 2" xfId="32874"/>
    <cellStyle name="60% - Accent1 4 2 2 2" xfId="32875"/>
    <cellStyle name="60% - Accent1 4 2 3" xfId="32876"/>
    <cellStyle name="60% - Accent1 4 2 4" xfId="32877"/>
    <cellStyle name="60% - Accent1 4 3" xfId="32878"/>
    <cellStyle name="60% - Accent1 4 3 2" xfId="32879"/>
    <cellStyle name="60% - Accent1 4 4" xfId="32880"/>
    <cellStyle name="60% - Accent1 4 4 2" xfId="32881"/>
    <cellStyle name="60% - Accent1 5" xfId="13449"/>
    <cellStyle name="60% - Accent1 5 2" xfId="15478"/>
    <cellStyle name="60% - Accent1 5 2 2" xfId="32882"/>
    <cellStyle name="60% - Accent1 5 2 3" xfId="32883"/>
    <cellStyle name="60% - Accent1 5 3" xfId="42117"/>
    <cellStyle name="60% - Accent1 6" xfId="13450"/>
    <cellStyle name="60% - Accent1 6 2" xfId="32884"/>
    <cellStyle name="60% - Accent1 6 2 2" xfId="32885"/>
    <cellStyle name="60% - Accent1 6 3" xfId="32886"/>
    <cellStyle name="60% - Accent1 6 4" xfId="32887"/>
    <cellStyle name="60% - Accent1 6 5" xfId="32888"/>
    <cellStyle name="60% - Accent1 7" xfId="13451"/>
    <cellStyle name="60% - Accent1 7 2" xfId="32889"/>
    <cellStyle name="60% - Accent1 7 3" xfId="32890"/>
    <cellStyle name="60% - Accent1 8" xfId="32891"/>
    <cellStyle name="60% - Accent1 9" xfId="9246"/>
    <cellStyle name="60% - Accent2 2" xfId="2562"/>
    <cellStyle name="60% - Accent2 2 2" xfId="2563"/>
    <cellStyle name="60% - Accent2 2 2 2" xfId="2564"/>
    <cellStyle name="60% - Accent2 2 2 2 2" xfId="32892"/>
    <cellStyle name="60% - Accent2 2 2 2 2 2" xfId="32893"/>
    <cellStyle name="60% - Accent2 2 2 2 3" xfId="32894"/>
    <cellStyle name="60% - Accent2 2 2 3" xfId="32895"/>
    <cellStyle name="60% - Accent2 2 2 3 2" xfId="32896"/>
    <cellStyle name="60% - Accent2 2 2 4" xfId="32897"/>
    <cellStyle name="60% - Accent2 2 2 4 2" xfId="32898"/>
    <cellStyle name="60% - Accent2 2 2 5" xfId="9256"/>
    <cellStyle name="60% - Accent2 2 3" xfId="2565"/>
    <cellStyle name="60% - Accent2 2 3 2" xfId="15479"/>
    <cellStyle name="60% - Accent2 2 3 2 2" xfId="32899"/>
    <cellStyle name="60% - Accent2 2 3 2 2 2" xfId="32900"/>
    <cellStyle name="60% - Accent2 2 3 2 3" xfId="32901"/>
    <cellStyle name="60% - Accent2 2 3 2 4" xfId="32902"/>
    <cellStyle name="60% - Accent2 2 3 3" xfId="18011"/>
    <cellStyle name="60% - Accent2 2 3 3 2" xfId="32903"/>
    <cellStyle name="60% - Accent2 2 3 3 3" xfId="32904"/>
    <cellStyle name="60% - Accent2 2 3 4" xfId="32905"/>
    <cellStyle name="60% - Accent2 2 3 4 2" xfId="32906"/>
    <cellStyle name="60% - Accent2 2 3 5" xfId="32907"/>
    <cellStyle name="60% - Accent2 2 3 6" xfId="9257"/>
    <cellStyle name="60% - Accent2 2 4" xfId="13452"/>
    <cellStyle name="60% - Accent2 2 4 2" xfId="32908"/>
    <cellStyle name="60% - Accent2 2 4 2 2" xfId="32909"/>
    <cellStyle name="60% - Accent2 2 4 3" xfId="32910"/>
    <cellStyle name="60% - Accent2 2 4 4" xfId="32911"/>
    <cellStyle name="60% - Accent2 2 4 5" xfId="32912"/>
    <cellStyle name="60% - Accent2 2 5" xfId="17320"/>
    <cellStyle name="60% - Accent2 2 5 2" xfId="32913"/>
    <cellStyle name="60% - Accent2 2 6" xfId="32914"/>
    <cellStyle name="60% - Accent2 2 6 2" xfId="32915"/>
    <cellStyle name="60% - Accent2 2 7" xfId="9255"/>
    <cellStyle name="60% - Accent2 3" xfId="2566"/>
    <cellStyle name="60% - Accent2 3 2" xfId="9259"/>
    <cellStyle name="60% - Accent2 3 2 2" xfId="18907"/>
    <cellStyle name="60% - Accent2 3 2 2 2" xfId="32916"/>
    <cellStyle name="60% - Accent2 3 2 3" xfId="32917"/>
    <cellStyle name="60% - Accent2 3 3" xfId="9260"/>
    <cellStyle name="60% - Accent2 3 3 2" xfId="21837"/>
    <cellStyle name="60% - Accent2 3 4" xfId="9261"/>
    <cellStyle name="60% - Accent2 3 4 2" xfId="21838"/>
    <cellStyle name="60% - Accent2 3 5" xfId="17321"/>
    <cellStyle name="60% - Accent2 3 6" xfId="9258"/>
    <cellStyle name="60% - Accent2 4" xfId="13453"/>
    <cellStyle name="60% - Accent2 4 2" xfId="32918"/>
    <cellStyle name="60% - Accent2 4 2 2" xfId="32919"/>
    <cellStyle name="60% - Accent2 4 2 2 2" xfId="32920"/>
    <cellStyle name="60% - Accent2 4 2 3" xfId="32921"/>
    <cellStyle name="60% - Accent2 4 2 4" xfId="32922"/>
    <cellStyle name="60% - Accent2 4 3" xfId="32923"/>
    <cellStyle name="60% - Accent2 4 3 2" xfId="32924"/>
    <cellStyle name="60% - Accent2 4 4" xfId="32925"/>
    <cellStyle name="60% - Accent2 4 4 2" xfId="32926"/>
    <cellStyle name="60% - Accent2 5" xfId="13454"/>
    <cellStyle name="60% - Accent2 5 2" xfId="15480"/>
    <cellStyle name="60% - Accent2 5 2 2" xfId="32927"/>
    <cellStyle name="60% - Accent2 5 2 3" xfId="32928"/>
    <cellStyle name="60% - Accent2 5 3" xfId="42118"/>
    <cellStyle name="60% - Accent2 6" xfId="13455"/>
    <cellStyle name="60% - Accent2 6 2" xfId="32929"/>
    <cellStyle name="60% - Accent2 6 2 2" xfId="32930"/>
    <cellStyle name="60% - Accent2 6 3" xfId="32931"/>
    <cellStyle name="60% - Accent2 6 4" xfId="32932"/>
    <cellStyle name="60% - Accent2 6 5" xfId="32933"/>
    <cellStyle name="60% - Accent2 7" xfId="13456"/>
    <cellStyle name="60% - Accent2 7 2" xfId="32934"/>
    <cellStyle name="60% - Accent2 7 3" xfId="32935"/>
    <cellStyle name="60% - Accent2 8" xfId="32936"/>
    <cellStyle name="60% - Accent2 9" xfId="9254"/>
    <cellStyle name="60% - Accent3 2" xfId="2567"/>
    <cellStyle name="60% - Accent3 2 2" xfId="2568"/>
    <cellStyle name="60% - Accent3 2 2 2" xfId="2569"/>
    <cellStyle name="60% - Accent3 2 2 2 2" xfId="32937"/>
    <cellStyle name="60% - Accent3 2 2 2 2 2" xfId="32938"/>
    <cellStyle name="60% - Accent3 2 2 2 3" xfId="32939"/>
    <cellStyle name="60% - Accent3 2 2 3" xfId="32940"/>
    <cellStyle name="60% - Accent3 2 2 3 2" xfId="32941"/>
    <cellStyle name="60% - Accent3 2 2 4" xfId="32942"/>
    <cellStyle name="60% - Accent3 2 2 4 2" xfId="32943"/>
    <cellStyle name="60% - Accent3 2 2 5" xfId="9264"/>
    <cellStyle name="60% - Accent3 2 3" xfId="2570"/>
    <cellStyle name="60% - Accent3 2 3 2" xfId="15481"/>
    <cellStyle name="60% - Accent3 2 3 2 2" xfId="32944"/>
    <cellStyle name="60% - Accent3 2 3 2 2 2" xfId="32945"/>
    <cellStyle name="60% - Accent3 2 3 2 3" xfId="32946"/>
    <cellStyle name="60% - Accent3 2 3 2 4" xfId="32947"/>
    <cellStyle name="60% - Accent3 2 3 3" xfId="18012"/>
    <cellStyle name="60% - Accent3 2 3 3 2" xfId="32948"/>
    <cellStyle name="60% - Accent3 2 3 3 3" xfId="32949"/>
    <cellStyle name="60% - Accent3 2 3 4" xfId="32950"/>
    <cellStyle name="60% - Accent3 2 3 4 2" xfId="32951"/>
    <cellStyle name="60% - Accent3 2 3 5" xfId="32952"/>
    <cellStyle name="60% - Accent3 2 3 6" xfId="9265"/>
    <cellStyle name="60% - Accent3 2 4" xfId="13457"/>
    <cellStyle name="60% - Accent3 2 4 2" xfId="32953"/>
    <cellStyle name="60% - Accent3 2 4 2 2" xfId="32954"/>
    <cellStyle name="60% - Accent3 2 4 3" xfId="32955"/>
    <cellStyle name="60% - Accent3 2 4 4" xfId="32956"/>
    <cellStyle name="60% - Accent3 2 4 5" xfId="32957"/>
    <cellStyle name="60% - Accent3 2 5" xfId="17322"/>
    <cellStyle name="60% - Accent3 2 5 2" xfId="32958"/>
    <cellStyle name="60% - Accent3 2 6" xfId="32959"/>
    <cellStyle name="60% - Accent3 2 6 2" xfId="32960"/>
    <cellStyle name="60% - Accent3 2 7" xfId="9263"/>
    <cellStyle name="60% - Accent3 3" xfId="2571"/>
    <cellStyle name="60% - Accent3 3 2" xfId="9267"/>
    <cellStyle name="60% - Accent3 3 2 2" xfId="18908"/>
    <cellStyle name="60% - Accent3 3 2 2 2" xfId="32961"/>
    <cellStyle name="60% - Accent3 3 2 3" xfId="32962"/>
    <cellStyle name="60% - Accent3 3 3" xfId="9268"/>
    <cellStyle name="60% - Accent3 3 3 2" xfId="21839"/>
    <cellStyle name="60% - Accent3 3 4" xfId="9269"/>
    <cellStyle name="60% - Accent3 3 4 2" xfId="21840"/>
    <cellStyle name="60% - Accent3 3 5" xfId="17323"/>
    <cellStyle name="60% - Accent3 3 6" xfId="9266"/>
    <cellStyle name="60% - Accent3 4" xfId="13458"/>
    <cellStyle name="60% - Accent3 4 2" xfId="32963"/>
    <cellStyle name="60% - Accent3 4 2 2" xfId="32964"/>
    <cellStyle name="60% - Accent3 4 2 2 2" xfId="32965"/>
    <cellStyle name="60% - Accent3 4 2 3" xfId="32966"/>
    <cellStyle name="60% - Accent3 4 2 4" xfId="32967"/>
    <cellStyle name="60% - Accent3 4 3" xfId="32968"/>
    <cellStyle name="60% - Accent3 4 3 2" xfId="32969"/>
    <cellStyle name="60% - Accent3 4 4" xfId="32970"/>
    <cellStyle name="60% - Accent3 4 4 2" xfId="32971"/>
    <cellStyle name="60% - Accent3 5" xfId="13459"/>
    <cellStyle name="60% - Accent3 5 2" xfId="15482"/>
    <cellStyle name="60% - Accent3 5 2 2" xfId="32972"/>
    <cellStyle name="60% - Accent3 5 2 3" xfId="32973"/>
    <cellStyle name="60% - Accent3 5 3" xfId="42119"/>
    <cellStyle name="60% - Accent3 6" xfId="13460"/>
    <cellStyle name="60% - Accent3 6 2" xfId="32974"/>
    <cellStyle name="60% - Accent3 6 2 2" xfId="32975"/>
    <cellStyle name="60% - Accent3 6 3" xfId="32976"/>
    <cellStyle name="60% - Accent3 6 4" xfId="32977"/>
    <cellStyle name="60% - Accent3 6 5" xfId="32978"/>
    <cellStyle name="60% - Accent3 7" xfId="13461"/>
    <cellStyle name="60% - Accent3 7 2" xfId="32979"/>
    <cellStyle name="60% - Accent3 7 3" xfId="32980"/>
    <cellStyle name="60% - Accent3 8" xfId="32981"/>
    <cellStyle name="60% - Accent3 9" xfId="9262"/>
    <cellStyle name="60% - Accent4 2" xfId="2572"/>
    <cellStyle name="60% - Accent4 2 2" xfId="2573"/>
    <cellStyle name="60% - Accent4 2 2 2" xfId="2574"/>
    <cellStyle name="60% - Accent4 2 2 2 2" xfId="32982"/>
    <cellStyle name="60% - Accent4 2 2 2 2 2" xfId="32983"/>
    <cellStyle name="60% - Accent4 2 2 2 3" xfId="32984"/>
    <cellStyle name="60% - Accent4 2 2 3" xfId="32985"/>
    <cellStyle name="60% - Accent4 2 2 3 2" xfId="32986"/>
    <cellStyle name="60% - Accent4 2 2 4" xfId="32987"/>
    <cellStyle name="60% - Accent4 2 2 4 2" xfId="32988"/>
    <cellStyle name="60% - Accent4 2 2 5" xfId="9272"/>
    <cellStyle name="60% - Accent4 2 3" xfId="2575"/>
    <cellStyle name="60% - Accent4 2 3 2" xfId="15483"/>
    <cellStyle name="60% - Accent4 2 3 2 2" xfId="32989"/>
    <cellStyle name="60% - Accent4 2 3 2 2 2" xfId="32990"/>
    <cellStyle name="60% - Accent4 2 3 2 3" xfId="32991"/>
    <cellStyle name="60% - Accent4 2 3 2 4" xfId="32992"/>
    <cellStyle name="60% - Accent4 2 3 3" xfId="18013"/>
    <cellStyle name="60% - Accent4 2 3 3 2" xfId="32993"/>
    <cellStyle name="60% - Accent4 2 3 3 3" xfId="32994"/>
    <cellStyle name="60% - Accent4 2 3 4" xfId="32995"/>
    <cellStyle name="60% - Accent4 2 3 4 2" xfId="32996"/>
    <cellStyle name="60% - Accent4 2 3 5" xfId="32997"/>
    <cellStyle name="60% - Accent4 2 3 6" xfId="9273"/>
    <cellStyle name="60% - Accent4 2 4" xfId="13462"/>
    <cellStyle name="60% - Accent4 2 4 2" xfId="32998"/>
    <cellStyle name="60% - Accent4 2 4 2 2" xfId="32999"/>
    <cellStyle name="60% - Accent4 2 4 3" xfId="33000"/>
    <cellStyle name="60% - Accent4 2 4 4" xfId="33001"/>
    <cellStyle name="60% - Accent4 2 4 5" xfId="33002"/>
    <cellStyle name="60% - Accent4 2 5" xfId="17324"/>
    <cellStyle name="60% - Accent4 2 5 2" xfId="33003"/>
    <cellStyle name="60% - Accent4 2 6" xfId="33004"/>
    <cellStyle name="60% - Accent4 2 6 2" xfId="33005"/>
    <cellStyle name="60% - Accent4 2 7" xfId="9271"/>
    <cellStyle name="60% - Accent4 3" xfId="2576"/>
    <cellStyle name="60% - Accent4 3 2" xfId="9275"/>
    <cellStyle name="60% - Accent4 3 2 2" xfId="18909"/>
    <cellStyle name="60% - Accent4 3 2 2 2" xfId="33006"/>
    <cellStyle name="60% - Accent4 3 2 3" xfId="33007"/>
    <cellStyle name="60% - Accent4 3 3" xfId="9276"/>
    <cellStyle name="60% - Accent4 3 3 2" xfId="21841"/>
    <cellStyle name="60% - Accent4 3 4" xfId="9277"/>
    <cellStyle name="60% - Accent4 3 4 2" xfId="21842"/>
    <cellStyle name="60% - Accent4 3 5" xfId="17325"/>
    <cellStyle name="60% - Accent4 3 6" xfId="9274"/>
    <cellStyle name="60% - Accent4 4" xfId="13463"/>
    <cellStyle name="60% - Accent4 4 2" xfId="33008"/>
    <cellStyle name="60% - Accent4 4 2 2" xfId="33009"/>
    <cellStyle name="60% - Accent4 4 2 2 2" xfId="33010"/>
    <cellStyle name="60% - Accent4 4 2 3" xfId="33011"/>
    <cellStyle name="60% - Accent4 4 2 4" xfId="33012"/>
    <cellStyle name="60% - Accent4 4 3" xfId="33013"/>
    <cellStyle name="60% - Accent4 4 3 2" xfId="33014"/>
    <cellStyle name="60% - Accent4 4 4" xfId="33015"/>
    <cellStyle name="60% - Accent4 4 4 2" xfId="33016"/>
    <cellStyle name="60% - Accent4 5" xfId="13464"/>
    <cellStyle name="60% - Accent4 5 2" xfId="15484"/>
    <cellStyle name="60% - Accent4 5 2 2" xfId="33017"/>
    <cellStyle name="60% - Accent4 5 2 3" xfId="33018"/>
    <cellStyle name="60% - Accent4 5 3" xfId="42120"/>
    <cellStyle name="60% - Accent4 6" xfId="13465"/>
    <cellStyle name="60% - Accent4 6 2" xfId="33019"/>
    <cellStyle name="60% - Accent4 6 2 2" xfId="33020"/>
    <cellStyle name="60% - Accent4 6 3" xfId="33021"/>
    <cellStyle name="60% - Accent4 6 4" xfId="33022"/>
    <cellStyle name="60% - Accent4 6 5" xfId="33023"/>
    <cellStyle name="60% - Accent4 7" xfId="13466"/>
    <cellStyle name="60% - Accent4 7 2" xfId="33024"/>
    <cellStyle name="60% - Accent4 7 3" xfId="33025"/>
    <cellStyle name="60% - Accent4 8" xfId="33026"/>
    <cellStyle name="60% - Accent4 9" xfId="9270"/>
    <cellStyle name="60% - Accent5 2" xfId="2577"/>
    <cellStyle name="60% - Accent5 2 2" xfId="2578"/>
    <cellStyle name="60% - Accent5 2 2 2" xfId="2579"/>
    <cellStyle name="60% - Accent5 2 2 2 2" xfId="33027"/>
    <cellStyle name="60% - Accent5 2 2 2 2 2" xfId="33028"/>
    <cellStyle name="60% - Accent5 2 2 2 3" xfId="33029"/>
    <cellStyle name="60% - Accent5 2 2 3" xfId="33030"/>
    <cellStyle name="60% - Accent5 2 2 3 2" xfId="33031"/>
    <cellStyle name="60% - Accent5 2 2 4" xfId="33032"/>
    <cellStyle name="60% - Accent5 2 2 4 2" xfId="33033"/>
    <cellStyle name="60% - Accent5 2 2 5" xfId="9280"/>
    <cellStyle name="60% - Accent5 2 3" xfId="2580"/>
    <cellStyle name="60% - Accent5 2 3 2" xfId="15485"/>
    <cellStyle name="60% - Accent5 2 3 2 2" xfId="33034"/>
    <cellStyle name="60% - Accent5 2 3 2 2 2" xfId="33035"/>
    <cellStyle name="60% - Accent5 2 3 2 3" xfId="33036"/>
    <cellStyle name="60% - Accent5 2 3 2 4" xfId="33037"/>
    <cellStyle name="60% - Accent5 2 3 3" xfId="18014"/>
    <cellStyle name="60% - Accent5 2 3 3 2" xfId="33038"/>
    <cellStyle name="60% - Accent5 2 3 3 3" xfId="33039"/>
    <cellStyle name="60% - Accent5 2 3 4" xfId="33040"/>
    <cellStyle name="60% - Accent5 2 3 4 2" xfId="33041"/>
    <cellStyle name="60% - Accent5 2 3 5" xfId="33042"/>
    <cellStyle name="60% - Accent5 2 3 6" xfId="9281"/>
    <cellStyle name="60% - Accent5 2 4" xfId="13467"/>
    <cellStyle name="60% - Accent5 2 4 2" xfId="33043"/>
    <cellStyle name="60% - Accent5 2 4 2 2" xfId="33044"/>
    <cellStyle name="60% - Accent5 2 4 3" xfId="33045"/>
    <cellStyle name="60% - Accent5 2 4 4" xfId="33046"/>
    <cellStyle name="60% - Accent5 2 4 5" xfId="33047"/>
    <cellStyle name="60% - Accent5 2 5" xfId="17326"/>
    <cellStyle name="60% - Accent5 2 5 2" xfId="33048"/>
    <cellStyle name="60% - Accent5 2 6" xfId="33049"/>
    <cellStyle name="60% - Accent5 2 6 2" xfId="33050"/>
    <cellStyle name="60% - Accent5 2 7" xfId="9279"/>
    <cellStyle name="60% - Accent5 3" xfId="2581"/>
    <cellStyle name="60% - Accent5 3 2" xfId="9283"/>
    <cellStyle name="60% - Accent5 3 2 2" xfId="18910"/>
    <cellStyle name="60% - Accent5 3 2 2 2" xfId="33051"/>
    <cellStyle name="60% - Accent5 3 2 3" xfId="33052"/>
    <cellStyle name="60% - Accent5 3 3" xfId="9284"/>
    <cellStyle name="60% - Accent5 3 3 2" xfId="21843"/>
    <cellStyle name="60% - Accent5 3 4" xfId="9285"/>
    <cellStyle name="60% - Accent5 3 4 2" xfId="21844"/>
    <cellStyle name="60% - Accent5 3 5" xfId="17327"/>
    <cellStyle name="60% - Accent5 3 6" xfId="9282"/>
    <cellStyle name="60% - Accent5 4" xfId="13468"/>
    <cellStyle name="60% - Accent5 4 2" xfId="33053"/>
    <cellStyle name="60% - Accent5 4 2 2" xfId="33054"/>
    <cellStyle name="60% - Accent5 4 2 2 2" xfId="33055"/>
    <cellStyle name="60% - Accent5 4 2 3" xfId="33056"/>
    <cellStyle name="60% - Accent5 4 2 4" xfId="33057"/>
    <cellStyle name="60% - Accent5 4 3" xfId="33058"/>
    <cellStyle name="60% - Accent5 4 3 2" xfId="33059"/>
    <cellStyle name="60% - Accent5 4 4" xfId="33060"/>
    <cellStyle name="60% - Accent5 4 4 2" xfId="33061"/>
    <cellStyle name="60% - Accent5 5" xfId="13469"/>
    <cellStyle name="60% - Accent5 5 2" xfId="15486"/>
    <cellStyle name="60% - Accent5 5 2 2" xfId="33062"/>
    <cellStyle name="60% - Accent5 5 2 3" xfId="33063"/>
    <cellStyle name="60% - Accent5 5 3" xfId="42121"/>
    <cellStyle name="60% - Accent5 6" xfId="13470"/>
    <cellStyle name="60% - Accent5 6 2" xfId="33064"/>
    <cellStyle name="60% - Accent5 6 2 2" xfId="33065"/>
    <cellStyle name="60% - Accent5 6 3" xfId="33066"/>
    <cellStyle name="60% - Accent5 6 4" xfId="33067"/>
    <cellStyle name="60% - Accent5 6 5" xfId="33068"/>
    <cellStyle name="60% - Accent5 7" xfId="13471"/>
    <cellStyle name="60% - Accent5 7 2" xfId="33069"/>
    <cellStyle name="60% - Accent5 7 3" xfId="33070"/>
    <cellStyle name="60% - Accent5 8" xfId="33071"/>
    <cellStyle name="60% - Accent5 9" xfId="9278"/>
    <cellStyle name="60% - Accent6 2" xfId="2582"/>
    <cellStyle name="60% - Accent6 2 2" xfId="2583"/>
    <cellStyle name="60% - Accent6 2 2 2" xfId="2584"/>
    <cellStyle name="60% - Accent6 2 2 2 2" xfId="33072"/>
    <cellStyle name="60% - Accent6 2 2 2 2 2" xfId="33073"/>
    <cellStyle name="60% - Accent6 2 2 2 3" xfId="33074"/>
    <cellStyle name="60% - Accent6 2 2 3" xfId="33075"/>
    <cellStyle name="60% - Accent6 2 2 3 2" xfId="33076"/>
    <cellStyle name="60% - Accent6 2 2 4" xfId="33077"/>
    <cellStyle name="60% - Accent6 2 2 4 2" xfId="33078"/>
    <cellStyle name="60% - Accent6 2 2 5" xfId="9288"/>
    <cellStyle name="60% - Accent6 2 3" xfId="2585"/>
    <cellStyle name="60% - Accent6 2 3 2" xfId="15487"/>
    <cellStyle name="60% - Accent6 2 3 2 2" xfId="33079"/>
    <cellStyle name="60% - Accent6 2 3 2 2 2" xfId="33080"/>
    <cellStyle name="60% - Accent6 2 3 2 3" xfId="33081"/>
    <cellStyle name="60% - Accent6 2 3 2 4" xfId="33082"/>
    <cellStyle name="60% - Accent6 2 3 3" xfId="18015"/>
    <cellStyle name="60% - Accent6 2 3 3 2" xfId="33083"/>
    <cellStyle name="60% - Accent6 2 3 3 3" xfId="33084"/>
    <cellStyle name="60% - Accent6 2 3 4" xfId="33085"/>
    <cellStyle name="60% - Accent6 2 3 4 2" xfId="33086"/>
    <cellStyle name="60% - Accent6 2 3 5" xfId="33087"/>
    <cellStyle name="60% - Accent6 2 3 6" xfId="9289"/>
    <cellStyle name="60% - Accent6 2 4" xfId="13472"/>
    <cellStyle name="60% - Accent6 2 4 2" xfId="33088"/>
    <cellStyle name="60% - Accent6 2 4 2 2" xfId="33089"/>
    <cellStyle name="60% - Accent6 2 4 3" xfId="33090"/>
    <cellStyle name="60% - Accent6 2 4 4" xfId="33091"/>
    <cellStyle name="60% - Accent6 2 4 5" xfId="33092"/>
    <cellStyle name="60% - Accent6 2 5" xfId="17328"/>
    <cellStyle name="60% - Accent6 2 5 2" xfId="33093"/>
    <cellStyle name="60% - Accent6 2 6" xfId="33094"/>
    <cellStyle name="60% - Accent6 2 6 2" xfId="33095"/>
    <cellStyle name="60% - Accent6 2 7" xfId="9287"/>
    <cellStyle name="60% - Accent6 3" xfId="2586"/>
    <cellStyle name="60% - Accent6 3 2" xfId="9291"/>
    <cellStyle name="60% - Accent6 3 2 2" xfId="18911"/>
    <cellStyle name="60% - Accent6 3 2 2 2" xfId="33096"/>
    <cellStyle name="60% - Accent6 3 2 3" xfId="33097"/>
    <cellStyle name="60% - Accent6 3 3" xfId="9292"/>
    <cellStyle name="60% - Accent6 3 3 2" xfId="21845"/>
    <cellStyle name="60% - Accent6 3 4" xfId="9293"/>
    <cellStyle name="60% - Accent6 3 4 2" xfId="21846"/>
    <cellStyle name="60% - Accent6 3 5" xfId="17329"/>
    <cellStyle name="60% - Accent6 3 6" xfId="9290"/>
    <cellStyle name="60% - Accent6 4" xfId="13473"/>
    <cellStyle name="60% - Accent6 4 2" xfId="33098"/>
    <cellStyle name="60% - Accent6 4 2 2" xfId="33099"/>
    <cellStyle name="60% - Accent6 4 2 2 2" xfId="33100"/>
    <cellStyle name="60% - Accent6 4 2 3" xfId="33101"/>
    <cellStyle name="60% - Accent6 4 2 4" xfId="33102"/>
    <cellStyle name="60% - Accent6 4 3" xfId="33103"/>
    <cellStyle name="60% - Accent6 4 3 2" xfId="33104"/>
    <cellStyle name="60% - Accent6 4 4" xfId="33105"/>
    <cellStyle name="60% - Accent6 4 4 2" xfId="33106"/>
    <cellStyle name="60% - Accent6 5" xfId="13474"/>
    <cellStyle name="60% - Accent6 5 2" xfId="15488"/>
    <cellStyle name="60% - Accent6 5 2 2" xfId="33107"/>
    <cellStyle name="60% - Accent6 5 2 3" xfId="33108"/>
    <cellStyle name="60% - Accent6 5 3" xfId="42122"/>
    <cellStyle name="60% - Accent6 6" xfId="13475"/>
    <cellStyle name="60% - Accent6 6 2" xfId="33109"/>
    <cellStyle name="60% - Accent6 6 2 2" xfId="33110"/>
    <cellStyle name="60% - Accent6 6 3" xfId="33111"/>
    <cellStyle name="60% - Accent6 6 4" xfId="33112"/>
    <cellStyle name="60% - Accent6 6 5" xfId="33113"/>
    <cellStyle name="60% - Accent6 7" xfId="13476"/>
    <cellStyle name="60% - Accent6 7 2" xfId="33114"/>
    <cellStyle name="60% - Accent6 7 3" xfId="33115"/>
    <cellStyle name="60% - Accent6 8" xfId="33116"/>
    <cellStyle name="60% - Accent6 9" xfId="9286"/>
    <cellStyle name="Accent1 - 20%" xfId="2587"/>
    <cellStyle name="Accent1 - 20% 2" xfId="3348"/>
    <cellStyle name="Accent1 - 20% 2 2" xfId="42348"/>
    <cellStyle name="Accent1 - 20% 3" xfId="9295"/>
    <cellStyle name="Accent1 - 40%" xfId="2588"/>
    <cellStyle name="Accent1 - 40% 2" xfId="3349"/>
    <cellStyle name="Accent1 - 40% 2 2" xfId="42349"/>
    <cellStyle name="Accent1 - 40% 3" xfId="9296"/>
    <cellStyle name="Accent1 - 60%" xfId="2589"/>
    <cellStyle name="Accent1 - 60% 2" xfId="17331"/>
    <cellStyle name="Accent1 - 60% 3" xfId="9297"/>
    <cellStyle name="Accent1 10" xfId="17330"/>
    <cellStyle name="Accent1 10 2" xfId="33117"/>
    <cellStyle name="Accent1 11" xfId="22330"/>
    <cellStyle name="Accent1 11 2" xfId="33118"/>
    <cellStyle name="Accent1 12" xfId="33119"/>
    <cellStyle name="Accent1 12 2" xfId="33120"/>
    <cellStyle name="Accent1 13" xfId="33121"/>
    <cellStyle name="Accent1 13 2" xfId="33122"/>
    <cellStyle name="Accent1 14" xfId="33123"/>
    <cellStyle name="Accent1 14 2" xfId="33124"/>
    <cellStyle name="Accent1 15" xfId="33125"/>
    <cellStyle name="Accent1 15 2" xfId="33126"/>
    <cellStyle name="Accent1 16" xfId="33127"/>
    <cellStyle name="Accent1 16 2" xfId="33128"/>
    <cellStyle name="Accent1 17" xfId="33129"/>
    <cellStyle name="Accent1 17 2" xfId="33130"/>
    <cellStyle name="Accent1 18" xfId="33131"/>
    <cellStyle name="Accent1 18 2" xfId="33132"/>
    <cellStyle name="Accent1 19" xfId="33133"/>
    <cellStyle name="Accent1 2" xfId="2590"/>
    <cellStyle name="Accent1 2 2" xfId="2591"/>
    <cellStyle name="Accent1 2 2 2" xfId="2592"/>
    <cellStyle name="Accent1 2 2 2 2" xfId="33134"/>
    <cellStyle name="Accent1 2 2 2 2 2" xfId="33135"/>
    <cellStyle name="Accent1 2 2 2 3" xfId="33136"/>
    <cellStyle name="Accent1 2 2 3" xfId="33137"/>
    <cellStyle name="Accent1 2 2 3 2" xfId="33138"/>
    <cellStyle name="Accent1 2 2 4" xfId="33139"/>
    <cellStyle name="Accent1 2 2 4 2" xfId="33140"/>
    <cellStyle name="Accent1 2 2 5" xfId="9299"/>
    <cellStyle name="Accent1 2 3" xfId="2593"/>
    <cellStyle name="Accent1 2 3 2" xfId="15489"/>
    <cellStyle name="Accent1 2 3 2 2" xfId="33141"/>
    <cellStyle name="Accent1 2 3 2 2 2" xfId="33142"/>
    <cellStyle name="Accent1 2 3 2 3" xfId="33143"/>
    <cellStyle name="Accent1 2 3 2 4" xfId="33144"/>
    <cellStyle name="Accent1 2 3 3" xfId="18016"/>
    <cellStyle name="Accent1 2 3 3 2" xfId="33145"/>
    <cellStyle name="Accent1 2 3 3 3" xfId="33146"/>
    <cellStyle name="Accent1 2 3 4" xfId="33147"/>
    <cellStyle name="Accent1 2 3 4 2" xfId="33148"/>
    <cellStyle name="Accent1 2 3 5" xfId="33149"/>
    <cellStyle name="Accent1 2 3 6" xfId="9300"/>
    <cellStyle name="Accent1 2 4" xfId="13477"/>
    <cellStyle name="Accent1 2 4 2" xfId="33150"/>
    <cellStyle name="Accent1 2 4 2 2" xfId="33151"/>
    <cellStyle name="Accent1 2 4 3" xfId="33152"/>
    <cellStyle name="Accent1 2 4 4" xfId="33153"/>
    <cellStyle name="Accent1 2 4 5" xfId="33154"/>
    <cellStyle name="Accent1 2 5" xfId="17332"/>
    <cellStyle name="Accent1 2 5 2" xfId="33155"/>
    <cellStyle name="Accent1 2 6" xfId="33156"/>
    <cellStyle name="Accent1 2 6 2" xfId="33157"/>
    <cellStyle name="Accent1 2 7" xfId="9298"/>
    <cellStyle name="Accent1 20" xfId="33158"/>
    <cellStyle name="Accent1 21" xfId="33159"/>
    <cellStyle name="Accent1 22" xfId="33160"/>
    <cellStyle name="Accent1 23" xfId="33161"/>
    <cellStyle name="Accent1 24" xfId="9294"/>
    <cellStyle name="Accent1 3" xfId="2594"/>
    <cellStyle name="Accent1 3 2" xfId="9302"/>
    <cellStyle name="Accent1 3 2 2" xfId="18912"/>
    <cellStyle name="Accent1 3 2 2 2" xfId="33162"/>
    <cellStyle name="Accent1 3 2 3" xfId="33163"/>
    <cellStyle name="Accent1 3 3" xfId="9303"/>
    <cellStyle name="Accent1 3 3 2" xfId="21847"/>
    <cellStyle name="Accent1 3 4" xfId="9304"/>
    <cellStyle name="Accent1 3 4 2" xfId="21848"/>
    <cellStyle name="Accent1 3 5" xfId="17333"/>
    <cellStyle name="Accent1 3 6" xfId="9301"/>
    <cellStyle name="Accent1 4" xfId="9305"/>
    <cellStyle name="Accent1 4 2" xfId="9306"/>
    <cellStyle name="Accent1 4 2 2" xfId="18914"/>
    <cellStyle name="Accent1 4 2 2 2" xfId="33164"/>
    <cellStyle name="Accent1 4 2 3" xfId="33165"/>
    <cellStyle name="Accent1 4 2 4" xfId="33166"/>
    <cellStyle name="Accent1 4 3" xfId="9307"/>
    <cellStyle name="Accent1 4 3 2" xfId="21849"/>
    <cellStyle name="Accent1 4 4" xfId="18913"/>
    <cellStyle name="Accent1 4 4 2" xfId="33167"/>
    <cellStyle name="Accent1 5" xfId="9308"/>
    <cellStyle name="Accent1 5 2" xfId="15490"/>
    <cellStyle name="Accent1 5 2 2" xfId="33168"/>
    <cellStyle name="Accent1 5 2 3" xfId="33169"/>
    <cellStyle name="Accent1 5 3" xfId="18915"/>
    <cellStyle name="Accent1 6" xfId="9309"/>
    <cellStyle name="Accent1 6 2" xfId="18916"/>
    <cellStyle name="Accent1 6 2 2" xfId="33170"/>
    <cellStyle name="Accent1 6 3" xfId="33171"/>
    <cellStyle name="Accent1 6 4" xfId="33172"/>
    <cellStyle name="Accent1 6 5" xfId="33173"/>
    <cellStyle name="Accent1 7" xfId="9310"/>
    <cellStyle name="Accent1 7 2" xfId="18917"/>
    <cellStyle name="Accent1 7 3" xfId="33174"/>
    <cellStyle name="Accent1 8" xfId="9311"/>
    <cellStyle name="Accent1 8 2" xfId="18918"/>
    <cellStyle name="Accent1 8 3" xfId="33175"/>
    <cellStyle name="Accent1 9" xfId="9312"/>
    <cellStyle name="Accent1 9 2" xfId="18919"/>
    <cellStyle name="Accent1 9 3" xfId="33176"/>
    <cellStyle name="Accent2 - 20%" xfId="2595"/>
    <cellStyle name="Accent2 - 20% 2" xfId="3350"/>
    <cellStyle name="Accent2 - 20% 2 2" xfId="42350"/>
    <cellStyle name="Accent2 - 20% 3" xfId="9314"/>
    <cellStyle name="Accent2 - 40%" xfId="2596"/>
    <cellStyle name="Accent2 - 40% 2" xfId="3351"/>
    <cellStyle name="Accent2 - 40% 2 2" xfId="42351"/>
    <cellStyle name="Accent2 - 40% 3" xfId="9315"/>
    <cellStyle name="Accent2 - 60%" xfId="2597"/>
    <cellStyle name="Accent2 - 60% 2" xfId="17335"/>
    <cellStyle name="Accent2 - 60% 3" xfId="9316"/>
    <cellStyle name="Accent2 10" xfId="17334"/>
    <cellStyle name="Accent2 10 2" xfId="33177"/>
    <cellStyle name="Accent2 11" xfId="22331"/>
    <cellStyle name="Accent2 11 2" xfId="33178"/>
    <cellStyle name="Accent2 12" xfId="33179"/>
    <cellStyle name="Accent2 12 2" xfId="33180"/>
    <cellStyle name="Accent2 13" xfId="33181"/>
    <cellStyle name="Accent2 13 2" xfId="33182"/>
    <cellStyle name="Accent2 14" xfId="33183"/>
    <cellStyle name="Accent2 14 2" xfId="33184"/>
    <cellStyle name="Accent2 15" xfId="33185"/>
    <cellStyle name="Accent2 15 2" xfId="33186"/>
    <cellStyle name="Accent2 16" xfId="33187"/>
    <cellStyle name="Accent2 16 2" xfId="33188"/>
    <cellStyle name="Accent2 17" xfId="33189"/>
    <cellStyle name="Accent2 17 2" xfId="33190"/>
    <cellStyle name="Accent2 18" xfId="33191"/>
    <cellStyle name="Accent2 18 2" xfId="33192"/>
    <cellStyle name="Accent2 19" xfId="33193"/>
    <cellStyle name="Accent2 2" xfId="2598"/>
    <cellStyle name="Accent2 2 2" xfId="2599"/>
    <cellStyle name="Accent2 2 2 2" xfId="2600"/>
    <cellStyle name="Accent2 2 2 2 2" xfId="33194"/>
    <cellStyle name="Accent2 2 2 2 2 2" xfId="33195"/>
    <cellStyle name="Accent2 2 2 2 3" xfId="33196"/>
    <cellStyle name="Accent2 2 2 3" xfId="33197"/>
    <cellStyle name="Accent2 2 2 3 2" xfId="33198"/>
    <cellStyle name="Accent2 2 2 4" xfId="33199"/>
    <cellStyle name="Accent2 2 2 4 2" xfId="33200"/>
    <cellStyle name="Accent2 2 2 5" xfId="9318"/>
    <cellStyle name="Accent2 2 3" xfId="2601"/>
    <cellStyle name="Accent2 2 3 2" xfId="15491"/>
    <cellStyle name="Accent2 2 3 2 2" xfId="33201"/>
    <cellStyle name="Accent2 2 3 2 2 2" xfId="33202"/>
    <cellStyle name="Accent2 2 3 2 3" xfId="33203"/>
    <cellStyle name="Accent2 2 3 2 4" xfId="33204"/>
    <cellStyle name="Accent2 2 3 3" xfId="18017"/>
    <cellStyle name="Accent2 2 3 3 2" xfId="33205"/>
    <cellStyle name="Accent2 2 3 3 3" xfId="33206"/>
    <cellStyle name="Accent2 2 3 4" xfId="33207"/>
    <cellStyle name="Accent2 2 3 4 2" xfId="33208"/>
    <cellStyle name="Accent2 2 3 5" xfId="33209"/>
    <cellStyle name="Accent2 2 3 6" xfId="9319"/>
    <cellStyle name="Accent2 2 4" xfId="13478"/>
    <cellStyle name="Accent2 2 4 2" xfId="33210"/>
    <cellStyle name="Accent2 2 4 2 2" xfId="33211"/>
    <cellStyle name="Accent2 2 4 3" xfId="33212"/>
    <cellStyle name="Accent2 2 4 4" xfId="33213"/>
    <cellStyle name="Accent2 2 4 5" xfId="33214"/>
    <cellStyle name="Accent2 2 5" xfId="17336"/>
    <cellStyle name="Accent2 2 5 2" xfId="33215"/>
    <cellStyle name="Accent2 2 6" xfId="33216"/>
    <cellStyle name="Accent2 2 6 2" xfId="33217"/>
    <cellStyle name="Accent2 2 7" xfId="9317"/>
    <cellStyle name="Accent2 20" xfId="33218"/>
    <cellStyle name="Accent2 21" xfId="33219"/>
    <cellStyle name="Accent2 22" xfId="33220"/>
    <cellStyle name="Accent2 23" xfId="33221"/>
    <cellStyle name="Accent2 24" xfId="9313"/>
    <cellStyle name="Accent2 3" xfId="2602"/>
    <cellStyle name="Accent2 3 2" xfId="9321"/>
    <cellStyle name="Accent2 3 2 2" xfId="18920"/>
    <cellStyle name="Accent2 3 2 2 2" xfId="33222"/>
    <cellStyle name="Accent2 3 2 3" xfId="33223"/>
    <cellStyle name="Accent2 3 3" xfId="9322"/>
    <cellStyle name="Accent2 3 3 2" xfId="21850"/>
    <cellStyle name="Accent2 3 4" xfId="9323"/>
    <cellStyle name="Accent2 3 4 2" xfId="21851"/>
    <cellStyle name="Accent2 3 5" xfId="17337"/>
    <cellStyle name="Accent2 3 6" xfId="9320"/>
    <cellStyle name="Accent2 4" xfId="9324"/>
    <cellStyle name="Accent2 4 2" xfId="9325"/>
    <cellStyle name="Accent2 4 2 2" xfId="18922"/>
    <cellStyle name="Accent2 4 2 2 2" xfId="33224"/>
    <cellStyle name="Accent2 4 2 3" xfId="33225"/>
    <cellStyle name="Accent2 4 2 4" xfId="33226"/>
    <cellStyle name="Accent2 4 3" xfId="9326"/>
    <cellStyle name="Accent2 4 3 2" xfId="21852"/>
    <cellStyle name="Accent2 4 4" xfId="18921"/>
    <cellStyle name="Accent2 4 4 2" xfId="33227"/>
    <cellStyle name="Accent2 5" xfId="9327"/>
    <cellStyle name="Accent2 5 2" xfId="15492"/>
    <cellStyle name="Accent2 5 2 2" xfId="33228"/>
    <cellStyle name="Accent2 5 2 3" xfId="33229"/>
    <cellStyle name="Accent2 5 3" xfId="18923"/>
    <cellStyle name="Accent2 6" xfId="9328"/>
    <cellStyle name="Accent2 6 2" xfId="18924"/>
    <cellStyle name="Accent2 6 2 2" xfId="33230"/>
    <cellStyle name="Accent2 6 3" xfId="33231"/>
    <cellStyle name="Accent2 6 4" xfId="33232"/>
    <cellStyle name="Accent2 6 5" xfId="33233"/>
    <cellStyle name="Accent2 7" xfId="9329"/>
    <cellStyle name="Accent2 7 2" xfId="18925"/>
    <cellStyle name="Accent2 7 3" xfId="33234"/>
    <cellStyle name="Accent2 8" xfId="9330"/>
    <cellStyle name="Accent2 8 2" xfId="18926"/>
    <cellStyle name="Accent2 8 3" xfId="33235"/>
    <cellStyle name="Accent2 9" xfId="9331"/>
    <cellStyle name="Accent2 9 2" xfId="18927"/>
    <cellStyle name="Accent2 9 3" xfId="33236"/>
    <cellStyle name="Accent3 - 20%" xfId="2603"/>
    <cellStyle name="Accent3 - 20% 2" xfId="3352"/>
    <cellStyle name="Accent3 - 20% 2 2" xfId="42352"/>
    <cellStyle name="Accent3 - 20% 3" xfId="9333"/>
    <cellStyle name="Accent3 - 40%" xfId="2604"/>
    <cellStyle name="Accent3 - 40% 2" xfId="3353"/>
    <cellStyle name="Accent3 - 40% 2 2" xfId="42353"/>
    <cellStyle name="Accent3 - 40% 3" xfId="9334"/>
    <cellStyle name="Accent3 - 60%" xfId="2605"/>
    <cellStyle name="Accent3 - 60% 2" xfId="17339"/>
    <cellStyle name="Accent3 - 60% 3" xfId="9335"/>
    <cellStyle name="Accent3 10" xfId="17338"/>
    <cellStyle name="Accent3 10 2" xfId="33237"/>
    <cellStyle name="Accent3 11" xfId="22332"/>
    <cellStyle name="Accent3 11 2" xfId="33238"/>
    <cellStyle name="Accent3 12" xfId="33239"/>
    <cellStyle name="Accent3 12 2" xfId="33240"/>
    <cellStyle name="Accent3 13" xfId="33241"/>
    <cellStyle name="Accent3 13 2" xfId="33242"/>
    <cellStyle name="Accent3 14" xfId="33243"/>
    <cellStyle name="Accent3 14 2" xfId="33244"/>
    <cellStyle name="Accent3 15" xfId="33245"/>
    <cellStyle name="Accent3 15 2" xfId="33246"/>
    <cellStyle name="Accent3 16" xfId="33247"/>
    <cellStyle name="Accent3 16 2" xfId="33248"/>
    <cellStyle name="Accent3 17" xfId="33249"/>
    <cellStyle name="Accent3 17 2" xfId="33250"/>
    <cellStyle name="Accent3 18" xfId="33251"/>
    <cellStyle name="Accent3 18 2" xfId="33252"/>
    <cellStyle name="Accent3 19" xfId="33253"/>
    <cellStyle name="Accent3 2" xfId="2606"/>
    <cellStyle name="Accent3 2 2" xfId="2607"/>
    <cellStyle name="Accent3 2 2 2" xfId="2608"/>
    <cellStyle name="Accent3 2 2 2 2" xfId="33254"/>
    <cellStyle name="Accent3 2 2 2 2 2" xfId="33255"/>
    <cellStyle name="Accent3 2 2 2 3" xfId="33256"/>
    <cellStyle name="Accent3 2 2 3" xfId="33257"/>
    <cellStyle name="Accent3 2 2 3 2" xfId="33258"/>
    <cellStyle name="Accent3 2 2 4" xfId="33259"/>
    <cellStyle name="Accent3 2 2 4 2" xfId="33260"/>
    <cellStyle name="Accent3 2 2 5" xfId="9337"/>
    <cellStyle name="Accent3 2 3" xfId="2609"/>
    <cellStyle name="Accent3 2 3 2" xfId="15493"/>
    <cellStyle name="Accent3 2 3 2 2" xfId="33261"/>
    <cellStyle name="Accent3 2 3 2 2 2" xfId="33262"/>
    <cellStyle name="Accent3 2 3 2 3" xfId="33263"/>
    <cellStyle name="Accent3 2 3 2 4" xfId="33264"/>
    <cellStyle name="Accent3 2 3 3" xfId="18018"/>
    <cellStyle name="Accent3 2 3 3 2" xfId="33265"/>
    <cellStyle name="Accent3 2 3 3 3" xfId="33266"/>
    <cellStyle name="Accent3 2 3 4" xfId="33267"/>
    <cellStyle name="Accent3 2 3 4 2" xfId="33268"/>
    <cellStyle name="Accent3 2 3 5" xfId="33269"/>
    <cellStyle name="Accent3 2 3 6" xfId="9338"/>
    <cellStyle name="Accent3 2 4" xfId="13479"/>
    <cellStyle name="Accent3 2 4 2" xfId="33270"/>
    <cellStyle name="Accent3 2 4 2 2" xfId="33271"/>
    <cellStyle name="Accent3 2 4 3" xfId="33272"/>
    <cellStyle name="Accent3 2 4 4" xfId="33273"/>
    <cellStyle name="Accent3 2 4 5" xfId="33274"/>
    <cellStyle name="Accent3 2 5" xfId="17340"/>
    <cellStyle name="Accent3 2 5 2" xfId="33275"/>
    <cellStyle name="Accent3 2 6" xfId="33276"/>
    <cellStyle name="Accent3 2 6 2" xfId="33277"/>
    <cellStyle name="Accent3 2 7" xfId="9336"/>
    <cellStyle name="Accent3 20" xfId="33278"/>
    <cellStyle name="Accent3 21" xfId="33279"/>
    <cellStyle name="Accent3 22" xfId="33280"/>
    <cellStyle name="Accent3 23" xfId="33281"/>
    <cellStyle name="Accent3 24" xfId="9332"/>
    <cellStyle name="Accent3 3" xfId="2610"/>
    <cellStyle name="Accent3 3 2" xfId="9340"/>
    <cellStyle name="Accent3 3 2 2" xfId="18928"/>
    <cellStyle name="Accent3 3 2 2 2" xfId="33282"/>
    <cellStyle name="Accent3 3 2 3" xfId="33283"/>
    <cellStyle name="Accent3 3 3" xfId="9341"/>
    <cellStyle name="Accent3 3 3 2" xfId="21853"/>
    <cellStyle name="Accent3 3 4" xfId="9342"/>
    <cellStyle name="Accent3 3 4 2" xfId="21854"/>
    <cellStyle name="Accent3 3 5" xfId="17341"/>
    <cellStyle name="Accent3 3 6" xfId="9339"/>
    <cellStyle name="Accent3 4" xfId="9343"/>
    <cellStyle name="Accent3 4 2" xfId="9344"/>
    <cellStyle name="Accent3 4 2 2" xfId="18930"/>
    <cellStyle name="Accent3 4 2 2 2" xfId="33284"/>
    <cellStyle name="Accent3 4 2 3" xfId="33285"/>
    <cellStyle name="Accent3 4 2 4" xfId="33286"/>
    <cellStyle name="Accent3 4 3" xfId="9345"/>
    <cellStyle name="Accent3 4 3 2" xfId="21855"/>
    <cellStyle name="Accent3 4 4" xfId="18929"/>
    <cellStyle name="Accent3 4 4 2" xfId="33287"/>
    <cellStyle name="Accent3 5" xfId="9346"/>
    <cellStyle name="Accent3 5 2" xfId="15494"/>
    <cellStyle name="Accent3 5 2 2" xfId="33288"/>
    <cellStyle name="Accent3 5 2 3" xfId="33289"/>
    <cellStyle name="Accent3 5 3" xfId="18931"/>
    <cellStyle name="Accent3 6" xfId="9347"/>
    <cellStyle name="Accent3 6 2" xfId="18932"/>
    <cellStyle name="Accent3 6 2 2" xfId="33290"/>
    <cellStyle name="Accent3 6 3" xfId="33291"/>
    <cellStyle name="Accent3 6 4" xfId="33292"/>
    <cellStyle name="Accent3 6 5" xfId="33293"/>
    <cellStyle name="Accent3 7" xfId="9348"/>
    <cellStyle name="Accent3 7 2" xfId="18933"/>
    <cellStyle name="Accent3 7 3" xfId="33294"/>
    <cellStyle name="Accent3 8" xfId="9349"/>
    <cellStyle name="Accent3 8 2" xfId="18934"/>
    <cellStyle name="Accent3 8 3" xfId="33295"/>
    <cellStyle name="Accent3 9" xfId="9350"/>
    <cellStyle name="Accent3 9 2" xfId="18935"/>
    <cellStyle name="Accent3 9 3" xfId="33296"/>
    <cellStyle name="Accent4 - 20%" xfId="2611"/>
    <cellStyle name="Accent4 - 20% 2" xfId="3354"/>
    <cellStyle name="Accent4 - 20% 2 2" xfId="42354"/>
    <cellStyle name="Accent4 - 20% 3" xfId="9352"/>
    <cellStyle name="Accent4 - 40%" xfId="2612"/>
    <cellStyle name="Accent4 - 40% 2" xfId="3355"/>
    <cellStyle name="Accent4 - 40% 2 2" xfId="42355"/>
    <cellStyle name="Accent4 - 40% 3" xfId="9353"/>
    <cellStyle name="Accent4 - 60%" xfId="2613"/>
    <cellStyle name="Accent4 - 60% 2" xfId="17343"/>
    <cellStyle name="Accent4 - 60% 3" xfId="9354"/>
    <cellStyle name="Accent4 10" xfId="17342"/>
    <cellStyle name="Accent4 10 2" xfId="33297"/>
    <cellStyle name="Accent4 11" xfId="22333"/>
    <cellStyle name="Accent4 11 2" xfId="33298"/>
    <cellStyle name="Accent4 12" xfId="33299"/>
    <cellStyle name="Accent4 12 2" xfId="33300"/>
    <cellStyle name="Accent4 13" xfId="33301"/>
    <cellStyle name="Accent4 13 2" xfId="33302"/>
    <cellStyle name="Accent4 14" xfId="33303"/>
    <cellStyle name="Accent4 14 2" xfId="33304"/>
    <cellStyle name="Accent4 15" xfId="33305"/>
    <cellStyle name="Accent4 15 2" xfId="33306"/>
    <cellStyle name="Accent4 16" xfId="33307"/>
    <cellStyle name="Accent4 16 2" xfId="33308"/>
    <cellStyle name="Accent4 17" xfId="33309"/>
    <cellStyle name="Accent4 17 2" xfId="33310"/>
    <cellStyle name="Accent4 18" xfId="33311"/>
    <cellStyle name="Accent4 18 2" xfId="33312"/>
    <cellStyle name="Accent4 19" xfId="33313"/>
    <cellStyle name="Accent4 2" xfId="2614"/>
    <cellStyle name="Accent4 2 2" xfId="2615"/>
    <cellStyle name="Accent4 2 2 2" xfId="2616"/>
    <cellStyle name="Accent4 2 2 2 2" xfId="33314"/>
    <cellStyle name="Accent4 2 2 2 2 2" xfId="33315"/>
    <cellStyle name="Accent4 2 2 2 3" xfId="33316"/>
    <cellStyle name="Accent4 2 2 3" xfId="33317"/>
    <cellStyle name="Accent4 2 2 3 2" xfId="33318"/>
    <cellStyle name="Accent4 2 2 4" xfId="33319"/>
    <cellStyle name="Accent4 2 2 4 2" xfId="33320"/>
    <cellStyle name="Accent4 2 2 5" xfId="9356"/>
    <cellStyle name="Accent4 2 3" xfId="2617"/>
    <cellStyle name="Accent4 2 3 2" xfId="15495"/>
    <cellStyle name="Accent4 2 3 2 2" xfId="33321"/>
    <cellStyle name="Accent4 2 3 2 2 2" xfId="33322"/>
    <cellStyle name="Accent4 2 3 2 3" xfId="33323"/>
    <cellStyle name="Accent4 2 3 2 4" xfId="33324"/>
    <cellStyle name="Accent4 2 3 3" xfId="18019"/>
    <cellStyle name="Accent4 2 3 3 2" xfId="33325"/>
    <cellStyle name="Accent4 2 3 4" xfId="33326"/>
    <cellStyle name="Accent4 2 3 4 2" xfId="33327"/>
    <cellStyle name="Accent4 2 3 5" xfId="33328"/>
    <cellStyle name="Accent4 2 3 6" xfId="9357"/>
    <cellStyle name="Accent4 2 4" xfId="13480"/>
    <cellStyle name="Accent4 2 4 2" xfId="33329"/>
    <cellStyle name="Accent4 2 4 2 2" xfId="33330"/>
    <cellStyle name="Accent4 2 4 3" xfId="33331"/>
    <cellStyle name="Accent4 2 4 4" xfId="33332"/>
    <cellStyle name="Accent4 2 4 5" xfId="33333"/>
    <cellStyle name="Accent4 2 5" xfId="17344"/>
    <cellStyle name="Accent4 2 5 2" xfId="33334"/>
    <cellStyle name="Accent4 2 6" xfId="33335"/>
    <cellStyle name="Accent4 2 6 2" xfId="33336"/>
    <cellStyle name="Accent4 2 7" xfId="9355"/>
    <cellStyle name="Accent4 20" xfId="33337"/>
    <cellStyle name="Accent4 21" xfId="33338"/>
    <cellStyle name="Accent4 22" xfId="33339"/>
    <cellStyle name="Accent4 23" xfId="33340"/>
    <cellStyle name="Accent4 24" xfId="9351"/>
    <cellStyle name="Accent4 3" xfId="2618"/>
    <cellStyle name="Accent4 3 2" xfId="9359"/>
    <cellStyle name="Accent4 3 2 2" xfId="18936"/>
    <cellStyle name="Accent4 3 2 2 2" xfId="33341"/>
    <cellStyle name="Accent4 3 2 3" xfId="33342"/>
    <cellStyle name="Accent4 3 3" xfId="9360"/>
    <cellStyle name="Accent4 3 3 2" xfId="21856"/>
    <cellStyle name="Accent4 3 4" xfId="9361"/>
    <cellStyle name="Accent4 3 4 2" xfId="21857"/>
    <cellStyle name="Accent4 3 5" xfId="17345"/>
    <cellStyle name="Accent4 3 6" xfId="9358"/>
    <cellStyle name="Accent4 4" xfId="9362"/>
    <cellStyle name="Accent4 4 2" xfId="9363"/>
    <cellStyle name="Accent4 4 2 2" xfId="18938"/>
    <cellStyle name="Accent4 4 2 2 2" xfId="33343"/>
    <cellStyle name="Accent4 4 2 3" xfId="33344"/>
    <cellStyle name="Accent4 4 2 4" xfId="33345"/>
    <cellStyle name="Accent4 4 3" xfId="9364"/>
    <cellStyle name="Accent4 4 3 2" xfId="21858"/>
    <cellStyle name="Accent4 4 4" xfId="18937"/>
    <cellStyle name="Accent4 4 4 2" xfId="33346"/>
    <cellStyle name="Accent4 5" xfId="9365"/>
    <cellStyle name="Accent4 5 2" xfId="15496"/>
    <cellStyle name="Accent4 5 2 2" xfId="33347"/>
    <cellStyle name="Accent4 5 2 3" xfId="33348"/>
    <cellStyle name="Accent4 5 3" xfId="18939"/>
    <cellStyle name="Accent4 6" xfId="9366"/>
    <cellStyle name="Accent4 6 2" xfId="18940"/>
    <cellStyle name="Accent4 6 2 2" xfId="33349"/>
    <cellStyle name="Accent4 6 3" xfId="33350"/>
    <cellStyle name="Accent4 6 4" xfId="33351"/>
    <cellStyle name="Accent4 6 5" xfId="33352"/>
    <cellStyle name="Accent4 7" xfId="9367"/>
    <cellStyle name="Accent4 7 2" xfId="18941"/>
    <cellStyle name="Accent4 7 3" xfId="33353"/>
    <cellStyle name="Accent4 8" xfId="9368"/>
    <cellStyle name="Accent4 8 2" xfId="18942"/>
    <cellStyle name="Accent4 8 3" xfId="33354"/>
    <cellStyle name="Accent4 9" xfId="9369"/>
    <cellStyle name="Accent4 9 2" xfId="18943"/>
    <cellStyle name="Accent4 9 3" xfId="33355"/>
    <cellStyle name="Accent5 - 20%" xfId="2619"/>
    <cellStyle name="Accent5 - 20% 2" xfId="3356"/>
    <cellStyle name="Accent5 - 20% 2 2" xfId="42356"/>
    <cellStyle name="Accent5 - 20% 3" xfId="9371"/>
    <cellStyle name="Accent5 - 40%" xfId="2620"/>
    <cellStyle name="Accent5 - 40% 2" xfId="3357"/>
    <cellStyle name="Accent5 - 40% 2 2" xfId="42357"/>
    <cellStyle name="Accent5 - 40% 3" xfId="9372"/>
    <cellStyle name="Accent5 - 60%" xfId="2621"/>
    <cellStyle name="Accent5 - 60% 2" xfId="17347"/>
    <cellStyle name="Accent5 - 60% 3" xfId="9373"/>
    <cellStyle name="Accent5 10" xfId="9374"/>
    <cellStyle name="Accent5 10 2" xfId="18944"/>
    <cellStyle name="Accent5 11" xfId="9375"/>
    <cellStyle name="Accent5 11 2" xfId="18945"/>
    <cellStyle name="Accent5 12" xfId="9376"/>
    <cellStyle name="Accent5 12 2" xfId="18946"/>
    <cellStyle name="Accent5 13" xfId="9377"/>
    <cellStyle name="Accent5 13 2" xfId="18947"/>
    <cellStyle name="Accent5 14" xfId="9378"/>
    <cellStyle name="Accent5 14 2" xfId="18948"/>
    <cellStyle name="Accent5 15" xfId="9379"/>
    <cellStyle name="Accent5 15 2" xfId="18949"/>
    <cellStyle name="Accent5 16" xfId="9380"/>
    <cellStyle name="Accent5 16 2" xfId="18950"/>
    <cellStyle name="Accent5 17" xfId="9381"/>
    <cellStyle name="Accent5 17 2" xfId="18951"/>
    <cellStyle name="Accent5 18" xfId="9382"/>
    <cellStyle name="Accent5 18 2" xfId="18952"/>
    <cellStyle name="Accent5 19" xfId="9383"/>
    <cellStyle name="Accent5 19 2" xfId="18953"/>
    <cellStyle name="Accent5 2" xfId="2622"/>
    <cellStyle name="Accent5 2 2" xfId="2623"/>
    <cellStyle name="Accent5 2 2 2" xfId="2624"/>
    <cellStyle name="Accent5 2 2 2 2" xfId="33356"/>
    <cellStyle name="Accent5 2 2 2 2 2" xfId="33357"/>
    <cellStyle name="Accent5 2 2 2 3" xfId="33358"/>
    <cellStyle name="Accent5 2 2 3" xfId="33359"/>
    <cellStyle name="Accent5 2 2 3 2" xfId="33360"/>
    <cellStyle name="Accent5 2 2 4" xfId="33361"/>
    <cellStyle name="Accent5 2 2 4 2" xfId="33362"/>
    <cellStyle name="Accent5 2 2 5" xfId="9385"/>
    <cellStyle name="Accent5 2 3" xfId="2625"/>
    <cellStyle name="Accent5 2 3 2" xfId="15497"/>
    <cellStyle name="Accent5 2 3 2 2" xfId="33363"/>
    <cellStyle name="Accent5 2 3 2 2 2" xfId="33364"/>
    <cellStyle name="Accent5 2 3 2 3" xfId="33365"/>
    <cellStyle name="Accent5 2 3 2 4" xfId="33366"/>
    <cellStyle name="Accent5 2 3 3" xfId="18020"/>
    <cellStyle name="Accent5 2 3 3 2" xfId="33367"/>
    <cellStyle name="Accent5 2 3 4" xfId="33368"/>
    <cellStyle name="Accent5 2 3 4 2" xfId="33369"/>
    <cellStyle name="Accent5 2 3 5" xfId="33370"/>
    <cellStyle name="Accent5 2 3 6" xfId="9386"/>
    <cellStyle name="Accent5 2 4" xfId="13481"/>
    <cellStyle name="Accent5 2 4 2" xfId="33371"/>
    <cellStyle name="Accent5 2 4 2 2" xfId="33372"/>
    <cellStyle name="Accent5 2 4 3" xfId="33373"/>
    <cellStyle name="Accent5 2 4 4" xfId="33374"/>
    <cellStyle name="Accent5 2 5" xfId="33375"/>
    <cellStyle name="Accent5 2 5 2" xfId="33376"/>
    <cellStyle name="Accent5 2 6" xfId="33377"/>
    <cellStyle name="Accent5 2 6 2" xfId="33378"/>
    <cellStyle name="Accent5 2 7" xfId="9384"/>
    <cellStyle name="Accent5 20" xfId="9387"/>
    <cellStyle name="Accent5 20 2" xfId="18954"/>
    <cellStyle name="Accent5 21" xfId="9388"/>
    <cellStyle name="Accent5 21 2" xfId="18955"/>
    <cellStyle name="Accent5 22" xfId="9389"/>
    <cellStyle name="Accent5 22 2" xfId="18956"/>
    <cellStyle name="Accent5 23" xfId="9390"/>
    <cellStyle name="Accent5 23 2" xfId="18957"/>
    <cellStyle name="Accent5 24" xfId="9391"/>
    <cellStyle name="Accent5 24 2" xfId="18958"/>
    <cellStyle name="Accent5 25" xfId="9392"/>
    <cellStyle name="Accent5 25 2" xfId="18959"/>
    <cellStyle name="Accent5 26" xfId="9393"/>
    <cellStyle name="Accent5 26 2" xfId="18960"/>
    <cellStyle name="Accent5 27" xfId="9394"/>
    <cellStyle name="Accent5 27 2" xfId="18961"/>
    <cellStyle name="Accent5 28" xfId="9395"/>
    <cellStyle name="Accent5 28 2" xfId="18962"/>
    <cellStyle name="Accent5 29" xfId="9396"/>
    <cellStyle name="Accent5 29 2" xfId="18963"/>
    <cellStyle name="Accent5 3" xfId="2626"/>
    <cellStyle name="Accent5 3 2" xfId="9398"/>
    <cellStyle name="Accent5 3 2 2" xfId="18964"/>
    <cellStyle name="Accent5 3 2 2 2" xfId="33379"/>
    <cellStyle name="Accent5 3 2 3" xfId="33380"/>
    <cellStyle name="Accent5 3 3" xfId="9399"/>
    <cellStyle name="Accent5 3 3 2" xfId="18965"/>
    <cellStyle name="Accent5 3 4" xfId="17348"/>
    <cellStyle name="Accent5 3 4 2" xfId="33381"/>
    <cellStyle name="Accent5 3 5" xfId="9397"/>
    <cellStyle name="Accent5 30" xfId="9400"/>
    <cellStyle name="Accent5 30 2" xfId="18966"/>
    <cellStyle name="Accent5 31" xfId="17346"/>
    <cellStyle name="Accent5 32" xfId="22334"/>
    <cellStyle name="Accent5 33" xfId="9370"/>
    <cellStyle name="Accent5 4" xfId="9401"/>
    <cellStyle name="Accent5 4 2" xfId="18967"/>
    <cellStyle name="Accent5 4 2 2" xfId="33382"/>
    <cellStyle name="Accent5 4 2 2 2" xfId="33383"/>
    <cellStyle name="Accent5 4 2 3" xfId="33384"/>
    <cellStyle name="Accent5 4 2 4" xfId="33385"/>
    <cellStyle name="Accent5 4 3" xfId="33386"/>
    <cellStyle name="Accent5 4 3 2" xfId="33387"/>
    <cellStyle name="Accent5 4 4" xfId="33388"/>
    <cellStyle name="Accent5 4 4 2" xfId="33389"/>
    <cellStyle name="Accent5 5" xfId="9402"/>
    <cellStyle name="Accent5 5 2" xfId="18968"/>
    <cellStyle name="Accent5 5 2 2" xfId="33390"/>
    <cellStyle name="Accent5 6" xfId="9403"/>
    <cellStyle name="Accent5 6 2" xfId="18969"/>
    <cellStyle name="Accent5 6 2 2" xfId="33391"/>
    <cellStyle name="Accent5 6 3" xfId="33392"/>
    <cellStyle name="Accent5 6 4" xfId="33393"/>
    <cellStyle name="Accent5 6 5" xfId="33394"/>
    <cellStyle name="Accent5 7" xfId="9404"/>
    <cellStyle name="Accent5 7 2" xfId="18970"/>
    <cellStyle name="Accent5 7 3" xfId="33395"/>
    <cellStyle name="Accent5 8" xfId="9405"/>
    <cellStyle name="Accent5 8 2" xfId="18971"/>
    <cellStyle name="Accent5 8 3" xfId="33396"/>
    <cellStyle name="Accent5 9" xfId="9406"/>
    <cellStyle name="Accent5 9 2" xfId="18972"/>
    <cellStyle name="Accent6 - 20%" xfId="2627"/>
    <cellStyle name="Accent6 - 20% 2" xfId="3358"/>
    <cellStyle name="Accent6 - 20% 2 2" xfId="42358"/>
    <cellStyle name="Accent6 - 20% 3" xfId="9408"/>
    <cellStyle name="Accent6 - 40%" xfId="2628"/>
    <cellStyle name="Accent6 - 40% 2" xfId="3359"/>
    <cellStyle name="Accent6 - 40% 2 2" xfId="42359"/>
    <cellStyle name="Accent6 - 40% 3" xfId="9409"/>
    <cellStyle name="Accent6 - 60%" xfId="2629"/>
    <cellStyle name="Accent6 - 60% 2" xfId="17350"/>
    <cellStyle name="Accent6 - 60% 3" xfId="9410"/>
    <cellStyle name="Accent6 10" xfId="17349"/>
    <cellStyle name="Accent6 10 2" xfId="33397"/>
    <cellStyle name="Accent6 11" xfId="22335"/>
    <cellStyle name="Accent6 11 2" xfId="33398"/>
    <cellStyle name="Accent6 12" xfId="33399"/>
    <cellStyle name="Accent6 12 2" xfId="33400"/>
    <cellStyle name="Accent6 13" xfId="33401"/>
    <cellStyle name="Accent6 13 2" xfId="33402"/>
    <cellStyle name="Accent6 14" xfId="33403"/>
    <cellStyle name="Accent6 14 2" xfId="33404"/>
    <cellStyle name="Accent6 15" xfId="33405"/>
    <cellStyle name="Accent6 15 2" xfId="33406"/>
    <cellStyle name="Accent6 16" xfId="33407"/>
    <cellStyle name="Accent6 16 2" xfId="33408"/>
    <cellStyle name="Accent6 17" xfId="33409"/>
    <cellStyle name="Accent6 17 2" xfId="33410"/>
    <cellStyle name="Accent6 18" xfId="33411"/>
    <cellStyle name="Accent6 18 2" xfId="33412"/>
    <cellStyle name="Accent6 19" xfId="33413"/>
    <cellStyle name="Accent6 2" xfId="2630"/>
    <cellStyle name="Accent6 2 2" xfId="2631"/>
    <cellStyle name="Accent6 2 2 2" xfId="2632"/>
    <cellStyle name="Accent6 2 2 2 2" xfId="33414"/>
    <cellStyle name="Accent6 2 2 2 2 2" xfId="33415"/>
    <cellStyle name="Accent6 2 2 2 3" xfId="33416"/>
    <cellStyle name="Accent6 2 2 3" xfId="33417"/>
    <cellStyle name="Accent6 2 2 3 2" xfId="33418"/>
    <cellStyle name="Accent6 2 2 4" xfId="33419"/>
    <cellStyle name="Accent6 2 2 4 2" xfId="33420"/>
    <cellStyle name="Accent6 2 2 5" xfId="9412"/>
    <cellStyle name="Accent6 2 3" xfId="2633"/>
    <cellStyle name="Accent6 2 3 2" xfId="15498"/>
    <cellStyle name="Accent6 2 3 2 2" xfId="33421"/>
    <cellStyle name="Accent6 2 3 2 2 2" xfId="33422"/>
    <cellStyle name="Accent6 2 3 2 3" xfId="33423"/>
    <cellStyle name="Accent6 2 3 2 4" xfId="33424"/>
    <cellStyle name="Accent6 2 3 3" xfId="18021"/>
    <cellStyle name="Accent6 2 3 3 2" xfId="33425"/>
    <cellStyle name="Accent6 2 3 3 3" xfId="33426"/>
    <cellStyle name="Accent6 2 3 4" xfId="33427"/>
    <cellStyle name="Accent6 2 3 4 2" xfId="33428"/>
    <cellStyle name="Accent6 2 3 5" xfId="33429"/>
    <cellStyle name="Accent6 2 3 6" xfId="9413"/>
    <cellStyle name="Accent6 2 4" xfId="13482"/>
    <cellStyle name="Accent6 2 4 2" xfId="33430"/>
    <cellStyle name="Accent6 2 4 2 2" xfId="33431"/>
    <cellStyle name="Accent6 2 4 3" xfId="33432"/>
    <cellStyle name="Accent6 2 4 4" xfId="33433"/>
    <cellStyle name="Accent6 2 4 5" xfId="33434"/>
    <cellStyle name="Accent6 2 5" xfId="17351"/>
    <cellStyle name="Accent6 2 5 2" xfId="33435"/>
    <cellStyle name="Accent6 2 6" xfId="33436"/>
    <cellStyle name="Accent6 2 6 2" xfId="33437"/>
    <cellStyle name="Accent6 2 7" xfId="9411"/>
    <cellStyle name="Accent6 20" xfId="33438"/>
    <cellStyle name="Accent6 21" xfId="33439"/>
    <cellStyle name="Accent6 22" xfId="33440"/>
    <cellStyle name="Accent6 23" xfId="33441"/>
    <cellStyle name="Accent6 24" xfId="9407"/>
    <cellStyle name="Accent6 3" xfId="2634"/>
    <cellStyle name="Accent6 3 2" xfId="9415"/>
    <cellStyle name="Accent6 3 2 2" xfId="18973"/>
    <cellStyle name="Accent6 3 2 2 2" xfId="33442"/>
    <cellStyle name="Accent6 3 2 3" xfId="33443"/>
    <cellStyle name="Accent6 3 3" xfId="9416"/>
    <cellStyle name="Accent6 3 3 2" xfId="21859"/>
    <cellStyle name="Accent6 3 4" xfId="9417"/>
    <cellStyle name="Accent6 3 4 2" xfId="21860"/>
    <cellStyle name="Accent6 3 5" xfId="17352"/>
    <cellStyle name="Accent6 3 6" xfId="9414"/>
    <cellStyle name="Accent6 4" xfId="9418"/>
    <cellStyle name="Accent6 4 2" xfId="9419"/>
    <cellStyle name="Accent6 4 2 2" xfId="18975"/>
    <cellStyle name="Accent6 4 2 2 2" xfId="33444"/>
    <cellStyle name="Accent6 4 2 3" xfId="33445"/>
    <cellStyle name="Accent6 4 2 4" xfId="33446"/>
    <cellStyle name="Accent6 4 3" xfId="9420"/>
    <cellStyle name="Accent6 4 3 2" xfId="21861"/>
    <cellStyle name="Accent6 4 4" xfId="18974"/>
    <cellStyle name="Accent6 4 4 2" xfId="33447"/>
    <cellStyle name="Accent6 5" xfId="9421"/>
    <cellStyle name="Accent6 5 2" xfId="15499"/>
    <cellStyle name="Accent6 5 2 2" xfId="33448"/>
    <cellStyle name="Accent6 5 2 3" xfId="33449"/>
    <cellStyle name="Accent6 5 3" xfId="18976"/>
    <cellStyle name="Accent6 6" xfId="9422"/>
    <cellStyle name="Accent6 6 2" xfId="18977"/>
    <cellStyle name="Accent6 6 2 2" xfId="33450"/>
    <cellStyle name="Accent6 6 3" xfId="33451"/>
    <cellStyle name="Accent6 6 4" xfId="33452"/>
    <cellStyle name="Accent6 6 5" xfId="33453"/>
    <cellStyle name="Accent6 7" xfId="9423"/>
    <cellStyle name="Accent6 7 2" xfId="18978"/>
    <cellStyle name="Accent6 7 3" xfId="33454"/>
    <cellStyle name="Accent6 8" xfId="9424"/>
    <cellStyle name="Accent6 8 2" xfId="18979"/>
    <cellStyle name="Accent6 8 3" xfId="33455"/>
    <cellStyle name="Accent6 9" xfId="9425"/>
    <cellStyle name="Accent6 9 2" xfId="18980"/>
    <cellStyle name="Accent6 9 3" xfId="33456"/>
    <cellStyle name="Bad 2" xfId="2635"/>
    <cellStyle name="Bad 2 2" xfId="2636"/>
    <cellStyle name="Bad 2 2 2" xfId="2637"/>
    <cellStyle name="Bad 2 2 2 2" xfId="33457"/>
    <cellStyle name="Bad 2 2 2 2 2" xfId="33458"/>
    <cellStyle name="Bad 2 2 2 3" xfId="33459"/>
    <cellStyle name="Bad 2 2 3" xfId="33460"/>
    <cellStyle name="Bad 2 2 3 2" xfId="33461"/>
    <cellStyle name="Bad 2 2 4" xfId="33462"/>
    <cellStyle name="Bad 2 2 4 2" xfId="33463"/>
    <cellStyle name="Bad 2 2 5" xfId="9428"/>
    <cellStyle name="Bad 2 3" xfId="2638"/>
    <cellStyle name="Bad 2 3 2" xfId="15500"/>
    <cellStyle name="Bad 2 3 2 2" xfId="33464"/>
    <cellStyle name="Bad 2 3 2 2 2" xfId="33465"/>
    <cellStyle name="Bad 2 3 2 3" xfId="33466"/>
    <cellStyle name="Bad 2 3 2 4" xfId="33467"/>
    <cellStyle name="Bad 2 3 3" xfId="18022"/>
    <cellStyle name="Bad 2 3 3 2" xfId="33468"/>
    <cellStyle name="Bad 2 3 3 3" xfId="33469"/>
    <cellStyle name="Bad 2 3 4" xfId="33470"/>
    <cellStyle name="Bad 2 3 4 2" xfId="33471"/>
    <cellStyle name="Bad 2 3 5" xfId="33472"/>
    <cellStyle name="Bad 2 3 6" xfId="9429"/>
    <cellStyle name="Bad 2 4" xfId="13483"/>
    <cellStyle name="Bad 2 4 2" xfId="33473"/>
    <cellStyle name="Bad 2 4 2 2" xfId="33474"/>
    <cellStyle name="Bad 2 4 3" xfId="33475"/>
    <cellStyle name="Bad 2 4 4" xfId="33476"/>
    <cellStyle name="Bad 2 4 5" xfId="33477"/>
    <cellStyle name="Bad 2 5" xfId="17353"/>
    <cellStyle name="Bad 2 5 2" xfId="33478"/>
    <cellStyle name="Bad 2 6" xfId="33479"/>
    <cellStyle name="Bad 2 6 2" xfId="33480"/>
    <cellStyle name="Bad 2 7" xfId="9427"/>
    <cellStyle name="Bad 3" xfId="2639"/>
    <cellStyle name="Bad 3 2" xfId="9431"/>
    <cellStyle name="Bad 3 2 2" xfId="18981"/>
    <cellStyle name="Bad 3 2 2 2" xfId="33481"/>
    <cellStyle name="Bad 3 2 3" xfId="33482"/>
    <cellStyle name="Bad 3 3" xfId="9432"/>
    <cellStyle name="Bad 3 3 2" xfId="21862"/>
    <cellStyle name="Bad 3 4" xfId="9433"/>
    <cellStyle name="Bad 3 4 2" xfId="21863"/>
    <cellStyle name="Bad 3 5" xfId="17354"/>
    <cellStyle name="Bad 3 6" xfId="9430"/>
    <cellStyle name="Bad 4" xfId="13484"/>
    <cellStyle name="Bad 4 2" xfId="33483"/>
    <cellStyle name="Bad 4 2 2" xfId="33484"/>
    <cellStyle name="Bad 4 2 2 2" xfId="33485"/>
    <cellStyle name="Bad 4 2 3" xfId="33486"/>
    <cellStyle name="Bad 4 2 4" xfId="33487"/>
    <cellStyle name="Bad 4 3" xfId="33488"/>
    <cellStyle name="Bad 4 3 2" xfId="33489"/>
    <cellStyle name="Bad 4 4" xfId="33490"/>
    <cellStyle name="Bad 4 4 2" xfId="33491"/>
    <cellStyle name="Bad 5" xfId="13485"/>
    <cellStyle name="Bad 5 2" xfId="15501"/>
    <cellStyle name="Bad 5 2 2" xfId="33492"/>
    <cellStyle name="Bad 5 2 3" xfId="33493"/>
    <cellStyle name="Bad 5 3" xfId="42123"/>
    <cellStyle name="Bad 6" xfId="13486"/>
    <cellStyle name="Bad 6 2" xfId="33494"/>
    <cellStyle name="Bad 6 2 2" xfId="33495"/>
    <cellStyle name="Bad 6 3" xfId="33496"/>
    <cellStyle name="Bad 6 4" xfId="33497"/>
    <cellStyle name="Bad 6 5" xfId="33498"/>
    <cellStyle name="Bad 7" xfId="13487"/>
    <cellStyle name="Bad 7 2" xfId="33499"/>
    <cellStyle name="Bad 7 3" xfId="33500"/>
    <cellStyle name="Bad 8" xfId="33501"/>
    <cellStyle name="Bad 9" xfId="9426"/>
    <cellStyle name="Band 2" xfId="33502"/>
    <cellStyle name="blank" xfId="14221"/>
    <cellStyle name="blank 2" xfId="33503"/>
    <cellStyle name="bld-li - Style4" xfId="13488"/>
    <cellStyle name="C06_Main text" xfId="33504"/>
    <cellStyle name="C07_Main text Bold Green" xfId="33505"/>
    <cellStyle name="C08_2001 Col heads" xfId="33506"/>
    <cellStyle name="C10_2001 Figs Black" xfId="33507"/>
    <cellStyle name="C11_2002 Figs Bold Green" xfId="33508"/>
    <cellStyle name="C13_2001 Figs 1 decimals" xfId="33509"/>
    <cellStyle name="C15_Main text Bold Black" xfId="33510"/>
    <cellStyle name="Calc Currency (0)" xfId="2640"/>
    <cellStyle name="Calc Currency (0) 2" xfId="2641"/>
    <cellStyle name="Calc Currency (0) 2 2" xfId="2642"/>
    <cellStyle name="Calc Currency (0) 2 2 2" xfId="18023"/>
    <cellStyle name="Calc Currency (0) 2 2 2 2" xfId="33511"/>
    <cellStyle name="Calc Currency (0) 2 2 3" xfId="33512"/>
    <cellStyle name="Calc Currency (0) 2 2 4" xfId="33513"/>
    <cellStyle name="Calc Currency (0) 2 2 5" xfId="9436"/>
    <cellStyle name="Calc Currency (0) 2 3" xfId="15502"/>
    <cellStyle name="Calc Currency (0) 2 3 2" xfId="33514"/>
    <cellStyle name="Calc Currency (0) 2 3 3" xfId="33515"/>
    <cellStyle name="Calc Currency (0) 2 4" xfId="17356"/>
    <cellStyle name="Calc Currency (0) 2 4 2" xfId="33516"/>
    <cellStyle name="Calc Currency (0) 2 5" xfId="9435"/>
    <cellStyle name="Calc Currency (0) 3" xfId="9437"/>
    <cellStyle name="Calc Currency (0) 3 2" xfId="17845"/>
    <cellStyle name="Calc Currency (0) 3 2 2" xfId="33517"/>
    <cellStyle name="Calc Currency (0) 3 3" xfId="33518"/>
    <cellStyle name="Calc Currency (0) 4" xfId="9438"/>
    <cellStyle name="Calc Currency (0) 4 2" xfId="33519"/>
    <cellStyle name="Calc Currency (0) 5" xfId="17355"/>
    <cellStyle name="Calc Currency (0) 5 2" xfId="33520"/>
    <cellStyle name="Calc Currency (0) 6" xfId="9434"/>
    <cellStyle name="Calculation 10" xfId="13489"/>
    <cellStyle name="Calculation 10 2" xfId="33521"/>
    <cellStyle name="Calculation 11" xfId="33522"/>
    <cellStyle name="Calculation 12" xfId="9439"/>
    <cellStyle name="Calculation 2" xfId="2643"/>
    <cellStyle name="Calculation 2 2" xfId="2644"/>
    <cellStyle name="Calculation 2 2 2" xfId="2645"/>
    <cellStyle name="Calculation 2 2 2 2" xfId="9443"/>
    <cellStyle name="Calculation 2 2 2 2 2" xfId="33523"/>
    <cellStyle name="Calculation 2 2 2 3" xfId="9444"/>
    <cellStyle name="Calculation 2 2 2 4" xfId="9445"/>
    <cellStyle name="Calculation 2 2 2 5" xfId="9446"/>
    <cellStyle name="Calculation 2 2 2 6" xfId="17892"/>
    <cellStyle name="Calculation 2 2 2 7" xfId="22373"/>
    <cellStyle name="Calculation 2 2 2 8" xfId="9442"/>
    <cellStyle name="Calculation 2 2 3" xfId="13490"/>
    <cellStyle name="Calculation 2 2 3 2" xfId="33524"/>
    <cellStyle name="Calculation 2 2 3 3" xfId="33525"/>
    <cellStyle name="Calculation 2 2 4" xfId="15503"/>
    <cellStyle name="Calculation 2 2 4 2" xfId="33526"/>
    <cellStyle name="Calculation 2 2 5" xfId="17358"/>
    <cellStyle name="Calculation 2 2 6" xfId="9441"/>
    <cellStyle name="Calculation 2 3" xfId="2646"/>
    <cellStyle name="Calculation 2 3 2" xfId="5868"/>
    <cellStyle name="Calculation 2 3 2 2" xfId="18982"/>
    <cellStyle name="Calculation 2 3 2 2 2" xfId="33527"/>
    <cellStyle name="Calculation 2 3 2 3" xfId="33528"/>
    <cellStyle name="Calculation 2 3 2 4" xfId="33529"/>
    <cellStyle name="Calculation 2 3 2 5" xfId="9448"/>
    <cellStyle name="Calculation 2 3 3" xfId="9449"/>
    <cellStyle name="Calculation 2 3 3 2" xfId="21864"/>
    <cellStyle name="Calculation 2 3 4" xfId="9450"/>
    <cellStyle name="Calculation 2 3 4 2" xfId="21865"/>
    <cellStyle name="Calculation 2 3 5" xfId="17359"/>
    <cellStyle name="Calculation 2 3 6" xfId="9447"/>
    <cellStyle name="Calculation 2 4" xfId="9451"/>
    <cellStyle name="Calculation 2 4 2" xfId="9452"/>
    <cellStyle name="Calculation 2 4 2 2" xfId="21866"/>
    <cellStyle name="Calculation 2 4 3" xfId="18983"/>
    <cellStyle name="Calculation 2 5" xfId="9453"/>
    <cellStyle name="Calculation 2 5 2" xfId="21867"/>
    <cellStyle name="Calculation 2 5 2 2" xfId="33530"/>
    <cellStyle name="Calculation 2 5 3" xfId="33531"/>
    <cellStyle name="Calculation 2 6" xfId="17357"/>
    <cellStyle name="Calculation 2 6 2" xfId="33532"/>
    <cellStyle name="Calculation 2 6 2 2" xfId="33533"/>
    <cellStyle name="Calculation 2 6 3" xfId="33534"/>
    <cellStyle name="Calculation 2 7" xfId="33535"/>
    <cellStyle name="Calculation 2 7 2" xfId="33536"/>
    <cellStyle name="Calculation 2 8" xfId="33537"/>
    <cellStyle name="Calculation 2 9" xfId="9440"/>
    <cellStyle name="Calculation 3" xfId="2647"/>
    <cellStyle name="Calculation 3 2" xfId="2648"/>
    <cellStyle name="Calculation 3 2 2" xfId="15504"/>
    <cellStyle name="Calculation 3 2 2 2" xfId="33538"/>
    <cellStyle name="Calculation 3 2 2 3" xfId="33539"/>
    <cellStyle name="Calculation 3 2 3" xfId="15505"/>
    <cellStyle name="Calculation 3 2 3 2" xfId="42124"/>
    <cellStyle name="Calculation 3 2 4" xfId="18024"/>
    <cellStyle name="Calculation 3 2 5" xfId="9455"/>
    <cellStyle name="Calculation 3 3" xfId="9456"/>
    <cellStyle name="Calculation 3 3 2" xfId="21868"/>
    <cellStyle name="Calculation 3 3 2 2" xfId="33540"/>
    <cellStyle name="Calculation 3 3 3" xfId="33541"/>
    <cellStyle name="Calculation 3 3 4" xfId="33542"/>
    <cellStyle name="Calculation 3 4" xfId="9457"/>
    <cellStyle name="Calculation 3 4 2" xfId="21869"/>
    <cellStyle name="Calculation 3 4 2 2" xfId="33543"/>
    <cellStyle name="Calculation 3 4 3" xfId="33544"/>
    <cellStyle name="Calculation 3 5" xfId="17360"/>
    <cellStyle name="Calculation 3 5 2" xfId="33545"/>
    <cellStyle name="Calculation 3 6" xfId="33546"/>
    <cellStyle name="Calculation 3 7" xfId="9454"/>
    <cellStyle name="Calculation 4" xfId="2649"/>
    <cellStyle name="Calculation 4 2" xfId="5869"/>
    <cellStyle name="Calculation 4 2 2" xfId="9460"/>
    <cellStyle name="Calculation 4 2 2 2" xfId="21870"/>
    <cellStyle name="Calculation 4 2 3" xfId="18984"/>
    <cellStyle name="Calculation 4 2 4" xfId="9459"/>
    <cellStyle name="Calculation 4 3" xfId="9461"/>
    <cellStyle name="Calculation 4 3 2" xfId="9462"/>
    <cellStyle name="Calculation 4 3 2 2" xfId="21871"/>
    <cellStyle name="Calculation 4 3 3" xfId="18985"/>
    <cellStyle name="Calculation 4 4" xfId="9463"/>
    <cellStyle name="Calculation 4 4 2" xfId="9464"/>
    <cellStyle name="Calculation 4 4 2 2" xfId="21872"/>
    <cellStyle name="Calculation 4 4 3" xfId="18986"/>
    <cellStyle name="Calculation 4 5" xfId="17361"/>
    <cellStyle name="Calculation 4 5 2" xfId="33547"/>
    <cellStyle name="Calculation 4 6" xfId="9458"/>
    <cellStyle name="Calculation 5" xfId="2650"/>
    <cellStyle name="Calculation 5 2" xfId="2651"/>
    <cellStyle name="Calculation 5 2 2" xfId="5871"/>
    <cellStyle name="Calculation 5 2 2 2" xfId="33548"/>
    <cellStyle name="Calculation 5 2 2 2 2" xfId="33549"/>
    <cellStyle name="Calculation 5 2 3" xfId="33550"/>
    <cellStyle name="Calculation 5 2 3 2" xfId="33551"/>
    <cellStyle name="Calculation 5 2 4" xfId="33552"/>
    <cellStyle name="Calculation 5 2 4 2" xfId="33553"/>
    <cellStyle name="Calculation 5 2 5" xfId="9466"/>
    <cellStyle name="Calculation 5 3" xfId="5870"/>
    <cellStyle name="Calculation 5 3 2" xfId="33554"/>
    <cellStyle name="Calculation 5 3 2 2" xfId="33555"/>
    <cellStyle name="Calculation 5 4" xfId="33556"/>
    <cellStyle name="Calculation 5 4 2" xfId="33557"/>
    <cellStyle name="Calculation 5 4 2 2" xfId="33558"/>
    <cellStyle name="Calculation 5 4 3" xfId="33559"/>
    <cellStyle name="Calculation 5 5" xfId="33560"/>
    <cellStyle name="Calculation 5 5 2" xfId="33561"/>
    <cellStyle name="Calculation 5 6" xfId="33562"/>
    <cellStyle name="Calculation 5 6 2" xfId="33563"/>
    <cellStyle name="Calculation 5 7" xfId="9465"/>
    <cellStyle name="Calculation 6" xfId="9467"/>
    <cellStyle name="Calculation 6 2" xfId="15506"/>
    <cellStyle name="Calculation 6 2 2" xfId="33564"/>
    <cellStyle name="Calculation 6 2 2 2" xfId="33565"/>
    <cellStyle name="Calculation 6 2 3" xfId="33566"/>
    <cellStyle name="Calculation 6 2 4" xfId="33567"/>
    <cellStyle name="Calculation 6 3" xfId="21873"/>
    <cellStyle name="Calculation 6 3 2" xfId="33568"/>
    <cellStyle name="Calculation 6 3 3" xfId="33569"/>
    <cellStyle name="Calculation 6 4" xfId="33570"/>
    <cellStyle name="Calculation 6 4 2" xfId="33571"/>
    <cellStyle name="Calculation 7" xfId="9468"/>
    <cellStyle name="Calculation 7 2" xfId="13491"/>
    <cellStyle name="Calculation 7 2 2" xfId="33572"/>
    <cellStyle name="Calculation 7 3" xfId="33573"/>
    <cellStyle name="Calculation 7 3 2" xfId="33574"/>
    <cellStyle name="Calculation 8" xfId="13492"/>
    <cellStyle name="Calculation 8 2" xfId="13493"/>
    <cellStyle name="Calculation 8 2 2" xfId="33575"/>
    <cellStyle name="Calculation 8 3" xfId="33576"/>
    <cellStyle name="Calculation 9" xfId="13494"/>
    <cellStyle name="Calculation 9 2" xfId="15507"/>
    <cellStyle name="Calculation 9 2 2" xfId="33577"/>
    <cellStyle name="Calculation 9 3" xfId="42125"/>
    <cellStyle name="Check Cell 2" xfId="2652"/>
    <cellStyle name="Check Cell 2 2" xfId="2653"/>
    <cellStyle name="Check Cell 2 2 2" xfId="2654"/>
    <cellStyle name="Check Cell 2 2 2 10" xfId="9472"/>
    <cellStyle name="Check Cell 2 2 2 2" xfId="9473"/>
    <cellStyle name="Check Cell 2 2 2 2 2" xfId="33578"/>
    <cellStyle name="Check Cell 2 2 2 3" xfId="9474"/>
    <cellStyle name="Check Cell 2 2 2 4" xfId="9475"/>
    <cellStyle name="Check Cell 2 2 2 5" xfId="9476"/>
    <cellStyle name="Check Cell 2 2 2 6" xfId="9477"/>
    <cellStyle name="Check Cell 2 2 2 7" xfId="9478"/>
    <cellStyle name="Check Cell 2 2 2 8" xfId="17893"/>
    <cellStyle name="Check Cell 2 2 2 9" xfId="22374"/>
    <cellStyle name="Check Cell 2 2 3" xfId="17363"/>
    <cellStyle name="Check Cell 2 2 3 2" xfId="33579"/>
    <cellStyle name="Check Cell 2 2 4" xfId="33580"/>
    <cellStyle name="Check Cell 2 2 4 2" xfId="33581"/>
    <cellStyle name="Check Cell 2 2 5" xfId="9471"/>
    <cellStyle name="Check Cell 2 3" xfId="2655"/>
    <cellStyle name="Check Cell 2 3 2" xfId="15508"/>
    <cellStyle name="Check Cell 2 3 2 2" xfId="33582"/>
    <cellStyle name="Check Cell 2 3 2 2 2" xfId="33583"/>
    <cellStyle name="Check Cell 2 3 2 3" xfId="33584"/>
    <cellStyle name="Check Cell 2 3 2 4" xfId="33585"/>
    <cellStyle name="Check Cell 2 3 3" xfId="18025"/>
    <cellStyle name="Check Cell 2 3 3 2" xfId="33586"/>
    <cellStyle name="Check Cell 2 3 4" xfId="33587"/>
    <cellStyle name="Check Cell 2 3 4 2" xfId="33588"/>
    <cellStyle name="Check Cell 2 3 5" xfId="33589"/>
    <cellStyle name="Check Cell 2 3 6" xfId="9479"/>
    <cellStyle name="Check Cell 2 4" xfId="13495"/>
    <cellStyle name="Check Cell 2 4 2" xfId="33590"/>
    <cellStyle name="Check Cell 2 4 2 2" xfId="33591"/>
    <cellStyle name="Check Cell 2 4 3" xfId="33592"/>
    <cellStyle name="Check Cell 2 4 4" xfId="33593"/>
    <cellStyle name="Check Cell 2 5" xfId="33594"/>
    <cellStyle name="Check Cell 2 5 2" xfId="33595"/>
    <cellStyle name="Check Cell 2 6" xfId="33596"/>
    <cellStyle name="Check Cell 2 6 2" xfId="33597"/>
    <cellStyle name="Check Cell 2 7" xfId="9470"/>
    <cellStyle name="Check Cell 3" xfId="2656"/>
    <cellStyle name="Check Cell 3 2" xfId="9481"/>
    <cellStyle name="Check Cell 3 2 2" xfId="33598"/>
    <cellStyle name="Check Cell 3 2 2 2" xfId="33599"/>
    <cellStyle name="Check Cell 3 2 3" xfId="33600"/>
    <cellStyle name="Check Cell 3 3" xfId="9482"/>
    <cellStyle name="Check Cell 3 3 2" xfId="33601"/>
    <cellStyle name="Check Cell 3 4" xfId="9483"/>
    <cellStyle name="Check Cell 3 4 2" xfId="33602"/>
    <cellStyle name="Check Cell 3 5" xfId="9484"/>
    <cellStyle name="Check Cell 3 6" xfId="9485"/>
    <cellStyle name="Check Cell 3 7" xfId="17364"/>
    <cellStyle name="Check Cell 3 8" xfId="22336"/>
    <cellStyle name="Check Cell 3 9" xfId="9480"/>
    <cellStyle name="Check Cell 4" xfId="13496"/>
    <cellStyle name="Check Cell 4 2" xfId="33603"/>
    <cellStyle name="Check Cell 4 2 2" xfId="33604"/>
    <cellStyle name="Check Cell 4 2 2 2" xfId="33605"/>
    <cellStyle name="Check Cell 4 2 3" xfId="33606"/>
    <cellStyle name="Check Cell 4 2 4" xfId="33607"/>
    <cellStyle name="Check Cell 4 3" xfId="33608"/>
    <cellStyle name="Check Cell 4 3 2" xfId="33609"/>
    <cellStyle name="Check Cell 4 4" xfId="33610"/>
    <cellStyle name="Check Cell 4 4 2" xfId="33611"/>
    <cellStyle name="Check Cell 5" xfId="13497"/>
    <cellStyle name="Check Cell 5 2" xfId="33612"/>
    <cellStyle name="Check Cell 5 2 2" xfId="33613"/>
    <cellStyle name="Check Cell 6" xfId="13498"/>
    <cellStyle name="Check Cell 6 2" xfId="33614"/>
    <cellStyle name="Check Cell 6 2 2" xfId="33615"/>
    <cellStyle name="Check Cell 6 3" xfId="33616"/>
    <cellStyle name="Check Cell 6 4" xfId="33617"/>
    <cellStyle name="Check Cell 6 5" xfId="33618"/>
    <cellStyle name="Check Cell 7" xfId="17362"/>
    <cellStyle name="Check Cell 7 2" xfId="33619"/>
    <cellStyle name="Check Cell 8" xfId="33620"/>
    <cellStyle name="Check Cell 9" xfId="9469"/>
    <cellStyle name="CheckCell" xfId="2657"/>
    <cellStyle name="CheckCell 2" xfId="2658"/>
    <cellStyle name="CheckCell 2 2" xfId="2659"/>
    <cellStyle name="CheckCell 2 2 2" xfId="5874"/>
    <cellStyle name="CheckCell 2 2 2 2" xfId="33621"/>
    <cellStyle name="CheckCell 2 2 2 2 2" xfId="33622"/>
    <cellStyle name="CheckCell 2 2 3" xfId="33623"/>
    <cellStyle name="CheckCell 2 2 3 2" xfId="33624"/>
    <cellStyle name="CheckCell 2 2 4" xfId="33625"/>
    <cellStyle name="CheckCell 2 2 4 2" xfId="33626"/>
    <cellStyle name="CheckCell 2 2 5" xfId="9488"/>
    <cellStyle name="CheckCell 2 3" xfId="5873"/>
    <cellStyle name="CheckCell 2 3 2" xfId="33627"/>
    <cellStyle name="CheckCell 2 3 2 2" xfId="33628"/>
    <cellStyle name="CheckCell 2 4" xfId="33629"/>
    <cellStyle name="CheckCell 2 4 2" xfId="33630"/>
    <cellStyle name="CheckCell 2 4 2 2" xfId="33631"/>
    <cellStyle name="CheckCell 2 4 3" xfId="33632"/>
    <cellStyle name="CheckCell 2 5" xfId="33633"/>
    <cellStyle name="CheckCell 2 5 2" xfId="33634"/>
    <cellStyle name="CheckCell 2 6" xfId="33635"/>
    <cellStyle name="CheckCell 2 6 2" xfId="33636"/>
    <cellStyle name="CheckCell 2 7" xfId="9487"/>
    <cellStyle name="CheckCell 3" xfId="2660"/>
    <cellStyle name="CheckCell 3 2" xfId="5875"/>
    <cellStyle name="CheckCell 3 2 2" xfId="33637"/>
    <cellStyle name="CheckCell 3 2 2 2" xfId="33638"/>
    <cellStyle name="CheckCell 3 3" xfId="33639"/>
    <cellStyle name="CheckCell 3 3 2" xfId="33640"/>
    <cellStyle name="CheckCell 3 4" xfId="33641"/>
    <cellStyle name="CheckCell 3 4 2" xfId="33642"/>
    <cellStyle name="CheckCell 3 5" xfId="9489"/>
    <cellStyle name="CheckCell 4" xfId="5872"/>
    <cellStyle name="CheckCell 4 2" xfId="33643"/>
    <cellStyle name="CheckCell 4 2 2" xfId="33644"/>
    <cellStyle name="CheckCell 4 3" xfId="33645"/>
    <cellStyle name="CheckCell 5" xfId="33646"/>
    <cellStyle name="CheckCell 5 2" xfId="33647"/>
    <cellStyle name="CheckCell 5 2 2" xfId="33648"/>
    <cellStyle name="CheckCell 5 3" xfId="33649"/>
    <cellStyle name="CheckCell 6" xfId="33650"/>
    <cellStyle name="CheckCell 6 2" xfId="33651"/>
    <cellStyle name="CheckCell 7" xfId="33652"/>
    <cellStyle name="CheckCell 7 2" xfId="33653"/>
    <cellStyle name="CheckCell 8" xfId="9486"/>
    <cellStyle name="CheckCell_Electric Rev Req Model (2009 GRC) Rebuttal" xfId="9490"/>
    <cellStyle name="ColumnHeading" xfId="33654"/>
    <cellStyle name="ColumnHeadings" xfId="33655"/>
    <cellStyle name="ColumnHeadings2" xfId="33656"/>
    <cellStyle name="Comma" xfId="2661" builtinId="3"/>
    <cellStyle name="Comma  - Style1" xfId="33657"/>
    <cellStyle name="Comma  - Style2" xfId="33658"/>
    <cellStyle name="Comma  - Style3" xfId="33659"/>
    <cellStyle name="Comma  - Style4" xfId="33660"/>
    <cellStyle name="Comma  - Style5" xfId="33661"/>
    <cellStyle name="Comma  - Style6" xfId="33662"/>
    <cellStyle name="Comma  - Style7" xfId="33663"/>
    <cellStyle name="Comma  - Style8" xfId="33664"/>
    <cellStyle name="Comma [0] 2" xfId="14299"/>
    <cellStyle name="Comma [0] 3" xfId="14300"/>
    <cellStyle name="Comma 10" xfId="2662"/>
    <cellStyle name="Comma 10 2" xfId="2663"/>
    <cellStyle name="Comma 10 2 2" xfId="5877"/>
    <cellStyle name="Comma 10 2 2 2" xfId="21874"/>
    <cellStyle name="Comma 10 2 2 2 2" xfId="33665"/>
    <cellStyle name="Comma 10 2 2 3" xfId="33666"/>
    <cellStyle name="Comma 10 2 2 4" xfId="9494"/>
    <cellStyle name="Comma 10 2 3" xfId="17366"/>
    <cellStyle name="Comma 10 2 3 2" xfId="33667"/>
    <cellStyle name="Comma 10 2 3 2 2" xfId="33668"/>
    <cellStyle name="Comma 10 2 3 3" xfId="33669"/>
    <cellStyle name="Comma 10 2 4" xfId="33670"/>
    <cellStyle name="Comma 10 2 4 2" xfId="33671"/>
    <cellStyle name="Comma 10 2 5" xfId="33672"/>
    <cellStyle name="Comma 10 2 5 2" xfId="33673"/>
    <cellStyle name="Comma 10 2 6" xfId="9493"/>
    <cellStyle name="Comma 10 3" xfId="5876"/>
    <cellStyle name="Comma 10 3 2" xfId="21875"/>
    <cellStyle name="Comma 10 3 2 2" xfId="33674"/>
    <cellStyle name="Comma 10 3 3" xfId="33675"/>
    <cellStyle name="Comma 10 3 4" xfId="9495"/>
    <cellStyle name="Comma 10 4" xfId="15685"/>
    <cellStyle name="Comma 10 4 2" xfId="33676"/>
    <cellStyle name="Comma 10 4 2 2" xfId="33677"/>
    <cellStyle name="Comma 10 4 3" xfId="33678"/>
    <cellStyle name="Comma 10 5" xfId="33679"/>
    <cellStyle name="Comma 10 5 2" xfId="33680"/>
    <cellStyle name="Comma 10 6" xfId="33681"/>
    <cellStyle name="Comma 10 6 2" xfId="33682"/>
    <cellStyle name="Comma 10 7" xfId="33683"/>
    <cellStyle name="Comma 10 7 2" xfId="33684"/>
    <cellStyle name="Comma 10 8" xfId="9492"/>
    <cellStyle name="Comma 11" xfId="2664"/>
    <cellStyle name="Comma 11 2" xfId="9497"/>
    <cellStyle name="Comma 11 2 2" xfId="9498"/>
    <cellStyle name="Comma 11 2 2 2" xfId="21876"/>
    <cellStyle name="Comma 11 2 3" xfId="18987"/>
    <cellStyle name="Comma 11 3" xfId="9499"/>
    <cellStyle name="Comma 11 3 2" xfId="21877"/>
    <cellStyle name="Comma 11 3 2 2" xfId="33685"/>
    <cellStyle name="Comma 11 3 3" xfId="33686"/>
    <cellStyle name="Comma 11 3 4" xfId="33687"/>
    <cellStyle name="Comma 11 4" xfId="13999"/>
    <cellStyle name="Comma 11 4 2" xfId="33688"/>
    <cellStyle name="Comma 11 4 2 2" xfId="33689"/>
    <cellStyle name="Comma 11 4 3" xfId="33690"/>
    <cellStyle name="Comma 11 5" xfId="17367"/>
    <cellStyle name="Comma 11 5 2" xfId="33691"/>
    <cellStyle name="Comma 11 6" xfId="9496"/>
    <cellStyle name="Comma 12" xfId="2665"/>
    <cellStyle name="Comma 12 2" xfId="2666"/>
    <cellStyle name="Comma 12 2 2" xfId="5879"/>
    <cellStyle name="Comma 12 2 2 2" xfId="21878"/>
    <cellStyle name="Comma 12 2 2 2 2" xfId="33692"/>
    <cellStyle name="Comma 12 2 2 3" xfId="9502"/>
    <cellStyle name="Comma 12 2 3" xfId="17369"/>
    <cellStyle name="Comma 12 2 3 2" xfId="33693"/>
    <cellStyle name="Comma 12 2 4" xfId="33694"/>
    <cellStyle name="Comma 12 2 4 2" xfId="33695"/>
    <cellStyle name="Comma 12 2 5" xfId="9501"/>
    <cellStyle name="Comma 12 3" xfId="5878"/>
    <cellStyle name="Comma 12 3 2" xfId="21879"/>
    <cellStyle name="Comma 12 3 2 2" xfId="33696"/>
    <cellStyle name="Comma 12 3 3" xfId="33697"/>
    <cellStyle name="Comma 12 3 4" xfId="9503"/>
    <cellStyle name="Comma 12 4" xfId="17368"/>
    <cellStyle name="Comma 12 4 2" xfId="33698"/>
    <cellStyle name="Comma 12 4 2 2" xfId="33699"/>
    <cellStyle name="Comma 12 4 3" xfId="33700"/>
    <cellStyle name="Comma 12 5" xfId="33701"/>
    <cellStyle name="Comma 12 5 2" xfId="33702"/>
    <cellStyle name="Comma 12 6" xfId="33703"/>
    <cellStyle name="Comma 12 6 2" xfId="33704"/>
    <cellStyle name="Comma 12 7" xfId="9500"/>
    <cellStyle name="Comma 13" xfId="2667"/>
    <cellStyle name="Comma 13 2" xfId="2668"/>
    <cellStyle name="Comma 13 2 2" xfId="5881"/>
    <cellStyle name="Comma 13 2 2 2" xfId="21880"/>
    <cellStyle name="Comma 13 2 2 2 2" xfId="33705"/>
    <cellStyle name="Comma 13 2 2 3" xfId="9506"/>
    <cellStyle name="Comma 13 2 3" xfId="17371"/>
    <cellStyle name="Comma 13 2 3 2" xfId="33706"/>
    <cellStyle name="Comma 13 2 4" xfId="33707"/>
    <cellStyle name="Comma 13 2 4 2" xfId="33708"/>
    <cellStyle name="Comma 13 2 5" xfId="9505"/>
    <cellStyle name="Comma 13 3" xfId="5880"/>
    <cellStyle name="Comma 13 3 2" xfId="21881"/>
    <cellStyle name="Comma 13 3 2 2" xfId="33709"/>
    <cellStyle name="Comma 13 3 3" xfId="33710"/>
    <cellStyle name="Comma 13 3 4" xfId="9507"/>
    <cellStyle name="Comma 13 4" xfId="17370"/>
    <cellStyle name="Comma 13 4 2" xfId="33711"/>
    <cellStyle name="Comma 13 4 2 2" xfId="33712"/>
    <cellStyle name="Comma 13 4 3" xfId="33713"/>
    <cellStyle name="Comma 13 5" xfId="33714"/>
    <cellStyle name="Comma 13 5 2" xfId="33715"/>
    <cellStyle name="Comma 13 6" xfId="33716"/>
    <cellStyle name="Comma 13 6 2" xfId="33717"/>
    <cellStyle name="Comma 13 7" xfId="9504"/>
    <cellStyle name="Comma 14" xfId="2669"/>
    <cellStyle name="Comma 14 2" xfId="2670"/>
    <cellStyle name="Comma 14 2 2" xfId="5883"/>
    <cellStyle name="Comma 14 2 2 2" xfId="21882"/>
    <cellStyle name="Comma 14 2 2 2 2" xfId="33718"/>
    <cellStyle name="Comma 14 2 2 3" xfId="9510"/>
    <cellStyle name="Comma 14 2 3" xfId="17373"/>
    <cellStyle name="Comma 14 2 3 2" xfId="33719"/>
    <cellStyle name="Comma 14 2 4" xfId="33720"/>
    <cellStyle name="Comma 14 2 4 2" xfId="33721"/>
    <cellStyle name="Comma 14 2 5" xfId="9509"/>
    <cellStyle name="Comma 14 3" xfId="5882"/>
    <cellStyle name="Comma 14 3 2" xfId="21883"/>
    <cellStyle name="Comma 14 3 2 2" xfId="33722"/>
    <cellStyle name="Comma 14 3 3" xfId="33723"/>
    <cellStyle name="Comma 14 3 4" xfId="9511"/>
    <cellStyle name="Comma 14 4" xfId="17372"/>
    <cellStyle name="Comma 14 4 2" xfId="33724"/>
    <cellStyle name="Comma 14 4 2 2" xfId="33725"/>
    <cellStyle name="Comma 14 4 3" xfId="33726"/>
    <cellStyle name="Comma 14 5" xfId="33727"/>
    <cellStyle name="Comma 14 5 2" xfId="33728"/>
    <cellStyle name="Comma 14 6" xfId="33729"/>
    <cellStyle name="Comma 14 6 2" xfId="33730"/>
    <cellStyle name="Comma 14 7" xfId="9508"/>
    <cellStyle name="Comma 15" xfId="2671"/>
    <cellStyle name="Comma 15 2" xfId="2672"/>
    <cellStyle name="Comma 15 2 2" xfId="17894"/>
    <cellStyle name="Comma 15 2 2 2" xfId="33731"/>
    <cellStyle name="Comma 15 2 2 3" xfId="33732"/>
    <cellStyle name="Comma 15 2 3" xfId="33733"/>
    <cellStyle name="Comma 15 2 4" xfId="9513"/>
    <cellStyle name="Comma 15 3" xfId="5884"/>
    <cellStyle name="Comma 15 3 2" xfId="33734"/>
    <cellStyle name="Comma 15 3 2 2" xfId="33735"/>
    <cellStyle name="Comma 15 3 3" xfId="33736"/>
    <cellStyle name="Comma 15 3 4" xfId="33737"/>
    <cellStyle name="Comma 15 4" xfId="33738"/>
    <cellStyle name="Comma 15 4 2" xfId="33739"/>
    <cellStyle name="Comma 15 4 3" xfId="33740"/>
    <cellStyle name="Comma 15 5" xfId="33741"/>
    <cellStyle name="Comma 15 5 2" xfId="33742"/>
    <cellStyle name="Comma 15 6" xfId="9512"/>
    <cellStyle name="Comma 16" xfId="2673"/>
    <cellStyle name="Comma 16 2" xfId="2674"/>
    <cellStyle name="Comma 16 2 2" xfId="5886"/>
    <cellStyle name="Comma 16 2 2 2" xfId="33743"/>
    <cellStyle name="Comma 16 2 2 2 2" xfId="33744"/>
    <cellStyle name="Comma 16 2 2 3" xfId="33745"/>
    <cellStyle name="Comma 16 2 3" xfId="33746"/>
    <cellStyle name="Comma 16 2 3 2" xfId="33747"/>
    <cellStyle name="Comma 16 2 3 2 2" xfId="33748"/>
    <cellStyle name="Comma 16 2 3 3" xfId="33749"/>
    <cellStyle name="Comma 16 2 4" xfId="33750"/>
    <cellStyle name="Comma 16 2 4 2" xfId="33751"/>
    <cellStyle name="Comma 16 2 5" xfId="9515"/>
    <cellStyle name="Comma 16 3" xfId="5885"/>
    <cellStyle name="Comma 16 3 2" xfId="33752"/>
    <cellStyle name="Comma 16 3 2 2" xfId="33753"/>
    <cellStyle name="Comma 16 3 3" xfId="33754"/>
    <cellStyle name="Comma 16 4" xfId="17374"/>
    <cellStyle name="Comma 16 4 2" xfId="33755"/>
    <cellStyle name="Comma 16 4 2 2" xfId="33756"/>
    <cellStyle name="Comma 16 4 3" xfId="33757"/>
    <cellStyle name="Comma 16 5" xfId="33758"/>
    <cellStyle name="Comma 16 5 2" xfId="33759"/>
    <cellStyle name="Comma 16 6" xfId="33760"/>
    <cellStyle name="Comma 16 6 2" xfId="33761"/>
    <cellStyle name="Comma 16 7" xfId="9514"/>
    <cellStyle name="Comma 17" xfId="2675"/>
    <cellStyle name="Comma 17 2" xfId="2676"/>
    <cellStyle name="Comma 17 2 2" xfId="5888"/>
    <cellStyle name="Comma 17 2 2 2" xfId="21884"/>
    <cellStyle name="Comma 17 2 2 2 2" xfId="33762"/>
    <cellStyle name="Comma 17 2 2 3" xfId="9518"/>
    <cellStyle name="Comma 17 2 3" xfId="17376"/>
    <cellStyle name="Comma 17 2 3 2" xfId="33763"/>
    <cellStyle name="Comma 17 2 4" xfId="33764"/>
    <cellStyle name="Comma 17 2 4 2" xfId="33765"/>
    <cellStyle name="Comma 17 2 5" xfId="9517"/>
    <cellStyle name="Comma 17 3" xfId="5887"/>
    <cellStyle name="Comma 17 3 2" xfId="9520"/>
    <cellStyle name="Comma 17 3 2 2" xfId="21885"/>
    <cellStyle name="Comma 17 3 3" xfId="18988"/>
    <cellStyle name="Comma 17 3 4" xfId="9519"/>
    <cellStyle name="Comma 17 4" xfId="9521"/>
    <cellStyle name="Comma 17 4 2" xfId="9522"/>
    <cellStyle name="Comma 17 4 2 2" xfId="21886"/>
    <cellStyle name="Comma 17 4 3" xfId="18989"/>
    <cellStyle name="Comma 17 5" xfId="17375"/>
    <cellStyle name="Comma 17 5 2" xfId="33766"/>
    <cellStyle name="Comma 17 6" xfId="33767"/>
    <cellStyle name="Comma 17 6 2" xfId="33768"/>
    <cellStyle name="Comma 17 7" xfId="9516"/>
    <cellStyle name="Comma 18" xfId="2677"/>
    <cellStyle name="Comma 18 2" xfId="2678"/>
    <cellStyle name="Comma 18 2 2" xfId="15509"/>
    <cellStyle name="Comma 18 2 2 2" xfId="33769"/>
    <cellStyle name="Comma 18 2 2 2 2" xfId="33770"/>
    <cellStyle name="Comma 18 2 2 3" xfId="33771"/>
    <cellStyle name="Comma 18 2 3" xfId="33772"/>
    <cellStyle name="Comma 18 2 3 2" xfId="33773"/>
    <cellStyle name="Comma 18 2 3 2 2" xfId="33774"/>
    <cellStyle name="Comma 18 2 3 3" xfId="33775"/>
    <cellStyle name="Comma 18 2 4" xfId="33776"/>
    <cellStyle name="Comma 18 2 4 2" xfId="33777"/>
    <cellStyle name="Comma 18 2 5" xfId="33778"/>
    <cellStyle name="Comma 18 2 6" xfId="9524"/>
    <cellStyle name="Comma 18 3" xfId="2679"/>
    <cellStyle name="Comma 18 3 2" xfId="5889"/>
    <cellStyle name="Comma 18 3 2 2" xfId="33779"/>
    <cellStyle name="Comma 18 3 2 3" xfId="18990"/>
    <cellStyle name="Comma 18 3 3" xfId="33780"/>
    <cellStyle name="Comma 18 3 4" xfId="9525"/>
    <cellStyle name="Comma 18 4" xfId="9526"/>
    <cellStyle name="Comma 18 4 2" xfId="18991"/>
    <cellStyle name="Comma 18 4 2 2" xfId="33781"/>
    <cellStyle name="Comma 18 4 3" xfId="33782"/>
    <cellStyle name="Comma 18 5" xfId="17377"/>
    <cellStyle name="Comma 18 5 2" xfId="33783"/>
    <cellStyle name="Comma 18 5 2 2" xfId="33784"/>
    <cellStyle name="Comma 18 5 3" xfId="33785"/>
    <cellStyle name="Comma 18 6" xfId="33786"/>
    <cellStyle name="Comma 18 6 2" xfId="33787"/>
    <cellStyle name="Comma 18 7" xfId="33788"/>
    <cellStyle name="Comma 18 8" xfId="33789"/>
    <cellStyle name="Comma 18 9" xfId="9523"/>
    <cellStyle name="Comma 19" xfId="2680"/>
    <cellStyle name="Comma 19 2" xfId="3339"/>
    <cellStyle name="Comma 19 2 2" xfId="6196"/>
    <cellStyle name="Comma 19 2 2 2" xfId="6449"/>
    <cellStyle name="Comma 19 2 2 2 2" xfId="33792"/>
    <cellStyle name="Comma 19 2 2 2 3" xfId="33791"/>
    <cellStyle name="Comma 19 2 2 3" xfId="33790"/>
    <cellStyle name="Comma 19 2 3" xfId="6381"/>
    <cellStyle name="Comma 19 2 3 2" xfId="33794"/>
    <cellStyle name="Comma 19 2 3 3" xfId="33793"/>
    <cellStyle name="Comma 19 2 4" xfId="33795"/>
    <cellStyle name="Comma 19 2 4 2" xfId="33796"/>
    <cellStyle name="Comma 19 2 5" xfId="33797"/>
    <cellStyle name="Comma 19 2 6" xfId="33798"/>
    <cellStyle name="Comma 19 2 7" xfId="14301"/>
    <cellStyle name="Comma 19 3" xfId="3343"/>
    <cellStyle name="Comma 19 3 2" xfId="6200"/>
    <cellStyle name="Comma 19 3 2 2" xfId="6453"/>
    <cellStyle name="Comma 19 3 2 2 2" xfId="33801"/>
    <cellStyle name="Comma 19 3 2 3" xfId="33800"/>
    <cellStyle name="Comma 19 3 3" xfId="6385"/>
    <cellStyle name="Comma 19 3 4" xfId="33799"/>
    <cellStyle name="Comma 19 4" xfId="5890"/>
    <cellStyle name="Comma 19 4 2" xfId="33803"/>
    <cellStyle name="Comma 19 4 2 2" xfId="33804"/>
    <cellStyle name="Comma 19 4 3" xfId="33805"/>
    <cellStyle name="Comma 19 4 4" xfId="33802"/>
    <cellStyle name="Comma 19 5" xfId="33806"/>
    <cellStyle name="Comma 19 5 2" xfId="33807"/>
    <cellStyle name="Comma 19 6" xfId="33808"/>
    <cellStyle name="Comma 19 7" xfId="9527"/>
    <cellStyle name="Comma 2" xfId="2681"/>
    <cellStyle name="Comma 2 10" xfId="13499"/>
    <cellStyle name="Comma 2 10 2" xfId="33809"/>
    <cellStyle name="Comma 2 10 2 2" xfId="33810"/>
    <cellStyle name="Comma 2 10 3" xfId="33811"/>
    <cellStyle name="Comma 2 11" xfId="15686"/>
    <cellStyle name="Comma 2 11 2" xfId="22583"/>
    <cellStyle name="Comma 2 12" xfId="17378"/>
    <cellStyle name="Comma 2 12 2" xfId="33812"/>
    <cellStyle name="Comma 2 13" xfId="33813"/>
    <cellStyle name="Comma 2 13 2" xfId="33814"/>
    <cellStyle name="Comma 2 14" xfId="9528"/>
    <cellStyle name="Comma 2 2" xfId="2682"/>
    <cellStyle name="Comma 2 2 2" xfId="2683"/>
    <cellStyle name="Comma 2 2 2 2" xfId="2684"/>
    <cellStyle name="Comma 2 2 2 2 2" xfId="5894"/>
    <cellStyle name="Comma 2 2 2 2 2 2" xfId="33815"/>
    <cellStyle name="Comma 2 2 2 2 3" xfId="33816"/>
    <cellStyle name="Comma 2 2 2 2 4" xfId="33817"/>
    <cellStyle name="Comma 2 2 2 2 5" xfId="9531"/>
    <cellStyle name="Comma 2 2 2 3" xfId="5893"/>
    <cellStyle name="Comma 2 2 2 3 2" xfId="33818"/>
    <cellStyle name="Comma 2 2 2 3 2 2" xfId="33819"/>
    <cellStyle name="Comma 2 2 2 3 3" xfId="33820"/>
    <cellStyle name="Comma 2 2 2 3 4" xfId="33821"/>
    <cellStyle name="Comma 2 2 2 4" xfId="17380"/>
    <cellStyle name="Comma 2 2 2 4 2" xfId="33822"/>
    <cellStyle name="Comma 2 2 2 4 2 2" xfId="33823"/>
    <cellStyle name="Comma 2 2 2 4 3" xfId="33824"/>
    <cellStyle name="Comma 2 2 2 5" xfId="33825"/>
    <cellStyle name="Comma 2 2 2 5 2" xfId="33826"/>
    <cellStyle name="Comma 2 2 2 6" xfId="33827"/>
    <cellStyle name="Comma 2 2 2 7" xfId="9530"/>
    <cellStyle name="Comma 2 2 3" xfId="5892"/>
    <cellStyle name="Comma 2 2 3 2" xfId="21887"/>
    <cellStyle name="Comma 2 2 3 2 2" xfId="33828"/>
    <cellStyle name="Comma 2 2 3 2 2 2" xfId="33829"/>
    <cellStyle name="Comma 2 2 3 2 3" xfId="33830"/>
    <cellStyle name="Comma 2 2 3 3" xfId="33831"/>
    <cellStyle name="Comma 2 2 3 3 2" xfId="33832"/>
    <cellStyle name="Comma 2 2 3 3 2 2" xfId="33833"/>
    <cellStyle name="Comma 2 2 3 3 3" xfId="33834"/>
    <cellStyle name="Comma 2 2 3 4" xfId="33835"/>
    <cellStyle name="Comma 2 2 3 4 2" xfId="33836"/>
    <cellStyle name="Comma 2 2 3 5" xfId="33837"/>
    <cellStyle name="Comma 2 2 3 5 2" xfId="33838"/>
    <cellStyle name="Comma 2 2 3 6" xfId="9532"/>
    <cellStyle name="Comma 2 2 4" xfId="17379"/>
    <cellStyle name="Comma 2 2 4 2" xfId="33839"/>
    <cellStyle name="Comma 2 2 4 2 2" xfId="33840"/>
    <cellStyle name="Comma 2 2 4 3" xfId="33841"/>
    <cellStyle name="Comma 2 2 5" xfId="33842"/>
    <cellStyle name="Comma 2 2 5 2" xfId="33843"/>
    <cellStyle name="Comma 2 2 5 2 2" xfId="33844"/>
    <cellStyle name="Comma 2 2 5 3" xfId="33845"/>
    <cellStyle name="Comma 2 2 5 4" xfId="33846"/>
    <cellStyle name="Comma 2 2 6" xfId="33847"/>
    <cellStyle name="Comma 2 2 6 2" xfId="33848"/>
    <cellStyle name="Comma 2 2 7" xfId="33849"/>
    <cellStyle name="Comma 2 2 7 2" xfId="33850"/>
    <cellStyle name="Comma 2 2 8" xfId="9529"/>
    <cellStyle name="Comma 2 2_DEM-WP(C) Chelan Power Costs" xfId="13500"/>
    <cellStyle name="Comma 2 3" xfId="2685"/>
    <cellStyle name="Comma 2 3 2" xfId="2686"/>
    <cellStyle name="Comma 2 3 2 2" xfId="5895"/>
    <cellStyle name="Comma 2 3 2 2 2" xfId="33851"/>
    <cellStyle name="Comma 2 3 2 2 3" xfId="33852"/>
    <cellStyle name="Comma 2 3 2 2 4" xfId="15510"/>
    <cellStyle name="Comma 2 3 2 3" xfId="21888"/>
    <cellStyle name="Comma 2 3 2 4" xfId="33853"/>
    <cellStyle name="Comma 2 3 2 5" xfId="33854"/>
    <cellStyle name="Comma 2 3 2 6" xfId="9534"/>
    <cellStyle name="Comma 2 3 3" xfId="15511"/>
    <cellStyle name="Comma 2 3 3 2" xfId="33855"/>
    <cellStyle name="Comma 2 3 3 2 2" xfId="33856"/>
    <cellStyle name="Comma 2 3 3 3" xfId="33857"/>
    <cellStyle name="Comma 2 3 3 4" xfId="33858"/>
    <cellStyle name="Comma 2 3 4" xfId="17381"/>
    <cellStyle name="Comma 2 3 4 2" xfId="33859"/>
    <cellStyle name="Comma 2 3 5" xfId="33860"/>
    <cellStyle name="Comma 2 3 6" xfId="9533"/>
    <cellStyle name="Comma 2 4" xfId="2687"/>
    <cellStyle name="Comma 2 4 2" xfId="5896"/>
    <cellStyle name="Comma 2 4 2 2" xfId="33861"/>
    <cellStyle name="Comma 2 4 2 2 2" xfId="33862"/>
    <cellStyle name="Comma 2 4 2 3" xfId="33863"/>
    <cellStyle name="Comma 2 4 2 4" xfId="33864"/>
    <cellStyle name="Comma 2 4 2 5" xfId="13501"/>
    <cellStyle name="Comma 2 4 3" xfId="17382"/>
    <cellStyle name="Comma 2 4 3 2" xfId="33865"/>
    <cellStyle name="Comma 2 4 3 2 2" xfId="33866"/>
    <cellStyle name="Comma 2 4 3 3" xfId="33867"/>
    <cellStyle name="Comma 2 4 4" xfId="33868"/>
    <cellStyle name="Comma 2 4 4 2" xfId="33869"/>
    <cellStyle name="Comma 2 4 5" xfId="33870"/>
    <cellStyle name="Comma 2 4 5 2" xfId="33871"/>
    <cellStyle name="Comma 2 4 6" xfId="33872"/>
    <cellStyle name="Comma 2 4 7" xfId="9535"/>
    <cellStyle name="Comma 2 5" xfId="2688"/>
    <cellStyle name="Comma 2 5 2" xfId="5897"/>
    <cellStyle name="Comma 2 5 2 2" xfId="33873"/>
    <cellStyle name="Comma 2 5 2 2 2" xfId="33874"/>
    <cellStyle name="Comma 2 5 2 3" xfId="33875"/>
    <cellStyle name="Comma 2 5 2 4" xfId="33876"/>
    <cellStyle name="Comma 2 5 3" xfId="33877"/>
    <cellStyle name="Comma 2 5 3 2" xfId="33878"/>
    <cellStyle name="Comma 2 5 3 2 2" xfId="33879"/>
    <cellStyle name="Comma 2 5 3 3" xfId="33880"/>
    <cellStyle name="Comma 2 5 4" xfId="33881"/>
    <cellStyle name="Comma 2 5 4 2" xfId="33882"/>
    <cellStyle name="Comma 2 5 5" xfId="33883"/>
    <cellStyle name="Comma 2 5 5 2" xfId="33884"/>
    <cellStyle name="Comma 2 5 6" xfId="33885"/>
    <cellStyle name="Comma 2 5 7" xfId="9536"/>
    <cellStyle name="Comma 2 6" xfId="2689"/>
    <cellStyle name="Comma 2 6 2" xfId="5898"/>
    <cellStyle name="Comma 2 6 2 2" xfId="33886"/>
    <cellStyle name="Comma 2 6 2 2 2" xfId="33887"/>
    <cellStyle name="Comma 2 6 2 3" xfId="33888"/>
    <cellStyle name="Comma 2 6 3" xfId="33889"/>
    <cellStyle name="Comma 2 6 3 2" xfId="33890"/>
    <cellStyle name="Comma 2 6 3 2 2" xfId="33891"/>
    <cellStyle name="Comma 2 6 3 3" xfId="33892"/>
    <cellStyle name="Comma 2 6 3 4" xfId="33893"/>
    <cellStyle name="Comma 2 6 4" xfId="33894"/>
    <cellStyle name="Comma 2 6 4 2" xfId="33895"/>
    <cellStyle name="Comma 2 6 5" xfId="33896"/>
    <cellStyle name="Comma 2 6 5 2" xfId="33897"/>
    <cellStyle name="Comma 2 6 6" xfId="33898"/>
    <cellStyle name="Comma 2 6 7" xfId="9537"/>
    <cellStyle name="Comma 2 7" xfId="2690"/>
    <cellStyle name="Comma 2 7 2" xfId="5899"/>
    <cellStyle name="Comma 2 7 2 2" xfId="33899"/>
    <cellStyle name="Comma 2 7 2 2 2" xfId="33900"/>
    <cellStyle name="Comma 2 7 2 3" xfId="33901"/>
    <cellStyle name="Comma 2 7 3" xfId="33902"/>
    <cellStyle name="Comma 2 7 3 2" xfId="33903"/>
    <cellStyle name="Comma 2 7 3 2 2" xfId="33904"/>
    <cellStyle name="Comma 2 7 3 3" xfId="33905"/>
    <cellStyle name="Comma 2 7 3 4" xfId="33906"/>
    <cellStyle name="Comma 2 7 4" xfId="33907"/>
    <cellStyle name="Comma 2 7 4 2" xfId="33908"/>
    <cellStyle name="Comma 2 7 5" xfId="33909"/>
    <cellStyle name="Comma 2 7 5 2" xfId="33910"/>
    <cellStyle name="Comma 2 7 6" xfId="33911"/>
    <cellStyle name="Comma 2 7 7" xfId="9538"/>
    <cellStyle name="Comma 2 8" xfId="2691"/>
    <cellStyle name="Comma 2 8 2" xfId="5900"/>
    <cellStyle name="Comma 2 8 2 2" xfId="33912"/>
    <cellStyle name="Comma 2 8 2 2 2" xfId="33913"/>
    <cellStyle name="Comma 2 8 2 3" xfId="33914"/>
    <cellStyle name="Comma 2 8 3" xfId="33915"/>
    <cellStyle name="Comma 2 8 3 2" xfId="33916"/>
    <cellStyle name="Comma 2 8 3 2 2" xfId="33917"/>
    <cellStyle name="Comma 2 8 3 3" xfId="33918"/>
    <cellStyle name="Comma 2 8 4" xfId="33919"/>
    <cellStyle name="Comma 2 8 4 2" xfId="33920"/>
    <cellStyle name="Comma 2 8 5" xfId="33921"/>
    <cellStyle name="Comma 2 8 5 2" xfId="33922"/>
    <cellStyle name="Comma 2 8 6" xfId="9539"/>
    <cellStyle name="Comma 2 9" xfId="5891"/>
    <cellStyle name="Comma 2 9 2" xfId="15512"/>
    <cellStyle name="Comma 2 9 2 2" xfId="33923"/>
    <cellStyle name="Comma 2 9 2 3" xfId="33924"/>
    <cellStyle name="Comma 2 9 3" xfId="33925"/>
    <cellStyle name="Comma 2 9 4" xfId="13502"/>
    <cellStyle name="Comma 2_4 31E Reg Asset  Liab and EXH D" xfId="13503"/>
    <cellStyle name="Comma 20" xfId="3338"/>
    <cellStyle name="Comma 20 2" xfId="6195"/>
    <cellStyle name="Comma 20 2 2" xfId="6448"/>
    <cellStyle name="Comma 20 2 2 2" xfId="33926"/>
    <cellStyle name="Comma 20 2 2 3" xfId="21889"/>
    <cellStyle name="Comma 20 2 3" xfId="33927"/>
    <cellStyle name="Comma 20 2 3 2" xfId="33928"/>
    <cellStyle name="Comma 20 2 4" xfId="9541"/>
    <cellStyle name="Comma 20 3" xfId="6380"/>
    <cellStyle name="Comma 20 3 2" xfId="33929"/>
    <cellStyle name="Comma 20 3 3" xfId="17986"/>
    <cellStyle name="Comma 20 4" xfId="33930"/>
    <cellStyle name="Comma 20 4 2" xfId="33931"/>
    <cellStyle name="Comma 20 5" xfId="9540"/>
    <cellStyle name="Comma 21" xfId="3345"/>
    <cellStyle name="Comma 21 2" xfId="3375"/>
    <cellStyle name="Comma 21 2 2" xfId="6213"/>
    <cellStyle name="Comma 21 2 2 2" xfId="33933"/>
    <cellStyle name="Comma 21 2 2 3" xfId="33932"/>
    <cellStyle name="Comma 21 2 3" xfId="13504"/>
    <cellStyle name="Comma 21 3" xfId="6201"/>
    <cellStyle name="Comma 21 3 2" xfId="33934"/>
    <cellStyle name="Comma 21 3 3" xfId="21890"/>
    <cellStyle name="Comma 21 4" xfId="33935"/>
    <cellStyle name="Comma 21 4 2" xfId="33936"/>
    <cellStyle name="Comma 21 5" xfId="9542"/>
    <cellStyle name="Comma 22" xfId="3372"/>
    <cellStyle name="Comma 22 2" xfId="6210"/>
    <cellStyle name="Comma 22 2 2" xfId="6456"/>
    <cellStyle name="Comma 22 2 2 2" xfId="33937"/>
    <cellStyle name="Comma 22 2 3" xfId="13505"/>
    <cellStyle name="Comma 22 3" xfId="6388"/>
    <cellStyle name="Comma 22 3 2" xfId="33938"/>
    <cellStyle name="Comma 22 4" xfId="9543"/>
    <cellStyle name="Comma 23" xfId="6463"/>
    <cellStyle name="Comma 23 2" xfId="13506"/>
    <cellStyle name="Comma 23 2 2" xfId="33939"/>
    <cellStyle name="Comma 23 2 3" xfId="33940"/>
    <cellStyle name="Comma 23 3" xfId="33941"/>
    <cellStyle name="Comma 23 4" xfId="33942"/>
    <cellStyle name="Comma 23 5" xfId="9544"/>
    <cellStyle name="Comma 24" xfId="9545"/>
    <cellStyle name="Comma 24 2" xfId="13507"/>
    <cellStyle name="Comma 24 2 2" xfId="33943"/>
    <cellStyle name="Comma 24 2 3" xfId="33944"/>
    <cellStyle name="Comma 24 3" xfId="33945"/>
    <cellStyle name="Comma 25" xfId="9546"/>
    <cellStyle name="Comma 25 2" xfId="33946"/>
    <cellStyle name="Comma 25 2 2" xfId="33947"/>
    <cellStyle name="Comma 25 3" xfId="33948"/>
    <cellStyle name="Comma 26" xfId="2692"/>
    <cellStyle name="Comma 26 2" xfId="5901"/>
    <cellStyle name="Comma 26 2 2" xfId="33949"/>
    <cellStyle name="Comma 26 2 2 2" xfId="33950"/>
    <cellStyle name="Comma 26 2 3" xfId="33951"/>
    <cellStyle name="Comma 26 3" xfId="33952"/>
    <cellStyle name="Comma 26 3 2" xfId="33953"/>
    <cellStyle name="Comma 26 3 2 2" xfId="33954"/>
    <cellStyle name="Comma 26 3 3" xfId="33955"/>
    <cellStyle name="Comma 26 4" xfId="33956"/>
    <cellStyle name="Comma 26 4 2" xfId="33957"/>
    <cellStyle name="Comma 26 5" xfId="33958"/>
    <cellStyle name="Comma 26 5 2" xfId="33959"/>
    <cellStyle name="Comma 26 6" xfId="33960"/>
    <cellStyle name="Comma 26 7" xfId="9547"/>
    <cellStyle name="Comma 27" xfId="2693"/>
    <cellStyle name="Comma 27 2" xfId="5902"/>
    <cellStyle name="Comma 27 2 2" xfId="33961"/>
    <cellStyle name="Comma 27 2 2 2" xfId="33962"/>
    <cellStyle name="Comma 27 2 3" xfId="33963"/>
    <cellStyle name="Comma 27 3" xfId="33964"/>
    <cellStyle name="Comma 27 3 2" xfId="33965"/>
    <cellStyle name="Comma 27 3 2 2" xfId="33966"/>
    <cellStyle name="Comma 27 3 3" xfId="33967"/>
    <cellStyle name="Comma 27 4" xfId="33968"/>
    <cellStyle name="Comma 27 4 2" xfId="33969"/>
    <cellStyle name="Comma 27 5" xfId="33970"/>
    <cellStyle name="Comma 27 5 2" xfId="33971"/>
    <cellStyle name="Comma 27 6" xfId="33972"/>
    <cellStyle name="Comma 27 7" xfId="9548"/>
    <cellStyle name="Comma 28" xfId="2694"/>
    <cellStyle name="Comma 28 2" xfId="5903"/>
    <cellStyle name="Comma 28 2 2" xfId="33973"/>
    <cellStyle name="Comma 28 2 2 2" xfId="33974"/>
    <cellStyle name="Comma 28 2 3" xfId="33975"/>
    <cellStyle name="Comma 28 3" xfId="33976"/>
    <cellStyle name="Comma 28 3 2" xfId="33977"/>
    <cellStyle name="Comma 28 3 2 2" xfId="33978"/>
    <cellStyle name="Comma 28 3 3" xfId="33979"/>
    <cellStyle name="Comma 28 4" xfId="33980"/>
    <cellStyle name="Comma 28 4 2" xfId="33981"/>
    <cellStyle name="Comma 28 5" xfId="33982"/>
    <cellStyle name="Comma 28 5 2" xfId="33983"/>
    <cellStyle name="Comma 28 6" xfId="9549"/>
    <cellStyle name="Comma 29" xfId="9550"/>
    <cellStyle name="Comma 29 2" xfId="33984"/>
    <cellStyle name="Comma 29 2 2" xfId="33985"/>
    <cellStyle name="Comma 29 2 3" xfId="33986"/>
    <cellStyle name="Comma 29 3" xfId="33987"/>
    <cellStyle name="Comma 29 4" xfId="33988"/>
    <cellStyle name="Comma 3" xfId="2695"/>
    <cellStyle name="Comma 3 2" xfId="2696"/>
    <cellStyle name="Comma 3 2 2" xfId="5905"/>
    <cellStyle name="Comma 3 2 2 2" xfId="9554"/>
    <cellStyle name="Comma 3 2 2 2 2" xfId="21891"/>
    <cellStyle name="Comma 3 2 2 3" xfId="18992"/>
    <cellStyle name="Comma 3 2 2 4" xfId="9553"/>
    <cellStyle name="Comma 3 2 3" xfId="9555"/>
    <cellStyle name="Comma 3 2 3 2" xfId="21892"/>
    <cellStyle name="Comma 3 2 3 2 2" xfId="33989"/>
    <cellStyle name="Comma 3 2 3 3" xfId="33990"/>
    <cellStyle name="Comma 3 2 4" xfId="11865"/>
    <cellStyle name="Comma 3 2 4 2" xfId="33991"/>
    <cellStyle name="Comma 3 2 5" xfId="17384"/>
    <cellStyle name="Comma 3 2 5 2" xfId="33992"/>
    <cellStyle name="Comma 3 2 6" xfId="9552"/>
    <cellStyle name="Comma 3 3" xfId="5904"/>
    <cellStyle name="Comma 3 3 2" xfId="9557"/>
    <cellStyle name="Comma 3 3 2 2" xfId="21893"/>
    <cellStyle name="Comma 3 3 2 2 2" xfId="33993"/>
    <cellStyle name="Comma 3 3 2 3" xfId="33994"/>
    <cellStyle name="Comma 3 3 3" xfId="18993"/>
    <cellStyle name="Comma 3 3 3 2" xfId="33995"/>
    <cellStyle name="Comma 3 3 3 2 2" xfId="33996"/>
    <cellStyle name="Comma 3 3 3 3" xfId="33997"/>
    <cellStyle name="Comma 3 3 4" xfId="33998"/>
    <cellStyle name="Comma 3 3 4 2" xfId="33999"/>
    <cellStyle name="Comma 3 3 5" xfId="34000"/>
    <cellStyle name="Comma 3 3 5 2" xfId="34001"/>
    <cellStyle name="Comma 3 3 6" xfId="9556"/>
    <cellStyle name="Comma 3 4" xfId="9558"/>
    <cellStyle name="Comma 3 4 2" xfId="9559"/>
    <cellStyle name="Comma 3 4 2 2" xfId="21894"/>
    <cellStyle name="Comma 3 4 3" xfId="18994"/>
    <cellStyle name="Comma 3 4 4" xfId="34002"/>
    <cellStyle name="Comma 3 4 5" xfId="42126"/>
    <cellStyle name="Comma 3 5" xfId="9560"/>
    <cellStyle name="Comma 3 5 2" xfId="21895"/>
    <cellStyle name="Comma 3 5 2 2" xfId="34003"/>
    <cellStyle name="Comma 3 5 3" xfId="34004"/>
    <cellStyle name="Comma 3 5 4" xfId="34005"/>
    <cellStyle name="Comma 3 6" xfId="17383"/>
    <cellStyle name="Comma 3 6 2" xfId="34006"/>
    <cellStyle name="Comma 3 7" xfId="34007"/>
    <cellStyle name="Comma 3 7 2" xfId="34008"/>
    <cellStyle name="Comma 3 8" xfId="34009"/>
    <cellStyle name="Comma 3 8 2" xfId="34010"/>
    <cellStyle name="Comma 3 8 3" xfId="34011"/>
    <cellStyle name="Comma 3 9" xfId="9551"/>
    <cellStyle name="Comma 30" xfId="9561"/>
    <cellStyle name="Comma 30 2" xfId="34012"/>
    <cellStyle name="Comma 30 2 2" xfId="34013"/>
    <cellStyle name="Comma 30 2 2 2" xfId="34014"/>
    <cellStyle name="Comma 30 2 3" xfId="34015"/>
    <cellStyle name="Comma 30 3" xfId="34016"/>
    <cellStyle name="Comma 30 3 2" xfId="34017"/>
    <cellStyle name="Comma 30 4" xfId="34018"/>
    <cellStyle name="Comma 31" xfId="9562"/>
    <cellStyle name="Comma 31 2" xfId="14302"/>
    <cellStyle name="Comma 31 2 2" xfId="34019"/>
    <cellStyle name="Comma 31 3" xfId="34020"/>
    <cellStyle name="Comma 32" xfId="9563"/>
    <cellStyle name="Comma 32 2" xfId="34021"/>
    <cellStyle name="Comma 33" xfId="9564"/>
    <cellStyle name="Comma 33 2" xfId="34022"/>
    <cellStyle name="Comma 34" xfId="13508"/>
    <cellStyle name="Comma 34 2" xfId="34023"/>
    <cellStyle name="Comma 34 3" xfId="34024"/>
    <cellStyle name="Comma 35" xfId="13509"/>
    <cellStyle name="Comma 35 2" xfId="34025"/>
    <cellStyle name="Comma 35 3" xfId="34026"/>
    <cellStyle name="Comma 35 4" xfId="34027"/>
    <cellStyle name="Comma 35 5" xfId="34028"/>
    <cellStyle name="Comma 35 6" xfId="34029"/>
    <cellStyle name="Comma 36" xfId="13995"/>
    <cellStyle name="Comma 36 2" xfId="34030"/>
    <cellStyle name="Comma 36 3" xfId="34031"/>
    <cellStyle name="Comma 36 4" xfId="34032"/>
    <cellStyle name="Comma 36 5" xfId="34033"/>
    <cellStyle name="Comma 36 6" xfId="34034"/>
    <cellStyle name="Comma 37" xfId="14000"/>
    <cellStyle name="Comma 37 2" xfId="34035"/>
    <cellStyle name="Comma 37 3" xfId="34036"/>
    <cellStyle name="Comma 37 4" xfId="34037"/>
    <cellStyle name="Comma 37 5" xfId="34038"/>
    <cellStyle name="Comma 37 6" xfId="34039"/>
    <cellStyle name="Comma 38" xfId="14310"/>
    <cellStyle name="Comma 38 2" xfId="34040"/>
    <cellStyle name="Comma 38 3" xfId="34041"/>
    <cellStyle name="Comma 38 4" xfId="34042"/>
    <cellStyle name="Comma 38 5" xfId="34043"/>
    <cellStyle name="Comma 38 6" xfId="34044"/>
    <cellStyle name="Comma 39" xfId="14313"/>
    <cellStyle name="Comma 39 2" xfId="34045"/>
    <cellStyle name="Comma 39 3" xfId="34046"/>
    <cellStyle name="Comma 39 4" xfId="34047"/>
    <cellStyle name="Comma 39 5" xfId="34048"/>
    <cellStyle name="Comma 39 6" xfId="34049"/>
    <cellStyle name="Comma 4" xfId="2697"/>
    <cellStyle name="Comma 4 2" xfId="2698"/>
    <cellStyle name="Comma 4 2 2" xfId="2699"/>
    <cellStyle name="Comma 4 2 2 2" xfId="13510"/>
    <cellStyle name="Comma 4 2 2 2 2" xfId="34050"/>
    <cellStyle name="Comma 4 2 2 3" xfId="17386"/>
    <cellStyle name="Comma 4 2 2 3 2" xfId="34051"/>
    <cellStyle name="Comma 4 2 2 4" xfId="9567"/>
    <cellStyle name="Comma 4 2 3" xfId="13511"/>
    <cellStyle name="Comma 4 2 3 2" xfId="34052"/>
    <cellStyle name="Comma 4 2 3 2 2" xfId="34053"/>
    <cellStyle name="Comma 4 2 3 3" xfId="34054"/>
    <cellStyle name="Comma 4 2 4" xfId="17385"/>
    <cellStyle name="Comma 4 2 4 2" xfId="34055"/>
    <cellStyle name="Comma 4 2 5" xfId="34056"/>
    <cellStyle name="Comma 4 2 5 2" xfId="34057"/>
    <cellStyle name="Comma 4 2 6" xfId="9566"/>
    <cellStyle name="Comma 4 3" xfId="2700"/>
    <cellStyle name="Comma 4 3 2" xfId="5907"/>
    <cellStyle name="Comma 4 3 2 2" xfId="21896"/>
    <cellStyle name="Comma 4 3 2 2 2" xfId="34058"/>
    <cellStyle name="Comma 4 3 2 3" xfId="9569"/>
    <cellStyle name="Comma 4 3 3" xfId="17387"/>
    <cellStyle name="Comma 4 3 3 2" xfId="34059"/>
    <cellStyle name="Comma 4 3 4" xfId="34060"/>
    <cellStyle name="Comma 4 3 4 2" xfId="34061"/>
    <cellStyle name="Comma 4 3 5" xfId="9568"/>
    <cellStyle name="Comma 4 4" xfId="5906"/>
    <cellStyle name="Comma 4 4 2" xfId="21897"/>
    <cellStyle name="Comma 4 4 2 2" xfId="34062"/>
    <cellStyle name="Comma 4 4 3" xfId="34063"/>
    <cellStyle name="Comma 4 4 4" xfId="9570"/>
    <cellStyle name="Comma 4 5" xfId="17846"/>
    <cellStyle name="Comma 4 5 2" xfId="34064"/>
    <cellStyle name="Comma 4 5 2 2" xfId="34065"/>
    <cellStyle name="Comma 4 5 3" xfId="34066"/>
    <cellStyle name="Comma 4 6" xfId="34067"/>
    <cellStyle name="Comma 4 6 2" xfId="34068"/>
    <cellStyle name="Comma 4 7" xfId="34069"/>
    <cellStyle name="Comma 4 7 2" xfId="34070"/>
    <cellStyle name="Comma 4 8" xfId="9565"/>
    <cellStyle name="Comma 40" xfId="14316"/>
    <cellStyle name="Comma 40 2" xfId="34071"/>
    <cellStyle name="Comma 40 3" xfId="34072"/>
    <cellStyle name="Comma 40 4" xfId="34073"/>
    <cellStyle name="Comma 40 5" xfId="34074"/>
    <cellStyle name="Comma 41" xfId="14319"/>
    <cellStyle name="Comma 41 2" xfId="22581"/>
    <cellStyle name="Comma 41 2 2" xfId="34075"/>
    <cellStyle name="Comma 41 3" xfId="34076"/>
    <cellStyle name="Comma 41 4" xfId="34077"/>
    <cellStyle name="Comma 41 5" xfId="34078"/>
    <cellStyle name="Comma 42" xfId="14321"/>
    <cellStyle name="Comma 42 2" xfId="34079"/>
    <cellStyle name="Comma 42 3" xfId="34080"/>
    <cellStyle name="Comma 42 4" xfId="34081"/>
    <cellStyle name="Comma 43" xfId="14325"/>
    <cellStyle name="Comma 43 2" xfId="34082"/>
    <cellStyle name="Comma 43 3" xfId="34083"/>
    <cellStyle name="Comma 44" xfId="17365"/>
    <cellStyle name="Comma 44 2" xfId="34084"/>
    <cellStyle name="Comma 44 3" xfId="34085"/>
    <cellStyle name="Comma 45" xfId="22337"/>
    <cellStyle name="Comma 46" xfId="34086"/>
    <cellStyle name="Comma 47" xfId="34087"/>
    <cellStyle name="Comma 47 2" xfId="34088"/>
    <cellStyle name="Comma 47 3" xfId="34089"/>
    <cellStyle name="Comma 48" xfId="34090"/>
    <cellStyle name="Comma 48 2" xfId="34091"/>
    <cellStyle name="Comma 49" xfId="34092"/>
    <cellStyle name="Comma 5" xfId="2701"/>
    <cellStyle name="Comma 5 2" xfId="2702"/>
    <cellStyle name="Comma 5 2 2" xfId="5909"/>
    <cellStyle name="Comma 5 2 2 2" xfId="21898"/>
    <cellStyle name="Comma 5 2 2 2 2" xfId="34093"/>
    <cellStyle name="Comma 5 2 2 3" xfId="34094"/>
    <cellStyle name="Comma 5 2 2 4" xfId="9573"/>
    <cellStyle name="Comma 5 2 3" xfId="17388"/>
    <cellStyle name="Comma 5 2 3 2" xfId="34095"/>
    <cellStyle name="Comma 5 2 3 2 2" xfId="34096"/>
    <cellStyle name="Comma 5 2 3 3" xfId="34097"/>
    <cellStyle name="Comma 5 2 4" xfId="34098"/>
    <cellStyle name="Comma 5 2 4 2" xfId="34099"/>
    <cellStyle name="Comma 5 2 5" xfId="34100"/>
    <cellStyle name="Comma 5 2 6" xfId="9572"/>
    <cellStyle name="Comma 5 3" xfId="5908"/>
    <cellStyle name="Comma 5 3 2" xfId="21899"/>
    <cellStyle name="Comma 5 3 2 2" xfId="34101"/>
    <cellStyle name="Comma 5 3 3" xfId="34102"/>
    <cellStyle name="Comma 5 3 4" xfId="9574"/>
    <cellStyle name="Comma 5 4" xfId="17847"/>
    <cellStyle name="Comma 5 4 2" xfId="34103"/>
    <cellStyle name="Comma 5 4 2 2" xfId="34104"/>
    <cellStyle name="Comma 5 4 3" xfId="34105"/>
    <cellStyle name="Comma 5 5" xfId="34106"/>
    <cellStyle name="Comma 5 5 2" xfId="34107"/>
    <cellStyle name="Comma 5 6" xfId="34108"/>
    <cellStyle name="Comma 5 6 2" xfId="34109"/>
    <cellStyle name="Comma 5 7" xfId="9571"/>
    <cellStyle name="Comma 50" xfId="34110"/>
    <cellStyle name="Comma 51" xfId="34111"/>
    <cellStyle name="Comma 52" xfId="34112"/>
    <cellStyle name="Comma 53" xfId="41114"/>
    <cellStyle name="Comma 54" xfId="9491"/>
    <cellStyle name="Comma 6" xfId="2703"/>
    <cellStyle name="Comma 6 2" xfId="2704"/>
    <cellStyle name="Comma 6 2 2" xfId="5910"/>
    <cellStyle name="Comma 6 2 2 2" xfId="9578"/>
    <cellStyle name="Comma 6 2 2 2 2" xfId="21900"/>
    <cellStyle name="Comma 6 2 2 3" xfId="18995"/>
    <cellStyle name="Comma 6 2 2 4" xfId="34113"/>
    <cellStyle name="Comma 6 2 2 5" xfId="9577"/>
    <cellStyle name="Comma 6 2 3" xfId="9579"/>
    <cellStyle name="Comma 6 2 3 2" xfId="21901"/>
    <cellStyle name="Comma 6 2 3 2 2" xfId="34114"/>
    <cellStyle name="Comma 6 2 3 3" xfId="34115"/>
    <cellStyle name="Comma 6 2 3 4" xfId="34116"/>
    <cellStyle name="Comma 6 2 4" xfId="17389"/>
    <cellStyle name="Comma 6 2 4 2" xfId="34117"/>
    <cellStyle name="Comma 6 2 5" xfId="34118"/>
    <cellStyle name="Comma 6 2 6" xfId="9576"/>
    <cellStyle name="Comma 6 3" xfId="2705"/>
    <cellStyle name="Comma 6 3 2" xfId="34119"/>
    <cellStyle name="Comma 6 3 2 2" xfId="34120"/>
    <cellStyle name="Comma 6 3 3" xfId="34121"/>
    <cellStyle name="Comma 6 3 4" xfId="34122"/>
    <cellStyle name="Comma 6 3 5" xfId="14303"/>
    <cellStyle name="Comma 6 4" xfId="3381"/>
    <cellStyle name="Comma 6 4 2" xfId="34123"/>
    <cellStyle name="Comma 6 4 2 2" xfId="34124"/>
    <cellStyle name="Comma 6 4 3" xfId="34125"/>
    <cellStyle name="Comma 6 5" xfId="34126"/>
    <cellStyle name="Comma 6 5 2" xfId="34127"/>
    <cellStyle name="Comma 6 6" xfId="34128"/>
    <cellStyle name="Comma 6 6 2" xfId="34129"/>
    <cellStyle name="Comma 6 7" xfId="9575"/>
    <cellStyle name="Comma 7" xfId="2706"/>
    <cellStyle name="Comma 7 2" xfId="2707"/>
    <cellStyle name="Comma 7 2 2" xfId="5912"/>
    <cellStyle name="Comma 7 2 2 2" xfId="21902"/>
    <cellStyle name="Comma 7 2 2 2 2" xfId="34130"/>
    <cellStyle name="Comma 7 2 2 3" xfId="9582"/>
    <cellStyle name="Comma 7 2 3" xfId="17391"/>
    <cellStyle name="Comma 7 2 3 2" xfId="34131"/>
    <cellStyle name="Comma 7 2 4" xfId="34132"/>
    <cellStyle name="Comma 7 2 4 2" xfId="34133"/>
    <cellStyle name="Comma 7 2 5" xfId="9581"/>
    <cellStyle name="Comma 7 3" xfId="5911"/>
    <cellStyle name="Comma 7 3 2" xfId="21903"/>
    <cellStyle name="Comma 7 3 2 2" xfId="34134"/>
    <cellStyle name="Comma 7 3 3" xfId="34135"/>
    <cellStyle name="Comma 7 3 4" xfId="9583"/>
    <cellStyle name="Comma 7 4" xfId="17390"/>
    <cellStyle name="Comma 7 4 2" xfId="34136"/>
    <cellStyle name="Comma 7 4 2 2" xfId="34137"/>
    <cellStyle name="Comma 7 4 3" xfId="34138"/>
    <cellStyle name="Comma 7 5" xfId="34139"/>
    <cellStyle name="Comma 7 5 2" xfId="34140"/>
    <cellStyle name="Comma 7 6" xfId="34141"/>
    <cellStyle name="Comma 7 6 2" xfId="34142"/>
    <cellStyle name="Comma 7 7" xfId="9580"/>
    <cellStyle name="Comma 8" xfId="2708"/>
    <cellStyle name="Comma 8 2" xfId="2709"/>
    <cellStyle name="Comma 8 2 2" xfId="5914"/>
    <cellStyle name="Comma 8 2 2 2" xfId="9587"/>
    <cellStyle name="Comma 8 2 2 2 2" xfId="21904"/>
    <cellStyle name="Comma 8 2 2 3" xfId="18996"/>
    <cellStyle name="Comma 8 2 2 4" xfId="9586"/>
    <cellStyle name="Comma 8 2 3" xfId="9588"/>
    <cellStyle name="Comma 8 2 3 2" xfId="21905"/>
    <cellStyle name="Comma 8 2 4" xfId="17393"/>
    <cellStyle name="Comma 8 2 4 2" xfId="34143"/>
    <cellStyle name="Comma 8 2 5" xfId="9585"/>
    <cellStyle name="Comma 8 3" xfId="5913"/>
    <cellStyle name="Comma 8 3 2" xfId="9590"/>
    <cellStyle name="Comma 8 3 2 2" xfId="21906"/>
    <cellStyle name="Comma 8 3 3" xfId="18997"/>
    <cellStyle name="Comma 8 3 4" xfId="9589"/>
    <cellStyle name="Comma 8 4" xfId="9591"/>
    <cellStyle name="Comma 8 4 2" xfId="21907"/>
    <cellStyle name="Comma 8 4 2 2" xfId="34144"/>
    <cellStyle name="Comma 8 4 3" xfId="34145"/>
    <cellStyle name="Comma 8 5" xfId="17392"/>
    <cellStyle name="Comma 8 5 2" xfId="34146"/>
    <cellStyle name="Comma 8 6" xfId="34147"/>
    <cellStyle name="Comma 8 6 2" xfId="34148"/>
    <cellStyle name="Comma 8 7" xfId="9584"/>
    <cellStyle name="Comma 9" xfId="2710"/>
    <cellStyle name="Comma 9 10" xfId="17394"/>
    <cellStyle name="Comma 9 11" xfId="9592"/>
    <cellStyle name="Comma 9 2" xfId="2711"/>
    <cellStyle name="Comma 9 2 2" xfId="5916"/>
    <cellStyle name="Comma 9 2 2 2" xfId="9595"/>
    <cellStyle name="Comma 9 2 2 2 2" xfId="21908"/>
    <cellStyle name="Comma 9 2 2 3" xfId="18998"/>
    <cellStyle name="Comma 9 2 2 4" xfId="9594"/>
    <cellStyle name="Comma 9 2 3" xfId="9596"/>
    <cellStyle name="Comma 9 2 3 2" xfId="21909"/>
    <cellStyle name="Comma 9 2 4" xfId="17395"/>
    <cellStyle name="Comma 9 2 4 2" xfId="34149"/>
    <cellStyle name="Comma 9 2 5" xfId="9593"/>
    <cellStyle name="Comma 9 3" xfId="5915"/>
    <cellStyle name="Comma 9 3 2" xfId="9598"/>
    <cellStyle name="Comma 9 3 2 2" xfId="19000"/>
    <cellStyle name="Comma 9 3 3" xfId="9599"/>
    <cellStyle name="Comma 9 3 3 2" xfId="21910"/>
    <cellStyle name="Comma 9 3 4" xfId="9600"/>
    <cellStyle name="Comma 9 3 4 2" xfId="21911"/>
    <cellStyle name="Comma 9 3 5" xfId="18999"/>
    <cellStyle name="Comma 9 3 6" xfId="9597"/>
    <cellStyle name="Comma 9 4" xfId="9601"/>
    <cellStyle name="Comma 9 4 2" xfId="9602"/>
    <cellStyle name="Comma 9 4 2 2" xfId="21912"/>
    <cellStyle name="Comma 9 4 3" xfId="19001"/>
    <cellStyle name="Comma 9 5" xfId="9603"/>
    <cellStyle name="Comma 9 5 2" xfId="9604"/>
    <cellStyle name="Comma 9 5 2 2" xfId="21913"/>
    <cellStyle name="Comma 9 5 3" xfId="19002"/>
    <cellStyle name="Comma 9 6" xfId="9605"/>
    <cellStyle name="Comma 9 6 2" xfId="19003"/>
    <cellStyle name="Comma 9 7" xfId="9606"/>
    <cellStyle name="Comma 9 7 2" xfId="21914"/>
    <cellStyle name="Comma 9 8" xfId="9607"/>
    <cellStyle name="Comma 9 8 2" xfId="21915"/>
    <cellStyle name="Comma 9 9" xfId="14222"/>
    <cellStyle name="Comma0" xfId="2712"/>
    <cellStyle name="Comma0 - Style2" xfId="2713"/>
    <cellStyle name="Comma0 - Style2 2" xfId="17397"/>
    <cellStyle name="Comma0 - Style2 2 2" xfId="34150"/>
    <cellStyle name="Comma0 - Style2 2 2 2" xfId="34151"/>
    <cellStyle name="Comma0 - Style2 2 3" xfId="34152"/>
    <cellStyle name="Comma0 - Style2 3" xfId="34153"/>
    <cellStyle name="Comma0 - Style2 3 2" xfId="34154"/>
    <cellStyle name="Comma0 - Style2 4" xfId="34155"/>
    <cellStyle name="Comma0 - Style2 4 2" xfId="34156"/>
    <cellStyle name="Comma0 - Style2 5" xfId="9609"/>
    <cellStyle name="Comma0 - Style4" xfId="2714"/>
    <cellStyle name="Comma0 - Style4 2" xfId="17398"/>
    <cellStyle name="Comma0 - Style4 2 2" xfId="34157"/>
    <cellStyle name="Comma0 - Style4 2 2 2" xfId="34158"/>
    <cellStyle name="Comma0 - Style4 2 3" xfId="34159"/>
    <cellStyle name="Comma0 - Style4 3" xfId="34160"/>
    <cellStyle name="Comma0 - Style4 3 2" xfId="34161"/>
    <cellStyle name="Comma0 - Style4 4" xfId="34162"/>
    <cellStyle name="Comma0 - Style4 4 2" xfId="34163"/>
    <cellStyle name="Comma0 - Style4 5" xfId="9610"/>
    <cellStyle name="Comma0 - Style5" xfId="2715"/>
    <cellStyle name="Comma0 - Style5 2" xfId="2716"/>
    <cellStyle name="Comma0 - Style5 2 2" xfId="17848"/>
    <cellStyle name="Comma0 - Style5 2 2 2" xfId="34164"/>
    <cellStyle name="Comma0 - Style5 2 3" xfId="34165"/>
    <cellStyle name="Comma0 - Style5 2 4" xfId="9612"/>
    <cellStyle name="Comma0 - Style5 3" xfId="17399"/>
    <cellStyle name="Comma0 - Style5 3 2" xfId="34166"/>
    <cellStyle name="Comma0 - Style5 3 2 2" xfId="34167"/>
    <cellStyle name="Comma0 - Style5 3 3" xfId="34168"/>
    <cellStyle name="Comma0 - Style5 4" xfId="34169"/>
    <cellStyle name="Comma0 - Style5 4 2" xfId="34170"/>
    <cellStyle name="Comma0 - Style5 5" xfId="34171"/>
    <cellStyle name="Comma0 - Style5 6" xfId="9611"/>
    <cellStyle name="Comma0 - Style5_Electric Rev Req Model (2009 GRC) Rebuttal" xfId="9613"/>
    <cellStyle name="Comma0 10" xfId="9614"/>
    <cellStyle name="Comma0 10 2" xfId="19004"/>
    <cellStyle name="Comma0 10 2 2" xfId="34172"/>
    <cellStyle name="Comma0 10 3" xfId="34173"/>
    <cellStyle name="Comma0 11" xfId="9615"/>
    <cellStyle name="Comma0 11 2" xfId="19005"/>
    <cellStyle name="Comma0 11 2 2" xfId="34174"/>
    <cellStyle name="Comma0 11 3" xfId="34175"/>
    <cellStyle name="Comma0 12" xfId="9616"/>
    <cellStyle name="Comma0 12 2" xfId="34176"/>
    <cellStyle name="Comma0 12 2 2" xfId="34177"/>
    <cellStyle name="Comma0 12 3" xfId="34178"/>
    <cellStyle name="Comma0 13" xfId="9617"/>
    <cellStyle name="Comma0 13 2" xfId="34179"/>
    <cellStyle name="Comma0 13 2 2" xfId="34180"/>
    <cellStyle name="Comma0 13 3" xfId="34181"/>
    <cellStyle name="Comma0 14" xfId="9618"/>
    <cellStyle name="Comma0 14 2" xfId="34182"/>
    <cellStyle name="Comma0 14 2 2" xfId="34183"/>
    <cellStyle name="Comma0 14 3" xfId="34184"/>
    <cellStyle name="Comma0 15" xfId="9619"/>
    <cellStyle name="Comma0 15 2" xfId="34185"/>
    <cellStyle name="Comma0 15 2 2" xfId="34186"/>
    <cellStyle name="Comma0 15 3" xfId="34187"/>
    <cellStyle name="Comma0 16" xfId="9620"/>
    <cellStyle name="Comma0 16 2" xfId="34188"/>
    <cellStyle name="Comma0 16 2 2" xfId="34189"/>
    <cellStyle name="Comma0 16 3" xfId="34190"/>
    <cellStyle name="Comma0 17" xfId="9621"/>
    <cellStyle name="Comma0 17 2" xfId="34191"/>
    <cellStyle name="Comma0 18" xfId="9622"/>
    <cellStyle name="Comma0 18 2" xfId="34192"/>
    <cellStyle name="Comma0 19" xfId="9623"/>
    <cellStyle name="Comma0 19 2" xfId="34193"/>
    <cellStyle name="Comma0 2" xfId="2717"/>
    <cellStyle name="Comma0 2 2" xfId="17400"/>
    <cellStyle name="Comma0 2 2 2" xfId="34194"/>
    <cellStyle name="Comma0 2 2 2 2" xfId="34195"/>
    <cellStyle name="Comma0 2 2 3" xfId="34196"/>
    <cellStyle name="Comma0 2 3" xfId="34197"/>
    <cellStyle name="Comma0 2 3 2" xfId="34198"/>
    <cellStyle name="Comma0 2 4" xfId="34199"/>
    <cellStyle name="Comma0 2 4 2" xfId="34200"/>
    <cellStyle name="Comma0 2 5" xfId="9624"/>
    <cellStyle name="Comma0 20" xfId="9625"/>
    <cellStyle name="Comma0 20 2" xfId="34201"/>
    <cellStyle name="Comma0 21" xfId="17396"/>
    <cellStyle name="Comma0 21 2" xfId="34202"/>
    <cellStyle name="Comma0 22" xfId="22338"/>
    <cellStyle name="Comma0 22 2" xfId="34203"/>
    <cellStyle name="Comma0 23" xfId="34204"/>
    <cellStyle name="Comma0 23 2" xfId="34205"/>
    <cellStyle name="Comma0 24" xfId="34206"/>
    <cellStyle name="Comma0 24 2" xfId="34207"/>
    <cellStyle name="Comma0 25" xfId="34208"/>
    <cellStyle name="Comma0 25 2" xfId="34209"/>
    <cellStyle name="Comma0 26" xfId="34210"/>
    <cellStyle name="Comma0 26 2" xfId="34211"/>
    <cellStyle name="Comma0 27" xfId="34212"/>
    <cellStyle name="Comma0 27 2" xfId="34213"/>
    <cellStyle name="Comma0 28" xfId="34214"/>
    <cellStyle name="Comma0 28 2" xfId="34215"/>
    <cellStyle name="Comma0 29" xfId="34216"/>
    <cellStyle name="Comma0 29 2" xfId="34217"/>
    <cellStyle name="Comma0 3" xfId="2718"/>
    <cellStyle name="Comma0 3 2" xfId="17401"/>
    <cellStyle name="Comma0 3 2 2" xfId="34218"/>
    <cellStyle name="Comma0 3 2 2 2" xfId="34219"/>
    <cellStyle name="Comma0 3 2 3" xfId="34220"/>
    <cellStyle name="Comma0 3 3" xfId="34221"/>
    <cellStyle name="Comma0 3 3 2" xfId="34222"/>
    <cellStyle name="Comma0 3 4" xfId="34223"/>
    <cellStyle name="Comma0 3 4 2" xfId="34224"/>
    <cellStyle name="Comma0 3 5" xfId="9626"/>
    <cellStyle name="Comma0 30" xfId="34225"/>
    <cellStyle name="Comma0 30 2" xfId="34226"/>
    <cellStyle name="Comma0 31" xfId="34227"/>
    <cellStyle name="Comma0 31 2" xfId="34228"/>
    <cellStyle name="Comma0 32" xfId="34229"/>
    <cellStyle name="Comma0 32 2" xfId="34230"/>
    <cellStyle name="Comma0 33" xfId="34231"/>
    <cellStyle name="Comma0 33 2" xfId="34232"/>
    <cellStyle name="Comma0 34" xfId="34233"/>
    <cellStyle name="Comma0 34 2" xfId="34234"/>
    <cellStyle name="Comma0 35" xfId="34235"/>
    <cellStyle name="Comma0 35 2" xfId="34236"/>
    <cellStyle name="Comma0 36" xfId="34237"/>
    <cellStyle name="Comma0 36 2" xfId="34238"/>
    <cellStyle name="Comma0 37" xfId="9608"/>
    <cellStyle name="Comma0 4" xfId="2719"/>
    <cellStyle name="Comma0 4 2" xfId="17402"/>
    <cellStyle name="Comma0 4 2 2" xfId="34239"/>
    <cellStyle name="Comma0 4 2 2 2" xfId="34240"/>
    <cellStyle name="Comma0 4 2 3" xfId="34241"/>
    <cellStyle name="Comma0 4 3" xfId="34242"/>
    <cellStyle name="Comma0 4 3 2" xfId="34243"/>
    <cellStyle name="Comma0 4 4" xfId="34244"/>
    <cellStyle name="Comma0 4 4 2" xfId="34245"/>
    <cellStyle name="Comma0 4 5" xfId="9627"/>
    <cellStyle name="Comma0 5" xfId="2720"/>
    <cellStyle name="Comma0 5 2" xfId="2721"/>
    <cellStyle name="Comma0 5 2 2" xfId="18026"/>
    <cellStyle name="Comma0 5 2 3" xfId="34246"/>
    <cellStyle name="Comma0 5 2 4" xfId="9629"/>
    <cellStyle name="Comma0 5 3" xfId="17403"/>
    <cellStyle name="Comma0 5 4" xfId="34247"/>
    <cellStyle name="Comma0 5 5" xfId="9628"/>
    <cellStyle name="Comma0 6" xfId="9630"/>
    <cellStyle name="Comma0 6 2" xfId="19006"/>
    <cellStyle name="Comma0 6 2 2" xfId="34248"/>
    <cellStyle name="Comma0 6 3" xfId="34249"/>
    <cellStyle name="Comma0 7" xfId="9631"/>
    <cellStyle name="Comma0 7 2" xfId="19007"/>
    <cellStyle name="Comma0 7 2 2" xfId="34250"/>
    <cellStyle name="Comma0 7 3" xfId="34251"/>
    <cellStyle name="Comma0 8" xfId="9632"/>
    <cellStyle name="Comma0 8 2" xfId="19008"/>
    <cellStyle name="Comma0 8 2 2" xfId="34252"/>
    <cellStyle name="Comma0 8 3" xfId="34253"/>
    <cellStyle name="Comma0 9" xfId="9633"/>
    <cellStyle name="Comma0 9 2" xfId="19009"/>
    <cellStyle name="Comma0 9 2 2" xfId="34254"/>
    <cellStyle name="Comma0 9 3" xfId="34255"/>
    <cellStyle name="Comma0_00COS Ind Allocators" xfId="2722"/>
    <cellStyle name="Comma1 - Style1" xfId="2723"/>
    <cellStyle name="Comma1 - Style1 2" xfId="2724"/>
    <cellStyle name="Comma1 - Style1 2 2" xfId="17849"/>
    <cellStyle name="Comma1 - Style1 2 2 2" xfId="34256"/>
    <cellStyle name="Comma1 - Style1 2 3" xfId="34257"/>
    <cellStyle name="Comma1 - Style1 2 4" xfId="9635"/>
    <cellStyle name="Comma1 - Style1 3" xfId="17404"/>
    <cellStyle name="Comma1 - Style1 3 2" xfId="34258"/>
    <cellStyle name="Comma1 - Style1 3 2 2" xfId="34259"/>
    <cellStyle name="Comma1 - Style1 3 3" xfId="34260"/>
    <cellStyle name="Comma1 - Style1 4" xfId="34261"/>
    <cellStyle name="Comma1 - Style1 4 2" xfId="34262"/>
    <cellStyle name="Comma1 - Style1 5" xfId="34263"/>
    <cellStyle name="Comma1 - Style1 6" xfId="9634"/>
    <cellStyle name="Comma1 - Style1_Electric Rev Req Model (2009 GRC) Rebuttal" xfId="9636"/>
    <cellStyle name="Comment" xfId="34264"/>
    <cellStyle name="Copied" xfId="2725"/>
    <cellStyle name="Copied 2" xfId="2726"/>
    <cellStyle name="Copied 2 2" xfId="2727"/>
    <cellStyle name="Copied 2 2 2" xfId="18027"/>
    <cellStyle name="Copied 2 2 3" xfId="34265"/>
    <cellStyle name="Copied 2 2 4" xfId="9639"/>
    <cellStyle name="Copied 2 3" xfId="17406"/>
    <cellStyle name="Copied 2 4" xfId="34266"/>
    <cellStyle name="Copied 2 5" xfId="9638"/>
    <cellStyle name="Copied 3" xfId="9640"/>
    <cellStyle name="Copied 3 2" xfId="17850"/>
    <cellStyle name="Copied 4" xfId="9641"/>
    <cellStyle name="Copied 4 2" xfId="34267"/>
    <cellStyle name="Copied 5" xfId="17405"/>
    <cellStyle name="Copied 6" xfId="9637"/>
    <cellStyle name="COST1" xfId="2728"/>
    <cellStyle name="COST1 2" xfId="2729"/>
    <cellStyle name="COST1 2 2" xfId="2730"/>
    <cellStyle name="COST1 2 2 2" xfId="18028"/>
    <cellStyle name="COST1 2 2 3" xfId="34268"/>
    <cellStyle name="COST1 2 2 4" xfId="9644"/>
    <cellStyle name="COST1 2 3" xfId="17408"/>
    <cellStyle name="COST1 2 4" xfId="34269"/>
    <cellStyle name="COST1 2 5" xfId="9643"/>
    <cellStyle name="COST1 3" xfId="9645"/>
    <cellStyle name="COST1 3 2" xfId="17851"/>
    <cellStyle name="COST1 4" xfId="9646"/>
    <cellStyle name="COST1 4 2" xfId="34270"/>
    <cellStyle name="COST1 5" xfId="17407"/>
    <cellStyle name="COST1 6" xfId="9642"/>
    <cellStyle name="CountryTitle" xfId="34271"/>
    <cellStyle name="Curren - Style1" xfId="2731"/>
    <cellStyle name="Curren - Style1 2" xfId="17409"/>
    <cellStyle name="Curren - Style1 2 2" xfId="34272"/>
    <cellStyle name="Curren - Style1 2 2 2" xfId="34273"/>
    <cellStyle name="Curren - Style1 2 3" xfId="34274"/>
    <cellStyle name="Curren - Style1 3" xfId="34275"/>
    <cellStyle name="Curren - Style1 3 2" xfId="34276"/>
    <cellStyle name="Curren - Style1 4" xfId="34277"/>
    <cellStyle name="Curren - Style1 4 2" xfId="34278"/>
    <cellStyle name="Curren - Style1 5" xfId="9647"/>
    <cellStyle name="Curren - Style2" xfId="2732"/>
    <cellStyle name="Curren - Style2 2" xfId="2733"/>
    <cellStyle name="Curren - Style2 2 2" xfId="17852"/>
    <cellStyle name="Curren - Style2 2 2 2" xfId="34279"/>
    <cellStyle name="Curren - Style2 2 3" xfId="34280"/>
    <cellStyle name="Curren - Style2 2 4" xfId="9649"/>
    <cellStyle name="Curren - Style2 3" xfId="17410"/>
    <cellStyle name="Curren - Style2 3 2" xfId="34281"/>
    <cellStyle name="Curren - Style2 3 2 2" xfId="34282"/>
    <cellStyle name="Curren - Style2 3 3" xfId="34283"/>
    <cellStyle name="Curren - Style2 4" xfId="34284"/>
    <cellStyle name="Curren - Style2 4 2" xfId="34285"/>
    <cellStyle name="Curren - Style2 5" xfId="34286"/>
    <cellStyle name="Curren - Style2 6" xfId="9648"/>
    <cellStyle name="Curren - Style2_Electric Rev Req Model (2009 GRC) Rebuttal" xfId="9650"/>
    <cellStyle name="Curren - Style5" xfId="2734"/>
    <cellStyle name="Curren - Style5 2" xfId="17411"/>
    <cellStyle name="Curren - Style5 2 2" xfId="34287"/>
    <cellStyle name="Curren - Style5 2 2 2" xfId="34288"/>
    <cellStyle name="Curren - Style5 2 3" xfId="34289"/>
    <cellStyle name="Curren - Style5 3" xfId="34290"/>
    <cellStyle name="Curren - Style5 3 2" xfId="34291"/>
    <cellStyle name="Curren - Style5 4" xfId="34292"/>
    <cellStyle name="Curren - Style5 4 2" xfId="34293"/>
    <cellStyle name="Curren - Style5 5" xfId="9651"/>
    <cellStyle name="Curren - Style6" xfId="2735"/>
    <cellStyle name="Curren - Style6 2" xfId="2736"/>
    <cellStyle name="Curren - Style6 2 2" xfId="17853"/>
    <cellStyle name="Curren - Style6 2 2 2" xfId="34294"/>
    <cellStyle name="Curren - Style6 2 3" xfId="34295"/>
    <cellStyle name="Curren - Style6 2 4" xfId="9653"/>
    <cellStyle name="Curren - Style6 3" xfId="17412"/>
    <cellStyle name="Curren - Style6 3 2" xfId="34296"/>
    <cellStyle name="Curren - Style6 3 2 2" xfId="34297"/>
    <cellStyle name="Curren - Style6 3 3" xfId="34298"/>
    <cellStyle name="Curren - Style6 4" xfId="34299"/>
    <cellStyle name="Curren - Style6 4 2" xfId="34300"/>
    <cellStyle name="Curren - Style6 5" xfId="34301"/>
    <cellStyle name="Curren - Style6 6" xfId="9652"/>
    <cellStyle name="Curren - Style6_Electric Rev Req Model (2009 GRC) Rebuttal" xfId="9654"/>
    <cellStyle name="Currency" xfId="6287" builtinId="4"/>
    <cellStyle name="Currency 10" xfId="2737"/>
    <cellStyle name="Currency 10 2" xfId="9657"/>
    <cellStyle name="Currency 10 2 2" xfId="9658"/>
    <cellStyle name="Currency 10 2 2 2" xfId="21916"/>
    <cellStyle name="Currency 10 2 3" xfId="19010"/>
    <cellStyle name="Currency 10 3" xfId="9659"/>
    <cellStyle name="Currency 10 3 2" xfId="21917"/>
    <cellStyle name="Currency 10 3 2 2" xfId="34302"/>
    <cellStyle name="Currency 10 3 3" xfId="34303"/>
    <cellStyle name="Currency 10 3 4" xfId="34304"/>
    <cellStyle name="Currency 10 4" xfId="15688"/>
    <cellStyle name="Currency 10 4 2" xfId="34305"/>
    <cellStyle name="Currency 10 4 2 2" xfId="34306"/>
    <cellStyle name="Currency 10 4 3" xfId="34307"/>
    <cellStyle name="Currency 10 5" xfId="34308"/>
    <cellStyle name="Currency 10 5 2" xfId="34309"/>
    <cellStyle name="Currency 10 6" xfId="34310"/>
    <cellStyle name="Currency 10 6 2" xfId="34311"/>
    <cellStyle name="Currency 10 7" xfId="9656"/>
    <cellStyle name="Currency 11" xfId="2738"/>
    <cellStyle name="Currency 11 2" xfId="2739"/>
    <cellStyle name="Currency 11 2 2" xfId="5920"/>
    <cellStyle name="Currency 11 2 2 2" xfId="21918"/>
    <cellStyle name="Currency 11 2 2 2 2" xfId="34312"/>
    <cellStyle name="Currency 11 2 2 3" xfId="9662"/>
    <cellStyle name="Currency 11 2 3" xfId="11864"/>
    <cellStyle name="Currency 11 2 3 2" xfId="34313"/>
    <cellStyle name="Currency 11 2 4" xfId="17415"/>
    <cellStyle name="Currency 11 2 4 2" xfId="34314"/>
    <cellStyle name="Currency 11 2 5" xfId="9661"/>
    <cellStyle name="Currency 11 3" xfId="5919"/>
    <cellStyle name="Currency 11 3 2" xfId="21919"/>
    <cellStyle name="Currency 11 3 2 2" xfId="34315"/>
    <cellStyle name="Currency 11 3 3" xfId="34316"/>
    <cellStyle name="Currency 11 3 4" xfId="9663"/>
    <cellStyle name="Currency 11 4" xfId="17414"/>
    <cellStyle name="Currency 11 4 2" xfId="34317"/>
    <cellStyle name="Currency 11 4 2 2" xfId="34318"/>
    <cellStyle name="Currency 11 4 3" xfId="34319"/>
    <cellStyle name="Currency 11 5" xfId="34320"/>
    <cellStyle name="Currency 11 5 2" xfId="34321"/>
    <cellStyle name="Currency 11 6" xfId="34322"/>
    <cellStyle name="Currency 11 6 2" xfId="34323"/>
    <cellStyle name="Currency 11 7" xfId="9660"/>
    <cellStyle name="Currency 12" xfId="2740"/>
    <cellStyle name="Currency 12 2" xfId="2741"/>
    <cellStyle name="Currency 12 2 2" xfId="5921"/>
    <cellStyle name="Currency 12 2 2 2" xfId="34324"/>
    <cellStyle name="Currency 12 2 2 2 2" xfId="34325"/>
    <cellStyle name="Currency 12 2 2 3" xfId="34326"/>
    <cellStyle name="Currency 12 2 3" xfId="34327"/>
    <cellStyle name="Currency 12 2 3 2" xfId="34328"/>
    <cellStyle name="Currency 12 2 3 2 2" xfId="34329"/>
    <cellStyle name="Currency 12 2 3 3" xfId="34330"/>
    <cellStyle name="Currency 12 2 4" xfId="34331"/>
    <cellStyle name="Currency 12 2 4 2" xfId="34332"/>
    <cellStyle name="Currency 12 2 5" xfId="34333"/>
    <cellStyle name="Currency 12 2 5 2" xfId="34334"/>
    <cellStyle name="Currency 12 2 6" xfId="9665"/>
    <cellStyle name="Currency 12 3" xfId="2742"/>
    <cellStyle name="Currency 12 3 2" xfId="5922"/>
    <cellStyle name="Currency 12 3 2 2" xfId="34335"/>
    <cellStyle name="Currency 12 3 2 2 2" xfId="34336"/>
    <cellStyle name="Currency 12 3 2 3" xfId="34337"/>
    <cellStyle name="Currency 12 3 3" xfId="34338"/>
    <cellStyle name="Currency 12 3 3 2" xfId="34339"/>
    <cellStyle name="Currency 12 3 3 2 2" xfId="34340"/>
    <cellStyle name="Currency 12 3 3 3" xfId="34341"/>
    <cellStyle name="Currency 12 3 4" xfId="34342"/>
    <cellStyle name="Currency 12 3 4 2" xfId="34343"/>
    <cellStyle name="Currency 12 3 5" xfId="34344"/>
    <cellStyle name="Currency 12 3 5 2" xfId="34345"/>
    <cellStyle name="Currency 12 3 6" xfId="9666"/>
    <cellStyle name="Currency 12 4" xfId="2743"/>
    <cellStyle name="Currency 12 4 2" xfId="5923"/>
    <cellStyle name="Currency 12 4 2 2" xfId="34346"/>
    <cellStyle name="Currency 12 4 2 2 2" xfId="34347"/>
    <cellStyle name="Currency 12 4 2 3" xfId="34348"/>
    <cellStyle name="Currency 12 4 3" xfId="34349"/>
    <cellStyle name="Currency 12 4 3 2" xfId="34350"/>
    <cellStyle name="Currency 12 4 3 2 2" xfId="34351"/>
    <cellStyle name="Currency 12 4 3 3" xfId="34352"/>
    <cellStyle name="Currency 12 4 4" xfId="34353"/>
    <cellStyle name="Currency 12 4 4 2" xfId="34354"/>
    <cellStyle name="Currency 12 4 5" xfId="34355"/>
    <cellStyle name="Currency 12 4 5 2" xfId="34356"/>
    <cellStyle name="Currency 12 4 6" xfId="9667"/>
    <cellStyle name="Currency 12 5" xfId="9668"/>
    <cellStyle name="Currency 12 5 2" xfId="17895"/>
    <cellStyle name="Currency 12 5 2 2" xfId="34357"/>
    <cellStyle name="Currency 12 5 3" xfId="34358"/>
    <cellStyle name="Currency 12 6" xfId="17416"/>
    <cellStyle name="Currency 12 6 2" xfId="34359"/>
    <cellStyle name="Currency 12 6 2 2" xfId="34360"/>
    <cellStyle name="Currency 12 6 3" xfId="34361"/>
    <cellStyle name="Currency 12 7" xfId="34362"/>
    <cellStyle name="Currency 12 7 2" xfId="34363"/>
    <cellStyle name="Currency 12 8" xfId="34364"/>
    <cellStyle name="Currency 12 8 2" xfId="34365"/>
    <cellStyle name="Currency 12 9" xfId="9664"/>
    <cellStyle name="Currency 13" xfId="2744"/>
    <cellStyle name="Currency 13 2" xfId="2745"/>
    <cellStyle name="Currency 13 2 2" xfId="15513"/>
    <cellStyle name="Currency 13 2 2 2" xfId="34366"/>
    <cellStyle name="Currency 13 2 2 2 2" xfId="34367"/>
    <cellStyle name="Currency 13 2 2 3" xfId="34368"/>
    <cellStyle name="Currency 13 2 3" xfId="34369"/>
    <cellStyle name="Currency 13 2 3 2" xfId="34370"/>
    <cellStyle name="Currency 13 2 3 2 2" xfId="34371"/>
    <cellStyle name="Currency 13 2 3 3" xfId="34372"/>
    <cellStyle name="Currency 13 2 4" xfId="34373"/>
    <cellStyle name="Currency 13 2 4 2" xfId="34374"/>
    <cellStyle name="Currency 13 2 5" xfId="34375"/>
    <cellStyle name="Currency 13 2 6" xfId="9670"/>
    <cellStyle name="Currency 13 3" xfId="2746"/>
    <cellStyle name="Currency 13 3 2" xfId="5924"/>
    <cellStyle name="Currency 13 3 2 2" xfId="34377"/>
    <cellStyle name="Currency 13 3 2 3" xfId="34376"/>
    <cellStyle name="Currency 13 3 3" xfId="34378"/>
    <cellStyle name="Currency 13 3 3 2" xfId="34379"/>
    <cellStyle name="Currency 13 3 4" xfId="34380"/>
    <cellStyle name="Currency 13 3 5" xfId="13512"/>
    <cellStyle name="Currency 13 4" xfId="15514"/>
    <cellStyle name="Currency 13 4 2" xfId="34381"/>
    <cellStyle name="Currency 13 4 2 2" xfId="34382"/>
    <cellStyle name="Currency 13 4 3" xfId="34383"/>
    <cellStyle name="Currency 13 4 4" xfId="34384"/>
    <cellStyle name="Currency 13 5" xfId="17417"/>
    <cellStyle name="Currency 13 5 2" xfId="34385"/>
    <cellStyle name="Currency 13 5 2 2" xfId="34386"/>
    <cellStyle name="Currency 13 5 3" xfId="34387"/>
    <cellStyle name="Currency 13 6" xfId="34388"/>
    <cellStyle name="Currency 13 6 2" xfId="34389"/>
    <cellStyle name="Currency 13 7" xfId="34390"/>
    <cellStyle name="Currency 13 8" xfId="34391"/>
    <cellStyle name="Currency 13 9" xfId="9669"/>
    <cellStyle name="Currency 14" xfId="6208"/>
    <cellStyle name="Currency 14 2" xfId="9672"/>
    <cellStyle name="Currency 14 2 2" xfId="9673"/>
    <cellStyle name="Currency 14 2 2 2" xfId="21920"/>
    <cellStyle name="Currency 14 2 2 2 2" xfId="34392"/>
    <cellStyle name="Currency 14 2 3" xfId="19012"/>
    <cellStyle name="Currency 14 2 3 2" xfId="34393"/>
    <cellStyle name="Currency 14 2 4" xfId="34394"/>
    <cellStyle name="Currency 14 2 4 2" xfId="34395"/>
    <cellStyle name="Currency 14 2 5" xfId="34396"/>
    <cellStyle name="Currency 14 3" xfId="9674"/>
    <cellStyle name="Currency 14 3 2" xfId="9675"/>
    <cellStyle name="Currency 14 3 2 2" xfId="21921"/>
    <cellStyle name="Currency 14 3 3" xfId="19013"/>
    <cellStyle name="Currency 14 4" xfId="9676"/>
    <cellStyle name="Currency 14 4 2" xfId="9677"/>
    <cellStyle name="Currency 14 4 2 2" xfId="21922"/>
    <cellStyle name="Currency 14 4 3" xfId="19014"/>
    <cellStyle name="Currency 14 5" xfId="19011"/>
    <cellStyle name="Currency 14 5 2" xfId="34397"/>
    <cellStyle name="Currency 14 6" xfId="9671"/>
    <cellStyle name="Currency 15" xfId="6468"/>
    <cellStyle name="Currency 15 2" xfId="9679"/>
    <cellStyle name="Currency 15 2 2" xfId="19016"/>
    <cellStyle name="Currency 15 2 2 2" xfId="34398"/>
    <cellStyle name="Currency 15 3" xfId="9680"/>
    <cellStyle name="Currency 15 3 2" xfId="21923"/>
    <cellStyle name="Currency 15 3 2 2" xfId="34399"/>
    <cellStyle name="Currency 15 3 3" xfId="34400"/>
    <cellStyle name="Currency 15 3 4" xfId="34401"/>
    <cellStyle name="Currency 15 3 5" xfId="41112"/>
    <cellStyle name="Currency 15 4" xfId="9681"/>
    <cellStyle name="Currency 15 4 2" xfId="21924"/>
    <cellStyle name="Currency 15 5" xfId="19015"/>
    <cellStyle name="Currency 15 6" xfId="9678"/>
    <cellStyle name="Currency 15 7" xfId="42347"/>
    <cellStyle name="Currency 16" xfId="9682"/>
    <cellStyle name="Currency 16 2" xfId="13513"/>
    <cellStyle name="Currency 16 2 2" xfId="34402"/>
    <cellStyle name="Currency 16 2 2 2" xfId="34403"/>
    <cellStyle name="Currency 16 2 3" xfId="34404"/>
    <cellStyle name="Currency 16 3" xfId="19017"/>
    <cellStyle name="Currency 16 3 2" xfId="34405"/>
    <cellStyle name="Currency 16 4" xfId="34406"/>
    <cellStyle name="Currency 17" xfId="9683"/>
    <cellStyle name="Currency 17 2" xfId="19018"/>
    <cellStyle name="Currency 17 2 2" xfId="34407"/>
    <cellStyle name="Currency 17 3" xfId="34408"/>
    <cellStyle name="Currency 17 4" xfId="34409"/>
    <cellStyle name="Currency 18" xfId="9684"/>
    <cellStyle name="Currency 18 2" xfId="9685"/>
    <cellStyle name="Currency 18 2 2" xfId="21925"/>
    <cellStyle name="Currency 18 2 2 2" xfId="34410"/>
    <cellStyle name="Currency 18 2 3" xfId="34411"/>
    <cellStyle name="Currency 18 2 4" xfId="34412"/>
    <cellStyle name="Currency 18 3" xfId="19019"/>
    <cellStyle name="Currency 18 3 2" xfId="34413"/>
    <cellStyle name="Currency 18 4" xfId="34414"/>
    <cellStyle name="Currency 18 5" xfId="34415"/>
    <cellStyle name="Currency 19" xfId="9686"/>
    <cellStyle name="Currency 19 2" xfId="21926"/>
    <cellStyle name="Currency 19 2 2" xfId="34416"/>
    <cellStyle name="Currency 19 3" xfId="34417"/>
    <cellStyle name="Currency 19 4" xfId="34418"/>
    <cellStyle name="Currency 19 5" xfId="34419"/>
    <cellStyle name="Currency 2" xfId="2747"/>
    <cellStyle name="Currency 2 10" xfId="34420"/>
    <cellStyle name="Currency 2 10 2" xfId="34421"/>
    <cellStyle name="Currency 2 10 2 2" xfId="34422"/>
    <cellStyle name="Currency 2 10 3" xfId="34423"/>
    <cellStyle name="Currency 2 11" xfId="34424"/>
    <cellStyle name="Currency 2 11 2" xfId="34425"/>
    <cellStyle name="Currency 2 12" xfId="34426"/>
    <cellStyle name="Currency 2 12 2" xfId="34427"/>
    <cellStyle name="Currency 2 13" xfId="34428"/>
    <cellStyle name="Currency 2 13 2" xfId="34429"/>
    <cellStyle name="Currency 2 14" xfId="9687"/>
    <cellStyle name="Currency 2 2" xfId="2748"/>
    <cellStyle name="Currency 2 2 2" xfId="2749"/>
    <cellStyle name="Currency 2 2 2 2" xfId="5927"/>
    <cellStyle name="Currency 2 2 2 2 2" xfId="21927"/>
    <cellStyle name="Currency 2 2 2 2 2 2" xfId="34430"/>
    <cellStyle name="Currency 2 2 2 2 3" xfId="9690"/>
    <cellStyle name="Currency 2 2 2 3" xfId="17419"/>
    <cellStyle name="Currency 2 2 2 3 2" xfId="34431"/>
    <cellStyle name="Currency 2 2 2 4" xfId="34432"/>
    <cellStyle name="Currency 2 2 2 4 2" xfId="34433"/>
    <cellStyle name="Currency 2 2 2 5" xfId="9689"/>
    <cellStyle name="Currency 2 2 3" xfId="5926"/>
    <cellStyle name="Currency 2 2 3 2" xfId="21928"/>
    <cellStyle name="Currency 2 2 3 2 2" xfId="34434"/>
    <cellStyle name="Currency 2 2 3 3" xfId="34435"/>
    <cellStyle name="Currency 2 2 3 4" xfId="9691"/>
    <cellStyle name="Currency 2 2 4" xfId="17418"/>
    <cellStyle name="Currency 2 2 4 2" xfId="34436"/>
    <cellStyle name="Currency 2 2 4 2 2" xfId="34437"/>
    <cellStyle name="Currency 2 2 4 3" xfId="34438"/>
    <cellStyle name="Currency 2 2 5" xfId="34439"/>
    <cellStyle name="Currency 2 2 5 2" xfId="34440"/>
    <cellStyle name="Currency 2 2 6" xfId="34441"/>
    <cellStyle name="Currency 2 2 6 2" xfId="34442"/>
    <cellStyle name="Currency 2 2 7" xfId="9688"/>
    <cellStyle name="Currency 2 3" xfId="2750"/>
    <cellStyle name="Currency 2 3 2" xfId="5928"/>
    <cellStyle name="Currency 2 3 2 2" xfId="21929"/>
    <cellStyle name="Currency 2 3 2 2 2" xfId="34443"/>
    <cellStyle name="Currency 2 3 2 3" xfId="34444"/>
    <cellStyle name="Currency 2 3 2 4" xfId="9693"/>
    <cellStyle name="Currency 2 3 3" xfId="17420"/>
    <cellStyle name="Currency 2 3 3 2" xfId="34445"/>
    <cellStyle name="Currency 2 3 3 2 2" xfId="34446"/>
    <cellStyle name="Currency 2 3 3 3" xfId="34447"/>
    <cellStyle name="Currency 2 3 4" xfId="34448"/>
    <cellStyle name="Currency 2 3 4 2" xfId="34449"/>
    <cellStyle name="Currency 2 3 5" xfId="34450"/>
    <cellStyle name="Currency 2 3 5 2" xfId="34451"/>
    <cellStyle name="Currency 2 3 6" xfId="9692"/>
    <cellStyle name="Currency 2 4" xfId="2751"/>
    <cellStyle name="Currency 2 4 2" xfId="5929"/>
    <cellStyle name="Currency 2 4 2 2" xfId="34452"/>
    <cellStyle name="Currency 2 4 2 2 2" xfId="34453"/>
    <cellStyle name="Currency 2 4 2 3" xfId="34454"/>
    <cellStyle name="Currency 2 4 3" xfId="34455"/>
    <cellStyle name="Currency 2 4 3 2" xfId="34456"/>
    <cellStyle name="Currency 2 4 3 2 2" xfId="34457"/>
    <cellStyle name="Currency 2 4 3 3" xfId="34458"/>
    <cellStyle name="Currency 2 4 4" xfId="34459"/>
    <cellStyle name="Currency 2 4 4 2" xfId="34460"/>
    <cellStyle name="Currency 2 4 5" xfId="34461"/>
    <cellStyle name="Currency 2 4 5 2" xfId="34462"/>
    <cellStyle name="Currency 2 4 6" xfId="9694"/>
    <cellStyle name="Currency 2 5" xfId="2752"/>
    <cellStyle name="Currency 2 5 2" xfId="5930"/>
    <cellStyle name="Currency 2 5 2 2" xfId="34463"/>
    <cellStyle name="Currency 2 5 2 2 2" xfId="34464"/>
    <cellStyle name="Currency 2 5 2 3" xfId="34465"/>
    <cellStyle name="Currency 2 5 3" xfId="34466"/>
    <cellStyle name="Currency 2 5 3 2" xfId="34467"/>
    <cellStyle name="Currency 2 5 3 2 2" xfId="34468"/>
    <cellStyle name="Currency 2 5 3 3" xfId="34469"/>
    <cellStyle name="Currency 2 5 4" xfId="34470"/>
    <cellStyle name="Currency 2 5 4 2" xfId="34471"/>
    <cellStyle name="Currency 2 5 5" xfId="34472"/>
    <cellStyle name="Currency 2 5 5 2" xfId="34473"/>
    <cellStyle name="Currency 2 5 6" xfId="9695"/>
    <cellStyle name="Currency 2 6" xfId="2753"/>
    <cellStyle name="Currency 2 6 2" xfId="5931"/>
    <cellStyle name="Currency 2 6 2 2" xfId="34474"/>
    <cellStyle name="Currency 2 6 2 2 2" xfId="34475"/>
    <cellStyle name="Currency 2 6 2 3" xfId="34476"/>
    <cellStyle name="Currency 2 6 3" xfId="34477"/>
    <cellStyle name="Currency 2 6 3 2" xfId="34478"/>
    <cellStyle name="Currency 2 6 3 2 2" xfId="34479"/>
    <cellStyle name="Currency 2 6 3 3" xfId="34480"/>
    <cellStyle name="Currency 2 6 4" xfId="34481"/>
    <cellStyle name="Currency 2 6 4 2" xfId="34482"/>
    <cellStyle name="Currency 2 6 5" xfId="34483"/>
    <cellStyle name="Currency 2 6 5 2" xfId="34484"/>
    <cellStyle name="Currency 2 6 6" xfId="9696"/>
    <cellStyle name="Currency 2 7" xfId="2754"/>
    <cellStyle name="Currency 2 7 2" xfId="5932"/>
    <cellStyle name="Currency 2 7 2 2" xfId="34485"/>
    <cellStyle name="Currency 2 7 2 2 2" xfId="34486"/>
    <cellStyle name="Currency 2 7 2 3" xfId="34487"/>
    <cellStyle name="Currency 2 7 3" xfId="34488"/>
    <cellStyle name="Currency 2 7 3 2" xfId="34489"/>
    <cellStyle name="Currency 2 7 3 2 2" xfId="34490"/>
    <cellStyle name="Currency 2 7 3 3" xfId="34491"/>
    <cellStyle name="Currency 2 7 4" xfId="34492"/>
    <cellStyle name="Currency 2 7 4 2" xfId="34493"/>
    <cellStyle name="Currency 2 7 5" xfId="34494"/>
    <cellStyle name="Currency 2 7 5 2" xfId="34495"/>
    <cellStyle name="Currency 2 7 6" xfId="9697"/>
    <cellStyle name="Currency 2 8" xfId="2755"/>
    <cellStyle name="Currency 2 8 2" xfId="5933"/>
    <cellStyle name="Currency 2 8 2 2" xfId="34496"/>
    <cellStyle name="Currency 2 8 2 2 2" xfId="34497"/>
    <cellStyle name="Currency 2 8 2 3" xfId="34498"/>
    <cellStyle name="Currency 2 8 3" xfId="34499"/>
    <cellStyle name="Currency 2 8 3 2" xfId="34500"/>
    <cellStyle name="Currency 2 8 3 2 2" xfId="34501"/>
    <cellStyle name="Currency 2 8 3 3" xfId="34502"/>
    <cellStyle name="Currency 2 8 4" xfId="34503"/>
    <cellStyle name="Currency 2 8 4 2" xfId="34504"/>
    <cellStyle name="Currency 2 8 5" xfId="34505"/>
    <cellStyle name="Currency 2 8 5 2" xfId="34506"/>
    <cellStyle name="Currency 2 8 6" xfId="9698"/>
    <cellStyle name="Currency 2 9" xfId="5925"/>
    <cellStyle name="Currency 2 9 2" xfId="34507"/>
    <cellStyle name="Currency 2 9 2 2" xfId="34508"/>
    <cellStyle name="Currency 2 9 3" xfId="34509"/>
    <cellStyle name="Currency 20" xfId="9699"/>
    <cellStyle name="Currency 20 2" xfId="21930"/>
    <cellStyle name="Currency 20 2 2" xfId="34510"/>
    <cellStyle name="Currency 20 2 3" xfId="34511"/>
    <cellStyle name="Currency 20 2 4" xfId="34512"/>
    <cellStyle name="Currency 20 2 5" xfId="34513"/>
    <cellStyle name="Currency 20 3" xfId="34514"/>
    <cellStyle name="Currency 20 4" xfId="34515"/>
    <cellStyle name="Currency 20 5" xfId="34516"/>
    <cellStyle name="Currency 21" xfId="9700"/>
    <cellStyle name="Currency 21 2" xfId="34517"/>
    <cellStyle name="Currency 21 2 2" xfId="34518"/>
    <cellStyle name="Currency 21 2 3" xfId="34519"/>
    <cellStyle name="Currency 21 3" xfId="34520"/>
    <cellStyle name="Currency 21 4" xfId="34521"/>
    <cellStyle name="Currency 21 5" xfId="34522"/>
    <cellStyle name="Currency 22" xfId="13996"/>
    <cellStyle name="Currency 22 2" xfId="34523"/>
    <cellStyle name="Currency 22 3" xfId="34524"/>
    <cellStyle name="Currency 23" xfId="14314"/>
    <cellStyle name="Currency 24" xfId="14322"/>
    <cellStyle name="Currency 25" xfId="17413"/>
    <cellStyle name="Currency 26" xfId="22582"/>
    <cellStyle name="Currency 27" xfId="9655"/>
    <cellStyle name="Currency 3" xfId="2756"/>
    <cellStyle name="Currency 3 2" xfId="2757"/>
    <cellStyle name="Currency 3 2 2" xfId="5935"/>
    <cellStyle name="Currency 3 2 2 2" xfId="9704"/>
    <cellStyle name="Currency 3 2 2 2 2" xfId="21931"/>
    <cellStyle name="Currency 3 2 2 3" xfId="19020"/>
    <cellStyle name="Currency 3 2 2 4" xfId="9703"/>
    <cellStyle name="Currency 3 2 3" xfId="9705"/>
    <cellStyle name="Currency 3 2 3 2" xfId="21932"/>
    <cellStyle name="Currency 3 2 3 2 2" xfId="34525"/>
    <cellStyle name="Currency 3 2 3 3" xfId="34526"/>
    <cellStyle name="Currency 3 2 4" xfId="17422"/>
    <cellStyle name="Currency 3 2 4 2" xfId="34527"/>
    <cellStyle name="Currency 3 2 5" xfId="34528"/>
    <cellStyle name="Currency 3 2 5 2" xfId="34529"/>
    <cellStyle name="Currency 3 2 6" xfId="9702"/>
    <cellStyle name="Currency 3 3" xfId="5934"/>
    <cellStyle name="Currency 3 3 2" xfId="9707"/>
    <cellStyle name="Currency 3 3 2 2" xfId="21933"/>
    <cellStyle name="Currency 3 3 2 2 2" xfId="34530"/>
    <cellStyle name="Currency 3 3 2 3" xfId="34531"/>
    <cellStyle name="Currency 3 3 3" xfId="19021"/>
    <cellStyle name="Currency 3 3 3 2" xfId="34532"/>
    <cellStyle name="Currency 3 3 3 2 2" xfId="34533"/>
    <cellStyle name="Currency 3 3 3 3" xfId="34534"/>
    <cellStyle name="Currency 3 3 4" xfId="34535"/>
    <cellStyle name="Currency 3 3 4 2" xfId="34536"/>
    <cellStyle name="Currency 3 3 5" xfId="34537"/>
    <cellStyle name="Currency 3 3 5 2" xfId="34538"/>
    <cellStyle name="Currency 3 3 6" xfId="9706"/>
    <cellStyle name="Currency 3 4" xfId="9708"/>
    <cellStyle name="Currency 3 4 2" xfId="21934"/>
    <cellStyle name="Currency 3 4 2 2" xfId="34539"/>
    <cellStyle name="Currency 3 4 3" xfId="34540"/>
    <cellStyle name="Currency 3 4 4" xfId="34541"/>
    <cellStyle name="Currency 3 4 5" xfId="42127"/>
    <cellStyle name="Currency 3 5" xfId="17421"/>
    <cellStyle name="Currency 3 5 2" xfId="34542"/>
    <cellStyle name="Currency 3 5 2 2" xfId="34543"/>
    <cellStyle name="Currency 3 5 3" xfId="34544"/>
    <cellStyle name="Currency 3 6" xfId="34545"/>
    <cellStyle name="Currency 3 6 2" xfId="34546"/>
    <cellStyle name="Currency 3 7" xfId="34547"/>
    <cellStyle name="Currency 3 7 2" xfId="34548"/>
    <cellStyle name="Currency 3 8" xfId="34549"/>
    <cellStyle name="Currency 3 8 2" xfId="34550"/>
    <cellStyle name="Currency 3 8 3" xfId="34551"/>
    <cellStyle name="Currency 3 9" xfId="9701"/>
    <cellStyle name="Currency 4" xfId="2758"/>
    <cellStyle name="Currency 4 2" xfId="2759"/>
    <cellStyle name="Currency 4 2 2" xfId="2760"/>
    <cellStyle name="Currency 4 2 2 2" xfId="5938"/>
    <cellStyle name="Currency 4 2 2 2 2" xfId="21935"/>
    <cellStyle name="Currency 4 2 2 2 2 2" xfId="34552"/>
    <cellStyle name="Currency 4 2 2 2 3" xfId="9712"/>
    <cellStyle name="Currency 4 2 2 3" xfId="17424"/>
    <cellStyle name="Currency 4 2 2 3 2" xfId="34553"/>
    <cellStyle name="Currency 4 2 2 4" xfId="34554"/>
    <cellStyle name="Currency 4 2 2 4 2" xfId="34555"/>
    <cellStyle name="Currency 4 2 2 5" xfId="9711"/>
    <cellStyle name="Currency 4 2 3" xfId="5937"/>
    <cellStyle name="Currency 4 2 3 2" xfId="21936"/>
    <cellStyle name="Currency 4 2 3 2 2" xfId="34556"/>
    <cellStyle name="Currency 4 2 3 3" xfId="34557"/>
    <cellStyle name="Currency 4 2 3 4" xfId="9713"/>
    <cellStyle name="Currency 4 2 4" xfId="17423"/>
    <cellStyle name="Currency 4 2 4 2" xfId="34558"/>
    <cellStyle name="Currency 4 2 4 2 2" xfId="34559"/>
    <cellStyle name="Currency 4 2 4 3" xfId="34560"/>
    <cellStyle name="Currency 4 2 5" xfId="34561"/>
    <cellStyle name="Currency 4 2 5 2" xfId="34562"/>
    <cellStyle name="Currency 4 2 6" xfId="34563"/>
    <cellStyle name="Currency 4 2 6 2" xfId="34564"/>
    <cellStyle name="Currency 4 2 7" xfId="9710"/>
    <cellStyle name="Currency 4 3" xfId="2761"/>
    <cellStyle name="Currency 4 3 2" xfId="9715"/>
    <cellStyle name="Currency 4 3 2 2" xfId="9716"/>
    <cellStyle name="Currency 4 3 2 2 2" xfId="21937"/>
    <cellStyle name="Currency 4 3 2 3" xfId="19023"/>
    <cellStyle name="Currency 4 3 3" xfId="9717"/>
    <cellStyle name="Currency 4 3 3 2" xfId="9718"/>
    <cellStyle name="Currency 4 3 3 2 2" xfId="21938"/>
    <cellStyle name="Currency 4 3 3 3" xfId="19024"/>
    <cellStyle name="Currency 4 3 4" xfId="9719"/>
    <cellStyle name="Currency 4 3 4 2" xfId="9720"/>
    <cellStyle name="Currency 4 3 4 2 2" xfId="21939"/>
    <cellStyle name="Currency 4 3 4 3" xfId="19025"/>
    <cellStyle name="Currency 4 3 5" xfId="19022"/>
    <cellStyle name="Currency 4 3 6" xfId="9714"/>
    <cellStyle name="Currency 4 4" xfId="5936"/>
    <cellStyle name="Currency 4 4 2" xfId="9722"/>
    <cellStyle name="Currency 4 4 2 2" xfId="21940"/>
    <cellStyle name="Currency 4 4 3" xfId="19026"/>
    <cellStyle name="Currency 4 4 4" xfId="9721"/>
    <cellStyle name="Currency 4 5" xfId="9723"/>
    <cellStyle name="Currency 4 5 2" xfId="21941"/>
    <cellStyle name="Currency 4 5 2 2" xfId="34565"/>
    <cellStyle name="Currency 4 5 3" xfId="34566"/>
    <cellStyle name="Currency 4 6" xfId="17896"/>
    <cellStyle name="Currency 4 6 2" xfId="34567"/>
    <cellStyle name="Currency 4 7" xfId="9709"/>
    <cellStyle name="Currency 4_2009 GRC Compliance Filing (Electric) for Exh A-1" xfId="14223"/>
    <cellStyle name="Currency 5" xfId="2762"/>
    <cellStyle name="Currency 5 2" xfId="2763"/>
    <cellStyle name="Currency 5 2 2" xfId="5939"/>
    <cellStyle name="Currency 5 2 2 2" xfId="21942"/>
    <cellStyle name="Currency 5 2 2 2 2" xfId="34568"/>
    <cellStyle name="Currency 5 2 2 3" xfId="9726"/>
    <cellStyle name="Currency 5 2 3" xfId="17425"/>
    <cellStyle name="Currency 5 2 3 2" xfId="34569"/>
    <cellStyle name="Currency 5 2 4" xfId="34570"/>
    <cellStyle name="Currency 5 2 4 2" xfId="34571"/>
    <cellStyle name="Currency 5 2 5" xfId="9725"/>
    <cellStyle name="Currency 5 3" xfId="3383"/>
    <cellStyle name="Currency 5 3 2" xfId="21943"/>
    <cellStyle name="Currency 5 3 2 2" xfId="34572"/>
    <cellStyle name="Currency 5 3 3" xfId="34573"/>
    <cellStyle name="Currency 5 3 4" xfId="9727"/>
    <cellStyle name="Currency 5 4" xfId="17854"/>
    <cellStyle name="Currency 5 4 2" xfId="34574"/>
    <cellStyle name="Currency 5 4 2 2" xfId="34575"/>
    <cellStyle name="Currency 5 4 3" xfId="34576"/>
    <cellStyle name="Currency 5 5" xfId="34577"/>
    <cellStyle name="Currency 5 5 2" xfId="34578"/>
    <cellStyle name="Currency 5 6" xfId="34579"/>
    <cellStyle name="Currency 5 6 2" xfId="34580"/>
    <cellStyle name="Currency 5 7" xfId="9724"/>
    <cellStyle name="Currency 6" xfId="2764"/>
    <cellStyle name="Currency 6 2" xfId="2765"/>
    <cellStyle name="Currency 6 2 2" xfId="5941"/>
    <cellStyle name="Currency 6 2 2 2" xfId="21944"/>
    <cellStyle name="Currency 6 2 2 2 2" xfId="34581"/>
    <cellStyle name="Currency 6 2 2 3" xfId="9730"/>
    <cellStyle name="Currency 6 2 3" xfId="17426"/>
    <cellStyle name="Currency 6 2 3 2" xfId="34582"/>
    <cellStyle name="Currency 6 2 4" xfId="34583"/>
    <cellStyle name="Currency 6 2 4 2" xfId="34584"/>
    <cellStyle name="Currency 6 2 5" xfId="9729"/>
    <cellStyle name="Currency 6 3" xfId="5940"/>
    <cellStyle name="Currency 6 3 2" xfId="21945"/>
    <cellStyle name="Currency 6 3 2 2" xfId="34585"/>
    <cellStyle name="Currency 6 3 3" xfId="34586"/>
    <cellStyle name="Currency 6 3 4" xfId="9731"/>
    <cellStyle name="Currency 6 4" xfId="17855"/>
    <cellStyle name="Currency 6 4 2" xfId="34587"/>
    <cellStyle name="Currency 6 4 2 2" xfId="34588"/>
    <cellStyle name="Currency 6 4 3" xfId="34589"/>
    <cellStyle name="Currency 6 5" xfId="34590"/>
    <cellStyle name="Currency 6 5 2" xfId="34591"/>
    <cellStyle name="Currency 6 6" xfId="34592"/>
    <cellStyle name="Currency 6 6 2" xfId="34593"/>
    <cellStyle name="Currency 6 7" xfId="9728"/>
    <cellStyle name="Currency 7" xfId="2766"/>
    <cellStyle name="Currency 7 2" xfId="2767"/>
    <cellStyle name="Currency 7 2 2" xfId="5943"/>
    <cellStyle name="Currency 7 2 2 2" xfId="21946"/>
    <cellStyle name="Currency 7 2 2 2 2" xfId="34594"/>
    <cellStyle name="Currency 7 2 2 3" xfId="9734"/>
    <cellStyle name="Currency 7 2 3" xfId="17428"/>
    <cellStyle name="Currency 7 2 3 2" xfId="34595"/>
    <cellStyle name="Currency 7 2 4" xfId="34596"/>
    <cellStyle name="Currency 7 2 4 2" xfId="34597"/>
    <cellStyle name="Currency 7 2 5" xfId="9733"/>
    <cellStyle name="Currency 7 3" xfId="5942"/>
    <cellStyle name="Currency 7 3 2" xfId="21947"/>
    <cellStyle name="Currency 7 3 2 2" xfId="34598"/>
    <cellStyle name="Currency 7 3 3" xfId="34599"/>
    <cellStyle name="Currency 7 3 4" xfId="9735"/>
    <cellStyle name="Currency 7 4" xfId="17427"/>
    <cellStyle name="Currency 7 4 2" xfId="34600"/>
    <cellStyle name="Currency 7 4 2 2" xfId="34601"/>
    <cellStyle name="Currency 7 4 3" xfId="34602"/>
    <cellStyle name="Currency 7 5" xfId="34603"/>
    <cellStyle name="Currency 7 5 2" xfId="34604"/>
    <cellStyle name="Currency 7 6" xfId="34605"/>
    <cellStyle name="Currency 7 6 2" xfId="34606"/>
    <cellStyle name="Currency 7 7" xfId="9732"/>
    <cellStyle name="Currency 8" xfId="2768"/>
    <cellStyle name="Currency 8 2" xfId="2769"/>
    <cellStyle name="Currency 8 2 2" xfId="5945"/>
    <cellStyle name="Currency 8 2 2 2" xfId="9739"/>
    <cellStyle name="Currency 8 2 2 2 2" xfId="19028"/>
    <cellStyle name="Currency 8 2 2 3" xfId="9740"/>
    <cellStyle name="Currency 8 2 2 3 2" xfId="21948"/>
    <cellStyle name="Currency 8 2 2 4" xfId="9741"/>
    <cellStyle name="Currency 8 2 2 4 2" xfId="21949"/>
    <cellStyle name="Currency 8 2 2 5" xfId="19027"/>
    <cellStyle name="Currency 8 2 2 6" xfId="9738"/>
    <cellStyle name="Currency 8 2 3" xfId="9742"/>
    <cellStyle name="Currency 8 2 3 2" xfId="9743"/>
    <cellStyle name="Currency 8 2 3 2 2" xfId="21950"/>
    <cellStyle name="Currency 8 2 3 3" xfId="19029"/>
    <cellStyle name="Currency 8 2 4" xfId="9744"/>
    <cellStyle name="Currency 8 2 4 2" xfId="19030"/>
    <cellStyle name="Currency 8 2 5" xfId="9745"/>
    <cellStyle name="Currency 8 2 5 2" xfId="21951"/>
    <cellStyle name="Currency 8 2 6" xfId="9746"/>
    <cellStyle name="Currency 8 2 6 2" xfId="21952"/>
    <cellStyle name="Currency 8 2 7" xfId="17430"/>
    <cellStyle name="Currency 8 2 8" xfId="9737"/>
    <cellStyle name="Currency 8 3" xfId="5944"/>
    <cellStyle name="Currency 8 3 2" xfId="9748"/>
    <cellStyle name="Currency 8 3 2 2" xfId="21953"/>
    <cellStyle name="Currency 8 3 3" xfId="19031"/>
    <cellStyle name="Currency 8 3 4" xfId="9747"/>
    <cellStyle name="Currency 8 4" xfId="9749"/>
    <cellStyle name="Currency 8 4 2" xfId="9750"/>
    <cellStyle name="Currency 8 4 2 2" xfId="21954"/>
    <cellStyle name="Currency 8 4 3" xfId="19032"/>
    <cellStyle name="Currency 8 5" xfId="9751"/>
    <cellStyle name="Currency 8 5 2" xfId="21955"/>
    <cellStyle name="Currency 8 6" xfId="17429"/>
    <cellStyle name="Currency 8 6 2" xfId="34607"/>
    <cellStyle name="Currency 8 7" xfId="9736"/>
    <cellStyle name="Currency 9" xfId="2770"/>
    <cellStyle name="Currency 9 10" xfId="9752"/>
    <cellStyle name="Currency 9 2" xfId="2771"/>
    <cellStyle name="Currency 9 2 2" xfId="5947"/>
    <cellStyle name="Currency 9 2 2 2" xfId="9755"/>
    <cellStyle name="Currency 9 2 2 2 2" xfId="21956"/>
    <cellStyle name="Currency 9 2 2 3" xfId="19033"/>
    <cellStyle name="Currency 9 2 2 4" xfId="9754"/>
    <cellStyle name="Currency 9 2 3" xfId="9756"/>
    <cellStyle name="Currency 9 2 3 2" xfId="21957"/>
    <cellStyle name="Currency 9 2 4" xfId="17432"/>
    <cellStyle name="Currency 9 2 4 2" xfId="34608"/>
    <cellStyle name="Currency 9 2 5" xfId="9753"/>
    <cellStyle name="Currency 9 3" xfId="5946"/>
    <cellStyle name="Currency 9 3 2" xfId="9758"/>
    <cellStyle name="Currency 9 3 2 2" xfId="19035"/>
    <cellStyle name="Currency 9 3 3" xfId="9759"/>
    <cellStyle name="Currency 9 3 3 2" xfId="21958"/>
    <cellStyle name="Currency 9 3 4" xfId="9760"/>
    <cellStyle name="Currency 9 3 4 2" xfId="21959"/>
    <cellStyle name="Currency 9 3 5" xfId="19034"/>
    <cellStyle name="Currency 9 3 6" xfId="9757"/>
    <cellStyle name="Currency 9 4" xfId="9761"/>
    <cellStyle name="Currency 9 4 2" xfId="9762"/>
    <cellStyle name="Currency 9 4 2 2" xfId="21960"/>
    <cellStyle name="Currency 9 4 3" xfId="19036"/>
    <cellStyle name="Currency 9 5" xfId="9763"/>
    <cellStyle name="Currency 9 5 2" xfId="9764"/>
    <cellStyle name="Currency 9 5 2 2" xfId="21961"/>
    <cellStyle name="Currency 9 5 3" xfId="19037"/>
    <cellStyle name="Currency 9 6" xfId="9765"/>
    <cellStyle name="Currency 9 6 2" xfId="19038"/>
    <cellStyle name="Currency 9 7" xfId="9766"/>
    <cellStyle name="Currency 9 7 2" xfId="21962"/>
    <cellStyle name="Currency 9 8" xfId="9767"/>
    <cellStyle name="Currency 9 8 2" xfId="21963"/>
    <cellStyle name="Currency 9 9" xfId="17431"/>
    <cellStyle name="Currency0" xfId="2772"/>
    <cellStyle name="Currency0 10" xfId="17433"/>
    <cellStyle name="Currency0 10 2" xfId="34609"/>
    <cellStyle name="Currency0 10 2 2" xfId="34610"/>
    <cellStyle name="Currency0 10 2 2 2" xfId="34611"/>
    <cellStyle name="Currency0 10 2 3" xfId="34612"/>
    <cellStyle name="Currency0 10 3" xfId="34613"/>
    <cellStyle name="Currency0 10 3 2" xfId="34614"/>
    <cellStyle name="Currency0 10 4" xfId="34615"/>
    <cellStyle name="Currency0 11" xfId="34616"/>
    <cellStyle name="Currency0 11 2" xfId="34617"/>
    <cellStyle name="Currency0 12" xfId="34618"/>
    <cellStyle name="Currency0 12 2" xfId="34619"/>
    <cellStyle name="Currency0 13" xfId="34620"/>
    <cellStyle name="Currency0 13 2" xfId="34621"/>
    <cellStyle name="Currency0 13 3" xfId="34622"/>
    <cellStyle name="Currency0 14" xfId="34623"/>
    <cellStyle name="Currency0 15" xfId="9768"/>
    <cellStyle name="Currency0 2" xfId="2773"/>
    <cellStyle name="Currency0 2 2" xfId="2774"/>
    <cellStyle name="Currency0 2 2 2" xfId="5949"/>
    <cellStyle name="Currency0 2 2 2 2" xfId="21964"/>
    <cellStyle name="Currency0 2 2 2 2 2" xfId="34624"/>
    <cellStyle name="Currency0 2 2 2 3" xfId="34625"/>
    <cellStyle name="Currency0 2 2 2 4" xfId="9771"/>
    <cellStyle name="Currency0 2 2 3" xfId="17435"/>
    <cellStyle name="Currency0 2 2 3 2" xfId="34626"/>
    <cellStyle name="Currency0 2 2 4" xfId="34627"/>
    <cellStyle name="Currency0 2 2 4 2" xfId="34628"/>
    <cellStyle name="Currency0 2 2 5" xfId="34629"/>
    <cellStyle name="Currency0 2 2 6" xfId="9770"/>
    <cellStyle name="Currency0 2 3" xfId="5948"/>
    <cellStyle name="Currency0 2 3 2" xfId="21965"/>
    <cellStyle name="Currency0 2 3 2 2" xfId="34630"/>
    <cellStyle name="Currency0 2 3 3" xfId="34631"/>
    <cellStyle name="Currency0 2 3 4" xfId="9772"/>
    <cellStyle name="Currency0 2 4" xfId="17434"/>
    <cellStyle name="Currency0 2 4 2" xfId="34632"/>
    <cellStyle name="Currency0 2 4 2 2" xfId="34633"/>
    <cellStyle name="Currency0 2 4 3" xfId="34634"/>
    <cellStyle name="Currency0 2 5" xfId="34635"/>
    <cellStyle name="Currency0 2 5 2" xfId="34636"/>
    <cellStyle name="Currency0 2 6" xfId="34637"/>
    <cellStyle name="Currency0 2 6 2" xfId="34638"/>
    <cellStyle name="Currency0 2 7" xfId="34639"/>
    <cellStyle name="Currency0 2 8" xfId="9769"/>
    <cellStyle name="Currency0 3" xfId="2775"/>
    <cellStyle name="Currency0 3 2" xfId="5950"/>
    <cellStyle name="Currency0 3 2 2" xfId="34640"/>
    <cellStyle name="Currency0 3 2 2 2" xfId="34641"/>
    <cellStyle name="Currency0 3 2 3" xfId="34642"/>
    <cellStyle name="Currency0 3 2 4" xfId="13514"/>
    <cellStyle name="Currency0 3 3" xfId="17436"/>
    <cellStyle name="Currency0 3 3 2" xfId="34643"/>
    <cellStyle name="Currency0 3 3 2 2" xfId="34644"/>
    <cellStyle name="Currency0 3 3 3" xfId="34645"/>
    <cellStyle name="Currency0 3 3 4" xfId="34646"/>
    <cellStyle name="Currency0 3 4" xfId="34647"/>
    <cellStyle name="Currency0 3 4 2" xfId="34648"/>
    <cellStyle name="Currency0 3 5" xfId="34649"/>
    <cellStyle name="Currency0 3 5 2" xfId="34650"/>
    <cellStyle name="Currency0 3 6" xfId="34651"/>
    <cellStyle name="Currency0 3 7" xfId="9773"/>
    <cellStyle name="Currency0 4" xfId="2776"/>
    <cellStyle name="Currency0 4 2" xfId="2777"/>
    <cellStyle name="Currency0 4 2 2" xfId="5952"/>
    <cellStyle name="Currency0 4 2 2 2" xfId="34652"/>
    <cellStyle name="Currency0 4 2 2 2 2" xfId="34653"/>
    <cellStyle name="Currency0 4 2 3" xfId="34654"/>
    <cellStyle name="Currency0 4 2 3 2" xfId="34655"/>
    <cellStyle name="Currency0 4 2 4" xfId="34656"/>
    <cellStyle name="Currency0 4 2 4 2" xfId="34657"/>
    <cellStyle name="Currency0 4 2 5" xfId="9775"/>
    <cellStyle name="Currency0 4 3" xfId="5951"/>
    <cellStyle name="Currency0 4 3 2" xfId="34658"/>
    <cellStyle name="Currency0 4 3 2 2" xfId="34659"/>
    <cellStyle name="Currency0 4 3 3" xfId="34660"/>
    <cellStyle name="Currency0 4 4" xfId="34661"/>
    <cellStyle name="Currency0 4 4 2" xfId="34662"/>
    <cellStyle name="Currency0 4 4 2 2" xfId="34663"/>
    <cellStyle name="Currency0 4 4 3" xfId="34664"/>
    <cellStyle name="Currency0 4 4 4" xfId="34665"/>
    <cellStyle name="Currency0 4 5" xfId="34666"/>
    <cellStyle name="Currency0 4 5 2" xfId="34667"/>
    <cellStyle name="Currency0 4 6" xfId="34668"/>
    <cellStyle name="Currency0 4 6 2" xfId="34669"/>
    <cellStyle name="Currency0 4 7" xfId="34670"/>
    <cellStyle name="Currency0 4 8" xfId="9774"/>
    <cellStyle name="Currency0 5" xfId="9776"/>
    <cellStyle name="Currency0 5 2" xfId="13515"/>
    <cellStyle name="Currency0 5 2 2" xfId="34671"/>
    <cellStyle name="Currency0 5 2 2 2" xfId="34672"/>
    <cellStyle name="Currency0 5 2 2 2 2" xfId="34673"/>
    <cellStyle name="Currency0 5 2 3" xfId="34674"/>
    <cellStyle name="Currency0 5 2 3 2" xfId="34675"/>
    <cellStyle name="Currency0 5 2 4" xfId="34676"/>
    <cellStyle name="Currency0 5 2 4 2" xfId="34677"/>
    <cellStyle name="Currency0 5 3" xfId="34678"/>
    <cellStyle name="Currency0 5 3 2" xfId="34679"/>
    <cellStyle name="Currency0 5 3 2 2" xfId="34680"/>
    <cellStyle name="Currency0 5 3 3" xfId="34681"/>
    <cellStyle name="Currency0 5 4" xfId="34682"/>
    <cellStyle name="Currency0 5 4 2" xfId="34683"/>
    <cellStyle name="Currency0 5 4 2 2" xfId="34684"/>
    <cellStyle name="Currency0 5 4 3" xfId="34685"/>
    <cellStyle name="Currency0 5 5" xfId="34686"/>
    <cellStyle name="Currency0 5 5 2" xfId="34687"/>
    <cellStyle name="Currency0 5 6" xfId="34688"/>
    <cellStyle name="Currency0 5 6 2" xfId="34689"/>
    <cellStyle name="Currency0 6" xfId="13516"/>
    <cellStyle name="Currency0 6 2" xfId="34690"/>
    <cellStyle name="Currency0 6 2 2" xfId="34691"/>
    <cellStyle name="Currency0 6 2 2 2" xfId="34692"/>
    <cellStyle name="Currency0 6 2 2 2 2" xfId="34693"/>
    <cellStyle name="Currency0 6 2 3" xfId="34694"/>
    <cellStyle name="Currency0 6 2 3 2" xfId="34695"/>
    <cellStyle name="Currency0 6 2 4" xfId="34696"/>
    <cellStyle name="Currency0 6 2 4 2" xfId="34697"/>
    <cellStyle name="Currency0 6 3" xfId="34698"/>
    <cellStyle name="Currency0 6 3 2" xfId="34699"/>
    <cellStyle name="Currency0 6 3 2 2" xfId="34700"/>
    <cellStyle name="Currency0 6 4" xfId="34701"/>
    <cellStyle name="Currency0 6 4 2" xfId="34702"/>
    <cellStyle name="Currency0 6 5" xfId="34703"/>
    <cellStyle name="Currency0 6 5 2" xfId="34704"/>
    <cellStyle name="Currency0 6 6" xfId="34705"/>
    <cellStyle name="Currency0 7" xfId="13517"/>
    <cellStyle name="Currency0 7 2" xfId="13518"/>
    <cellStyle name="Currency0 7 2 2" xfId="34706"/>
    <cellStyle name="Currency0 7 2 2 2" xfId="34707"/>
    <cellStyle name="Currency0 7 2 3" xfId="34708"/>
    <cellStyle name="Currency0 7 2 4" xfId="34709"/>
    <cellStyle name="Currency0 7 3" xfId="34710"/>
    <cellStyle name="Currency0 7 3 2" xfId="34711"/>
    <cellStyle name="Currency0 7 4" xfId="34712"/>
    <cellStyle name="Currency0 7 4 2" xfId="34713"/>
    <cellStyle name="Currency0 7 5" xfId="34714"/>
    <cellStyle name="Currency0 8" xfId="13519"/>
    <cellStyle name="Currency0 8 2" xfId="13520"/>
    <cellStyle name="Currency0 8 2 2" xfId="34715"/>
    <cellStyle name="Currency0 8 2 3" xfId="34716"/>
    <cellStyle name="Currency0 8 2 4" xfId="34717"/>
    <cellStyle name="Currency0 8 3" xfId="34718"/>
    <cellStyle name="Currency0 8 4" xfId="34719"/>
    <cellStyle name="Currency0 8 5" xfId="34720"/>
    <cellStyle name="Currency0 9" xfId="13521"/>
    <cellStyle name="Currency0 9 2" xfId="34721"/>
    <cellStyle name="Currency0 9 2 2" xfId="34722"/>
    <cellStyle name="Currency0 9 3" xfId="34723"/>
    <cellStyle name="Date" xfId="2778"/>
    <cellStyle name="Date 2" xfId="2779"/>
    <cellStyle name="Date 2 2" xfId="17438"/>
    <cellStyle name="Date 2 2 2" xfId="34724"/>
    <cellStyle name="Date 2 2 2 2" xfId="34725"/>
    <cellStyle name="Date 2 2 3" xfId="34726"/>
    <cellStyle name="Date 2 3" xfId="34727"/>
    <cellStyle name="Date 2 3 2" xfId="34728"/>
    <cellStyle name="Date 2 4" xfId="34729"/>
    <cellStyle name="Date 2 4 2" xfId="34730"/>
    <cellStyle name="Date 2 5" xfId="9778"/>
    <cellStyle name="Date 3" xfId="2780"/>
    <cellStyle name="Date 3 2" xfId="17439"/>
    <cellStyle name="Date 3 2 2" xfId="34731"/>
    <cellStyle name="Date 3 2 2 2" xfId="34732"/>
    <cellStyle name="Date 3 2 3" xfId="34733"/>
    <cellStyle name="Date 3 3" xfId="34734"/>
    <cellStyle name="Date 3 3 2" xfId="34735"/>
    <cellStyle name="Date 3 4" xfId="34736"/>
    <cellStyle name="Date 3 4 2" xfId="34737"/>
    <cellStyle name="Date 3 5" xfId="9779"/>
    <cellStyle name="Date 4" xfId="2781"/>
    <cellStyle name="Date 4 2" xfId="17440"/>
    <cellStyle name="Date 4 2 2" xfId="34738"/>
    <cellStyle name="Date 4 2 2 2" xfId="34739"/>
    <cellStyle name="Date 4 2 3" xfId="34740"/>
    <cellStyle name="Date 4 3" xfId="34741"/>
    <cellStyle name="Date 4 3 2" xfId="34742"/>
    <cellStyle name="Date 4 4" xfId="34743"/>
    <cellStyle name="Date 4 4 2" xfId="34744"/>
    <cellStyle name="Date 4 5" xfId="9780"/>
    <cellStyle name="Date 5" xfId="2782"/>
    <cellStyle name="Date 5 2" xfId="2783"/>
    <cellStyle name="Date 5 2 2" xfId="18029"/>
    <cellStyle name="Date 5 2 3" xfId="34745"/>
    <cellStyle name="Date 5 2 4" xfId="9782"/>
    <cellStyle name="Date 5 3" xfId="17441"/>
    <cellStyle name="Date 5 4" xfId="34746"/>
    <cellStyle name="Date 5 5" xfId="9781"/>
    <cellStyle name="Date 6" xfId="9783"/>
    <cellStyle name="Date 6 2" xfId="34747"/>
    <cellStyle name="Date 7" xfId="17437"/>
    <cellStyle name="Date 7 2" xfId="34748"/>
    <cellStyle name="Date 8" xfId="34749"/>
    <cellStyle name="Date 8 2" xfId="34750"/>
    <cellStyle name="Date 9" xfId="9777"/>
    <cellStyle name="Date_903 SAP 2-6-09" xfId="9784"/>
    <cellStyle name="DateTime" xfId="34751"/>
    <cellStyle name="DateTime 2" xfId="34752"/>
    <cellStyle name="drp-sh - Style2" xfId="13522"/>
    <cellStyle name="Emphasis 1" xfId="2784"/>
    <cellStyle name="Emphasis 1 2" xfId="17442"/>
    <cellStyle name="Emphasis 1 3" xfId="9785"/>
    <cellStyle name="Emphasis 2" xfId="2785"/>
    <cellStyle name="Emphasis 2 2" xfId="17443"/>
    <cellStyle name="Emphasis 2 3" xfId="9786"/>
    <cellStyle name="Emphasis 3" xfId="2786"/>
    <cellStyle name="Emphasis 3 2" xfId="17444"/>
    <cellStyle name="Emphasis 3 3" xfId="9787"/>
    <cellStyle name="Entered" xfId="2787"/>
    <cellStyle name="Entered 10" xfId="34753"/>
    <cellStyle name="Entered 10 2" xfId="34754"/>
    <cellStyle name="Entered 10 2 2" xfId="34755"/>
    <cellStyle name="Entered 10 2 2 2" xfId="34756"/>
    <cellStyle name="Entered 10 2 3" xfId="34757"/>
    <cellStyle name="Entered 10 3" xfId="34758"/>
    <cellStyle name="Entered 10 3 2" xfId="34759"/>
    <cellStyle name="Entered 10 4" xfId="34760"/>
    <cellStyle name="Entered 11" xfId="34761"/>
    <cellStyle name="Entered 11 2" xfId="34762"/>
    <cellStyle name="Entered 12" xfId="34763"/>
    <cellStyle name="Entered 12 2" xfId="34764"/>
    <cellStyle name="Entered 13" xfId="34765"/>
    <cellStyle name="Entered 13 2" xfId="34766"/>
    <cellStyle name="Entered 14" xfId="9788"/>
    <cellStyle name="Entered 2" xfId="2788"/>
    <cellStyle name="Entered 2 2" xfId="2789"/>
    <cellStyle name="Entered 2 2 2" xfId="5954"/>
    <cellStyle name="Entered 2 2 2 2" xfId="21966"/>
    <cellStyle name="Entered 2 2 2 2 2" xfId="34767"/>
    <cellStyle name="Entered 2 2 2 3" xfId="9791"/>
    <cellStyle name="Entered 2 2 3" xfId="17447"/>
    <cellStyle name="Entered 2 2 3 2" xfId="34768"/>
    <cellStyle name="Entered 2 2 4" xfId="34769"/>
    <cellStyle name="Entered 2 2 4 2" xfId="34770"/>
    <cellStyle name="Entered 2 2 5" xfId="9790"/>
    <cellStyle name="Entered 2 3" xfId="5953"/>
    <cellStyle name="Entered 2 3 2" xfId="21967"/>
    <cellStyle name="Entered 2 3 2 2" xfId="34771"/>
    <cellStyle name="Entered 2 3 3" xfId="34772"/>
    <cellStyle name="Entered 2 3 4" xfId="9792"/>
    <cellStyle name="Entered 2 4" xfId="17446"/>
    <cellStyle name="Entered 2 4 2" xfId="34773"/>
    <cellStyle name="Entered 2 4 2 2" xfId="34774"/>
    <cellStyle name="Entered 2 4 3" xfId="34775"/>
    <cellStyle name="Entered 2 5" xfId="34776"/>
    <cellStyle name="Entered 2 5 2" xfId="34777"/>
    <cellStyle name="Entered 2 6" xfId="34778"/>
    <cellStyle name="Entered 2 6 2" xfId="34779"/>
    <cellStyle name="Entered 2 7" xfId="9789"/>
    <cellStyle name="Entered 3" xfId="2790"/>
    <cellStyle name="Entered 3 2" xfId="5955"/>
    <cellStyle name="Entered 3 2 2" xfId="9795"/>
    <cellStyle name="Entered 3 2 2 2" xfId="21968"/>
    <cellStyle name="Entered 3 2 3" xfId="19039"/>
    <cellStyle name="Entered 3 2 4" xfId="9794"/>
    <cellStyle name="Entered 3 3" xfId="9796"/>
    <cellStyle name="Entered 3 3 2" xfId="9797"/>
    <cellStyle name="Entered 3 3 2 2" xfId="21969"/>
    <cellStyle name="Entered 3 3 3" xfId="19040"/>
    <cellStyle name="Entered 3 4" xfId="9798"/>
    <cellStyle name="Entered 3 4 2" xfId="9799"/>
    <cellStyle name="Entered 3 4 2 2" xfId="21970"/>
    <cellStyle name="Entered 3 4 3" xfId="19041"/>
    <cellStyle name="Entered 3 5" xfId="17448"/>
    <cellStyle name="Entered 3 5 2" xfId="34780"/>
    <cellStyle name="Entered 3 6" xfId="9793"/>
    <cellStyle name="Entered 4" xfId="2791"/>
    <cellStyle name="Entered 4 2" xfId="2792"/>
    <cellStyle name="Entered 4 2 2" xfId="5957"/>
    <cellStyle name="Entered 4 2 2 2" xfId="34781"/>
    <cellStyle name="Entered 4 2 2 2 2" xfId="34782"/>
    <cellStyle name="Entered 4 2 3" xfId="34783"/>
    <cellStyle name="Entered 4 2 3 2" xfId="34784"/>
    <cellStyle name="Entered 4 2 4" xfId="34785"/>
    <cellStyle name="Entered 4 2 4 2" xfId="34786"/>
    <cellStyle name="Entered 4 2 5" xfId="9801"/>
    <cellStyle name="Entered 4 3" xfId="5956"/>
    <cellStyle name="Entered 4 3 2" xfId="34787"/>
    <cellStyle name="Entered 4 3 2 2" xfId="34788"/>
    <cellStyle name="Entered 4 3 3" xfId="34789"/>
    <cellStyle name="Entered 4 4" xfId="34790"/>
    <cellStyle name="Entered 4 4 2" xfId="34791"/>
    <cellStyle name="Entered 4 4 2 2" xfId="34792"/>
    <cellStyle name="Entered 4 4 3" xfId="34793"/>
    <cellStyle name="Entered 4 5" xfId="34794"/>
    <cellStyle name="Entered 4 5 2" xfId="34795"/>
    <cellStyle name="Entered 4 6" xfId="34796"/>
    <cellStyle name="Entered 4 6 2" xfId="34797"/>
    <cellStyle name="Entered 4 7" xfId="9800"/>
    <cellStyle name="Entered 5" xfId="9802"/>
    <cellStyle name="Entered 5 2" xfId="9803"/>
    <cellStyle name="Entered 5 2 2" xfId="21971"/>
    <cellStyle name="Entered 5 2 2 2" xfId="34798"/>
    <cellStyle name="Entered 5 2 2 2 2" xfId="34799"/>
    <cellStyle name="Entered 5 2 3" xfId="34800"/>
    <cellStyle name="Entered 5 2 3 2" xfId="34801"/>
    <cellStyle name="Entered 5 2 4" xfId="34802"/>
    <cellStyle name="Entered 5 2 4 2" xfId="34803"/>
    <cellStyle name="Entered 5 2 5" xfId="34804"/>
    <cellStyle name="Entered 5 3" xfId="19042"/>
    <cellStyle name="Entered 5 3 2" xfId="34805"/>
    <cellStyle name="Entered 5 3 2 2" xfId="34806"/>
    <cellStyle name="Entered 5 3 3" xfId="34807"/>
    <cellStyle name="Entered 5 4" xfId="34808"/>
    <cellStyle name="Entered 5 4 2" xfId="34809"/>
    <cellStyle name="Entered 5 5" xfId="34810"/>
    <cellStyle name="Entered 5 5 2" xfId="34811"/>
    <cellStyle name="Entered 6" xfId="9804"/>
    <cellStyle name="Entered 6 2" xfId="21972"/>
    <cellStyle name="Entered 6 2 2" xfId="34812"/>
    <cellStyle name="Entered 6 2 2 2" xfId="34813"/>
    <cellStyle name="Entered 6 2 2 2 2" xfId="34814"/>
    <cellStyle name="Entered 6 2 3" xfId="34815"/>
    <cellStyle name="Entered 6 2 3 2" xfId="34816"/>
    <cellStyle name="Entered 6 2 4" xfId="34817"/>
    <cellStyle name="Entered 6 2 4 2" xfId="34818"/>
    <cellStyle name="Entered 6 2 5" xfId="34819"/>
    <cellStyle name="Entered 6 3" xfId="34820"/>
    <cellStyle name="Entered 6 3 2" xfId="34821"/>
    <cellStyle name="Entered 6 3 2 2" xfId="34822"/>
    <cellStyle name="Entered 6 4" xfId="34823"/>
    <cellStyle name="Entered 6 4 2" xfId="34824"/>
    <cellStyle name="Entered 6 5" xfId="34825"/>
    <cellStyle name="Entered 6 5 2" xfId="34826"/>
    <cellStyle name="Entered 7" xfId="9805"/>
    <cellStyle name="Entered 7 2" xfId="13523"/>
    <cellStyle name="Entered 7 2 2" xfId="34827"/>
    <cellStyle name="Entered 7 2 2 2" xfId="34828"/>
    <cellStyle name="Entered 7 2 3" xfId="34829"/>
    <cellStyle name="Entered 7 3" xfId="34830"/>
    <cellStyle name="Entered 7 3 2" xfId="34831"/>
    <cellStyle name="Entered 7 4" xfId="34832"/>
    <cellStyle name="Entered 7 4 2" xfId="34833"/>
    <cellStyle name="Entered 8" xfId="13524"/>
    <cellStyle name="Entered 8 2" xfId="13525"/>
    <cellStyle name="Entered 8 2 2" xfId="34834"/>
    <cellStyle name="Entered 8 2 3" xfId="34835"/>
    <cellStyle name="Entered 8 3" xfId="34836"/>
    <cellStyle name="Entered 8 4" xfId="34837"/>
    <cellStyle name="Entered 9" xfId="17445"/>
    <cellStyle name="Entered 9 2" xfId="34838"/>
    <cellStyle name="Entered 9 2 2" xfId="34839"/>
    <cellStyle name="Entered 9 3" xfId="34840"/>
    <cellStyle name="Entered_AURORA Total New" xfId="2793"/>
    <cellStyle name="Euro" xfId="2794"/>
    <cellStyle name="Euro 10" xfId="34841"/>
    <cellStyle name="Euro 10 2" xfId="34842"/>
    <cellStyle name="Euro 10 2 2" xfId="34843"/>
    <cellStyle name="Euro 10 2 2 2" xfId="34844"/>
    <cellStyle name="Euro 10 2 3" xfId="34845"/>
    <cellStyle name="Euro 10 3" xfId="34846"/>
    <cellStyle name="Euro 10 3 2" xfId="34847"/>
    <cellStyle name="Euro 10 4" xfId="34848"/>
    <cellStyle name="Euro 11" xfId="34849"/>
    <cellStyle name="Euro 11 2" xfId="34850"/>
    <cellStyle name="Euro 12" xfId="34851"/>
    <cellStyle name="Euro 12 2" xfId="34852"/>
    <cellStyle name="Euro 12 3" xfId="34853"/>
    <cellStyle name="Euro 13" xfId="9806"/>
    <cellStyle name="Euro 2" xfId="2795"/>
    <cellStyle name="Euro 2 2" xfId="2796"/>
    <cellStyle name="Euro 2 2 2" xfId="5960"/>
    <cellStyle name="Euro 2 2 2 2" xfId="21973"/>
    <cellStyle name="Euro 2 2 2 2 2" xfId="34854"/>
    <cellStyle name="Euro 2 2 2 3" xfId="9809"/>
    <cellStyle name="Euro 2 2 3" xfId="17451"/>
    <cellStyle name="Euro 2 2 3 2" xfId="34855"/>
    <cellStyle name="Euro 2 2 4" xfId="34856"/>
    <cellStyle name="Euro 2 2 4 2" xfId="34857"/>
    <cellStyle name="Euro 2 2 5" xfId="9808"/>
    <cellStyle name="Euro 2 3" xfId="5959"/>
    <cellStyle name="Euro 2 3 2" xfId="21974"/>
    <cellStyle name="Euro 2 3 2 2" xfId="34858"/>
    <cellStyle name="Euro 2 3 3" xfId="34859"/>
    <cellStyle name="Euro 2 3 4" xfId="9810"/>
    <cellStyle name="Euro 2 4" xfId="17450"/>
    <cellStyle name="Euro 2 4 2" xfId="34860"/>
    <cellStyle name="Euro 2 4 2 2" xfId="34861"/>
    <cellStyle name="Euro 2 4 3" xfId="34862"/>
    <cellStyle name="Euro 2 5" xfId="34863"/>
    <cellStyle name="Euro 2 5 2" xfId="34864"/>
    <cellStyle name="Euro 2 6" xfId="34865"/>
    <cellStyle name="Euro 2 6 2" xfId="34866"/>
    <cellStyle name="Euro 2 7" xfId="9807"/>
    <cellStyle name="Euro 3" xfId="2797"/>
    <cellStyle name="Euro 3 2" xfId="5961"/>
    <cellStyle name="Euro 3 2 2" xfId="21975"/>
    <cellStyle name="Euro 3 2 2 2" xfId="34867"/>
    <cellStyle name="Euro 3 2 3" xfId="34868"/>
    <cellStyle name="Euro 3 2 4" xfId="9812"/>
    <cellStyle name="Euro 3 3" xfId="17452"/>
    <cellStyle name="Euro 3 3 2" xfId="34869"/>
    <cellStyle name="Euro 3 3 2 2" xfId="34870"/>
    <cellStyle name="Euro 3 3 3" xfId="34871"/>
    <cellStyle name="Euro 3 4" xfId="34872"/>
    <cellStyle name="Euro 3 4 2" xfId="34873"/>
    <cellStyle name="Euro 3 5" xfId="34874"/>
    <cellStyle name="Euro 3 5 2" xfId="34875"/>
    <cellStyle name="Euro 3 6" xfId="9811"/>
    <cellStyle name="Euro 4" xfId="5958"/>
    <cellStyle name="Euro 4 2" xfId="13526"/>
    <cellStyle name="Euro 4 2 2" xfId="34876"/>
    <cellStyle name="Euro 4 2 2 2" xfId="34877"/>
    <cellStyle name="Euro 4 2 2 2 2" xfId="34878"/>
    <cellStyle name="Euro 4 2 3" xfId="34879"/>
    <cellStyle name="Euro 4 2 3 2" xfId="34880"/>
    <cellStyle name="Euro 4 2 4" xfId="34881"/>
    <cellStyle name="Euro 4 2 4 2" xfId="34882"/>
    <cellStyle name="Euro 4 3" xfId="21976"/>
    <cellStyle name="Euro 4 3 2" xfId="34883"/>
    <cellStyle name="Euro 4 3 2 2" xfId="34884"/>
    <cellStyle name="Euro 4 4" xfId="34885"/>
    <cellStyle name="Euro 4 4 2" xfId="34886"/>
    <cellStyle name="Euro 4 4 2 2" xfId="34887"/>
    <cellStyle name="Euro 4 4 3" xfId="34888"/>
    <cellStyle name="Euro 4 5" xfId="34889"/>
    <cellStyle name="Euro 4 5 2" xfId="34890"/>
    <cellStyle name="Euro 4 6" xfId="34891"/>
    <cellStyle name="Euro 4 6 2" xfId="34892"/>
    <cellStyle name="Euro 4 7" xfId="9813"/>
    <cellStyle name="Euro 5" xfId="13527"/>
    <cellStyle name="Euro 5 2" xfId="13528"/>
    <cellStyle name="Euro 5 2 2" xfId="34893"/>
    <cellStyle name="Euro 5 2 2 2" xfId="34894"/>
    <cellStyle name="Euro 5 2 2 2 2" xfId="34895"/>
    <cellStyle name="Euro 5 2 3" xfId="34896"/>
    <cellStyle name="Euro 5 2 3 2" xfId="34897"/>
    <cellStyle name="Euro 5 2 4" xfId="34898"/>
    <cellStyle name="Euro 5 2 4 2" xfId="34899"/>
    <cellStyle name="Euro 5 3" xfId="34900"/>
    <cellStyle name="Euro 5 3 2" xfId="34901"/>
    <cellStyle name="Euro 5 3 2 2" xfId="34902"/>
    <cellStyle name="Euro 5 3 3" xfId="34903"/>
    <cellStyle name="Euro 5 4" xfId="34904"/>
    <cellStyle name="Euro 5 4 2" xfId="34905"/>
    <cellStyle name="Euro 5 4 2 2" xfId="34906"/>
    <cellStyle name="Euro 5 4 3" xfId="34907"/>
    <cellStyle name="Euro 5 5" xfId="34908"/>
    <cellStyle name="Euro 5 5 2" xfId="34909"/>
    <cellStyle name="Euro 5 6" xfId="34910"/>
    <cellStyle name="Euro 5 6 2" xfId="34911"/>
    <cellStyle name="Euro 5 7" xfId="34912"/>
    <cellStyle name="Euro 6" xfId="13529"/>
    <cellStyle name="Euro 6 2" xfId="34913"/>
    <cellStyle name="Euro 6 2 2" xfId="34914"/>
    <cellStyle name="Euro 6 2 2 2" xfId="34915"/>
    <cellStyle name="Euro 6 2 2 2 2" xfId="34916"/>
    <cellStyle name="Euro 6 2 3" xfId="34917"/>
    <cellStyle name="Euro 6 2 3 2" xfId="34918"/>
    <cellStyle name="Euro 6 2 4" xfId="34919"/>
    <cellStyle name="Euro 6 2 4 2" xfId="34920"/>
    <cellStyle name="Euro 6 2 5" xfId="34921"/>
    <cellStyle name="Euro 6 3" xfId="34922"/>
    <cellStyle name="Euro 6 3 2" xfId="34923"/>
    <cellStyle name="Euro 6 3 2 2" xfId="34924"/>
    <cellStyle name="Euro 6 4" xfId="34925"/>
    <cellStyle name="Euro 6 4 2" xfId="34926"/>
    <cellStyle name="Euro 6 5" xfId="34927"/>
    <cellStyle name="Euro 6 5 2" xfId="34928"/>
    <cellStyle name="Euro 7" xfId="13530"/>
    <cellStyle name="Euro 7 2" xfId="13531"/>
    <cellStyle name="Euro 7 2 2" xfId="34929"/>
    <cellStyle name="Euro 7 2 2 2" xfId="34930"/>
    <cellStyle name="Euro 7 2 3" xfId="34931"/>
    <cellStyle name="Euro 7 3" xfId="34932"/>
    <cellStyle name="Euro 7 3 2" xfId="34933"/>
    <cellStyle name="Euro 7 4" xfId="34934"/>
    <cellStyle name="Euro 7 4 2" xfId="34935"/>
    <cellStyle name="Euro 8" xfId="13532"/>
    <cellStyle name="Euro 8 2" xfId="13533"/>
    <cellStyle name="Euro 8 2 2" xfId="34936"/>
    <cellStyle name="Euro 8 2 3" xfId="34937"/>
    <cellStyle name="Euro 8 3" xfId="34938"/>
    <cellStyle name="Euro 8 4" xfId="34939"/>
    <cellStyle name="Euro 9" xfId="17449"/>
    <cellStyle name="Euro 9 2" xfId="34940"/>
    <cellStyle name="Euro 9 2 2" xfId="34941"/>
    <cellStyle name="Euro 9 3" xfId="34942"/>
    <cellStyle name="Explanatory Text 10" xfId="9814"/>
    <cellStyle name="Explanatory Text 2" xfId="2798"/>
    <cellStyle name="Explanatory Text 2 2" xfId="2799"/>
    <cellStyle name="Explanatory Text 2 2 2" xfId="2800"/>
    <cellStyle name="Explanatory Text 2 2 2 2" xfId="34943"/>
    <cellStyle name="Explanatory Text 2 2 2 2 2" xfId="34944"/>
    <cellStyle name="Explanatory Text 2 2 2 3" xfId="34945"/>
    <cellStyle name="Explanatory Text 2 2 2 4" xfId="13534"/>
    <cellStyle name="Explanatory Text 2 2 3" xfId="17454"/>
    <cellStyle name="Explanatory Text 2 2 3 2" xfId="34946"/>
    <cellStyle name="Explanatory Text 2 2 4" xfId="34947"/>
    <cellStyle name="Explanatory Text 2 2 4 2" xfId="34948"/>
    <cellStyle name="Explanatory Text 2 2 5" xfId="9816"/>
    <cellStyle name="Explanatory Text 2 3" xfId="2801"/>
    <cellStyle name="Explanatory Text 2 3 2" xfId="15515"/>
    <cellStyle name="Explanatory Text 2 3 2 2" xfId="34949"/>
    <cellStyle name="Explanatory Text 2 3 2 2 2" xfId="34950"/>
    <cellStyle name="Explanatory Text 2 3 2 3" xfId="34951"/>
    <cellStyle name="Explanatory Text 2 3 2 4" xfId="34952"/>
    <cellStyle name="Explanatory Text 2 3 3" xfId="18030"/>
    <cellStyle name="Explanatory Text 2 3 3 2" xfId="34953"/>
    <cellStyle name="Explanatory Text 2 3 4" xfId="34954"/>
    <cellStyle name="Explanatory Text 2 3 4 2" xfId="34955"/>
    <cellStyle name="Explanatory Text 2 3 5" xfId="34956"/>
    <cellStyle name="Explanatory Text 2 3 6" xfId="9817"/>
    <cellStyle name="Explanatory Text 2 4" xfId="13535"/>
    <cellStyle name="Explanatory Text 2 4 2" xfId="34957"/>
    <cellStyle name="Explanatory Text 2 4 2 2" xfId="34958"/>
    <cellStyle name="Explanatory Text 2 4 3" xfId="34959"/>
    <cellStyle name="Explanatory Text 2 4 4" xfId="34960"/>
    <cellStyle name="Explanatory Text 2 5" xfId="34961"/>
    <cellStyle name="Explanatory Text 2 5 2" xfId="34962"/>
    <cellStyle name="Explanatory Text 2 6" xfId="34963"/>
    <cellStyle name="Explanatory Text 2 6 2" xfId="34964"/>
    <cellStyle name="Explanatory Text 2 7" xfId="9815"/>
    <cellStyle name="Explanatory Text 3" xfId="2802"/>
    <cellStyle name="Explanatory Text 3 2" xfId="13536"/>
    <cellStyle name="Explanatory Text 3 2 2" xfId="34965"/>
    <cellStyle name="Explanatory Text 3 2 2 2" xfId="34966"/>
    <cellStyle name="Explanatory Text 3 2 3" xfId="34967"/>
    <cellStyle name="Explanatory Text 3 3" xfId="17455"/>
    <cellStyle name="Explanatory Text 3 3 2" xfId="34968"/>
    <cellStyle name="Explanatory Text 3 4" xfId="34969"/>
    <cellStyle name="Explanatory Text 3 4 2" xfId="34970"/>
    <cellStyle name="Explanatory Text 3 5" xfId="9818"/>
    <cellStyle name="Explanatory Text 4" xfId="13537"/>
    <cellStyle name="Explanatory Text 4 2" xfId="34971"/>
    <cellStyle name="Explanatory Text 4 2 2" xfId="34972"/>
    <cellStyle name="Explanatory Text 4 2 2 2" xfId="34973"/>
    <cellStyle name="Explanatory Text 4 2 3" xfId="34974"/>
    <cellStyle name="Explanatory Text 4 2 4" xfId="34975"/>
    <cellStyle name="Explanatory Text 4 3" xfId="34976"/>
    <cellStyle name="Explanatory Text 4 3 2" xfId="34977"/>
    <cellStyle name="Explanatory Text 4 4" xfId="34978"/>
    <cellStyle name="Explanatory Text 4 4 2" xfId="34979"/>
    <cellStyle name="Explanatory Text 5" xfId="13538"/>
    <cellStyle name="Explanatory Text 5 2" xfId="34980"/>
    <cellStyle name="Explanatory Text 5 2 2" xfId="34981"/>
    <cellStyle name="Explanatory Text 5 3" xfId="34982"/>
    <cellStyle name="Explanatory Text 6" xfId="13539"/>
    <cellStyle name="Explanatory Text 6 2" xfId="34983"/>
    <cellStyle name="Explanatory Text 6 2 2" xfId="34984"/>
    <cellStyle name="Explanatory Text 6 3" xfId="34985"/>
    <cellStyle name="Explanatory Text 6 4" xfId="34986"/>
    <cellStyle name="Explanatory Text 6 5" xfId="34987"/>
    <cellStyle name="Explanatory Text 7" xfId="17453"/>
    <cellStyle name="Explanatory Text 7 2" xfId="34988"/>
    <cellStyle name="Explanatory Text 8" xfId="34989"/>
    <cellStyle name="Explanatory Text 9" xfId="34990"/>
    <cellStyle name="FieldName" xfId="34991"/>
    <cellStyle name="Fixed" xfId="2803"/>
    <cellStyle name="Fixed 2" xfId="2804"/>
    <cellStyle name="Fixed 2 2" xfId="2805"/>
    <cellStyle name="Fixed 2 2 2" xfId="18031"/>
    <cellStyle name="Fixed 2 2 3" xfId="34992"/>
    <cellStyle name="Fixed 2 2 4" xfId="9821"/>
    <cellStyle name="Fixed 2 3" xfId="17457"/>
    <cellStyle name="Fixed 2 4" xfId="34993"/>
    <cellStyle name="Fixed 2 5" xfId="9820"/>
    <cellStyle name="Fixed 3" xfId="9822"/>
    <cellStyle name="Fixed 3 2" xfId="17856"/>
    <cellStyle name="Fixed 4" xfId="9823"/>
    <cellStyle name="Fixed 4 2" xfId="17857"/>
    <cellStyle name="Fixed 5" xfId="9824"/>
    <cellStyle name="Fixed 5 2" xfId="34994"/>
    <cellStyle name="Fixed 6" xfId="17456"/>
    <cellStyle name="Fixed 7" xfId="9819"/>
    <cellStyle name="Fixed3 - Style3" xfId="2806"/>
    <cellStyle name="Fixed3 - Style3 2" xfId="17458"/>
    <cellStyle name="Fixed3 - Style3 2 2" xfId="34995"/>
    <cellStyle name="Fixed3 - Style3 2 2 2" xfId="34996"/>
    <cellStyle name="Fixed3 - Style3 2 3" xfId="34997"/>
    <cellStyle name="Fixed3 - Style3 3" xfId="34998"/>
    <cellStyle name="Fixed3 - Style3 3 2" xfId="34999"/>
    <cellStyle name="Fixed3 - Style3 4" xfId="35000"/>
    <cellStyle name="Fixed3 - Style3 4 2" xfId="35001"/>
    <cellStyle name="Fixed3 - Style3 5" xfId="9825"/>
    <cellStyle name="Followed Hyperlink 2" xfId="3360"/>
    <cellStyle name="Footnote" xfId="35002"/>
    <cellStyle name="G01_2001 figures 1 decimal a" xfId="35003"/>
    <cellStyle name="G03_Text" xfId="35004"/>
    <cellStyle name="G05_Superiors" xfId="35005"/>
    <cellStyle name="G07_Bold_2002_figs_Green" xfId="35006"/>
    <cellStyle name="G08_2001_figs" xfId="35007"/>
    <cellStyle name="Good 10" xfId="9826"/>
    <cellStyle name="Good 2" xfId="2807"/>
    <cellStyle name="Good 2 2" xfId="2808"/>
    <cellStyle name="Good 2 2 2" xfId="2809"/>
    <cellStyle name="Good 2 2 2 2" xfId="35008"/>
    <cellStyle name="Good 2 2 2 2 2" xfId="35009"/>
    <cellStyle name="Good 2 2 2 3" xfId="35010"/>
    <cellStyle name="Good 2 2 2 4" xfId="13540"/>
    <cellStyle name="Good 2 2 3" xfId="17461"/>
    <cellStyle name="Good 2 2 3 2" xfId="35011"/>
    <cellStyle name="Good 2 2 4" xfId="35012"/>
    <cellStyle name="Good 2 2 4 2" xfId="35013"/>
    <cellStyle name="Good 2 2 5" xfId="9828"/>
    <cellStyle name="Good 2 3" xfId="2810"/>
    <cellStyle name="Good 2 3 2" xfId="15516"/>
    <cellStyle name="Good 2 3 2 2" xfId="35014"/>
    <cellStyle name="Good 2 3 2 2 2" xfId="35015"/>
    <cellStyle name="Good 2 3 2 3" xfId="35016"/>
    <cellStyle name="Good 2 3 2 4" xfId="35017"/>
    <cellStyle name="Good 2 3 3" xfId="18032"/>
    <cellStyle name="Good 2 3 3 2" xfId="35018"/>
    <cellStyle name="Good 2 3 3 3" xfId="35019"/>
    <cellStyle name="Good 2 3 4" xfId="35020"/>
    <cellStyle name="Good 2 3 4 2" xfId="35021"/>
    <cellStyle name="Good 2 3 5" xfId="35022"/>
    <cellStyle name="Good 2 3 6" xfId="9829"/>
    <cellStyle name="Good 2 4" xfId="13541"/>
    <cellStyle name="Good 2 4 2" xfId="35023"/>
    <cellStyle name="Good 2 4 2 2" xfId="35024"/>
    <cellStyle name="Good 2 4 3" xfId="35025"/>
    <cellStyle name="Good 2 4 4" xfId="35026"/>
    <cellStyle name="Good 2 4 5" xfId="35027"/>
    <cellStyle name="Good 2 5" xfId="17460"/>
    <cellStyle name="Good 2 5 2" xfId="35028"/>
    <cellStyle name="Good 2 6" xfId="35029"/>
    <cellStyle name="Good 2 6 2" xfId="35030"/>
    <cellStyle name="Good 2 7" xfId="9827"/>
    <cellStyle name="Good 3" xfId="2811"/>
    <cellStyle name="Good 3 2" xfId="9831"/>
    <cellStyle name="Good 3 2 2" xfId="19043"/>
    <cellStyle name="Good 3 2 2 2" xfId="35031"/>
    <cellStyle name="Good 3 2 3" xfId="35032"/>
    <cellStyle name="Good 3 3" xfId="9832"/>
    <cellStyle name="Good 3 3 2" xfId="21977"/>
    <cellStyle name="Good 3 4" xfId="9833"/>
    <cellStyle name="Good 3 4 2" xfId="21978"/>
    <cellStyle name="Good 3 5" xfId="17462"/>
    <cellStyle name="Good 3 6" xfId="9830"/>
    <cellStyle name="Good 4" xfId="13542"/>
    <cellStyle name="Good 4 2" xfId="35033"/>
    <cellStyle name="Good 4 2 2" xfId="35034"/>
    <cellStyle name="Good 4 2 2 2" xfId="35035"/>
    <cellStyle name="Good 4 2 3" xfId="35036"/>
    <cellStyle name="Good 4 2 4" xfId="35037"/>
    <cellStyle name="Good 4 3" xfId="35038"/>
    <cellStyle name="Good 4 3 2" xfId="35039"/>
    <cellStyle name="Good 4 4" xfId="35040"/>
    <cellStyle name="Good 4 4 2" xfId="35041"/>
    <cellStyle name="Good 5" xfId="13543"/>
    <cellStyle name="Good 5 2" xfId="15517"/>
    <cellStyle name="Good 5 2 2" xfId="35042"/>
    <cellStyle name="Good 5 2 3" xfId="35043"/>
    <cellStyle name="Good 5 3" xfId="35044"/>
    <cellStyle name="Good 6" xfId="13544"/>
    <cellStyle name="Good 6 2" xfId="35045"/>
    <cellStyle name="Good 6 2 2" xfId="35046"/>
    <cellStyle name="Good 6 3" xfId="35047"/>
    <cellStyle name="Good 6 4" xfId="35048"/>
    <cellStyle name="Good 6 5" xfId="35049"/>
    <cellStyle name="Good 7" xfId="13545"/>
    <cellStyle name="Good 7 2" xfId="35050"/>
    <cellStyle name="Good 7 3" xfId="35051"/>
    <cellStyle name="Good 8" xfId="35052"/>
    <cellStyle name="Good 9" xfId="35053"/>
    <cellStyle name="Grey" xfId="2812"/>
    <cellStyle name="Grey 10" xfId="9834"/>
    <cellStyle name="Grey 2" xfId="2813"/>
    <cellStyle name="Grey 2 2" xfId="2814"/>
    <cellStyle name="Grey 2 2 2" xfId="5962"/>
    <cellStyle name="Grey 2 2 2 2" xfId="35054"/>
    <cellStyle name="Grey 2 2 2 2 2" xfId="35055"/>
    <cellStyle name="Grey 2 2 2 3" xfId="35056"/>
    <cellStyle name="Grey 2 2 2 4" xfId="13546"/>
    <cellStyle name="Grey 2 2 3" xfId="18033"/>
    <cellStyle name="Grey 2 2 3 2" xfId="35057"/>
    <cellStyle name="Grey 2 2 3 2 2" xfId="35058"/>
    <cellStyle name="Grey 2 2 3 3" xfId="35059"/>
    <cellStyle name="Grey 2 2 4" xfId="35060"/>
    <cellStyle name="Grey 2 2 4 2" xfId="35061"/>
    <cellStyle name="Grey 2 2 5" xfId="35062"/>
    <cellStyle name="Grey 2 2 5 2" xfId="35063"/>
    <cellStyle name="Grey 2 2 6" xfId="35064"/>
    <cellStyle name="Grey 2 2 7" xfId="9836"/>
    <cellStyle name="Grey 2 3" xfId="9837"/>
    <cellStyle name="Grey 2 3 2" xfId="19044"/>
    <cellStyle name="Grey 2 3 2 2" xfId="35065"/>
    <cellStyle name="Grey 2 3 3" xfId="35066"/>
    <cellStyle name="Grey 2 3 4" xfId="35067"/>
    <cellStyle name="Grey 2 4" xfId="17463"/>
    <cellStyle name="Grey 2 4 2" xfId="35068"/>
    <cellStyle name="Grey 2 5" xfId="35069"/>
    <cellStyle name="Grey 2 5 2" xfId="35070"/>
    <cellStyle name="Grey 2 6" xfId="9835"/>
    <cellStyle name="Grey 3" xfId="2815"/>
    <cellStyle name="Grey 3 2" xfId="2816"/>
    <cellStyle name="Grey 3 2 2" xfId="5963"/>
    <cellStyle name="Grey 3 2 2 2" xfId="35071"/>
    <cellStyle name="Grey 3 2 2 2 2" xfId="35072"/>
    <cellStyle name="Grey 3 2 2 3" xfId="35073"/>
    <cellStyle name="Grey 3 2 2 4" xfId="13547"/>
    <cellStyle name="Grey 3 2 3" xfId="18034"/>
    <cellStyle name="Grey 3 2 3 2" xfId="35074"/>
    <cellStyle name="Grey 3 2 3 2 2" xfId="35075"/>
    <cellStyle name="Grey 3 2 3 3" xfId="35076"/>
    <cellStyle name="Grey 3 2 4" xfId="35077"/>
    <cellStyle name="Grey 3 2 4 2" xfId="35078"/>
    <cellStyle name="Grey 3 2 5" xfId="35079"/>
    <cellStyle name="Grey 3 2 5 2" xfId="35080"/>
    <cellStyle name="Grey 3 2 6" xfId="35081"/>
    <cellStyle name="Grey 3 2 7" xfId="9839"/>
    <cellStyle name="Grey 3 3" xfId="9840"/>
    <cellStyle name="Grey 3 3 2" xfId="19045"/>
    <cellStyle name="Grey 3 3 2 2" xfId="35082"/>
    <cellStyle name="Grey 3 3 3" xfId="35083"/>
    <cellStyle name="Grey 3 3 4" xfId="35084"/>
    <cellStyle name="Grey 3 4" xfId="17464"/>
    <cellStyle name="Grey 3 4 2" xfId="35085"/>
    <cellStyle name="Grey 3 5" xfId="35086"/>
    <cellStyle name="Grey 3 5 2" xfId="35087"/>
    <cellStyle name="Grey 3 6" xfId="9838"/>
    <cellStyle name="Grey 4" xfId="2817"/>
    <cellStyle name="Grey 4 2" xfId="9842"/>
    <cellStyle name="Grey 4 2 2" xfId="19046"/>
    <cellStyle name="Grey 4 2 2 2" xfId="35088"/>
    <cellStyle name="Grey 4 2 3" xfId="35089"/>
    <cellStyle name="Grey 4 2 4" xfId="35090"/>
    <cellStyle name="Grey 4 2 5" xfId="35091"/>
    <cellStyle name="Grey 4 3" xfId="9843"/>
    <cellStyle name="Grey 4 3 2" xfId="19047"/>
    <cellStyle name="Grey 4 4" xfId="17465"/>
    <cellStyle name="Grey 4 4 2" xfId="35092"/>
    <cellStyle name="Grey 4 5" xfId="9841"/>
    <cellStyle name="Grey 5" xfId="2818"/>
    <cellStyle name="Grey 5 2" xfId="2819"/>
    <cellStyle name="Grey 5 2 2" xfId="15518"/>
    <cellStyle name="Grey 5 2 2 2" xfId="35093"/>
    <cellStyle name="Grey 5 2 2 2 2" xfId="35094"/>
    <cellStyle name="Grey 5 2 2 3" xfId="35095"/>
    <cellStyle name="Grey 5 2 3" xfId="18035"/>
    <cellStyle name="Grey 5 2 3 2" xfId="35096"/>
    <cellStyle name="Grey 5 2 4" xfId="35097"/>
    <cellStyle name="Grey 5 2 4 2" xfId="35098"/>
    <cellStyle name="Grey 5 2 5" xfId="9845"/>
    <cellStyle name="Grey 5 3" xfId="15519"/>
    <cellStyle name="Grey 5 3 2" xfId="35099"/>
    <cellStyle name="Grey 5 3 2 2" xfId="35100"/>
    <cellStyle name="Grey 5 3 3" xfId="35101"/>
    <cellStyle name="Grey 5 4" xfId="17466"/>
    <cellStyle name="Grey 5 4 2" xfId="35102"/>
    <cellStyle name="Grey 5 4 2 2" xfId="35103"/>
    <cellStyle name="Grey 5 4 3" xfId="35104"/>
    <cellStyle name="Grey 5 5" xfId="35105"/>
    <cellStyle name="Grey 5 5 2" xfId="35106"/>
    <cellStyle name="Grey 5 6" xfId="35107"/>
    <cellStyle name="Grey 5 6 2" xfId="35108"/>
    <cellStyle name="Grey 5 7" xfId="9844"/>
    <cellStyle name="Grey 6" xfId="2820"/>
    <cellStyle name="Grey 6 2" xfId="5964"/>
    <cellStyle name="Grey 6 2 2" xfId="35109"/>
    <cellStyle name="Grey 6 2 3" xfId="15520"/>
    <cellStyle name="Grey 6 3" xfId="18036"/>
    <cellStyle name="Grey 6 4" xfId="35110"/>
    <cellStyle name="Grey 6 5" xfId="9846"/>
    <cellStyle name="Grey 7" xfId="9847"/>
    <cellStyle name="Grey 7 2" xfId="35111"/>
    <cellStyle name="Grey 8" xfId="35112"/>
    <cellStyle name="Grey 8 2" xfId="35113"/>
    <cellStyle name="Grey 9" xfId="35114"/>
    <cellStyle name="Grey 9 2" xfId="35115"/>
    <cellStyle name="Grey_(C) WHE Proforma with ITC cash grant 10 Yr Amort_for deferral_102809" xfId="2821"/>
    <cellStyle name="g-tota - Style7" xfId="13548"/>
    <cellStyle name="Header" xfId="14224"/>
    <cellStyle name="Header1" xfId="2822"/>
    <cellStyle name="Header1 2" xfId="2823"/>
    <cellStyle name="Header1 2 2" xfId="17468"/>
    <cellStyle name="Header1 2 2 2" xfId="35116"/>
    <cellStyle name="Header1 2 2 2 2" xfId="35117"/>
    <cellStyle name="Header1 2 2 3" xfId="35118"/>
    <cellStyle name="Header1 2 3" xfId="35119"/>
    <cellStyle name="Header1 2 3 2" xfId="35120"/>
    <cellStyle name="Header1 2 4" xfId="35121"/>
    <cellStyle name="Header1 2 4 2" xfId="35122"/>
    <cellStyle name="Header1 2 5" xfId="9849"/>
    <cellStyle name="Header1 3" xfId="2824"/>
    <cellStyle name="Header1 3 2" xfId="2825"/>
    <cellStyle name="Header1 3 2 2" xfId="18037"/>
    <cellStyle name="Header1 3 2 3" xfId="35123"/>
    <cellStyle name="Header1 3 2 4" xfId="9851"/>
    <cellStyle name="Header1 3 3" xfId="17469"/>
    <cellStyle name="Header1 3 4" xfId="35124"/>
    <cellStyle name="Header1 3 5" xfId="9850"/>
    <cellStyle name="Header1 4" xfId="9852"/>
    <cellStyle name="Header1 4 2" xfId="35125"/>
    <cellStyle name="Header1 5" xfId="17467"/>
    <cellStyle name="Header1 5 2" xfId="35126"/>
    <cellStyle name="Header1 6" xfId="9848"/>
    <cellStyle name="Header1_AURORA Total New" xfId="2826"/>
    <cellStyle name="Header2" xfId="2827"/>
    <cellStyle name="Header2 2" xfId="2828"/>
    <cellStyle name="Header2 2 2" xfId="9855"/>
    <cellStyle name="Header2 2 2 2" xfId="35127"/>
    <cellStyle name="Header2 2 2 2 2" xfId="35128"/>
    <cellStyle name="Header2 2 2 3" xfId="35129"/>
    <cellStyle name="Header2 2 3" xfId="9856"/>
    <cellStyle name="Header2 2 3 2" xfId="35130"/>
    <cellStyle name="Header2 2 4" xfId="9857"/>
    <cellStyle name="Header2 2 4 2" xfId="35131"/>
    <cellStyle name="Header2 2 5" xfId="17471"/>
    <cellStyle name="Header2 2 6" xfId="22339"/>
    <cellStyle name="Header2 2 7" xfId="9854"/>
    <cellStyle name="Header2 3" xfId="2829"/>
    <cellStyle name="Header2 3 2" xfId="2830"/>
    <cellStyle name="Header2 3 2 2" xfId="9860"/>
    <cellStyle name="Header2 3 2 3" xfId="9861"/>
    <cellStyle name="Header2 3 2 4" xfId="9862"/>
    <cellStyle name="Header2 3 2 5" xfId="9863"/>
    <cellStyle name="Header2 3 2 6" xfId="18038"/>
    <cellStyle name="Header2 3 2 7" xfId="22442"/>
    <cellStyle name="Header2 3 2 8" xfId="9859"/>
    <cellStyle name="Header2 3 3" xfId="17472"/>
    <cellStyle name="Header2 3 4" xfId="35132"/>
    <cellStyle name="Header2 3 5" xfId="9858"/>
    <cellStyle name="Header2 4" xfId="9864"/>
    <cellStyle name="Header2 4 2" xfId="9865"/>
    <cellStyle name="Header2 4 3" xfId="9866"/>
    <cellStyle name="Header2 4 4" xfId="9867"/>
    <cellStyle name="Header2 4 5" xfId="9868"/>
    <cellStyle name="Header2 4 6" xfId="17897"/>
    <cellStyle name="Header2 4 7" xfId="22375"/>
    <cellStyle name="Header2 5" xfId="9869"/>
    <cellStyle name="Header2 5 2" xfId="35133"/>
    <cellStyle name="Header2 6" xfId="17470"/>
    <cellStyle name="Header2 7" xfId="9853"/>
    <cellStyle name="Header2_AURORA Total New" xfId="2831"/>
    <cellStyle name="Heading" xfId="14225"/>
    <cellStyle name="Heading 1" xfId="2832" builtinId="16" customBuiltin="1"/>
    <cellStyle name="Heading 1 10" xfId="9870"/>
    <cellStyle name="Heading 1 2" xfId="2833"/>
    <cellStyle name="Heading 1 2 2" xfId="2834"/>
    <cellStyle name="Heading 1 2 2 2" xfId="2835"/>
    <cellStyle name="Heading 1 2 2 2 2" xfId="35134"/>
    <cellStyle name="Heading 1 2 2 2 2 2" xfId="35135"/>
    <cellStyle name="Heading 1 2 2 2 3" xfId="35136"/>
    <cellStyle name="Heading 1 2 2 2 4" xfId="13549"/>
    <cellStyle name="Heading 1 2 2 3" xfId="17475"/>
    <cellStyle name="Heading 1 2 2 3 2" xfId="35137"/>
    <cellStyle name="Heading 1 2 2 4" xfId="35138"/>
    <cellStyle name="Heading 1 2 2 4 2" xfId="35139"/>
    <cellStyle name="Heading 1 2 2 5" xfId="9872"/>
    <cellStyle name="Heading 1 2 3" xfId="2836"/>
    <cellStyle name="Heading 1 2 3 2" xfId="9874"/>
    <cellStyle name="Heading 1 2 3 2 2" xfId="19048"/>
    <cellStyle name="Heading 1 2 3 2 2 2" xfId="35140"/>
    <cellStyle name="Heading 1 2 3 2 3" xfId="35141"/>
    <cellStyle name="Heading 1 2 3 2 4" xfId="35142"/>
    <cellStyle name="Heading 1 2 3 3" xfId="9875"/>
    <cellStyle name="Heading 1 2 3 3 2" xfId="21979"/>
    <cellStyle name="Heading 1 2 3 3 3" xfId="35143"/>
    <cellStyle name="Heading 1 2 3 4" xfId="9876"/>
    <cellStyle name="Heading 1 2 3 4 2" xfId="21980"/>
    <cellStyle name="Heading 1 2 3 5" xfId="18039"/>
    <cellStyle name="Heading 1 2 3 6" xfId="9873"/>
    <cellStyle name="Heading 1 2 4" xfId="13550"/>
    <cellStyle name="Heading 1 2 4 2" xfId="35144"/>
    <cellStyle name="Heading 1 2 4 2 2" xfId="35145"/>
    <cellStyle name="Heading 1 2 4 3" xfId="35146"/>
    <cellStyle name="Heading 1 2 4 4" xfId="35147"/>
    <cellStyle name="Heading 1 2 4 5" xfId="35148"/>
    <cellStyle name="Heading 1 2 5" xfId="15521"/>
    <cellStyle name="Heading 1 2 5 2" xfId="35149"/>
    <cellStyle name="Heading 1 2 5 2 2" xfId="35150"/>
    <cellStyle name="Heading 1 2 5 3" xfId="35151"/>
    <cellStyle name="Heading 1 2 5 4" xfId="35152"/>
    <cellStyle name="Heading 1 2 6" xfId="17474"/>
    <cellStyle name="Heading 1 2 6 2" xfId="35153"/>
    <cellStyle name="Heading 1 2 7" xfId="35154"/>
    <cellStyle name="Heading 1 2 8" xfId="9871"/>
    <cellStyle name="Heading 1 3" xfId="2837"/>
    <cellStyle name="Heading 1 3 2" xfId="2838"/>
    <cellStyle name="Heading 1 3 2 2" xfId="19049"/>
    <cellStyle name="Heading 1 3 2 2 2" xfId="35155"/>
    <cellStyle name="Heading 1 3 2 3" xfId="35156"/>
    <cellStyle name="Heading 1 3 2 4" xfId="35157"/>
    <cellStyle name="Heading 1 3 2 5" xfId="9878"/>
    <cellStyle name="Heading 1 3 3" xfId="9879"/>
    <cellStyle name="Heading 1 3 3 2" xfId="21981"/>
    <cellStyle name="Heading 1 3 3 2 2" xfId="35158"/>
    <cellStyle name="Heading 1 3 3 3" xfId="35159"/>
    <cellStyle name="Heading 1 3 4" xfId="9880"/>
    <cellStyle name="Heading 1 3 4 2" xfId="21982"/>
    <cellStyle name="Heading 1 3 5" xfId="17476"/>
    <cellStyle name="Heading 1 3 6" xfId="9877"/>
    <cellStyle name="Heading 1 4" xfId="2839"/>
    <cellStyle name="Heading 1 4 2" xfId="2840"/>
    <cellStyle name="Heading 1 4 2 2" xfId="18040"/>
    <cellStyle name="Heading 1 4 2 3" xfId="9882"/>
    <cellStyle name="Heading 1 4 3" xfId="17477"/>
    <cellStyle name="Heading 1 4 4" xfId="9881"/>
    <cellStyle name="Heading 1 5" xfId="9883"/>
    <cellStyle name="Heading 1 5 2" xfId="35160"/>
    <cellStyle name="Heading 1 5 2 2" xfId="35161"/>
    <cellStyle name="Heading 1 5 3" xfId="35162"/>
    <cellStyle name="Heading 1 5 4" xfId="35163"/>
    <cellStyle name="Heading 1 6" xfId="13551"/>
    <cellStyle name="Heading 1 6 2" xfId="35164"/>
    <cellStyle name="Heading 1 6 3" xfId="35165"/>
    <cellStyle name="Heading 1 7" xfId="17473"/>
    <cellStyle name="Heading 1 8" xfId="35166"/>
    <cellStyle name="Heading 1 9" xfId="14304"/>
    <cellStyle name="Heading 1 9 2" xfId="42128"/>
    <cellStyle name="Heading 2" xfId="2841" builtinId="17" customBuiltin="1"/>
    <cellStyle name="Heading 2 10" xfId="9884"/>
    <cellStyle name="Heading 2 2" xfId="2842"/>
    <cellStyle name="Heading 2 2 2" xfId="2843"/>
    <cellStyle name="Heading 2 2 2 2" xfId="2844"/>
    <cellStyle name="Heading 2 2 2 2 2" xfId="35167"/>
    <cellStyle name="Heading 2 2 2 2 2 2" xfId="35168"/>
    <cellStyle name="Heading 2 2 2 2 3" xfId="35169"/>
    <cellStyle name="Heading 2 2 2 2 4" xfId="13552"/>
    <cellStyle name="Heading 2 2 2 3" xfId="17480"/>
    <cellStyle name="Heading 2 2 2 3 2" xfId="35170"/>
    <cellStyle name="Heading 2 2 2 4" xfId="35171"/>
    <cellStyle name="Heading 2 2 2 4 2" xfId="35172"/>
    <cellStyle name="Heading 2 2 2 5" xfId="9886"/>
    <cellStyle name="Heading 2 2 3" xfId="2845"/>
    <cellStyle name="Heading 2 2 3 2" xfId="9888"/>
    <cellStyle name="Heading 2 2 3 2 2" xfId="19050"/>
    <cellStyle name="Heading 2 2 3 2 2 2" xfId="35173"/>
    <cellStyle name="Heading 2 2 3 2 3" xfId="35174"/>
    <cellStyle name="Heading 2 2 3 2 4" xfId="35175"/>
    <cellStyle name="Heading 2 2 3 3" xfId="9889"/>
    <cellStyle name="Heading 2 2 3 3 2" xfId="21983"/>
    <cellStyle name="Heading 2 2 3 3 3" xfId="35176"/>
    <cellStyle name="Heading 2 2 3 4" xfId="9890"/>
    <cellStyle name="Heading 2 2 3 4 2" xfId="21984"/>
    <cellStyle name="Heading 2 2 3 5" xfId="18041"/>
    <cellStyle name="Heading 2 2 3 6" xfId="9887"/>
    <cellStyle name="Heading 2 2 4" xfId="13553"/>
    <cellStyle name="Heading 2 2 4 2" xfId="35177"/>
    <cellStyle name="Heading 2 2 4 2 2" xfId="35178"/>
    <cellStyle name="Heading 2 2 4 3" xfId="35179"/>
    <cellStyle name="Heading 2 2 4 4" xfId="35180"/>
    <cellStyle name="Heading 2 2 4 5" xfId="35181"/>
    <cellStyle name="Heading 2 2 5" xfId="15522"/>
    <cellStyle name="Heading 2 2 5 2" xfId="35182"/>
    <cellStyle name="Heading 2 2 5 2 2" xfId="35183"/>
    <cellStyle name="Heading 2 2 5 3" xfId="35184"/>
    <cellStyle name="Heading 2 2 5 4" xfId="35185"/>
    <cellStyle name="Heading 2 2 6" xfId="17479"/>
    <cellStyle name="Heading 2 2 6 2" xfId="35186"/>
    <cellStyle name="Heading 2 2 7" xfId="35187"/>
    <cellStyle name="Heading 2 2 8" xfId="9885"/>
    <cellStyle name="Heading 2 3" xfId="2846"/>
    <cellStyle name="Heading 2 3 2" xfId="2847"/>
    <cellStyle name="Heading 2 3 2 2" xfId="19051"/>
    <cellStyle name="Heading 2 3 2 2 2" xfId="35188"/>
    <cellStyle name="Heading 2 3 2 3" xfId="35189"/>
    <cellStyle name="Heading 2 3 2 4" xfId="35190"/>
    <cellStyle name="Heading 2 3 2 5" xfId="9892"/>
    <cellStyle name="Heading 2 3 3" xfId="9893"/>
    <cellStyle name="Heading 2 3 3 2" xfId="21985"/>
    <cellStyle name="Heading 2 3 3 2 2" xfId="35191"/>
    <cellStyle name="Heading 2 3 3 3" xfId="35192"/>
    <cellStyle name="Heading 2 3 4" xfId="9894"/>
    <cellStyle name="Heading 2 3 4 2" xfId="21986"/>
    <cellStyle name="Heading 2 3 5" xfId="17481"/>
    <cellStyle name="Heading 2 3 6" xfId="9891"/>
    <cellStyle name="Heading 2 4" xfId="2848"/>
    <cellStyle name="Heading 2 4 2" xfId="2849"/>
    <cellStyle name="Heading 2 4 2 2" xfId="18042"/>
    <cellStyle name="Heading 2 4 2 3" xfId="9896"/>
    <cellStyle name="Heading 2 4 3" xfId="17482"/>
    <cellStyle name="Heading 2 4 4" xfId="9895"/>
    <cellStyle name="Heading 2 5" xfId="9897"/>
    <cellStyle name="Heading 2 5 2" xfId="35193"/>
    <cellStyle name="Heading 2 5 2 2" xfId="35194"/>
    <cellStyle name="Heading 2 5 3" xfId="35195"/>
    <cellStyle name="Heading 2 5 4" xfId="35196"/>
    <cellStyle name="Heading 2 6" xfId="13554"/>
    <cellStyle name="Heading 2 6 2" xfId="35197"/>
    <cellStyle name="Heading 2 6 3" xfId="35198"/>
    <cellStyle name="Heading 2 7" xfId="17478"/>
    <cellStyle name="Heading 2 8" xfId="35199"/>
    <cellStyle name="Heading 2 9" xfId="14305"/>
    <cellStyle name="Heading 2 9 2" xfId="42129"/>
    <cellStyle name="Heading 3 10" xfId="9898"/>
    <cellStyle name="Heading 3 2" xfId="2850"/>
    <cellStyle name="Heading 3 2 2" xfId="2851"/>
    <cellStyle name="Heading 3 2 2 2" xfId="2852"/>
    <cellStyle name="Heading 3 2 2 2 2" xfId="35200"/>
    <cellStyle name="Heading 3 2 2 2 2 2" xfId="35201"/>
    <cellStyle name="Heading 3 2 2 2 3" xfId="35202"/>
    <cellStyle name="Heading 3 2 2 2 4" xfId="13555"/>
    <cellStyle name="Heading 3 2 2 3" xfId="17483"/>
    <cellStyle name="Heading 3 2 2 3 2" xfId="35203"/>
    <cellStyle name="Heading 3 2 2 4" xfId="35204"/>
    <cellStyle name="Heading 3 2 2 4 2" xfId="35205"/>
    <cellStyle name="Heading 3 2 2 5" xfId="9900"/>
    <cellStyle name="Heading 3 2 3" xfId="2853"/>
    <cellStyle name="Heading 3 2 3 2" xfId="15523"/>
    <cellStyle name="Heading 3 2 3 2 2" xfId="35206"/>
    <cellStyle name="Heading 3 2 3 2 2 2" xfId="35207"/>
    <cellStyle name="Heading 3 2 3 2 3" xfId="35208"/>
    <cellStyle name="Heading 3 2 3 2 4" xfId="35209"/>
    <cellStyle name="Heading 3 2 3 3" xfId="15524"/>
    <cellStyle name="Heading 3 2 3 3 2" xfId="35210"/>
    <cellStyle name="Heading 3 2 3 3 3" xfId="35211"/>
    <cellStyle name="Heading 3 2 3 4" xfId="35212"/>
    <cellStyle name="Heading 3 2 3 4 2" xfId="35213"/>
    <cellStyle name="Heading 3 2 3 4 3" xfId="35214"/>
    <cellStyle name="Heading 3 2 3 5" xfId="42130"/>
    <cellStyle name="Heading 3 2 3 6" xfId="9901"/>
    <cellStyle name="Heading 3 2 4" xfId="13556"/>
    <cellStyle name="Heading 3 2 4 2" xfId="35215"/>
    <cellStyle name="Heading 3 2 4 2 2" xfId="35216"/>
    <cellStyle name="Heading 3 2 4 3" xfId="35217"/>
    <cellStyle name="Heading 3 2 4 4" xfId="35218"/>
    <cellStyle name="Heading 3 2 4 5" xfId="35219"/>
    <cellStyle name="Heading 3 2 5" xfId="15525"/>
    <cellStyle name="Heading 3 2 5 2" xfId="35220"/>
    <cellStyle name="Heading 3 2 5 3" xfId="35221"/>
    <cellStyle name="Heading 3 2 6" xfId="35222"/>
    <cellStyle name="Heading 3 2 6 2" xfId="35223"/>
    <cellStyle name="Heading 3 2 7" xfId="9899"/>
    <cellStyle name="Heading 3 3" xfId="2854"/>
    <cellStyle name="Heading 3 3 2" xfId="9903"/>
    <cellStyle name="Heading 3 3 2 2" xfId="19052"/>
    <cellStyle name="Heading 3 3 2 2 2" xfId="35224"/>
    <cellStyle name="Heading 3 3 2 3" xfId="35225"/>
    <cellStyle name="Heading 3 3 3" xfId="9904"/>
    <cellStyle name="Heading 3 3 3 2" xfId="21987"/>
    <cellStyle name="Heading 3 3 4" xfId="9905"/>
    <cellStyle name="Heading 3 3 4 2" xfId="21988"/>
    <cellStyle name="Heading 3 3 5" xfId="17484"/>
    <cellStyle name="Heading 3 3 6" xfId="9902"/>
    <cellStyle name="Heading 3 4" xfId="13557"/>
    <cellStyle name="Heading 3 4 2" xfId="35226"/>
    <cellStyle name="Heading 3 4 2 2" xfId="35227"/>
    <cellStyle name="Heading 3 4 2 2 2" xfId="35228"/>
    <cellStyle name="Heading 3 4 2 3" xfId="35229"/>
    <cellStyle name="Heading 3 4 2 4" xfId="35230"/>
    <cellStyle name="Heading 3 4 3" xfId="35231"/>
    <cellStyle name="Heading 3 4 3 2" xfId="35232"/>
    <cellStyle name="Heading 3 4 4" xfId="35233"/>
    <cellStyle name="Heading 3 4 4 2" xfId="35234"/>
    <cellStyle name="Heading 3 5" xfId="13558"/>
    <cellStyle name="Heading 3 5 2" xfId="15526"/>
    <cellStyle name="Heading 3 5 2 2" xfId="35235"/>
    <cellStyle name="Heading 3 5 2 3" xfId="35236"/>
    <cellStyle name="Heading 3 5 3" xfId="35237"/>
    <cellStyle name="Heading 3 6" xfId="13559"/>
    <cellStyle name="Heading 3 6 2" xfId="35238"/>
    <cellStyle name="Heading 3 6 2 2" xfId="35239"/>
    <cellStyle name="Heading 3 6 3" xfId="35240"/>
    <cellStyle name="Heading 3 6 4" xfId="35241"/>
    <cellStyle name="Heading 3 6 5" xfId="35242"/>
    <cellStyle name="Heading 3 7" xfId="13560"/>
    <cellStyle name="Heading 3 7 2" xfId="35243"/>
    <cellStyle name="Heading 3 7 3" xfId="35244"/>
    <cellStyle name="Heading 3 8" xfId="35245"/>
    <cellStyle name="Heading 3 9" xfId="35246"/>
    <cellStyle name="Heading 4 10" xfId="9906"/>
    <cellStyle name="Heading 4 2" xfId="2855"/>
    <cellStyle name="Heading 4 2 2" xfId="2856"/>
    <cellStyle name="Heading 4 2 2 2" xfId="2857"/>
    <cellStyle name="Heading 4 2 2 2 2" xfId="35247"/>
    <cellStyle name="Heading 4 2 2 2 2 2" xfId="35248"/>
    <cellStyle name="Heading 4 2 2 2 3" xfId="35249"/>
    <cellStyle name="Heading 4 2 2 2 4" xfId="13561"/>
    <cellStyle name="Heading 4 2 2 3" xfId="17485"/>
    <cellStyle name="Heading 4 2 2 3 2" xfId="35250"/>
    <cellStyle name="Heading 4 2 2 4" xfId="35251"/>
    <cellStyle name="Heading 4 2 2 4 2" xfId="35252"/>
    <cellStyle name="Heading 4 2 2 5" xfId="9908"/>
    <cellStyle name="Heading 4 2 3" xfId="2858"/>
    <cellStyle name="Heading 4 2 3 2" xfId="15527"/>
    <cellStyle name="Heading 4 2 3 2 2" xfId="35253"/>
    <cellStyle name="Heading 4 2 3 2 2 2" xfId="35254"/>
    <cellStyle name="Heading 4 2 3 2 3" xfId="35255"/>
    <cellStyle name="Heading 4 2 3 2 4" xfId="35256"/>
    <cellStyle name="Heading 4 2 3 3" xfId="15528"/>
    <cellStyle name="Heading 4 2 3 3 2" xfId="35257"/>
    <cellStyle name="Heading 4 2 3 3 3" xfId="35258"/>
    <cellStyle name="Heading 4 2 3 4" xfId="35259"/>
    <cellStyle name="Heading 4 2 3 4 2" xfId="35260"/>
    <cellStyle name="Heading 4 2 3 5" xfId="9909"/>
    <cellStyle name="Heading 4 2 4" xfId="13562"/>
    <cellStyle name="Heading 4 2 4 2" xfId="35261"/>
    <cellStyle name="Heading 4 2 4 2 2" xfId="35262"/>
    <cellStyle name="Heading 4 2 4 3" xfId="35263"/>
    <cellStyle name="Heading 4 2 4 4" xfId="35264"/>
    <cellStyle name="Heading 4 2 4 5" xfId="35265"/>
    <cellStyle name="Heading 4 2 5" xfId="15529"/>
    <cellStyle name="Heading 4 2 5 2" xfId="35266"/>
    <cellStyle name="Heading 4 2 5 3" xfId="35267"/>
    <cellStyle name="Heading 4 2 6" xfId="35268"/>
    <cellStyle name="Heading 4 2 6 2" xfId="35269"/>
    <cellStyle name="Heading 4 2 7" xfId="9907"/>
    <cellStyle name="Heading 4 3" xfId="2859"/>
    <cellStyle name="Heading 4 3 2" xfId="9911"/>
    <cellStyle name="Heading 4 3 2 2" xfId="19053"/>
    <cellStyle name="Heading 4 3 2 2 2" xfId="35270"/>
    <cellStyle name="Heading 4 3 2 3" xfId="35271"/>
    <cellStyle name="Heading 4 3 3" xfId="9912"/>
    <cellStyle name="Heading 4 3 3 2" xfId="21989"/>
    <cellStyle name="Heading 4 3 4" xfId="9913"/>
    <cellStyle name="Heading 4 3 4 2" xfId="21990"/>
    <cellStyle name="Heading 4 3 5" xfId="17486"/>
    <cellStyle name="Heading 4 3 6" xfId="9910"/>
    <cellStyle name="Heading 4 4" xfId="13563"/>
    <cellStyle name="Heading 4 4 2" xfId="35272"/>
    <cellStyle name="Heading 4 4 2 2" xfId="35273"/>
    <cellStyle name="Heading 4 4 2 2 2" xfId="35274"/>
    <cellStyle name="Heading 4 4 2 3" xfId="35275"/>
    <cellStyle name="Heading 4 4 2 4" xfId="35276"/>
    <cellStyle name="Heading 4 4 3" xfId="35277"/>
    <cellStyle name="Heading 4 4 3 2" xfId="35278"/>
    <cellStyle name="Heading 4 4 4" xfId="35279"/>
    <cellStyle name="Heading 4 4 4 2" xfId="35280"/>
    <cellStyle name="Heading 4 5" xfId="13564"/>
    <cellStyle name="Heading 4 5 2" xfId="15530"/>
    <cellStyle name="Heading 4 5 2 2" xfId="35281"/>
    <cellStyle name="Heading 4 5 2 3" xfId="35282"/>
    <cellStyle name="Heading 4 5 3" xfId="35283"/>
    <cellStyle name="Heading 4 6" xfId="13565"/>
    <cellStyle name="Heading 4 6 2" xfId="35284"/>
    <cellStyle name="Heading 4 6 2 2" xfId="35285"/>
    <cellStyle name="Heading 4 6 3" xfId="35286"/>
    <cellStyle name="Heading 4 6 4" xfId="35287"/>
    <cellStyle name="Heading 4 6 5" xfId="35288"/>
    <cellStyle name="Heading 4 7" xfId="13566"/>
    <cellStyle name="Heading 4 7 2" xfId="35289"/>
    <cellStyle name="Heading 4 7 3" xfId="35290"/>
    <cellStyle name="Heading 4 8" xfId="35291"/>
    <cellStyle name="Heading 4 9" xfId="35292"/>
    <cellStyle name="Heading 5" xfId="35293"/>
    <cellStyle name="Heading1" xfId="2860"/>
    <cellStyle name="Heading1 2" xfId="2861"/>
    <cellStyle name="Heading1 2 2" xfId="17488"/>
    <cellStyle name="Heading1 2 2 2" xfId="35294"/>
    <cellStyle name="Heading1 2 3" xfId="35295"/>
    <cellStyle name="Heading1 2 3 2" xfId="35296"/>
    <cellStyle name="Heading1 2 4" xfId="9915"/>
    <cellStyle name="Heading1 3" xfId="2862"/>
    <cellStyle name="Heading1 3 2" xfId="2863"/>
    <cellStyle name="Heading1 3 2 2" xfId="18043"/>
    <cellStyle name="Heading1 3 2 3" xfId="35297"/>
    <cellStyle name="Heading1 3 2 4" xfId="9917"/>
    <cellStyle name="Heading1 3 3" xfId="17489"/>
    <cellStyle name="Heading1 3 4" xfId="35298"/>
    <cellStyle name="Heading1 3 5" xfId="9916"/>
    <cellStyle name="Heading1 4" xfId="9918"/>
    <cellStyle name="Heading1 4 2" xfId="35299"/>
    <cellStyle name="Heading1 5" xfId="17487"/>
    <cellStyle name="Heading1 5 2" xfId="35300"/>
    <cellStyle name="Heading1 6" xfId="35301"/>
    <cellStyle name="Heading1 6 2" xfId="35302"/>
    <cellStyle name="Heading1 7" xfId="9914"/>
    <cellStyle name="Heading2" xfId="2864"/>
    <cellStyle name="Heading2 2" xfId="2865"/>
    <cellStyle name="Heading2 2 2" xfId="17491"/>
    <cellStyle name="Heading2 2 2 2" xfId="35303"/>
    <cellStyle name="Heading2 2 3" xfId="35304"/>
    <cellStyle name="Heading2 2 3 2" xfId="35305"/>
    <cellStyle name="Heading2 2 4" xfId="9920"/>
    <cellStyle name="Heading2 3" xfId="2866"/>
    <cellStyle name="Heading2 3 2" xfId="2867"/>
    <cellStyle name="Heading2 3 2 2" xfId="18044"/>
    <cellStyle name="Heading2 3 2 3" xfId="35306"/>
    <cellStyle name="Heading2 3 2 4" xfId="9922"/>
    <cellStyle name="Heading2 3 3" xfId="17492"/>
    <cellStyle name="Heading2 3 4" xfId="35307"/>
    <cellStyle name="Heading2 3 5" xfId="9921"/>
    <cellStyle name="Heading2 4" xfId="9923"/>
    <cellStyle name="Heading2 4 2" xfId="35308"/>
    <cellStyle name="Heading2 5" xfId="17490"/>
    <cellStyle name="Heading2 5 2" xfId="35309"/>
    <cellStyle name="Heading2 6" xfId="35310"/>
    <cellStyle name="Heading2 6 2" xfId="35311"/>
    <cellStyle name="Heading2 7" xfId="9919"/>
    <cellStyle name="HeadlineStyle" xfId="13567"/>
    <cellStyle name="HeadlineStyle 2" xfId="13568"/>
    <cellStyle name="HeadlineStyle 2 2" xfId="35312"/>
    <cellStyle name="HeadlineStyle 2 2 2" xfId="35313"/>
    <cellStyle name="HeadlineStyle 2 2 2 2" xfId="35314"/>
    <cellStyle name="HeadlineStyle 2 3" xfId="35315"/>
    <cellStyle name="HeadlineStyle 2 3 2" xfId="35316"/>
    <cellStyle name="HeadlineStyle 2 4" xfId="35317"/>
    <cellStyle name="HeadlineStyle 2 4 2" xfId="35318"/>
    <cellStyle name="HeadlineStyle 3" xfId="35319"/>
    <cellStyle name="HeadlineStyle 3 2" xfId="35320"/>
    <cellStyle name="HeadlineStyle 3 2 2" xfId="35321"/>
    <cellStyle name="HeadlineStyle 4" xfId="35322"/>
    <cellStyle name="HeadlineStyle 4 2" xfId="35323"/>
    <cellStyle name="HeadlineStyle 4 2 2" xfId="35324"/>
    <cellStyle name="HeadlineStyle 4 3" xfId="35325"/>
    <cellStyle name="HeadlineStyle 5" xfId="35326"/>
    <cellStyle name="HeadlineStyle 5 2" xfId="35327"/>
    <cellStyle name="HeadlineStyle 6" xfId="35328"/>
    <cellStyle name="HeadlineStyle 6 2" xfId="35329"/>
    <cellStyle name="HeadlineStyleJustified" xfId="13569"/>
    <cellStyle name="HeadlineStyleJustified 2" xfId="13570"/>
    <cellStyle name="HeadlineStyleJustified 2 2" xfId="35330"/>
    <cellStyle name="HeadlineStyleJustified 2 2 2" xfId="35331"/>
    <cellStyle name="HeadlineStyleJustified 2 2 2 2" xfId="35332"/>
    <cellStyle name="HeadlineStyleJustified 2 3" xfId="35333"/>
    <cellStyle name="HeadlineStyleJustified 2 3 2" xfId="35334"/>
    <cellStyle name="HeadlineStyleJustified 2 4" xfId="35335"/>
    <cellStyle name="HeadlineStyleJustified 2 4 2" xfId="35336"/>
    <cellStyle name="HeadlineStyleJustified 3" xfId="35337"/>
    <cellStyle name="HeadlineStyleJustified 3 2" xfId="35338"/>
    <cellStyle name="HeadlineStyleJustified 3 2 2" xfId="35339"/>
    <cellStyle name="HeadlineStyleJustified 4" xfId="35340"/>
    <cellStyle name="HeadlineStyleJustified 4 2" xfId="35341"/>
    <cellStyle name="HeadlineStyleJustified 4 2 2" xfId="35342"/>
    <cellStyle name="HeadlineStyleJustified 4 3" xfId="35343"/>
    <cellStyle name="HeadlineStyleJustified 5" xfId="35344"/>
    <cellStyle name="HeadlineStyleJustified 5 2" xfId="35345"/>
    <cellStyle name="HeadlineStyleJustified 6" xfId="35346"/>
    <cellStyle name="HeadlineStyleJustified 6 2" xfId="35347"/>
    <cellStyle name="Hyperlink 2" xfId="2868"/>
    <cellStyle name="Hyperlink 2 2" xfId="17493"/>
    <cellStyle name="Hyperlink 2 2 2" xfId="35348"/>
    <cellStyle name="Hyperlink 2 2 2 2" xfId="35349"/>
    <cellStyle name="Hyperlink 2 2 3" xfId="35350"/>
    <cellStyle name="Hyperlink 2 3" xfId="35351"/>
    <cellStyle name="Hyperlink 2 3 2" xfId="35352"/>
    <cellStyle name="Hyperlink 2 4" xfId="35353"/>
    <cellStyle name="Hyperlink 2 4 2" xfId="35354"/>
    <cellStyle name="Hyperlink 2 5" xfId="9924"/>
    <cellStyle name="Hyperlink 3" xfId="9925"/>
    <cellStyle name="Hyperlink 3 2" xfId="21991"/>
    <cellStyle name="Input [yellow]" xfId="2869"/>
    <cellStyle name="Input [yellow] 10" xfId="9927"/>
    <cellStyle name="Input [yellow] 2" xfId="2870"/>
    <cellStyle name="Input [yellow] 2 2" xfId="2871"/>
    <cellStyle name="Input [yellow] 2 2 2" xfId="5967"/>
    <cellStyle name="Input [yellow] 2 2 2 2" xfId="35355"/>
    <cellStyle name="Input [yellow] 2 2 2 2 2" xfId="35356"/>
    <cellStyle name="Input [yellow] 2 2 2 3" xfId="35357"/>
    <cellStyle name="Input [yellow] 2 2 2 4" xfId="9930"/>
    <cellStyle name="Input [yellow] 2 2 3" xfId="9931"/>
    <cellStyle name="Input [yellow] 2 2 3 2" xfId="35358"/>
    <cellStyle name="Input [yellow] 2 2 3 2 2" xfId="35359"/>
    <cellStyle name="Input [yellow] 2 2 3 3" xfId="35360"/>
    <cellStyle name="Input [yellow] 2 2 4" xfId="9932"/>
    <cellStyle name="Input [yellow] 2 2 4 2" xfId="35361"/>
    <cellStyle name="Input [yellow] 2 2 5" xfId="9933"/>
    <cellStyle name="Input [yellow] 2 2 5 2" xfId="35362"/>
    <cellStyle name="Input [yellow] 2 2 6" xfId="17899"/>
    <cellStyle name="Input [yellow] 2 2 7" xfId="22377"/>
    <cellStyle name="Input [yellow] 2 2 8" xfId="9929"/>
    <cellStyle name="Input [yellow] 2 3" xfId="9934"/>
    <cellStyle name="Input [yellow] 2 3 2" xfId="9935"/>
    <cellStyle name="Input [yellow] 2 3 2 2" xfId="35363"/>
    <cellStyle name="Input [yellow] 2 3 3" xfId="9936"/>
    <cellStyle name="Input [yellow] 2 3 4" xfId="9937"/>
    <cellStyle name="Input [yellow] 2 3 5" xfId="9938"/>
    <cellStyle name="Input [yellow] 2 3 6" xfId="19054"/>
    <cellStyle name="Input [yellow] 2 3 7" xfId="22465"/>
    <cellStyle name="Input [yellow] 2 4" xfId="17496"/>
    <cellStyle name="Input [yellow] 2 4 2" xfId="35364"/>
    <cellStyle name="Input [yellow] 2 5" xfId="35365"/>
    <cellStyle name="Input [yellow] 2 5 2" xfId="35366"/>
    <cellStyle name="Input [yellow] 2 6" xfId="9928"/>
    <cellStyle name="Input [yellow] 3" xfId="2872"/>
    <cellStyle name="Input [yellow] 3 2" xfId="2873"/>
    <cellStyle name="Input [yellow] 3 2 2" xfId="5968"/>
    <cellStyle name="Input [yellow] 3 2 2 2" xfId="35367"/>
    <cellStyle name="Input [yellow] 3 2 2 2 2" xfId="35368"/>
    <cellStyle name="Input [yellow] 3 2 2 3" xfId="35369"/>
    <cellStyle name="Input [yellow] 3 2 2 4" xfId="9941"/>
    <cellStyle name="Input [yellow] 3 2 3" xfId="9942"/>
    <cellStyle name="Input [yellow] 3 2 3 2" xfId="35370"/>
    <cellStyle name="Input [yellow] 3 2 3 2 2" xfId="35371"/>
    <cellStyle name="Input [yellow] 3 2 3 3" xfId="35372"/>
    <cellStyle name="Input [yellow] 3 2 4" xfId="9943"/>
    <cellStyle name="Input [yellow] 3 2 4 2" xfId="35373"/>
    <cellStyle name="Input [yellow] 3 2 5" xfId="9944"/>
    <cellStyle name="Input [yellow] 3 2 5 2" xfId="35374"/>
    <cellStyle name="Input [yellow] 3 2 6" xfId="17900"/>
    <cellStyle name="Input [yellow] 3 2 7" xfId="22378"/>
    <cellStyle name="Input [yellow] 3 2 8" xfId="9940"/>
    <cellStyle name="Input [yellow] 3 3" xfId="9945"/>
    <cellStyle name="Input [yellow] 3 3 2" xfId="9946"/>
    <cellStyle name="Input [yellow] 3 3 2 2" xfId="35375"/>
    <cellStyle name="Input [yellow] 3 3 3" xfId="9947"/>
    <cellStyle name="Input [yellow] 3 3 4" xfId="9948"/>
    <cellStyle name="Input [yellow] 3 3 5" xfId="9949"/>
    <cellStyle name="Input [yellow] 3 3 6" xfId="19055"/>
    <cellStyle name="Input [yellow] 3 3 7" xfId="22466"/>
    <cellStyle name="Input [yellow] 3 4" xfId="17497"/>
    <cellStyle name="Input [yellow] 3 4 2" xfId="35376"/>
    <cellStyle name="Input [yellow] 3 5" xfId="35377"/>
    <cellStyle name="Input [yellow] 3 5 2" xfId="35378"/>
    <cellStyle name="Input [yellow] 3 6" xfId="9939"/>
    <cellStyle name="Input [yellow] 4" xfId="2874"/>
    <cellStyle name="Input [yellow] 4 2" xfId="9951"/>
    <cellStyle name="Input [yellow] 4 2 2" xfId="9952"/>
    <cellStyle name="Input [yellow] 4 2 2 2" xfId="35379"/>
    <cellStyle name="Input [yellow] 4 2 3" xfId="9953"/>
    <cellStyle name="Input [yellow] 4 2 4" xfId="9954"/>
    <cellStyle name="Input [yellow] 4 2 5" xfId="9955"/>
    <cellStyle name="Input [yellow] 4 2 6" xfId="17901"/>
    <cellStyle name="Input [yellow] 4 2 7" xfId="22379"/>
    <cellStyle name="Input [yellow] 4 3" xfId="9956"/>
    <cellStyle name="Input [yellow] 4 3 2" xfId="9957"/>
    <cellStyle name="Input [yellow] 4 3 3" xfId="9958"/>
    <cellStyle name="Input [yellow] 4 3 4" xfId="9959"/>
    <cellStyle name="Input [yellow] 4 3 5" xfId="9960"/>
    <cellStyle name="Input [yellow] 4 3 6" xfId="19056"/>
    <cellStyle name="Input [yellow] 4 3 7" xfId="22467"/>
    <cellStyle name="Input [yellow] 4 4" xfId="17498"/>
    <cellStyle name="Input [yellow] 4 4 2" xfId="35380"/>
    <cellStyle name="Input [yellow] 4 5" xfId="9950"/>
    <cellStyle name="Input [yellow] 5" xfId="2875"/>
    <cellStyle name="Input [yellow] 5 2" xfId="2876"/>
    <cellStyle name="Input [yellow] 5 2 2" xfId="9963"/>
    <cellStyle name="Input [yellow] 5 2 2 2" xfId="35381"/>
    <cellStyle name="Input [yellow] 5 2 2 2 2" xfId="35382"/>
    <cellStyle name="Input [yellow] 5 2 2 3" xfId="35383"/>
    <cellStyle name="Input [yellow] 5 2 3" xfId="9964"/>
    <cellStyle name="Input [yellow] 5 2 3 2" xfId="35384"/>
    <cellStyle name="Input [yellow] 5 2 4" xfId="9965"/>
    <cellStyle name="Input [yellow] 5 2 4 2" xfId="35385"/>
    <cellStyle name="Input [yellow] 5 2 5" xfId="9966"/>
    <cellStyle name="Input [yellow] 5 2 6" xfId="18045"/>
    <cellStyle name="Input [yellow] 5 2 7" xfId="22443"/>
    <cellStyle name="Input [yellow] 5 2 8" xfId="9962"/>
    <cellStyle name="Input [yellow] 5 3" xfId="15531"/>
    <cellStyle name="Input [yellow] 5 3 2" xfId="35386"/>
    <cellStyle name="Input [yellow] 5 3 2 2" xfId="35387"/>
    <cellStyle name="Input [yellow] 5 3 3" xfId="35388"/>
    <cellStyle name="Input [yellow] 5 4" xfId="17499"/>
    <cellStyle name="Input [yellow] 5 4 2" xfId="35389"/>
    <cellStyle name="Input [yellow] 5 4 2 2" xfId="35390"/>
    <cellStyle name="Input [yellow] 5 4 3" xfId="35391"/>
    <cellStyle name="Input [yellow] 5 5" xfId="35392"/>
    <cellStyle name="Input [yellow] 5 5 2" xfId="35393"/>
    <cellStyle name="Input [yellow] 5 6" xfId="35394"/>
    <cellStyle name="Input [yellow] 5 6 2" xfId="35395"/>
    <cellStyle name="Input [yellow] 5 7" xfId="9961"/>
    <cellStyle name="Input [yellow] 6" xfId="2877"/>
    <cellStyle name="Input [yellow] 6 2" xfId="5969"/>
    <cellStyle name="Input [yellow] 6 2 2" xfId="35396"/>
    <cellStyle name="Input [yellow] 6 2 3" xfId="9968"/>
    <cellStyle name="Input [yellow] 6 3" xfId="9969"/>
    <cellStyle name="Input [yellow] 6 4" xfId="9970"/>
    <cellStyle name="Input [yellow] 6 5" xfId="9971"/>
    <cellStyle name="Input [yellow] 6 6" xfId="17898"/>
    <cellStyle name="Input [yellow] 6 7" xfId="22376"/>
    <cellStyle name="Input [yellow] 6 8" xfId="9967"/>
    <cellStyle name="Input [yellow] 7" xfId="9972"/>
    <cellStyle name="Input [yellow] 7 2" xfId="35397"/>
    <cellStyle name="Input [yellow] 8" xfId="17495"/>
    <cellStyle name="Input [yellow] 8 2" xfId="35398"/>
    <cellStyle name="Input [yellow] 9" xfId="35399"/>
    <cellStyle name="Input [yellow] 9 2" xfId="35400"/>
    <cellStyle name="Input [yellow]_(C) WHE Proforma with ITC cash grant 10 Yr Amort_for deferral_102809" xfId="2878"/>
    <cellStyle name="Input 10" xfId="2879"/>
    <cellStyle name="Input 10 2" xfId="9974"/>
    <cellStyle name="Input 10 2 2" xfId="35401"/>
    <cellStyle name="Input 10 2 2 2" xfId="35402"/>
    <cellStyle name="Input 10 2 3" xfId="35403"/>
    <cellStyle name="Input 10 3" xfId="9975"/>
    <cellStyle name="Input 10 3 2" xfId="35404"/>
    <cellStyle name="Input 10 4" xfId="9976"/>
    <cellStyle name="Input 10 4 2" xfId="35405"/>
    <cellStyle name="Input 10 5" xfId="9977"/>
    <cellStyle name="Input 10 6" xfId="17500"/>
    <cellStyle name="Input 10 7" xfId="22341"/>
    <cellStyle name="Input 10 8" xfId="9973"/>
    <cellStyle name="Input 11" xfId="2880"/>
    <cellStyle name="Input 11 2" xfId="17501"/>
    <cellStyle name="Input 11 2 2" xfId="35406"/>
    <cellStyle name="Input 11 2 2 2" xfId="35407"/>
    <cellStyle name="Input 11 2 3" xfId="35408"/>
    <cellStyle name="Input 11 3" xfId="35409"/>
    <cellStyle name="Input 11 3 2" xfId="35410"/>
    <cellStyle name="Input 11 4" xfId="35411"/>
    <cellStyle name="Input 11 4 2" xfId="35412"/>
    <cellStyle name="Input 11 5" xfId="35413"/>
    <cellStyle name="Input 11 6" xfId="9978"/>
    <cellStyle name="Input 12" xfId="2881"/>
    <cellStyle name="Input 12 2" xfId="17502"/>
    <cellStyle name="Input 12 2 2" xfId="35414"/>
    <cellStyle name="Input 12 2 2 2" xfId="35415"/>
    <cellStyle name="Input 12 2 3" xfId="35416"/>
    <cellStyle name="Input 12 3" xfId="35417"/>
    <cellStyle name="Input 12 3 2" xfId="35418"/>
    <cellStyle name="Input 12 4" xfId="35419"/>
    <cellStyle name="Input 12 4 2" xfId="35420"/>
    <cellStyle name="Input 12 5" xfId="35421"/>
    <cellStyle name="Input 12 6" xfId="9979"/>
    <cellStyle name="Input 13" xfId="2882"/>
    <cellStyle name="Input 13 2" xfId="9981"/>
    <cellStyle name="Input 13 2 2" xfId="35422"/>
    <cellStyle name="Input 13 2 2 2" xfId="35423"/>
    <cellStyle name="Input 13 2 3" xfId="35424"/>
    <cellStyle name="Input 13 3" xfId="9982"/>
    <cellStyle name="Input 13 3 2" xfId="35425"/>
    <cellStyle name="Input 13 4" xfId="9983"/>
    <cellStyle name="Input 13 4 2" xfId="35426"/>
    <cellStyle name="Input 13 5" xfId="9984"/>
    <cellStyle name="Input 13 6" xfId="17503"/>
    <cellStyle name="Input 13 7" xfId="22342"/>
    <cellStyle name="Input 13 8" xfId="9980"/>
    <cellStyle name="Input 14" xfId="2883"/>
    <cellStyle name="Input 14 2" xfId="9986"/>
    <cellStyle name="Input 14 2 2" xfId="35427"/>
    <cellStyle name="Input 14 2 2 2" xfId="35428"/>
    <cellStyle name="Input 14 2 3" xfId="35429"/>
    <cellStyle name="Input 14 3" xfId="9987"/>
    <cellStyle name="Input 14 3 2" xfId="35430"/>
    <cellStyle name="Input 14 4" xfId="9988"/>
    <cellStyle name="Input 14 4 2" xfId="35431"/>
    <cellStyle name="Input 14 5" xfId="9989"/>
    <cellStyle name="Input 14 6" xfId="17504"/>
    <cellStyle name="Input 14 7" xfId="22343"/>
    <cellStyle name="Input 14 8" xfId="9985"/>
    <cellStyle name="Input 15" xfId="2884"/>
    <cellStyle name="Input 15 2" xfId="17505"/>
    <cellStyle name="Input 15 2 2" xfId="35432"/>
    <cellStyle name="Input 15 2 2 2" xfId="35433"/>
    <cellStyle name="Input 15 2 3" xfId="35434"/>
    <cellStyle name="Input 15 3" xfId="35435"/>
    <cellStyle name="Input 15 3 2" xfId="35436"/>
    <cellStyle name="Input 15 4" xfId="35437"/>
    <cellStyle name="Input 15 4 2" xfId="35438"/>
    <cellStyle name="Input 15 5" xfId="35439"/>
    <cellStyle name="Input 15 6" xfId="9990"/>
    <cellStyle name="Input 16" xfId="2885"/>
    <cellStyle name="Input 16 2" xfId="17506"/>
    <cellStyle name="Input 16 2 2" xfId="35440"/>
    <cellStyle name="Input 16 2 2 2" xfId="35441"/>
    <cellStyle name="Input 16 2 3" xfId="35442"/>
    <cellStyle name="Input 16 3" xfId="35443"/>
    <cellStyle name="Input 16 3 2" xfId="35444"/>
    <cellStyle name="Input 16 4" xfId="35445"/>
    <cellStyle name="Input 16 4 2" xfId="35446"/>
    <cellStyle name="Input 16 5" xfId="35447"/>
    <cellStyle name="Input 16 6" xfId="9991"/>
    <cellStyle name="Input 17" xfId="2886"/>
    <cellStyle name="Input 17 2" xfId="17507"/>
    <cellStyle name="Input 17 2 2" xfId="35448"/>
    <cellStyle name="Input 17 2 2 2" xfId="35449"/>
    <cellStyle name="Input 17 2 3" xfId="35450"/>
    <cellStyle name="Input 17 3" xfId="35451"/>
    <cellStyle name="Input 17 3 2" xfId="35452"/>
    <cellStyle name="Input 17 4" xfId="35453"/>
    <cellStyle name="Input 17 4 2" xfId="35454"/>
    <cellStyle name="Input 17 5" xfId="35455"/>
    <cellStyle name="Input 17 6" xfId="9992"/>
    <cellStyle name="Input 18" xfId="13571"/>
    <cellStyle name="Input 18 2" xfId="15532"/>
    <cellStyle name="Input 18 2 2" xfId="35456"/>
    <cellStyle name="Input 18 2 2 2" xfId="35457"/>
    <cellStyle name="Input 18 2 3" xfId="35458"/>
    <cellStyle name="Input 18 2 4" xfId="35459"/>
    <cellStyle name="Input 18 3" xfId="35460"/>
    <cellStyle name="Input 18 3 2" xfId="35461"/>
    <cellStyle name="Input 18 4" xfId="35462"/>
    <cellStyle name="Input 18 4 2" xfId="35463"/>
    <cellStyle name="Input 18 5" xfId="35464"/>
    <cellStyle name="Input 19" xfId="13572"/>
    <cellStyle name="Input 19 2" xfId="15533"/>
    <cellStyle name="Input 19 2 2" xfId="35465"/>
    <cellStyle name="Input 19 2 2 2" xfId="35466"/>
    <cellStyle name="Input 19 2 3" xfId="35467"/>
    <cellStyle name="Input 19 2 4" xfId="35468"/>
    <cellStyle name="Input 19 3" xfId="35469"/>
    <cellStyle name="Input 19 3 2" xfId="35470"/>
    <cellStyle name="Input 19 4" xfId="35471"/>
    <cellStyle name="Input 19 4 2" xfId="35472"/>
    <cellStyle name="Input 19 5" xfId="35473"/>
    <cellStyle name="Input 2" xfId="2887"/>
    <cellStyle name="Input 2 10" xfId="9993"/>
    <cellStyle name="Input 2 2" xfId="2888"/>
    <cellStyle name="Input 2 2 2" xfId="2889"/>
    <cellStyle name="Input 2 2 2 2" xfId="9996"/>
    <cellStyle name="Input 2 2 2 2 2" xfId="35474"/>
    <cellStyle name="Input 2 2 2 3" xfId="9997"/>
    <cellStyle name="Input 2 2 2 4" xfId="9998"/>
    <cellStyle name="Input 2 2 2 5" xfId="9999"/>
    <cellStyle name="Input 2 2 2 6" xfId="17902"/>
    <cellStyle name="Input 2 2 2 7" xfId="22380"/>
    <cellStyle name="Input 2 2 2 8" xfId="9995"/>
    <cellStyle name="Input 2 2 3" xfId="17509"/>
    <cellStyle name="Input 2 2 3 2" xfId="35475"/>
    <cellStyle name="Input 2 2 4" xfId="35476"/>
    <cellStyle name="Input 2 2 4 2" xfId="35477"/>
    <cellStyle name="Input 2 2 5" xfId="9994"/>
    <cellStyle name="Input 2 3" xfId="2890"/>
    <cellStyle name="Input 2 3 2" xfId="15534"/>
    <cellStyle name="Input 2 3 2 2" xfId="35478"/>
    <cellStyle name="Input 2 3 2 2 2" xfId="35479"/>
    <cellStyle name="Input 2 3 2 3" xfId="35480"/>
    <cellStyle name="Input 2 3 2 4" xfId="35481"/>
    <cellStyle name="Input 2 3 3" xfId="18046"/>
    <cellStyle name="Input 2 3 3 2" xfId="35482"/>
    <cellStyle name="Input 2 3 3 3" xfId="35483"/>
    <cellStyle name="Input 2 3 4" xfId="35484"/>
    <cellStyle name="Input 2 3 4 2" xfId="35485"/>
    <cellStyle name="Input 2 3 5" xfId="35486"/>
    <cellStyle name="Input 2 3 6" xfId="10000"/>
    <cellStyle name="Input 2 4" xfId="10001"/>
    <cellStyle name="Input 2 4 2" xfId="35487"/>
    <cellStyle name="Input 2 4 2 2" xfId="35488"/>
    <cellStyle name="Input 2 4 3" xfId="35489"/>
    <cellStyle name="Input 2 4 4" xfId="35490"/>
    <cellStyle name="Input 2 4 5" xfId="35491"/>
    <cellStyle name="Input 2 5" xfId="10002"/>
    <cellStyle name="Input 2 5 2" xfId="35492"/>
    <cellStyle name="Input 2 6" xfId="10003"/>
    <cellStyle name="Input 2 6 2" xfId="35493"/>
    <cellStyle name="Input 2 7" xfId="10004"/>
    <cellStyle name="Input 2 8" xfId="17508"/>
    <cellStyle name="Input 2 9" xfId="22344"/>
    <cellStyle name="Input 20" xfId="13573"/>
    <cellStyle name="Input 20 2" xfId="15535"/>
    <cellStyle name="Input 20 2 2" xfId="35494"/>
    <cellStyle name="Input 20 2 2 2" xfId="35495"/>
    <cellStyle name="Input 20 2 3" xfId="35496"/>
    <cellStyle name="Input 20 2 4" xfId="35497"/>
    <cellStyle name="Input 20 3" xfId="35498"/>
    <cellStyle name="Input 20 3 2" xfId="35499"/>
    <cellStyle name="Input 20 4" xfId="35500"/>
    <cellStyle name="Input 20 4 2" xfId="35501"/>
    <cellStyle name="Input 20 5" xfId="35502"/>
    <cellStyle name="Input 21" xfId="13574"/>
    <cellStyle name="Input 21 2" xfId="15536"/>
    <cellStyle name="Input 21 2 2" xfId="35503"/>
    <cellStyle name="Input 21 2 3" xfId="35504"/>
    <cellStyle name="Input 21 3" xfId="35505"/>
    <cellStyle name="Input 21 4" xfId="35506"/>
    <cellStyle name="Input 22" xfId="13575"/>
    <cellStyle name="Input 22 2" xfId="35507"/>
    <cellStyle name="Input 22 2 2" xfId="35508"/>
    <cellStyle name="Input 22 3" xfId="35509"/>
    <cellStyle name="Input 22 4" xfId="35510"/>
    <cellStyle name="Input 23" xfId="13576"/>
    <cellStyle name="Input 23 2" xfId="35511"/>
    <cellStyle name="Input 23 2 2" xfId="35512"/>
    <cellStyle name="Input 23 3" xfId="35513"/>
    <cellStyle name="Input 23 4" xfId="35514"/>
    <cellStyle name="Input 24" xfId="13577"/>
    <cellStyle name="Input 24 2" xfId="35515"/>
    <cellStyle name="Input 24 2 2" xfId="35516"/>
    <cellStyle name="Input 24 2 3" xfId="35517"/>
    <cellStyle name="Input 24 3" xfId="35518"/>
    <cellStyle name="Input 25" xfId="13578"/>
    <cellStyle name="Input 25 2" xfId="35519"/>
    <cellStyle name="Input 25 2 2" xfId="35520"/>
    <cellStyle name="Input 25 3" xfId="35521"/>
    <cellStyle name="Input 26" xfId="13579"/>
    <cellStyle name="Input 26 2" xfId="35522"/>
    <cellStyle name="Input 26 2 2" xfId="35523"/>
    <cellStyle name="Input 26 3" xfId="35524"/>
    <cellStyle name="Input 27" xfId="13580"/>
    <cellStyle name="Input 27 2" xfId="35525"/>
    <cellStyle name="Input 27 2 2" xfId="35526"/>
    <cellStyle name="Input 27 3" xfId="35527"/>
    <cellStyle name="Input 28" xfId="13581"/>
    <cellStyle name="Input 28 2" xfId="35528"/>
    <cellStyle name="Input 28 2 2" xfId="35529"/>
    <cellStyle name="Input 28 3" xfId="35530"/>
    <cellStyle name="Input 29" xfId="17494"/>
    <cellStyle name="Input 29 2" xfId="35531"/>
    <cellStyle name="Input 29 2 2" xfId="35532"/>
    <cellStyle name="Input 29 3" xfId="35533"/>
    <cellStyle name="Input 3" xfId="2891"/>
    <cellStyle name="Input 3 10" xfId="22345"/>
    <cellStyle name="Input 3 11" xfId="10005"/>
    <cellStyle name="Input 3 2" xfId="2892"/>
    <cellStyle name="Input 3 2 2" xfId="15537"/>
    <cellStyle name="Input 3 2 2 2" xfId="35534"/>
    <cellStyle name="Input 3 2 2 2 2" xfId="35535"/>
    <cellStyle name="Input 3 2 2 3" xfId="35536"/>
    <cellStyle name="Input 3 2 2 4" xfId="35537"/>
    <cellStyle name="Input 3 2 3" xfId="18047"/>
    <cellStyle name="Input 3 2 3 2" xfId="35538"/>
    <cellStyle name="Input 3 2 3 3" xfId="35539"/>
    <cellStyle name="Input 3 2 4" xfId="35540"/>
    <cellStyle name="Input 3 2 4 2" xfId="35541"/>
    <cellStyle name="Input 3 2 5" xfId="35542"/>
    <cellStyle name="Input 3 2 6" xfId="10006"/>
    <cellStyle name="Input 3 3" xfId="10007"/>
    <cellStyle name="Input 3 3 2" xfId="21992"/>
    <cellStyle name="Input 3 3 2 2" xfId="35543"/>
    <cellStyle name="Input 3 3 3" xfId="35544"/>
    <cellStyle name="Input 3 3 4" xfId="35545"/>
    <cellStyle name="Input 3 3 5" xfId="35546"/>
    <cellStyle name="Input 3 4" xfId="10008"/>
    <cellStyle name="Input 3 4 2" xfId="21993"/>
    <cellStyle name="Input 3 5" xfId="10009"/>
    <cellStyle name="Input 3 5 2" xfId="35547"/>
    <cellStyle name="Input 3 6" xfId="10010"/>
    <cellStyle name="Input 3 7" xfId="10011"/>
    <cellStyle name="Input 3 8" xfId="10012"/>
    <cellStyle name="Input 3 9" xfId="17510"/>
    <cellStyle name="Input 30" xfId="22340"/>
    <cellStyle name="Input 30 2" xfId="35548"/>
    <cellStyle name="Input 30 2 2" xfId="35549"/>
    <cellStyle name="Input 30 3" xfId="35550"/>
    <cellStyle name="Input 31" xfId="35551"/>
    <cellStyle name="Input 31 2" xfId="35552"/>
    <cellStyle name="Input 31 2 2" xfId="35553"/>
    <cellStyle name="Input 31 3" xfId="35554"/>
    <cellStyle name="Input 32" xfId="35555"/>
    <cellStyle name="Input 32 2" xfId="35556"/>
    <cellStyle name="Input 32 2 2" xfId="35557"/>
    <cellStyle name="Input 32 3" xfId="35558"/>
    <cellStyle name="Input 33" xfId="35559"/>
    <cellStyle name="Input 33 2" xfId="35560"/>
    <cellStyle name="Input 33 2 2" xfId="35561"/>
    <cellStyle name="Input 33 3" xfId="35562"/>
    <cellStyle name="Input 34" xfId="35563"/>
    <cellStyle name="Input 34 2" xfId="35564"/>
    <cellStyle name="Input 34 2 2" xfId="35565"/>
    <cellStyle name="Input 34 3" xfId="35566"/>
    <cellStyle name="Input 35" xfId="35567"/>
    <cellStyle name="Input 35 2" xfId="35568"/>
    <cellStyle name="Input 35 2 2" xfId="35569"/>
    <cellStyle name="Input 35 3" xfId="35570"/>
    <cellStyle name="Input 36" xfId="35571"/>
    <cellStyle name="Input 36 2" xfId="35572"/>
    <cellStyle name="Input 36 2 2" xfId="35573"/>
    <cellStyle name="Input 37" xfId="35574"/>
    <cellStyle name="Input 37 2" xfId="35575"/>
    <cellStyle name="Input 37 2 2" xfId="35576"/>
    <cellStyle name="Input 38" xfId="35577"/>
    <cellStyle name="Input 38 2" xfId="35578"/>
    <cellStyle name="Input 38 2 2" xfId="35579"/>
    <cellStyle name="Input 39" xfId="35580"/>
    <cellStyle name="Input 39 2" xfId="35581"/>
    <cellStyle name="Input 39 2 2" xfId="35582"/>
    <cellStyle name="Input 4" xfId="2893"/>
    <cellStyle name="Input 4 2" xfId="10014"/>
    <cellStyle name="Input 4 2 2" xfId="19057"/>
    <cellStyle name="Input 4 2 2 2" xfId="35583"/>
    <cellStyle name="Input 4 2 3" xfId="35584"/>
    <cellStyle name="Input 4 2 4" xfId="35585"/>
    <cellStyle name="Input 4 2 5" xfId="35586"/>
    <cellStyle name="Input 4 3" xfId="10015"/>
    <cellStyle name="Input 4 3 2" xfId="21994"/>
    <cellStyle name="Input 4 4" xfId="17511"/>
    <cellStyle name="Input 4 4 2" xfId="35587"/>
    <cellStyle name="Input 4 5" xfId="35588"/>
    <cellStyle name="Input 4 6" xfId="10013"/>
    <cellStyle name="Input 40" xfId="35589"/>
    <cellStyle name="Input 40 2" xfId="35590"/>
    <cellStyle name="Input 40 2 2" xfId="35591"/>
    <cellStyle name="Input 41" xfId="35592"/>
    <cellStyle name="Input 41 2" xfId="35593"/>
    <cellStyle name="Input 41 2 2" xfId="35594"/>
    <cellStyle name="Input 42" xfId="35595"/>
    <cellStyle name="Input 42 2" xfId="35596"/>
    <cellStyle name="Input 42 2 2" xfId="35597"/>
    <cellStyle name="Input 43" xfId="35598"/>
    <cellStyle name="Input 43 2" xfId="35599"/>
    <cellStyle name="Input 43 2 2" xfId="35600"/>
    <cellStyle name="Input 44" xfId="35601"/>
    <cellStyle name="Input 44 2" xfId="35602"/>
    <cellStyle name="Input 44 2 2" xfId="35603"/>
    <cellStyle name="Input 45" xfId="35604"/>
    <cellStyle name="Input 45 2" xfId="35605"/>
    <cellStyle name="Input 45 2 2" xfId="35606"/>
    <cellStyle name="Input 46" xfId="35607"/>
    <cellStyle name="Input 46 2" xfId="35608"/>
    <cellStyle name="Input 46 2 2" xfId="35609"/>
    <cellStyle name="Input 47" xfId="35610"/>
    <cellStyle name="Input 47 2" xfId="35611"/>
    <cellStyle name="Input 47 2 2" xfId="35612"/>
    <cellStyle name="Input 48" xfId="35613"/>
    <cellStyle name="Input 48 2" xfId="35614"/>
    <cellStyle name="Input 48 2 2" xfId="35615"/>
    <cellStyle name="Input 49" xfId="35616"/>
    <cellStyle name="Input 49 2" xfId="35617"/>
    <cellStyle name="Input 49 2 2" xfId="35618"/>
    <cellStyle name="Input 5" xfId="2894"/>
    <cellStyle name="Input 5 2" xfId="13582"/>
    <cellStyle name="Input 5 2 2" xfId="35619"/>
    <cellStyle name="Input 5 2 2 2" xfId="35620"/>
    <cellStyle name="Input 5 2 3" xfId="35621"/>
    <cellStyle name="Input 5 2 4" xfId="35622"/>
    <cellStyle name="Input 5 2 5" xfId="35623"/>
    <cellStyle name="Input 5 3" xfId="17512"/>
    <cellStyle name="Input 5 3 2" xfId="35624"/>
    <cellStyle name="Input 5 4" xfId="35625"/>
    <cellStyle name="Input 5 4 2" xfId="35626"/>
    <cellStyle name="Input 5 5" xfId="35627"/>
    <cellStyle name="Input 5 6" xfId="10016"/>
    <cellStyle name="Input 50" xfId="35628"/>
    <cellStyle name="Input 50 2" xfId="35629"/>
    <cellStyle name="Input 50 2 2" xfId="35630"/>
    <cellStyle name="Input 51" xfId="35631"/>
    <cellStyle name="Input 51 2" xfId="35632"/>
    <cellStyle name="Input 51 2 2" xfId="35633"/>
    <cellStyle name="Input 52" xfId="35634"/>
    <cellStyle name="Input 52 2" xfId="35635"/>
    <cellStyle name="Input 52 2 2" xfId="35636"/>
    <cellStyle name="Input 53" xfId="35637"/>
    <cellStyle name="Input 53 2" xfId="35638"/>
    <cellStyle name="Input 53 2 2" xfId="35639"/>
    <cellStyle name="Input 54" xfId="35640"/>
    <cellStyle name="Input 54 2" xfId="35641"/>
    <cellStyle name="Input 54 2 2" xfId="35642"/>
    <cellStyle name="Input 55" xfId="35643"/>
    <cellStyle name="Input 55 2" xfId="35644"/>
    <cellStyle name="Input 55 2 2" xfId="35645"/>
    <cellStyle name="Input 56" xfId="35646"/>
    <cellStyle name="Input 56 2" xfId="35647"/>
    <cellStyle name="Input 56 2 2" xfId="35648"/>
    <cellStyle name="Input 57" xfId="35649"/>
    <cellStyle name="Input 57 2" xfId="35650"/>
    <cellStyle name="Input 57 2 2" xfId="35651"/>
    <cellStyle name="Input 58" xfId="35652"/>
    <cellStyle name="Input 58 2" xfId="35653"/>
    <cellStyle name="Input 58 2 2" xfId="35654"/>
    <cellStyle name="Input 59" xfId="35655"/>
    <cellStyle name="Input 59 2" xfId="35656"/>
    <cellStyle name="Input 59 2 2" xfId="35657"/>
    <cellStyle name="Input 6" xfId="2895"/>
    <cellStyle name="Input 6 2" xfId="13583"/>
    <cellStyle name="Input 6 2 2" xfId="35658"/>
    <cellStyle name="Input 6 2 2 2" xfId="35659"/>
    <cellStyle name="Input 6 2 3" xfId="35660"/>
    <cellStyle name="Input 6 2 4" xfId="35661"/>
    <cellStyle name="Input 6 2 5" xfId="35662"/>
    <cellStyle name="Input 6 3" xfId="17513"/>
    <cellStyle name="Input 6 3 2" xfId="35663"/>
    <cellStyle name="Input 6 4" xfId="35664"/>
    <cellStyle name="Input 6 4 2" xfId="35665"/>
    <cellStyle name="Input 6 5" xfId="35666"/>
    <cellStyle name="Input 6 6" xfId="10017"/>
    <cellStyle name="Input 60" xfId="35667"/>
    <cellStyle name="Input 60 2" xfId="35668"/>
    <cellStyle name="Input 60 2 2" xfId="35669"/>
    <cellStyle name="Input 61" xfId="35670"/>
    <cellStyle name="Input 61 2" xfId="35671"/>
    <cellStyle name="Input 61 2 2" xfId="35672"/>
    <cellStyle name="Input 62" xfId="35673"/>
    <cellStyle name="Input 62 2" xfId="35674"/>
    <cellStyle name="Input 62 2 2" xfId="35675"/>
    <cellStyle name="Input 63" xfId="35676"/>
    <cellStyle name="Input 63 2" xfId="35677"/>
    <cellStyle name="Input 63 2 2" xfId="35678"/>
    <cellStyle name="Input 64" xfId="35679"/>
    <cellStyle name="Input 64 2" xfId="35680"/>
    <cellStyle name="Input 64 2 2" xfId="35681"/>
    <cellStyle name="Input 65" xfId="35682"/>
    <cellStyle name="Input 65 2" xfId="35683"/>
    <cellStyle name="Input 65 2 2" xfId="35684"/>
    <cellStyle name="Input 66" xfId="35685"/>
    <cellStyle name="Input 66 2" xfId="35686"/>
    <cellStyle name="Input 66 2 2" xfId="35687"/>
    <cellStyle name="Input 67" xfId="35688"/>
    <cellStyle name="Input 67 2" xfId="35689"/>
    <cellStyle name="Input 67 2 2" xfId="35690"/>
    <cellStyle name="Input 68" xfId="35691"/>
    <cellStyle name="Input 68 2" xfId="35692"/>
    <cellStyle name="Input 68 2 2" xfId="35693"/>
    <cellStyle name="Input 68 3" xfId="35694"/>
    <cellStyle name="Input 69" xfId="35695"/>
    <cellStyle name="Input 69 2" xfId="35696"/>
    <cellStyle name="Input 69 2 2" xfId="35697"/>
    <cellStyle name="Input 69 3" xfId="35698"/>
    <cellStyle name="Input 7" xfId="2896"/>
    <cellStyle name="Input 7 2" xfId="13584"/>
    <cellStyle name="Input 7 2 2" xfId="35699"/>
    <cellStyle name="Input 7 2 2 2" xfId="35700"/>
    <cellStyle name="Input 7 2 3" xfId="35701"/>
    <cellStyle name="Input 7 2 4" xfId="35702"/>
    <cellStyle name="Input 7 3" xfId="17514"/>
    <cellStyle name="Input 7 3 2" xfId="35703"/>
    <cellStyle name="Input 7 4" xfId="35704"/>
    <cellStyle name="Input 7 4 2" xfId="35705"/>
    <cellStyle name="Input 7 5" xfId="35706"/>
    <cellStyle name="Input 7 6" xfId="10018"/>
    <cellStyle name="Input 70" xfId="35707"/>
    <cellStyle name="Input 70 2" xfId="35708"/>
    <cellStyle name="Input 70 2 2" xfId="35709"/>
    <cellStyle name="Input 70 3" xfId="35710"/>
    <cellStyle name="Input 71" xfId="35711"/>
    <cellStyle name="Input 71 2" xfId="35712"/>
    <cellStyle name="Input 71 2 2" xfId="35713"/>
    <cellStyle name="Input 71 3" xfId="35714"/>
    <cellStyle name="Input 72" xfId="35715"/>
    <cellStyle name="Input 72 2" xfId="35716"/>
    <cellStyle name="Input 72 2 2" xfId="35717"/>
    <cellStyle name="Input 72 3" xfId="35718"/>
    <cellStyle name="Input 73" xfId="35719"/>
    <cellStyle name="Input 73 2" xfId="35720"/>
    <cellStyle name="Input 73 2 2" xfId="35721"/>
    <cellStyle name="Input 73 3" xfId="35722"/>
    <cellStyle name="Input 74" xfId="35723"/>
    <cellStyle name="Input 74 2" xfId="35724"/>
    <cellStyle name="Input 74 2 2" xfId="35725"/>
    <cellStyle name="Input 74 3" xfId="35726"/>
    <cellStyle name="Input 75" xfId="35727"/>
    <cellStyle name="Input 75 2" xfId="35728"/>
    <cellStyle name="Input 75 2 2" xfId="35729"/>
    <cellStyle name="Input 75 3" xfId="35730"/>
    <cellStyle name="Input 76" xfId="35731"/>
    <cellStyle name="Input 76 2" xfId="35732"/>
    <cellStyle name="Input 76 2 2" xfId="35733"/>
    <cellStyle name="Input 76 3" xfId="35734"/>
    <cellStyle name="Input 77" xfId="35735"/>
    <cellStyle name="Input 77 2" xfId="35736"/>
    <cellStyle name="Input 77 2 2" xfId="35737"/>
    <cellStyle name="Input 77 3" xfId="35738"/>
    <cellStyle name="Input 78" xfId="35739"/>
    <cellStyle name="Input 78 2" xfId="35740"/>
    <cellStyle name="Input 78 2 2" xfId="35741"/>
    <cellStyle name="Input 78 3" xfId="35742"/>
    <cellStyle name="Input 79" xfId="35743"/>
    <cellStyle name="Input 79 2" xfId="35744"/>
    <cellStyle name="Input 79 2 2" xfId="35745"/>
    <cellStyle name="Input 79 3" xfId="35746"/>
    <cellStyle name="Input 8" xfId="2897"/>
    <cellStyle name="Input 8 2" xfId="13585"/>
    <cellStyle name="Input 8 2 2" xfId="35747"/>
    <cellStyle name="Input 8 2 2 2" xfId="35748"/>
    <cellStyle name="Input 8 2 3" xfId="35749"/>
    <cellStyle name="Input 8 2 4" xfId="35750"/>
    <cellStyle name="Input 8 3" xfId="17515"/>
    <cellStyle name="Input 8 3 2" xfId="35751"/>
    <cellStyle name="Input 8 4" xfId="35752"/>
    <cellStyle name="Input 8 4 2" xfId="35753"/>
    <cellStyle name="Input 8 5" xfId="35754"/>
    <cellStyle name="Input 8 6" xfId="10019"/>
    <cellStyle name="Input 80" xfId="35755"/>
    <cellStyle name="Input 80 2" xfId="35756"/>
    <cellStyle name="Input 81" xfId="35757"/>
    <cellStyle name="Input 81 2" xfId="35758"/>
    <cellStyle name="Input 82" xfId="35759"/>
    <cellStyle name="Input 82 2" xfId="35760"/>
    <cellStyle name="Input 83" xfId="35761"/>
    <cellStyle name="Input 83 2" xfId="35762"/>
    <cellStyle name="Input 84" xfId="35763"/>
    <cellStyle name="Input 84 2" xfId="35764"/>
    <cellStyle name="Input 85" xfId="35765"/>
    <cellStyle name="Input 85 2" xfId="35766"/>
    <cellStyle name="Input 86" xfId="35767"/>
    <cellStyle name="Input 86 2" xfId="35768"/>
    <cellStyle name="Input 87" xfId="35769"/>
    <cellStyle name="Input 87 2" xfId="35770"/>
    <cellStyle name="Input 88" xfId="35771"/>
    <cellStyle name="Input 88 2" xfId="35772"/>
    <cellStyle name="Input 89" xfId="35773"/>
    <cellStyle name="Input 89 2" xfId="35774"/>
    <cellStyle name="Input 9" xfId="2898"/>
    <cellStyle name="Input 9 2" xfId="17516"/>
    <cellStyle name="Input 9 2 2" xfId="35775"/>
    <cellStyle name="Input 9 2 2 2" xfId="35776"/>
    <cellStyle name="Input 9 2 3" xfId="35777"/>
    <cellStyle name="Input 9 3" xfId="35778"/>
    <cellStyle name="Input 9 3 2" xfId="35779"/>
    <cellStyle name="Input 9 4" xfId="35780"/>
    <cellStyle name="Input 9 4 2" xfId="35781"/>
    <cellStyle name="Input 9 5" xfId="35782"/>
    <cellStyle name="Input 9 6" xfId="10020"/>
    <cellStyle name="Input 90" xfId="35783"/>
    <cellStyle name="Input 90 2" xfId="35784"/>
    <cellStyle name="Input 91" xfId="35785"/>
    <cellStyle name="Input 91 2" xfId="35786"/>
    <cellStyle name="Input 92" xfId="35787"/>
    <cellStyle name="Input 93" xfId="35788"/>
    <cellStyle name="Input 94" xfId="35789"/>
    <cellStyle name="Input 95" xfId="35790"/>
    <cellStyle name="Input 96" xfId="35791"/>
    <cellStyle name="Input 97" xfId="9926"/>
    <cellStyle name="Input Cells" xfId="2899"/>
    <cellStyle name="Input Cells 2" xfId="2900"/>
    <cellStyle name="Input Cells 2 2" xfId="17518"/>
    <cellStyle name="Input Cells 2 2 2" xfId="35792"/>
    <cellStyle name="Input Cells 2 2 2 2" xfId="35793"/>
    <cellStyle name="Input Cells 2 2 3" xfId="35794"/>
    <cellStyle name="Input Cells 2 3" xfId="35795"/>
    <cellStyle name="Input Cells 2 3 2" xfId="35796"/>
    <cellStyle name="Input Cells 2 4" xfId="35797"/>
    <cellStyle name="Input Cells 2 4 2" xfId="35798"/>
    <cellStyle name="Input Cells 2 5" xfId="10022"/>
    <cellStyle name="Input Cells 3" xfId="17517"/>
    <cellStyle name="Input Cells 3 2" xfId="35799"/>
    <cellStyle name="Input Cells 3 2 2" xfId="35800"/>
    <cellStyle name="Input Cells 3 3" xfId="35801"/>
    <cellStyle name="Input Cells 4" xfId="35802"/>
    <cellStyle name="Input Cells 4 2" xfId="35803"/>
    <cellStyle name="Input Cells 5" xfId="35804"/>
    <cellStyle name="Input Cells 5 2" xfId="35805"/>
    <cellStyle name="Input Cells 6" xfId="10021"/>
    <cellStyle name="Input Cells Percent" xfId="2901"/>
    <cellStyle name="Input Cells Percent 2" xfId="2902"/>
    <cellStyle name="Input Cells Percent 2 2" xfId="17520"/>
    <cellStyle name="Input Cells Percent 2 2 2" xfId="35806"/>
    <cellStyle name="Input Cells Percent 2 2 2 2" xfId="35807"/>
    <cellStyle name="Input Cells Percent 2 2 3" xfId="35808"/>
    <cellStyle name="Input Cells Percent 2 3" xfId="35809"/>
    <cellStyle name="Input Cells Percent 2 3 2" xfId="35810"/>
    <cellStyle name="Input Cells Percent 2 4" xfId="35811"/>
    <cellStyle name="Input Cells Percent 2 4 2" xfId="35812"/>
    <cellStyle name="Input Cells Percent 2 5" xfId="10024"/>
    <cellStyle name="Input Cells Percent 3" xfId="17519"/>
    <cellStyle name="Input Cells Percent 3 2" xfId="35813"/>
    <cellStyle name="Input Cells Percent 3 2 2" xfId="35814"/>
    <cellStyle name="Input Cells Percent 3 3" xfId="35815"/>
    <cellStyle name="Input Cells Percent 4" xfId="35816"/>
    <cellStyle name="Input Cells Percent 4 2" xfId="35817"/>
    <cellStyle name="Input Cells Percent 5" xfId="35818"/>
    <cellStyle name="Input Cells Percent 5 2" xfId="35819"/>
    <cellStyle name="Input Cells Percent 6" xfId="10023"/>
    <cellStyle name="Input Cells Percent_AURORA Total New" xfId="2903"/>
    <cellStyle name="Input Cells_4.34E Mint Farm Deferral" xfId="2904"/>
    <cellStyle name="line b - Style6" xfId="13586"/>
    <cellStyle name="Lines" xfId="2905"/>
    <cellStyle name="Lines 2" xfId="2906"/>
    <cellStyle name="Lines 2 2" xfId="17522"/>
    <cellStyle name="Lines 2 2 2" xfId="35820"/>
    <cellStyle name="Lines 2 2 2 2" xfId="35821"/>
    <cellStyle name="Lines 2 2 3" xfId="35822"/>
    <cellStyle name="Lines 2 3" xfId="35823"/>
    <cellStyle name="Lines 2 3 2" xfId="35824"/>
    <cellStyle name="Lines 2 4" xfId="35825"/>
    <cellStyle name="Lines 2 4 2" xfId="35826"/>
    <cellStyle name="Lines 2 5" xfId="10026"/>
    <cellStyle name="Lines 3" xfId="10027"/>
    <cellStyle name="Lines 3 2" xfId="19058"/>
    <cellStyle name="Lines 3 2 2" xfId="35827"/>
    <cellStyle name="Lines 3 2 2 2" xfId="35828"/>
    <cellStyle name="Lines 3 2 3" xfId="35829"/>
    <cellStyle name="Lines 3 3" xfId="35830"/>
    <cellStyle name="Lines 3 3 2" xfId="35831"/>
    <cellStyle name="Lines 3 4" xfId="35832"/>
    <cellStyle name="Lines 3 4 2" xfId="35833"/>
    <cellStyle name="Lines 4" xfId="17521"/>
    <cellStyle name="Lines 4 2" xfId="35834"/>
    <cellStyle name="Lines 4 2 2" xfId="35835"/>
    <cellStyle name="Lines 4 3" xfId="35836"/>
    <cellStyle name="Lines 4 3 2" xfId="35837"/>
    <cellStyle name="Lines 5" xfId="35838"/>
    <cellStyle name="Lines 5 2" xfId="35839"/>
    <cellStyle name="Lines 5 2 2" xfId="35840"/>
    <cellStyle name="Lines 5 3" xfId="35841"/>
    <cellStyle name="Lines 6" xfId="35842"/>
    <cellStyle name="Lines 6 2" xfId="35843"/>
    <cellStyle name="Lines 7" xfId="35844"/>
    <cellStyle name="Lines 7 2" xfId="35845"/>
    <cellStyle name="Lines 8" xfId="10025"/>
    <cellStyle name="Lines_Electric Rev Req Model (2009 GRC) Rebuttal" xfId="10028"/>
    <cellStyle name="LINKED" xfId="2907"/>
    <cellStyle name="LINKED 2" xfId="2908"/>
    <cellStyle name="LINKED 2 2" xfId="2909"/>
    <cellStyle name="LINKED 2 2 2" xfId="18048"/>
    <cellStyle name="LINKED 2 2 3" xfId="35846"/>
    <cellStyle name="LINKED 2 2 4" xfId="10031"/>
    <cellStyle name="LINKED 2 3" xfId="17524"/>
    <cellStyle name="LINKED 2 4" xfId="35847"/>
    <cellStyle name="LINKED 2 5" xfId="10030"/>
    <cellStyle name="LINKED 3" xfId="17523"/>
    <cellStyle name="LINKED 3 2" xfId="35848"/>
    <cellStyle name="LINKED 4" xfId="35849"/>
    <cellStyle name="LINKED 4 2" xfId="35850"/>
    <cellStyle name="LINKED 5" xfId="10029"/>
    <cellStyle name="Linked Cell 10" xfId="10032"/>
    <cellStyle name="Linked Cell 2" xfId="2910"/>
    <cellStyle name="Linked Cell 2 2" xfId="2911"/>
    <cellStyle name="Linked Cell 2 2 2" xfId="2912"/>
    <cellStyle name="Linked Cell 2 2 2 2" xfId="35851"/>
    <cellStyle name="Linked Cell 2 2 2 2 2" xfId="35852"/>
    <cellStyle name="Linked Cell 2 2 2 3" xfId="35853"/>
    <cellStyle name="Linked Cell 2 2 2 4" xfId="13587"/>
    <cellStyle name="Linked Cell 2 2 3" xfId="17525"/>
    <cellStyle name="Linked Cell 2 2 3 2" xfId="35854"/>
    <cellStyle name="Linked Cell 2 2 4" xfId="35855"/>
    <cellStyle name="Linked Cell 2 2 4 2" xfId="35856"/>
    <cellStyle name="Linked Cell 2 2 5" xfId="10034"/>
    <cellStyle name="Linked Cell 2 3" xfId="2913"/>
    <cellStyle name="Linked Cell 2 3 2" xfId="15538"/>
    <cellStyle name="Linked Cell 2 3 2 2" xfId="35857"/>
    <cellStyle name="Linked Cell 2 3 2 2 2" xfId="35858"/>
    <cellStyle name="Linked Cell 2 3 2 3" xfId="35859"/>
    <cellStyle name="Linked Cell 2 3 2 4" xfId="35860"/>
    <cellStyle name="Linked Cell 2 3 3" xfId="15539"/>
    <cellStyle name="Linked Cell 2 3 3 2" xfId="35861"/>
    <cellStyle name="Linked Cell 2 3 3 3" xfId="35862"/>
    <cellStyle name="Linked Cell 2 3 4" xfId="35863"/>
    <cellStyle name="Linked Cell 2 3 4 2" xfId="35864"/>
    <cellStyle name="Linked Cell 2 3 4 3" xfId="35865"/>
    <cellStyle name="Linked Cell 2 3 5" xfId="35866"/>
    <cellStyle name="Linked Cell 2 3 6" xfId="10035"/>
    <cellStyle name="Linked Cell 2 4" xfId="13588"/>
    <cellStyle name="Linked Cell 2 4 2" xfId="35867"/>
    <cellStyle name="Linked Cell 2 4 2 2" xfId="35868"/>
    <cellStyle name="Linked Cell 2 4 3" xfId="35869"/>
    <cellStyle name="Linked Cell 2 4 4" xfId="35870"/>
    <cellStyle name="Linked Cell 2 4 5" xfId="35871"/>
    <cellStyle name="Linked Cell 2 5" xfId="15540"/>
    <cellStyle name="Linked Cell 2 5 2" xfId="35872"/>
    <cellStyle name="Linked Cell 2 5 3" xfId="35873"/>
    <cellStyle name="Linked Cell 2 6" xfId="35874"/>
    <cellStyle name="Linked Cell 2 6 2" xfId="35875"/>
    <cellStyle name="Linked Cell 2 7" xfId="10033"/>
    <cellStyle name="Linked Cell 3" xfId="2914"/>
    <cellStyle name="Linked Cell 3 2" xfId="10037"/>
    <cellStyle name="Linked Cell 3 2 2" xfId="19059"/>
    <cellStyle name="Linked Cell 3 2 2 2" xfId="35876"/>
    <cellStyle name="Linked Cell 3 2 3" xfId="35877"/>
    <cellStyle name="Linked Cell 3 3" xfId="10038"/>
    <cellStyle name="Linked Cell 3 3 2" xfId="21995"/>
    <cellStyle name="Linked Cell 3 4" xfId="10039"/>
    <cellStyle name="Linked Cell 3 4 2" xfId="21996"/>
    <cellStyle name="Linked Cell 3 5" xfId="17526"/>
    <cellStyle name="Linked Cell 3 6" xfId="10036"/>
    <cellStyle name="Linked Cell 4" xfId="13589"/>
    <cellStyle name="Linked Cell 4 2" xfId="35878"/>
    <cellStyle name="Linked Cell 4 2 2" xfId="35879"/>
    <cellStyle name="Linked Cell 4 2 2 2" xfId="35880"/>
    <cellStyle name="Linked Cell 4 2 3" xfId="35881"/>
    <cellStyle name="Linked Cell 4 2 4" xfId="35882"/>
    <cellStyle name="Linked Cell 4 3" xfId="35883"/>
    <cellStyle name="Linked Cell 4 3 2" xfId="35884"/>
    <cellStyle name="Linked Cell 4 4" xfId="35885"/>
    <cellStyle name="Linked Cell 4 4 2" xfId="35886"/>
    <cellStyle name="Linked Cell 5" xfId="13590"/>
    <cellStyle name="Linked Cell 5 2" xfId="15541"/>
    <cellStyle name="Linked Cell 5 2 2" xfId="35887"/>
    <cellStyle name="Linked Cell 5 2 3" xfId="35888"/>
    <cellStyle name="Linked Cell 5 3" xfId="35889"/>
    <cellStyle name="Linked Cell 6" xfId="13591"/>
    <cellStyle name="Linked Cell 6 2" xfId="35890"/>
    <cellStyle name="Linked Cell 6 2 2" xfId="35891"/>
    <cellStyle name="Linked Cell 6 3" xfId="35892"/>
    <cellStyle name="Linked Cell 6 4" xfId="35893"/>
    <cellStyle name="Linked Cell 6 5" xfId="35894"/>
    <cellStyle name="Linked Cell 7" xfId="13592"/>
    <cellStyle name="Linked Cell 7 2" xfId="35895"/>
    <cellStyle name="Linked Cell 7 3" xfId="35896"/>
    <cellStyle name="Linked Cell 8" xfId="35897"/>
    <cellStyle name="Linked Cell 9" xfId="35898"/>
    <cellStyle name="Millares [0]_2AV_M_M " xfId="13593"/>
    <cellStyle name="Millares_2AV_M_M " xfId="13594"/>
    <cellStyle name="modified border" xfId="2915"/>
    <cellStyle name="modified border 2" xfId="2916"/>
    <cellStyle name="modified border 2 2" xfId="13595"/>
    <cellStyle name="modified border 2 2 2" xfId="35899"/>
    <cellStyle name="modified border 2 2 2 2" xfId="35900"/>
    <cellStyle name="modified border 2 2 3" xfId="35901"/>
    <cellStyle name="modified border 2 2 4" xfId="35902"/>
    <cellStyle name="modified border 2 3" xfId="17528"/>
    <cellStyle name="modified border 2 3 2" xfId="35903"/>
    <cellStyle name="modified border 2 4" xfId="35904"/>
    <cellStyle name="modified border 2 4 2" xfId="35905"/>
    <cellStyle name="modified border 2 5" xfId="10041"/>
    <cellStyle name="modified border 3" xfId="2917"/>
    <cellStyle name="modified border 3 2" xfId="13596"/>
    <cellStyle name="modified border 3 2 2" xfId="35906"/>
    <cellStyle name="modified border 3 2 2 2" xfId="35907"/>
    <cellStyle name="modified border 3 2 3" xfId="35908"/>
    <cellStyle name="modified border 3 2 4" xfId="35909"/>
    <cellStyle name="modified border 3 3" xfId="17529"/>
    <cellStyle name="modified border 3 3 2" xfId="35910"/>
    <cellStyle name="modified border 3 4" xfId="35911"/>
    <cellStyle name="modified border 3 4 2" xfId="35912"/>
    <cellStyle name="modified border 3 5" xfId="10042"/>
    <cellStyle name="modified border 4" xfId="2918"/>
    <cellStyle name="modified border 4 2" xfId="13597"/>
    <cellStyle name="modified border 4 2 2" xfId="35913"/>
    <cellStyle name="modified border 4 2 2 2" xfId="35914"/>
    <cellStyle name="modified border 4 2 3" xfId="35915"/>
    <cellStyle name="modified border 4 2 4" xfId="35916"/>
    <cellStyle name="modified border 4 3" xfId="17530"/>
    <cellStyle name="modified border 4 3 2" xfId="35917"/>
    <cellStyle name="modified border 4 4" xfId="35918"/>
    <cellStyle name="modified border 4 4 2" xfId="35919"/>
    <cellStyle name="modified border 4 5" xfId="10043"/>
    <cellStyle name="modified border 5" xfId="2919"/>
    <cellStyle name="modified border 5 2" xfId="2920"/>
    <cellStyle name="modified border 5 2 2" xfId="18049"/>
    <cellStyle name="modified border 5 2 3" xfId="35920"/>
    <cellStyle name="modified border 5 2 4" xfId="10045"/>
    <cellStyle name="modified border 5 3" xfId="17531"/>
    <cellStyle name="modified border 5 4" xfId="35921"/>
    <cellStyle name="modified border 5 5" xfId="10044"/>
    <cellStyle name="modified border 6" xfId="10046"/>
    <cellStyle name="modified border 6 2" xfId="35922"/>
    <cellStyle name="modified border 7" xfId="17527"/>
    <cellStyle name="modified border 7 2" xfId="35923"/>
    <cellStyle name="modified border 8" xfId="35924"/>
    <cellStyle name="modified border 8 2" xfId="35925"/>
    <cellStyle name="modified border 9" xfId="10040"/>
    <cellStyle name="modified border_4.34E Mint Farm Deferral" xfId="2921"/>
    <cellStyle name="modified border1" xfId="2922"/>
    <cellStyle name="modified border1 2" xfId="2923"/>
    <cellStyle name="modified border1 2 2" xfId="13598"/>
    <cellStyle name="modified border1 2 2 2" xfId="35926"/>
    <cellStyle name="modified border1 2 2 2 2" xfId="35927"/>
    <cellStyle name="modified border1 2 2 3" xfId="35928"/>
    <cellStyle name="modified border1 2 2 4" xfId="35929"/>
    <cellStyle name="modified border1 2 3" xfId="17533"/>
    <cellStyle name="modified border1 2 3 2" xfId="35930"/>
    <cellStyle name="modified border1 2 4" xfId="35931"/>
    <cellStyle name="modified border1 2 4 2" xfId="35932"/>
    <cellStyle name="modified border1 2 5" xfId="10048"/>
    <cellStyle name="modified border1 3" xfId="2924"/>
    <cellStyle name="modified border1 3 2" xfId="13599"/>
    <cellStyle name="modified border1 3 2 2" xfId="35933"/>
    <cellStyle name="modified border1 3 2 2 2" xfId="35934"/>
    <cellStyle name="modified border1 3 2 3" xfId="35935"/>
    <cellStyle name="modified border1 3 2 4" xfId="35936"/>
    <cellStyle name="modified border1 3 3" xfId="17534"/>
    <cellStyle name="modified border1 3 3 2" xfId="35937"/>
    <cellStyle name="modified border1 3 4" xfId="35938"/>
    <cellStyle name="modified border1 3 4 2" xfId="35939"/>
    <cellStyle name="modified border1 3 5" xfId="10049"/>
    <cellStyle name="modified border1 4" xfId="2925"/>
    <cellStyle name="modified border1 4 2" xfId="13600"/>
    <cellStyle name="modified border1 4 2 2" xfId="35940"/>
    <cellStyle name="modified border1 4 2 2 2" xfId="35941"/>
    <cellStyle name="modified border1 4 2 3" xfId="35942"/>
    <cellStyle name="modified border1 4 2 4" xfId="35943"/>
    <cellStyle name="modified border1 4 3" xfId="17535"/>
    <cellStyle name="modified border1 4 3 2" xfId="35944"/>
    <cellStyle name="modified border1 4 4" xfId="35945"/>
    <cellStyle name="modified border1 4 4 2" xfId="35946"/>
    <cellStyle name="modified border1 4 5" xfId="10050"/>
    <cellStyle name="modified border1 5" xfId="2926"/>
    <cellStyle name="modified border1 5 2" xfId="2927"/>
    <cellStyle name="modified border1 5 2 2" xfId="18050"/>
    <cellStyle name="modified border1 5 2 3" xfId="35947"/>
    <cellStyle name="modified border1 5 2 4" xfId="10052"/>
    <cellStyle name="modified border1 5 3" xfId="17536"/>
    <cellStyle name="modified border1 5 4" xfId="35948"/>
    <cellStyle name="modified border1 5 5" xfId="10051"/>
    <cellStyle name="modified border1 6" xfId="10053"/>
    <cellStyle name="modified border1 6 2" xfId="35949"/>
    <cellStyle name="modified border1 7" xfId="17532"/>
    <cellStyle name="modified border1 7 2" xfId="35950"/>
    <cellStyle name="modified border1 8" xfId="35951"/>
    <cellStyle name="modified border1 8 2" xfId="35952"/>
    <cellStyle name="modified border1 9" xfId="10047"/>
    <cellStyle name="modified border1_4.34E Mint Farm Deferral" xfId="2928"/>
    <cellStyle name="Moneda [0]_2AV_M_M " xfId="13601"/>
    <cellStyle name="Moneda_2AV_M_M " xfId="13602"/>
    <cellStyle name="MonthYears" xfId="35953"/>
    <cellStyle name="Neutral 10" xfId="10054"/>
    <cellStyle name="Neutral 2" xfId="2929"/>
    <cellStyle name="Neutral 2 2" xfId="2930"/>
    <cellStyle name="Neutral 2 2 2" xfId="2931"/>
    <cellStyle name="Neutral 2 2 2 2" xfId="35954"/>
    <cellStyle name="Neutral 2 2 2 2 2" xfId="35955"/>
    <cellStyle name="Neutral 2 2 2 3" xfId="35956"/>
    <cellStyle name="Neutral 2 2 2 4" xfId="13603"/>
    <cellStyle name="Neutral 2 2 3" xfId="17538"/>
    <cellStyle name="Neutral 2 2 3 2" xfId="35957"/>
    <cellStyle name="Neutral 2 2 4" xfId="35958"/>
    <cellStyle name="Neutral 2 2 4 2" xfId="35959"/>
    <cellStyle name="Neutral 2 2 5" xfId="10056"/>
    <cellStyle name="Neutral 2 3" xfId="2932"/>
    <cellStyle name="Neutral 2 3 2" xfId="15542"/>
    <cellStyle name="Neutral 2 3 2 2" xfId="35960"/>
    <cellStyle name="Neutral 2 3 2 2 2" xfId="35961"/>
    <cellStyle name="Neutral 2 3 2 3" xfId="35962"/>
    <cellStyle name="Neutral 2 3 2 4" xfId="35963"/>
    <cellStyle name="Neutral 2 3 3" xfId="18051"/>
    <cellStyle name="Neutral 2 3 3 2" xfId="35964"/>
    <cellStyle name="Neutral 2 3 3 3" xfId="35965"/>
    <cellStyle name="Neutral 2 3 4" xfId="35966"/>
    <cellStyle name="Neutral 2 3 4 2" xfId="35967"/>
    <cellStyle name="Neutral 2 3 5" xfId="35968"/>
    <cellStyle name="Neutral 2 3 6" xfId="10057"/>
    <cellStyle name="Neutral 2 4" xfId="13604"/>
    <cellStyle name="Neutral 2 4 2" xfId="35969"/>
    <cellStyle name="Neutral 2 4 2 2" xfId="35970"/>
    <cellStyle name="Neutral 2 4 3" xfId="35971"/>
    <cellStyle name="Neutral 2 4 4" xfId="35972"/>
    <cellStyle name="Neutral 2 4 5" xfId="35973"/>
    <cellStyle name="Neutral 2 5" xfId="17537"/>
    <cellStyle name="Neutral 2 5 2" xfId="35974"/>
    <cellStyle name="Neutral 2 6" xfId="35975"/>
    <cellStyle name="Neutral 2 6 2" xfId="35976"/>
    <cellStyle name="Neutral 2 7" xfId="10055"/>
    <cellStyle name="Neutral 3" xfId="2933"/>
    <cellStyle name="Neutral 3 2" xfId="10059"/>
    <cellStyle name="Neutral 3 2 2" xfId="19060"/>
    <cellStyle name="Neutral 3 2 2 2" xfId="35977"/>
    <cellStyle name="Neutral 3 2 3" xfId="35978"/>
    <cellStyle name="Neutral 3 3" xfId="10060"/>
    <cellStyle name="Neutral 3 3 2" xfId="21997"/>
    <cellStyle name="Neutral 3 4" xfId="10061"/>
    <cellStyle name="Neutral 3 4 2" xfId="21998"/>
    <cellStyle name="Neutral 3 5" xfId="17539"/>
    <cellStyle name="Neutral 3 6" xfId="10058"/>
    <cellStyle name="Neutral 4" xfId="13605"/>
    <cellStyle name="Neutral 4 2" xfId="35979"/>
    <cellStyle name="Neutral 4 2 2" xfId="35980"/>
    <cellStyle name="Neutral 4 2 2 2" xfId="35981"/>
    <cellStyle name="Neutral 4 2 3" xfId="35982"/>
    <cellStyle name="Neutral 4 2 4" xfId="35983"/>
    <cellStyle name="Neutral 4 3" xfId="35984"/>
    <cellStyle name="Neutral 4 3 2" xfId="35985"/>
    <cellStyle name="Neutral 4 4" xfId="35986"/>
    <cellStyle name="Neutral 4 4 2" xfId="35987"/>
    <cellStyle name="Neutral 5" xfId="13606"/>
    <cellStyle name="Neutral 5 2" xfId="15543"/>
    <cellStyle name="Neutral 5 2 2" xfId="35988"/>
    <cellStyle name="Neutral 5 2 3" xfId="35989"/>
    <cellStyle name="Neutral 5 3" xfId="35990"/>
    <cellStyle name="Neutral 6" xfId="13607"/>
    <cellStyle name="Neutral 6 2" xfId="35991"/>
    <cellStyle name="Neutral 6 2 2" xfId="35992"/>
    <cellStyle name="Neutral 6 3" xfId="35993"/>
    <cellStyle name="Neutral 6 4" xfId="35994"/>
    <cellStyle name="Neutral 6 5" xfId="35995"/>
    <cellStyle name="Neutral 7" xfId="13608"/>
    <cellStyle name="Neutral 7 2" xfId="35996"/>
    <cellStyle name="Neutral 7 3" xfId="35997"/>
    <cellStyle name="Neutral 8" xfId="35998"/>
    <cellStyle name="Neutral 9" xfId="35999"/>
    <cellStyle name="no dec" xfId="2934"/>
    <cellStyle name="no dec 2" xfId="2935"/>
    <cellStyle name="no dec 2 2" xfId="2936"/>
    <cellStyle name="no dec 2 2 2" xfId="18052"/>
    <cellStyle name="no dec 2 2 3" xfId="36000"/>
    <cellStyle name="no dec 2 2 4" xfId="10064"/>
    <cellStyle name="no dec 2 3" xfId="17541"/>
    <cellStyle name="no dec 2 4" xfId="36001"/>
    <cellStyle name="no dec 2 5" xfId="10063"/>
    <cellStyle name="no dec 3" xfId="10065"/>
    <cellStyle name="no dec 3 2" xfId="17858"/>
    <cellStyle name="no dec 4" xfId="10066"/>
    <cellStyle name="no dec 4 2" xfId="36002"/>
    <cellStyle name="no dec 5" xfId="17540"/>
    <cellStyle name="no dec 6" xfId="10062"/>
    <cellStyle name="Normal" xfId="0" builtinId="0"/>
    <cellStyle name="Normal - Style1" xfId="2937"/>
    <cellStyle name="Normal - Style1 10" xfId="17542"/>
    <cellStyle name="Normal - Style1 10 2" xfId="36003"/>
    <cellStyle name="Normal - Style1 10 3" xfId="36004"/>
    <cellStyle name="Normal - Style1 11" xfId="36005"/>
    <cellStyle name="Normal - Style1 11 2" xfId="36006"/>
    <cellStyle name="Normal - Style1 11 3" xfId="36007"/>
    <cellStyle name="Normal - Style1 12" xfId="36008"/>
    <cellStyle name="Normal - Style1 12 2" xfId="36009"/>
    <cellStyle name="Normal - Style1 13" xfId="36010"/>
    <cellStyle name="Normal - Style1 2" xfId="2938"/>
    <cellStyle name="Normal - Style1 2 2" xfId="2939"/>
    <cellStyle name="Normal - Style1 2 2 2" xfId="5973"/>
    <cellStyle name="Normal - Style1 2 2 2 2" xfId="21999"/>
    <cellStyle name="Normal - Style1 2 2 2 2 2" xfId="36011"/>
    <cellStyle name="Normal - Style1 2 2 2 3" xfId="10069"/>
    <cellStyle name="Normal - Style1 2 2 3" xfId="13609"/>
    <cellStyle name="Normal - Style1 2 2 3 2" xfId="36012"/>
    <cellStyle name="Normal - Style1 2 2 3 2 2" xfId="36013"/>
    <cellStyle name="Normal - Style1 2 2 3 3" xfId="36014"/>
    <cellStyle name="Normal - Style1 2 2 3 4" xfId="36015"/>
    <cellStyle name="Normal - Style1 2 2 4" xfId="15544"/>
    <cellStyle name="Normal - Style1 2 2 4 2" xfId="36016"/>
    <cellStyle name="Normal - Style1 2 2 4 3" xfId="36017"/>
    <cellStyle name="Normal - Style1 2 2 5" xfId="17543"/>
    <cellStyle name="Normal - Style1 2 2 5 2" xfId="36018"/>
    <cellStyle name="Normal - Style1 2 2 6" xfId="10068"/>
    <cellStyle name="Normal - Style1 2 3" xfId="2940"/>
    <cellStyle name="Normal - Style1 2 3 2" xfId="5974"/>
    <cellStyle name="Normal - Style1 2 3 2 2" xfId="36019"/>
    <cellStyle name="Normal - Style1 2 3 2 3" xfId="15545"/>
    <cellStyle name="Normal - Style1 2 3 3" xfId="18053"/>
    <cellStyle name="Normal - Style1 2 3 4" xfId="10070"/>
    <cellStyle name="Normal - Style1 2 4" xfId="5972"/>
    <cellStyle name="Normal - Style1 2 4 2" xfId="36021"/>
    <cellStyle name="Normal - Style1 2 4 2 2" xfId="36022"/>
    <cellStyle name="Normal - Style1 2 4 3" xfId="36023"/>
    <cellStyle name="Normal - Style1 2 4 4" xfId="36020"/>
    <cellStyle name="Normal - Style1 2 5" xfId="36024"/>
    <cellStyle name="Normal - Style1 2 5 2" xfId="36025"/>
    <cellStyle name="Normal - Style1 2 6" xfId="36026"/>
    <cellStyle name="Normal - Style1 2 6 2" xfId="36027"/>
    <cellStyle name="Normal - Style1 2 7" xfId="10067"/>
    <cellStyle name="Normal - Style1 3" xfId="2941"/>
    <cellStyle name="Normal - Style1 3 2" xfId="2942"/>
    <cellStyle name="Normal - Style1 3 2 2" xfId="5976"/>
    <cellStyle name="Normal - Style1 3 2 2 2" xfId="22000"/>
    <cellStyle name="Normal - Style1 3 2 2 2 2" xfId="36028"/>
    <cellStyle name="Normal - Style1 3 2 2 3" xfId="10073"/>
    <cellStyle name="Normal - Style1 3 2 3" xfId="15546"/>
    <cellStyle name="Normal - Style1 3 2 3 2" xfId="36029"/>
    <cellStyle name="Normal - Style1 3 2 3 2 2" xfId="36030"/>
    <cellStyle name="Normal - Style1 3 2 3 3" xfId="36031"/>
    <cellStyle name="Normal - Style1 3 2 3 4" xfId="36032"/>
    <cellStyle name="Normal - Style1 3 2 4" xfId="17544"/>
    <cellStyle name="Normal - Style1 3 2 4 2" xfId="36033"/>
    <cellStyle name="Normal - Style1 3 2 5" xfId="36034"/>
    <cellStyle name="Normal - Style1 3 2 5 2" xfId="36035"/>
    <cellStyle name="Normal - Style1 3 2 6" xfId="10072"/>
    <cellStyle name="Normal - Style1 3 3" xfId="2943"/>
    <cellStyle name="Normal - Style1 3 3 2" xfId="5977"/>
    <cellStyle name="Normal - Style1 3 3 2 2" xfId="36036"/>
    <cellStyle name="Normal - Style1 3 3 2 3" xfId="15547"/>
    <cellStyle name="Normal - Style1 3 3 3" xfId="18054"/>
    <cellStyle name="Normal - Style1 3 3 4" xfId="10074"/>
    <cellStyle name="Normal - Style1 3 4" xfId="5975"/>
    <cellStyle name="Normal - Style1 3 4 2" xfId="36037"/>
    <cellStyle name="Normal - Style1 3 4 2 2" xfId="36038"/>
    <cellStyle name="Normal - Style1 3 4 3" xfId="36039"/>
    <cellStyle name="Normal - Style1 3 4 4" xfId="36040"/>
    <cellStyle name="Normal - Style1 3 4 5" xfId="13610"/>
    <cellStyle name="Normal - Style1 3 5" xfId="36041"/>
    <cellStyle name="Normal - Style1 3 5 2" xfId="36042"/>
    <cellStyle name="Normal - Style1 3 6" xfId="36043"/>
    <cellStyle name="Normal - Style1 3 6 2" xfId="36044"/>
    <cellStyle name="Normal - Style1 3 7" xfId="10071"/>
    <cellStyle name="Normal - Style1 4" xfId="2944"/>
    <cellStyle name="Normal - Style1 4 2" xfId="2945"/>
    <cellStyle name="Normal - Style1 4 2 2" xfId="5979"/>
    <cellStyle name="Normal - Style1 4 2 2 2" xfId="22001"/>
    <cellStyle name="Normal - Style1 4 2 2 2 2" xfId="36045"/>
    <cellStyle name="Normal - Style1 4 2 2 3" xfId="10077"/>
    <cellStyle name="Normal - Style1 4 2 3" xfId="15548"/>
    <cellStyle name="Normal - Style1 4 2 3 2" xfId="36046"/>
    <cellStyle name="Normal - Style1 4 2 3 3" xfId="36047"/>
    <cellStyle name="Normal - Style1 4 2 4" xfId="17546"/>
    <cellStyle name="Normal - Style1 4 2 4 2" xfId="36048"/>
    <cellStyle name="Normal - Style1 4 2 5" xfId="10076"/>
    <cellStyle name="Normal - Style1 4 3" xfId="5978"/>
    <cellStyle name="Normal - Style1 4 3 2" xfId="22002"/>
    <cellStyle name="Normal - Style1 4 3 2 2" xfId="36049"/>
    <cellStyle name="Normal - Style1 4 3 3" xfId="10078"/>
    <cellStyle name="Normal - Style1 4 4" xfId="15549"/>
    <cellStyle name="Normal - Style1 4 4 2" xfId="36050"/>
    <cellStyle name="Normal - Style1 4 4 2 2" xfId="36051"/>
    <cellStyle name="Normal - Style1 4 4 3" xfId="36052"/>
    <cellStyle name="Normal - Style1 4 4 4" xfId="36053"/>
    <cellStyle name="Normal - Style1 4 5" xfId="17545"/>
    <cellStyle name="Normal - Style1 4 5 2" xfId="36054"/>
    <cellStyle name="Normal - Style1 4 5 3" xfId="36055"/>
    <cellStyle name="Normal - Style1 4 6" xfId="36056"/>
    <cellStyle name="Normal - Style1 4 6 2" xfId="36057"/>
    <cellStyle name="Normal - Style1 4 7" xfId="10075"/>
    <cellStyle name="Normal - Style1 5" xfId="2946"/>
    <cellStyle name="Normal - Style1 5 2" xfId="2947"/>
    <cellStyle name="Normal - Style1 5 2 2" xfId="5981"/>
    <cellStyle name="Normal - Style1 5 2 2 2" xfId="36058"/>
    <cellStyle name="Normal - Style1 5 2 2 2 2" xfId="36059"/>
    <cellStyle name="Normal - Style1 5 2 2 3" xfId="11863"/>
    <cellStyle name="Normal - Style1 5 2 3" xfId="13611"/>
    <cellStyle name="Normal - Style1 5 2 3 2" xfId="36060"/>
    <cellStyle name="Normal - Style1 5 2 3 3" xfId="36061"/>
    <cellStyle name="Normal - Style1 5 2 4" xfId="14327"/>
    <cellStyle name="Normal - Style1 5 2 4 2" xfId="36062"/>
    <cellStyle name="Normal - Style1 5 2 5" xfId="36063"/>
    <cellStyle name="Normal - Style1 5 3" xfId="5980"/>
    <cellStyle name="Normal - Style1 5 3 2" xfId="19061"/>
    <cellStyle name="Normal - Style1 5 3 2 2" xfId="36064"/>
    <cellStyle name="Normal - Style1 5 4" xfId="13612"/>
    <cellStyle name="Normal - Style1 5 4 2" xfId="36065"/>
    <cellStyle name="Normal - Style1 5 4 3" xfId="36066"/>
    <cellStyle name="Normal - Style1 5 5" xfId="13613"/>
    <cellStyle name="Normal - Style1 5 5 2" xfId="36067"/>
    <cellStyle name="Normal - Style1 5 6" xfId="36068"/>
    <cellStyle name="Normal - Style1 6" xfId="2948"/>
    <cellStyle name="Normal - Style1 6 2" xfId="5982"/>
    <cellStyle name="Normal - Style1 6 2 2" xfId="10081"/>
    <cellStyle name="Normal - Style1 6 2 2 2" xfId="22003"/>
    <cellStyle name="Normal - Style1 6 2 2 2 2" xfId="36069"/>
    <cellStyle name="Normal - Style1 6 2 3" xfId="19062"/>
    <cellStyle name="Normal - Style1 6 2 3 2" xfId="36070"/>
    <cellStyle name="Normal - Style1 6 2 4" xfId="36071"/>
    <cellStyle name="Normal - Style1 6 2 4 2" xfId="36072"/>
    <cellStyle name="Normal - Style1 6 2 5" xfId="36073"/>
    <cellStyle name="Normal - Style1 6 2 6" xfId="10080"/>
    <cellStyle name="Normal - Style1 6 3" xfId="10082"/>
    <cellStyle name="Normal - Style1 6 3 2" xfId="22004"/>
    <cellStyle name="Normal - Style1 6 3 2 2" xfId="36074"/>
    <cellStyle name="Normal - Style1 6 4" xfId="10083"/>
    <cellStyle name="Normal - Style1 6 4 2" xfId="22005"/>
    <cellStyle name="Normal - Style1 6 4 2 2" xfId="36075"/>
    <cellStyle name="Normal - Style1 6 4 3" xfId="36076"/>
    <cellStyle name="Normal - Style1 6 4 4" xfId="36077"/>
    <cellStyle name="Normal - Style1 6 5" xfId="15550"/>
    <cellStyle name="Normal - Style1 6 5 2" xfId="36078"/>
    <cellStyle name="Normal - Style1 6 5 3" xfId="36079"/>
    <cellStyle name="Normal - Style1 6 6" xfId="18055"/>
    <cellStyle name="Normal - Style1 6 6 2" xfId="36080"/>
    <cellStyle name="Normal - Style1 6 7" xfId="36081"/>
    <cellStyle name="Normal - Style1 6 8" xfId="10079"/>
    <cellStyle name="Normal - Style1 7" xfId="10084"/>
    <cellStyle name="Normal - Style1 7 2" xfId="13614"/>
    <cellStyle name="Normal - Style1 7 2 2" xfId="13615"/>
    <cellStyle name="Normal - Style1 7 2 2 2" xfId="36082"/>
    <cellStyle name="Normal - Style1 7 2 2 2 2" xfId="36083"/>
    <cellStyle name="Normal - Style1 7 2 3" xfId="36084"/>
    <cellStyle name="Normal - Style1 7 2 3 2" xfId="36085"/>
    <cellStyle name="Normal - Style1 7 2 4" xfId="36086"/>
    <cellStyle name="Normal - Style1 7 2 4 2" xfId="36087"/>
    <cellStyle name="Normal - Style1 7 2 5" xfId="36088"/>
    <cellStyle name="Normal - Style1 7 3" xfId="13616"/>
    <cellStyle name="Normal - Style1 7 3 2" xfId="36089"/>
    <cellStyle name="Normal - Style1 7 3 2 2" xfId="36090"/>
    <cellStyle name="Normal - Style1 7 4" xfId="36091"/>
    <cellStyle name="Normal - Style1 7 4 2" xfId="36092"/>
    <cellStyle name="Normal - Style1 7 5" xfId="36093"/>
    <cellStyle name="Normal - Style1 7 5 2" xfId="36094"/>
    <cellStyle name="Normal - Style1 7 6" xfId="36095"/>
    <cellStyle name="Normal - Style1 8" xfId="13617"/>
    <cellStyle name="Normal - Style1 8 2" xfId="36096"/>
    <cellStyle name="Normal - Style1 8 2 2" xfId="36097"/>
    <cellStyle name="Normal - Style1 8 3" xfId="36098"/>
    <cellStyle name="Normal - Style1 8 4" xfId="36099"/>
    <cellStyle name="Normal - Style1 9" xfId="13618"/>
    <cellStyle name="Normal - Style1 9 2" xfId="36100"/>
    <cellStyle name="Normal - Style1 9 2 2" xfId="36101"/>
    <cellStyle name="Normal - Style1 9 3" xfId="36102"/>
    <cellStyle name="Normal - Style1 9 4" xfId="36103"/>
    <cellStyle name="Normal - Style1_(C) WHE Proforma with ITC cash grant 10 Yr Amort_for deferral_102809" xfId="2949"/>
    <cellStyle name="Normal [0]" xfId="36104"/>
    <cellStyle name="Normal [2]" xfId="36105"/>
    <cellStyle name="Normal 1" xfId="2950"/>
    <cellStyle name="Normal 1 2" xfId="5983"/>
    <cellStyle name="Normal 1 2 2" xfId="6464"/>
    <cellStyle name="Normal 1 2 2 2" xfId="36106"/>
    <cellStyle name="Normal 1 2 2 2 2" xfId="36107"/>
    <cellStyle name="Normal 1 2 2 2 2 2" xfId="36108"/>
    <cellStyle name="Normal 1 2 2 3" xfId="36109"/>
    <cellStyle name="Normal 1 2 2 3 2" xfId="36110"/>
    <cellStyle name="Normal 1 2 2 4" xfId="36111"/>
    <cellStyle name="Normal 1 2 2 4 2" xfId="36112"/>
    <cellStyle name="Normal 1 2 2 5" xfId="13620"/>
    <cellStyle name="Normal 1 2 3" xfId="36113"/>
    <cellStyle name="Normal 1 2 3 2" xfId="36114"/>
    <cellStyle name="Normal 1 2 3 2 2" xfId="36115"/>
    <cellStyle name="Normal 1 2 4" xfId="36116"/>
    <cellStyle name="Normal 1 2 4 2" xfId="36117"/>
    <cellStyle name="Normal 1 2 5" xfId="36118"/>
    <cellStyle name="Normal 1 2 5 2" xfId="36119"/>
    <cellStyle name="Normal 1 2 6" xfId="13619"/>
    <cellStyle name="Normal 1 3" xfId="13621"/>
    <cellStyle name="Normal 1 3 2" xfId="13622"/>
    <cellStyle name="Normal 1 3 2 2" xfId="36120"/>
    <cellStyle name="Normal 1 3 2 2 2" xfId="36121"/>
    <cellStyle name="Normal 1 3 3" xfId="36122"/>
    <cellStyle name="Normal 1 3 3 2" xfId="36123"/>
    <cellStyle name="Normal 1 3 4" xfId="36124"/>
    <cellStyle name="Normal 1 3 4 2" xfId="36125"/>
    <cellStyle name="Normal 1 4" xfId="13623"/>
    <cellStyle name="Normal 1 4 2" xfId="36126"/>
    <cellStyle name="Normal 1 4 2 2" xfId="36127"/>
    <cellStyle name="Normal 1 5" xfId="15551"/>
    <cellStyle name="Normal 1 5 2" xfId="36128"/>
    <cellStyle name="Normal 1 5 2 2" xfId="36129"/>
    <cellStyle name="Normal 1 5 2 3" xfId="36130"/>
    <cellStyle name="Normal 1 5 3" xfId="36131"/>
    <cellStyle name="Normal 1 5 4" xfId="36132"/>
    <cellStyle name="Normal 1 5 5" xfId="36133"/>
    <cellStyle name="Normal 1 6" xfId="17547"/>
    <cellStyle name="Normal 1 6 2" xfId="36134"/>
    <cellStyle name="Normal 1 6 2 2" xfId="36135"/>
    <cellStyle name="Normal 1 6 2 2 2" xfId="36136"/>
    <cellStyle name="Normal 1 6 2 3" xfId="36137"/>
    <cellStyle name="Normal 1 6 2 4" xfId="36138"/>
    <cellStyle name="Normal 1 6 3" xfId="36139"/>
    <cellStyle name="Normal 1 6 3 2" xfId="36140"/>
    <cellStyle name="Normal 1 6 4" xfId="36141"/>
    <cellStyle name="Normal 1 6 5" xfId="36142"/>
    <cellStyle name="Normal 1 7" xfId="36143"/>
    <cellStyle name="Normal 1 7 2" xfId="36144"/>
    <cellStyle name="Normal 1 8" xfId="36145"/>
    <cellStyle name="Normal 1 8 2" xfId="36146"/>
    <cellStyle name="Normal 1 9" xfId="10085"/>
    <cellStyle name="Normal 10" xfId="2951"/>
    <cellStyle name="Normal 10 2" xfId="2952"/>
    <cellStyle name="Normal 10 2 2" xfId="2953"/>
    <cellStyle name="Normal 10 2 2 2" xfId="5986"/>
    <cellStyle name="Normal 10 2 2 2 2" xfId="22006"/>
    <cellStyle name="Normal 10 2 2 2 2 2" xfId="36147"/>
    <cellStyle name="Normal 10 2 2 3" xfId="15552"/>
    <cellStyle name="Normal 10 2 2 3 2" xfId="36148"/>
    <cellStyle name="Normal 10 2 2 3 3" xfId="36149"/>
    <cellStyle name="Normal 10 2 2 4" xfId="17550"/>
    <cellStyle name="Normal 10 2 2 4 2" xfId="36150"/>
    <cellStyle name="Normal 10 2 3" xfId="5985"/>
    <cellStyle name="Normal 10 2 3 2" xfId="22007"/>
    <cellStyle name="Normal 10 2 3 2 2" xfId="36151"/>
    <cellStyle name="Normal 10 2 4" xfId="15553"/>
    <cellStyle name="Normal 10 2 4 2" xfId="36152"/>
    <cellStyle name="Normal 10 2 4 3" xfId="36153"/>
    <cellStyle name="Normal 10 2 5" xfId="17549"/>
    <cellStyle name="Normal 10 2 5 2" xfId="36154"/>
    <cellStyle name="Normal 10 3" xfId="2954"/>
    <cellStyle name="Normal 10 3 2" xfId="2955"/>
    <cellStyle name="Normal 10 3 2 2" xfId="5988"/>
    <cellStyle name="Normal 10 3 2 2 2" xfId="22008"/>
    <cellStyle name="Normal 10 3 2 2 2 2" xfId="36155"/>
    <cellStyle name="Normal 10 3 2 3" xfId="15554"/>
    <cellStyle name="Normal 10 3 2 3 2" xfId="36156"/>
    <cellStyle name="Normal 10 3 2 3 3" xfId="36157"/>
    <cellStyle name="Normal 10 3 2 4" xfId="17552"/>
    <cellStyle name="Normal 10 3 2 4 2" xfId="36158"/>
    <cellStyle name="Normal 10 3 3" xfId="5987"/>
    <cellStyle name="Normal 10 3 3 2" xfId="22009"/>
    <cellStyle name="Normal 10 3 3 2 2" xfId="36159"/>
    <cellStyle name="Normal 10 3 4" xfId="15555"/>
    <cellStyle name="Normal 10 3 4 2" xfId="36160"/>
    <cellStyle name="Normal 10 3 4 3" xfId="36161"/>
    <cellStyle name="Normal 10 3 5" xfId="17551"/>
    <cellStyle name="Normal 10 3 5 2" xfId="36162"/>
    <cellStyle name="Normal 10 4" xfId="2956"/>
    <cellStyle name="Normal 10 4 2" xfId="5989"/>
    <cellStyle name="Normal 10 4 2 2" xfId="10088"/>
    <cellStyle name="Normal 10 4 2 2 2" xfId="22010"/>
    <cellStyle name="Normal 10 4 2 3" xfId="19063"/>
    <cellStyle name="Normal 10 4 2 4" xfId="10087"/>
    <cellStyle name="Normal 10 4 3" xfId="10089"/>
    <cellStyle name="Normal 10 4 3 2" xfId="22011"/>
    <cellStyle name="Normal 10 4 3 2 2" xfId="36163"/>
    <cellStyle name="Normal 10 4 3 3" xfId="36164"/>
    <cellStyle name="Normal 10 4 3 4" xfId="36165"/>
    <cellStyle name="Normal 10 4 4" xfId="17553"/>
    <cellStyle name="Normal 10 4 4 2" xfId="36166"/>
    <cellStyle name="Normal 10 4 4 3" xfId="36167"/>
    <cellStyle name="Normal 10 4 5" xfId="36168"/>
    <cellStyle name="Normal 10 4 5 2" xfId="36169"/>
    <cellStyle name="Normal 10 4 6" xfId="36170"/>
    <cellStyle name="Normal 10 4 7" xfId="10086"/>
    <cellStyle name="Normal 10 5" xfId="2957"/>
    <cellStyle name="Normal 10 5 2" xfId="5990"/>
    <cellStyle name="Normal 10 5 2 2" xfId="19064"/>
    <cellStyle name="Normal 10 5 2 3" xfId="10091"/>
    <cellStyle name="Normal 10 5 3" xfId="10092"/>
    <cellStyle name="Normal 10 5 3 2" xfId="19065"/>
    <cellStyle name="Normal 10 5 4" xfId="18056"/>
    <cellStyle name="Normal 10 5 5" xfId="10090"/>
    <cellStyle name="Normal 10 6" xfId="5984"/>
    <cellStyle name="Normal 10 6 2" xfId="10093"/>
    <cellStyle name="Normal 10 6 2 2" xfId="19067"/>
    <cellStyle name="Normal 10 6 3" xfId="19066"/>
    <cellStyle name="Normal 10 6 4" xfId="36171"/>
    <cellStyle name="Normal 10 7" xfId="10094"/>
    <cellStyle name="Normal 10 7 2" xfId="19068"/>
    <cellStyle name="Normal 10 7 2 2" xfId="36172"/>
    <cellStyle name="Normal 10 7 3" xfId="36173"/>
    <cellStyle name="Normal 10 8" xfId="10095"/>
    <cellStyle name="Normal 10 8 2" xfId="19069"/>
    <cellStyle name="Normal 10 9" xfId="17548"/>
    <cellStyle name="Normal 10_ Price Inputs" xfId="13624"/>
    <cellStyle name="Normal 100" xfId="10096"/>
    <cellStyle name="Normal 100 2" xfId="22012"/>
    <cellStyle name="Normal 100 2 2" xfId="42131"/>
    <cellStyle name="Normal 100 3" xfId="36174"/>
    <cellStyle name="Normal 100 4" xfId="36175"/>
    <cellStyle name="Normal 100 5" xfId="36176"/>
    <cellStyle name="Normal 101" xfId="10097"/>
    <cellStyle name="Normal 101 2" xfId="22013"/>
    <cellStyle name="Normal 101 2 2" xfId="42132"/>
    <cellStyle name="Normal 101 3" xfId="36177"/>
    <cellStyle name="Normal 101 4" xfId="36178"/>
    <cellStyle name="Normal 102" xfId="10098"/>
    <cellStyle name="Normal 102 2" xfId="22014"/>
    <cellStyle name="Normal 102 2 2" xfId="42133"/>
    <cellStyle name="Normal 102 3" xfId="36179"/>
    <cellStyle name="Normal 102 4" xfId="36180"/>
    <cellStyle name="Normal 103" xfId="10099"/>
    <cellStyle name="Normal 103 2" xfId="22015"/>
    <cellStyle name="Normal 103 2 2" xfId="42134"/>
    <cellStyle name="Normal 103 3" xfId="36181"/>
    <cellStyle name="Normal 103 4" xfId="36182"/>
    <cellStyle name="Normal 104" xfId="10100"/>
    <cellStyle name="Normal 104 2" xfId="22016"/>
    <cellStyle name="Normal 104 2 2" xfId="42135"/>
    <cellStyle name="Normal 104 3" xfId="36183"/>
    <cellStyle name="Normal 104 4" xfId="36184"/>
    <cellStyle name="Normal 105" xfId="10101"/>
    <cellStyle name="Normal 105 2" xfId="22017"/>
    <cellStyle name="Normal 105 2 2" xfId="42136"/>
    <cellStyle name="Normal 105 3" xfId="36185"/>
    <cellStyle name="Normal 105 4" xfId="36186"/>
    <cellStyle name="Normal 106" xfId="10102"/>
    <cellStyle name="Normal 106 2" xfId="22018"/>
    <cellStyle name="Normal 106 2 2" xfId="42137"/>
    <cellStyle name="Normal 106 3" xfId="36187"/>
    <cellStyle name="Normal 106 4" xfId="36188"/>
    <cellStyle name="Normal 107" xfId="10103"/>
    <cellStyle name="Normal 107 2" xfId="22019"/>
    <cellStyle name="Normal 107 2 2" xfId="42138"/>
    <cellStyle name="Normal 107 3" xfId="36189"/>
    <cellStyle name="Normal 107 4" xfId="36190"/>
    <cellStyle name="Normal 108" xfId="10104"/>
    <cellStyle name="Normal 108 2" xfId="22020"/>
    <cellStyle name="Normal 108 2 2" xfId="36191"/>
    <cellStyle name="Normal 108 3" xfId="36192"/>
    <cellStyle name="Normal 109" xfId="10105"/>
    <cellStyle name="Normal 109 2" xfId="22021"/>
    <cellStyle name="Normal 109 2 2" xfId="36193"/>
    <cellStyle name="Normal 109 3" xfId="36194"/>
    <cellStyle name="Normal 11" xfId="2958"/>
    <cellStyle name="Normal 11 2" xfId="2959"/>
    <cellStyle name="Normal 11 2 2" xfId="2960"/>
    <cellStyle name="Normal 11 2 2 2" xfId="5993"/>
    <cellStyle name="Normal 11 2 2 2 2" xfId="22022"/>
    <cellStyle name="Normal 11 2 2 2 3" xfId="36195"/>
    <cellStyle name="Normal 11 2 2 2 4" xfId="10108"/>
    <cellStyle name="Normal 11 2 2 3" xfId="19070"/>
    <cellStyle name="Normal 11 2 2 4" xfId="10107"/>
    <cellStyle name="Normal 11 2 3" xfId="5992"/>
    <cellStyle name="Normal 11 2 3 2" xfId="22023"/>
    <cellStyle name="Normal 11 2 3 2 2" xfId="36196"/>
    <cellStyle name="Normal 11 2 3 3" xfId="36197"/>
    <cellStyle name="Normal 11 2 3 4" xfId="36198"/>
    <cellStyle name="Normal 11 2 3 5" xfId="10109"/>
    <cellStyle name="Normal 11 2 4" xfId="17555"/>
    <cellStyle name="Normal 11 2 4 2" xfId="36199"/>
    <cellStyle name="Normal 11 2 5" xfId="36200"/>
    <cellStyle name="Normal 11 2 6" xfId="36201"/>
    <cellStyle name="Normal 11 2 7" xfId="10106"/>
    <cellStyle name="Normal 11 3" xfId="2961"/>
    <cellStyle name="Normal 11 3 2" xfId="5994"/>
    <cellStyle name="Normal 11 3 2 2" xfId="19071"/>
    <cellStyle name="Normal 11 3 2 3" xfId="36202"/>
    <cellStyle name="Normal 11 3 3" xfId="10110"/>
    <cellStyle name="Normal 11 3 3 2" xfId="19072"/>
    <cellStyle name="Normal 11 3 4" xfId="18057"/>
    <cellStyle name="Normal 11 4" xfId="3361"/>
    <cellStyle name="Normal 11 4 2" xfId="6207"/>
    <cellStyle name="Normal 11 4 2 2" xfId="6454"/>
    <cellStyle name="Normal 11 4 2 2 2" xfId="19074"/>
    <cellStyle name="Normal 11 4 2 3" xfId="10112"/>
    <cellStyle name="Normal 11 4 3" xfId="6386"/>
    <cellStyle name="Normal 11 4 3 2" xfId="19073"/>
    <cellStyle name="Normal 11 4 4" xfId="36203"/>
    <cellStyle name="Normal 11 4 5" xfId="10111"/>
    <cellStyle name="Normal 11 5" xfId="5991"/>
    <cellStyle name="Normal 11 5 2" xfId="19075"/>
    <cellStyle name="Normal 11 5 2 2" xfId="36204"/>
    <cellStyle name="Normal 11 5 3" xfId="36205"/>
    <cellStyle name="Normal 11 6" xfId="10113"/>
    <cellStyle name="Normal 11 6 2" xfId="19076"/>
    <cellStyle name="Normal 11 7" xfId="17554"/>
    <cellStyle name="Normal 11_16.37E Wild Horse Expansion DeferralRevwrkingfile SF" xfId="2962"/>
    <cellStyle name="Normal 110" xfId="10114"/>
    <cellStyle name="Normal 110 2" xfId="22024"/>
    <cellStyle name="Normal 110 2 2" xfId="42139"/>
    <cellStyle name="Normal 110 3" xfId="36206"/>
    <cellStyle name="Normal 111" xfId="10115"/>
    <cellStyle name="Normal 111 2" xfId="36207"/>
    <cellStyle name="Normal 111 2 2" xfId="42140"/>
    <cellStyle name="Normal 111 3" xfId="36208"/>
    <cellStyle name="Normal 112" xfId="10116"/>
    <cellStyle name="Normal 112 2" xfId="36209"/>
    <cellStyle name="Normal 112 2 2" xfId="42141"/>
    <cellStyle name="Normal 112 3" xfId="42142"/>
    <cellStyle name="Normal 113" xfId="10117"/>
    <cellStyle name="Normal 113 2" xfId="42143"/>
    <cellStyle name="Normal 114" xfId="10118"/>
    <cellStyle name="Normal 114 2" xfId="42144"/>
    <cellStyle name="Normal 115" xfId="10119"/>
    <cellStyle name="Normal 115 2" xfId="42145"/>
    <cellStyle name="Normal 116" xfId="10120"/>
    <cellStyle name="Normal 116 2" xfId="42146"/>
    <cellStyle name="Normal 117" xfId="10121"/>
    <cellStyle name="Normal 117 2" xfId="42147"/>
    <cellStyle name="Normal 118" xfId="10122"/>
    <cellStyle name="Normal 118 2" xfId="42148"/>
    <cellStyle name="Normal 119" xfId="10123"/>
    <cellStyle name="Normal 119 2" xfId="22584"/>
    <cellStyle name="Normal 12" xfId="2963"/>
    <cellStyle name="Normal 12 2" xfId="2964"/>
    <cellStyle name="Normal 12 2 2" xfId="5996"/>
    <cellStyle name="Normal 12 2 2 2" xfId="10124"/>
    <cellStyle name="Normal 12 2 2 2 2" xfId="22025"/>
    <cellStyle name="Normal 12 2 2 3" xfId="19077"/>
    <cellStyle name="Normal 12 2 3" xfId="10125"/>
    <cellStyle name="Normal 12 2 3 2" xfId="22026"/>
    <cellStyle name="Normal 12 2 3 2 2" xfId="36210"/>
    <cellStyle name="Normal 12 2 3 3" xfId="36211"/>
    <cellStyle name="Normal 12 2 3 4" xfId="36212"/>
    <cellStyle name="Normal 12 2 4" xfId="17557"/>
    <cellStyle name="Normal 12 2 4 2" xfId="36213"/>
    <cellStyle name="Normal 12 2 5" xfId="36214"/>
    <cellStyle name="Normal 12 2 5 2" xfId="36215"/>
    <cellStyle name="Normal 12 3" xfId="2965"/>
    <cellStyle name="Normal 12 3 2" xfId="5997"/>
    <cellStyle name="Normal 12 3 2 2" xfId="19078"/>
    <cellStyle name="Normal 12 3 2 3" xfId="36216"/>
    <cellStyle name="Normal 12 3 2 4" xfId="10127"/>
    <cellStyle name="Normal 12 3 3" xfId="10128"/>
    <cellStyle name="Normal 12 3 3 2" xfId="19079"/>
    <cellStyle name="Normal 12 3 4" xfId="18058"/>
    <cellStyle name="Normal 12 3 5" xfId="10126"/>
    <cellStyle name="Normal 12 4" xfId="5995"/>
    <cellStyle name="Normal 12 4 2" xfId="10129"/>
    <cellStyle name="Normal 12 4 2 2" xfId="19081"/>
    <cellStyle name="Normal 12 4 3" xfId="19080"/>
    <cellStyle name="Normal 12 5" xfId="10130"/>
    <cellStyle name="Normal 12 5 2" xfId="19082"/>
    <cellStyle name="Normal 12 6" xfId="10131"/>
    <cellStyle name="Normal 12 6 2" xfId="19083"/>
    <cellStyle name="Normal 12 7" xfId="17556"/>
    <cellStyle name="Normal 120" xfId="10132"/>
    <cellStyle name="Normal 120 2" xfId="42149"/>
    <cellStyle name="Normal 121" xfId="13994"/>
    <cellStyle name="Normal 121 2" xfId="41111"/>
    <cellStyle name="Normal 122" xfId="14308"/>
    <cellStyle name="Normal 123" xfId="14312"/>
    <cellStyle name="Normal 124" xfId="14315"/>
    <cellStyle name="Normal 125" xfId="14318"/>
    <cellStyle name="Normal 125 2" xfId="22580"/>
    <cellStyle name="Normal 126" xfId="14323"/>
    <cellStyle name="Normal 127" xfId="14320"/>
    <cellStyle name="Normal 128" xfId="14324"/>
    <cellStyle name="Normal 129" xfId="15684"/>
    <cellStyle name="Normal 13" xfId="2966"/>
    <cellStyle name="Normal 13 2" xfId="2967"/>
    <cellStyle name="Normal 13 2 2" xfId="5998"/>
    <cellStyle name="Normal 13 2 2 2" xfId="10136"/>
    <cellStyle name="Normal 13 2 2 2 2" xfId="22027"/>
    <cellStyle name="Normal 13 2 2 3" xfId="19084"/>
    <cellStyle name="Normal 13 2 2 4" xfId="10135"/>
    <cellStyle name="Normal 13 2 3" xfId="10137"/>
    <cellStyle name="Normal 13 2 3 2" xfId="22028"/>
    <cellStyle name="Normal 13 2 3 2 2" xfId="36217"/>
    <cellStyle name="Normal 13 2 3 3" xfId="36218"/>
    <cellStyle name="Normal 13 2 3 4" xfId="36219"/>
    <cellStyle name="Normal 13 2 4" xfId="17903"/>
    <cellStyle name="Normal 13 2 4 2" xfId="36220"/>
    <cellStyle name="Normal 13 2 5" xfId="36221"/>
    <cellStyle name="Normal 13 2 5 2" xfId="36222"/>
    <cellStyle name="Normal 13 2 6" xfId="10134"/>
    <cellStyle name="Normal 13 3" xfId="10138"/>
    <cellStyle name="Normal 13 3 2" xfId="10139"/>
    <cellStyle name="Normal 13 3 2 2" xfId="19086"/>
    <cellStyle name="Normal 13 3 3" xfId="10140"/>
    <cellStyle name="Normal 13 3 3 2" xfId="19087"/>
    <cellStyle name="Normal 13 3 4" xfId="19085"/>
    <cellStyle name="Normal 13 4" xfId="10141"/>
    <cellStyle name="Normal 13 4 2" xfId="10142"/>
    <cellStyle name="Normal 13 4 2 2" xfId="19089"/>
    <cellStyle name="Normal 13 4 3" xfId="19088"/>
    <cellStyle name="Normal 13 5" xfId="10143"/>
    <cellStyle name="Normal 13 5 2" xfId="19090"/>
    <cellStyle name="Normal 13 5 2 2" xfId="36223"/>
    <cellStyle name="Normal 13 5 3" xfId="36224"/>
    <cellStyle name="Normal 13 6" xfId="10144"/>
    <cellStyle name="Normal 13 6 2" xfId="19091"/>
    <cellStyle name="Normal 13 7" xfId="17558"/>
    <cellStyle name="Normal 13 8" xfId="10133"/>
    <cellStyle name="Normal 130" xfId="15689"/>
    <cellStyle name="Normal 131" xfId="18091"/>
    <cellStyle name="Normal 132" xfId="6470"/>
    <cellStyle name="Normal 133" xfId="6469"/>
    <cellStyle name="Normal 14" xfId="2968"/>
    <cellStyle name="Normal 14 2" xfId="2969"/>
    <cellStyle name="Normal 14 2 2" xfId="5999"/>
    <cellStyle name="Normal 14 2 2 2" xfId="22029"/>
    <cellStyle name="Normal 14 2 3" xfId="15556"/>
    <cellStyle name="Normal 14 2 3 2" xfId="42150"/>
    <cellStyle name="Normal 14 2 4" xfId="17904"/>
    <cellStyle name="Normal 14 3" xfId="10145"/>
    <cellStyle name="Normal 14 3 2" xfId="15557"/>
    <cellStyle name="Normal 14 3 2 2" xfId="36225"/>
    <cellStyle name="Normal 14 3 3" xfId="22030"/>
    <cellStyle name="Normal 14 4" xfId="13625"/>
    <cellStyle name="Normal 14 4 2" xfId="36226"/>
    <cellStyle name="Normal 14 4 2 2" xfId="36227"/>
    <cellStyle name="Normal 14 4 3" xfId="36228"/>
    <cellStyle name="Normal 14 4 4" xfId="36229"/>
    <cellStyle name="Normal 14 5" xfId="17559"/>
    <cellStyle name="Normal 15" xfId="2970"/>
    <cellStyle name="Normal 15 2" xfId="2971"/>
    <cellStyle name="Normal 15 2 2" xfId="6000"/>
    <cellStyle name="Normal 15 2 2 2" xfId="36230"/>
    <cellStyle name="Normal 15 2 2 3" xfId="13626"/>
    <cellStyle name="Normal 15 2 3" xfId="15558"/>
    <cellStyle name="Normal 15 2 3 2" xfId="42151"/>
    <cellStyle name="Normal 15 2 4" xfId="18059"/>
    <cellStyle name="Normal 15 3" xfId="10146"/>
    <cellStyle name="Normal 15 3 2" xfId="10147"/>
    <cellStyle name="Normal 15 3 2 2" xfId="19093"/>
    <cellStyle name="Normal 15 3 3" xfId="10148"/>
    <cellStyle name="Normal 15 3 3 2" xfId="19094"/>
    <cellStyle name="Normal 15 3 4" xfId="19092"/>
    <cellStyle name="Normal 15 4" xfId="10149"/>
    <cellStyle name="Normal 15 4 2" xfId="10150"/>
    <cellStyle name="Normal 15 4 2 2" xfId="19096"/>
    <cellStyle name="Normal 15 4 3" xfId="19095"/>
    <cellStyle name="Normal 15 4 4" xfId="36231"/>
    <cellStyle name="Normal 15 5" xfId="10151"/>
    <cellStyle name="Normal 15 5 2" xfId="19097"/>
    <cellStyle name="Normal 15 6" xfId="10152"/>
    <cellStyle name="Normal 15 6 2" xfId="19098"/>
    <cellStyle name="Normal 15 7" xfId="17560"/>
    <cellStyle name="Normal 16" xfId="2972"/>
    <cellStyle name="Normal 16 2" xfId="2973"/>
    <cellStyle name="Normal 16 2 2" xfId="6001"/>
    <cellStyle name="Normal 16 2 2 2" xfId="36232"/>
    <cellStyle name="Normal 16 2 2 2 2" xfId="36233"/>
    <cellStyle name="Normal 16 2 2 3" xfId="13627"/>
    <cellStyle name="Normal 16 2 3" xfId="15559"/>
    <cellStyle name="Normal 16 2 3 2" xfId="36234"/>
    <cellStyle name="Normal 16 2 3 2 2" xfId="36235"/>
    <cellStyle name="Normal 16 2 3 3" xfId="36236"/>
    <cellStyle name="Normal 16 2 3 4" xfId="36237"/>
    <cellStyle name="Normal 16 2 4" xfId="18060"/>
    <cellStyle name="Normal 16 2 4 2" xfId="36238"/>
    <cellStyle name="Normal 16 2 5" xfId="36239"/>
    <cellStyle name="Normal 16 2 5 2" xfId="36240"/>
    <cellStyle name="Normal 16 2 6" xfId="10154"/>
    <cellStyle name="Normal 16 3" xfId="10155"/>
    <cellStyle name="Normal 16 3 2" xfId="10156"/>
    <cellStyle name="Normal 16 3 2 2" xfId="19100"/>
    <cellStyle name="Normal 16 3 3" xfId="10157"/>
    <cellStyle name="Normal 16 3 3 2" xfId="19101"/>
    <cellStyle name="Normal 16 3 4" xfId="19099"/>
    <cellStyle name="Normal 16 4" xfId="10158"/>
    <cellStyle name="Normal 16 4 2" xfId="10159"/>
    <cellStyle name="Normal 16 4 2 2" xfId="19103"/>
    <cellStyle name="Normal 16 4 3" xfId="19102"/>
    <cellStyle name="Normal 16 5" xfId="10160"/>
    <cellStyle name="Normal 16 5 2" xfId="19104"/>
    <cellStyle name="Normal 16 6" xfId="10161"/>
    <cellStyle name="Normal 16 6 2" xfId="19105"/>
    <cellStyle name="Normal 16 7" xfId="17561"/>
    <cellStyle name="Normal 16 8" xfId="10153"/>
    <cellStyle name="Normal 17" xfId="2974"/>
    <cellStyle name="Normal 17 2" xfId="2975"/>
    <cellStyle name="Normal 17 2 2" xfId="6002"/>
    <cellStyle name="Normal 17 2 2 2" xfId="36241"/>
    <cellStyle name="Normal 17 2 2 2 2" xfId="36242"/>
    <cellStyle name="Normal 17 2 2 3" xfId="13628"/>
    <cellStyle name="Normal 17 2 3" xfId="15560"/>
    <cellStyle name="Normal 17 2 3 2" xfId="36243"/>
    <cellStyle name="Normal 17 2 3 2 2" xfId="36244"/>
    <cellStyle name="Normal 17 2 3 3" xfId="36245"/>
    <cellStyle name="Normal 17 2 3 4" xfId="36246"/>
    <cellStyle name="Normal 17 2 4" xfId="18061"/>
    <cellStyle name="Normal 17 2 4 2" xfId="36247"/>
    <cellStyle name="Normal 17 2 5" xfId="36248"/>
    <cellStyle name="Normal 17 2 5 2" xfId="36249"/>
    <cellStyle name="Normal 17 2 6" xfId="10163"/>
    <cellStyle name="Normal 17 3" xfId="10164"/>
    <cellStyle name="Normal 17 3 2" xfId="10165"/>
    <cellStyle name="Normal 17 3 2 2" xfId="22031"/>
    <cellStyle name="Normal 17 3 3" xfId="19106"/>
    <cellStyle name="Normal 17 4" xfId="10166"/>
    <cellStyle name="Normal 17 4 2" xfId="22032"/>
    <cellStyle name="Normal 17 4 3" xfId="36250"/>
    <cellStyle name="Normal 17 5" xfId="17562"/>
    <cellStyle name="Normal 17 5 2" xfId="36251"/>
    <cellStyle name="Normal 17 6" xfId="10162"/>
    <cellStyle name="Normal 18" xfId="2976"/>
    <cellStyle name="Normal 18 2" xfId="2977"/>
    <cellStyle name="Normal 18 2 2" xfId="6003"/>
    <cellStyle name="Normal 18 2 2 2" xfId="36252"/>
    <cellStyle name="Normal 18 2 2 2 2" xfId="36253"/>
    <cellStyle name="Normal 18 2 2 3" xfId="13629"/>
    <cellStyle name="Normal 18 2 3" xfId="15561"/>
    <cellStyle name="Normal 18 2 3 2" xfId="36254"/>
    <cellStyle name="Normal 18 2 3 2 2" xfId="36255"/>
    <cellStyle name="Normal 18 2 3 3" xfId="36256"/>
    <cellStyle name="Normal 18 2 3 4" xfId="36257"/>
    <cellStyle name="Normal 18 2 4" xfId="18062"/>
    <cellStyle name="Normal 18 2 4 2" xfId="36258"/>
    <cellStyle name="Normal 18 2 5" xfId="36259"/>
    <cellStyle name="Normal 18 2 5 2" xfId="36260"/>
    <cellStyle name="Normal 18 2 6" xfId="10168"/>
    <cellStyle name="Normal 18 3" xfId="10169"/>
    <cellStyle name="Normal 18 3 2" xfId="10170"/>
    <cellStyle name="Normal 18 3 2 2" xfId="22033"/>
    <cellStyle name="Normal 18 3 3" xfId="19107"/>
    <cellStyle name="Normal 18 4" xfId="10171"/>
    <cellStyle name="Normal 18 4 2" xfId="22034"/>
    <cellStyle name="Normal 18 4 3" xfId="36261"/>
    <cellStyle name="Normal 18 5" xfId="17563"/>
    <cellStyle name="Normal 18 5 2" xfId="36262"/>
    <cellStyle name="Normal 18 6" xfId="10167"/>
    <cellStyle name="Normal 19" xfId="2978"/>
    <cellStyle name="Normal 19 2" xfId="2979"/>
    <cellStyle name="Normal 19 2 2" xfId="6004"/>
    <cellStyle name="Normal 19 2 2 2" xfId="36263"/>
    <cellStyle name="Normal 19 2 2 2 2" xfId="36264"/>
    <cellStyle name="Normal 19 2 2 3" xfId="13630"/>
    <cellStyle name="Normal 19 2 3" xfId="15562"/>
    <cellStyle name="Normal 19 2 3 2" xfId="36265"/>
    <cellStyle name="Normal 19 2 3 2 2" xfId="36266"/>
    <cellStyle name="Normal 19 2 3 3" xfId="36267"/>
    <cellStyle name="Normal 19 2 3 4" xfId="36268"/>
    <cellStyle name="Normal 19 2 4" xfId="18063"/>
    <cellStyle name="Normal 19 2 4 2" xfId="36269"/>
    <cellStyle name="Normal 19 2 5" xfId="36270"/>
    <cellStyle name="Normal 19 2 5 2" xfId="36271"/>
    <cellStyle name="Normal 19 2 6" xfId="10173"/>
    <cellStyle name="Normal 19 3" xfId="10174"/>
    <cellStyle name="Normal 19 3 2" xfId="10175"/>
    <cellStyle name="Normal 19 3 2 2" xfId="22035"/>
    <cellStyle name="Normal 19 3 3" xfId="19108"/>
    <cellStyle name="Normal 19 4" xfId="13631"/>
    <cellStyle name="Normal 19 4 2" xfId="36272"/>
    <cellStyle name="Normal 19 4 3" xfId="36273"/>
    <cellStyle name="Normal 19 5" xfId="17564"/>
    <cellStyle name="Normal 19 5 2" xfId="36274"/>
    <cellStyle name="Normal 19 6" xfId="10172"/>
    <cellStyle name="Normal 2" xfId="2980"/>
    <cellStyle name="Normal 2 10" xfId="2981"/>
    <cellStyle name="Normal 2 10 2" xfId="6006"/>
    <cellStyle name="Normal 2 10 2 2" xfId="36275"/>
    <cellStyle name="Normal 2 10 2 2 2" xfId="36276"/>
    <cellStyle name="Normal 2 10 2 3" xfId="13632"/>
    <cellStyle name="Normal 2 10 3" xfId="17565"/>
    <cellStyle name="Normal 2 10 3 2" xfId="36277"/>
    <cellStyle name="Normal 2 10 4" xfId="36278"/>
    <cellStyle name="Normal 2 10 4 2" xfId="36279"/>
    <cellStyle name="Normal 2 11" xfId="2982"/>
    <cellStyle name="Normal 2 11 2" xfId="6007"/>
    <cellStyle name="Normal 2 11 2 2" xfId="36280"/>
    <cellStyle name="Normal 2 11 2 2 2" xfId="36281"/>
    <cellStyle name="Normal 2 11 2 3" xfId="13633"/>
    <cellStyle name="Normal 2 11 3" xfId="17566"/>
    <cellStyle name="Normal 2 11 3 2" xfId="36282"/>
    <cellStyle name="Normal 2 11 4" xfId="36283"/>
    <cellStyle name="Normal 2 11 4 2" xfId="36284"/>
    <cellStyle name="Normal 2 12" xfId="6005"/>
    <cellStyle name="Normal 2 12 2" xfId="13635"/>
    <cellStyle name="Normal 2 12 2 2" xfId="36285"/>
    <cellStyle name="Normal 2 12 2 2 2" xfId="36286"/>
    <cellStyle name="Normal 2 12 2 3" xfId="36287"/>
    <cellStyle name="Normal 2 12 3" xfId="15563"/>
    <cellStyle name="Normal 2 12 3 2" xfId="36288"/>
    <cellStyle name="Normal 2 12 3 2 2" xfId="36289"/>
    <cellStyle name="Normal 2 12 3 3" xfId="36290"/>
    <cellStyle name="Normal 2 12 4" xfId="36291"/>
    <cellStyle name="Normal 2 12 4 2" xfId="36292"/>
    <cellStyle name="Normal 2 12 5" xfId="36293"/>
    <cellStyle name="Normal 2 12 5 2" xfId="36294"/>
    <cellStyle name="Normal 2 12 6" xfId="13634"/>
    <cellStyle name="Normal 2 13" xfId="13636"/>
    <cellStyle name="Normal 2 13 2" xfId="13637"/>
    <cellStyle name="Normal 2 13 2 2" xfId="36295"/>
    <cellStyle name="Normal 2 13 2 3" xfId="36296"/>
    <cellStyle name="Normal 2 13 3" xfId="36297"/>
    <cellStyle name="Normal 2 13 3 2" xfId="36298"/>
    <cellStyle name="Normal 2 13 4" xfId="42152"/>
    <cellStyle name="Normal 2 14" xfId="13638"/>
    <cellStyle name="Normal 2 14 2" xfId="36299"/>
    <cellStyle name="Normal 2 15" xfId="13639"/>
    <cellStyle name="Normal 2 15 2" xfId="36300"/>
    <cellStyle name="Normal 2 15 3" xfId="36301"/>
    <cellStyle name="Normal 2 16" xfId="15564"/>
    <cellStyle name="Normal 2 16 2" xfId="42153"/>
    <cellStyle name="Normal 2 17" xfId="42154"/>
    <cellStyle name="Normal 2 2" xfId="2983"/>
    <cellStyle name="Normal 2 2 10" xfId="15565"/>
    <cellStyle name="Normal 2 2 10 2" xfId="36302"/>
    <cellStyle name="Normal 2 2 10 3" xfId="36303"/>
    <cellStyle name="Normal 2 2 11" xfId="36304"/>
    <cellStyle name="Normal 2 2 11 2" xfId="36305"/>
    <cellStyle name="Normal 2 2 12" xfId="36306"/>
    <cellStyle name="Normal 2 2 2" xfId="2984"/>
    <cellStyle name="Normal 2 2 2 2" xfId="2985"/>
    <cellStyle name="Normal 2 2 2 2 2" xfId="13640"/>
    <cellStyle name="Normal 2 2 2 2 2 2" xfId="13641"/>
    <cellStyle name="Normal 2 2 2 2 2 2 2" xfId="36307"/>
    <cellStyle name="Normal 2 2 2 2 2 3" xfId="36308"/>
    <cellStyle name="Normal 2 2 2 2 3" xfId="13642"/>
    <cellStyle name="Normal 2 2 2 2 3 2" xfId="13643"/>
    <cellStyle name="Normal 2 2 2 2 3 2 2" xfId="36309"/>
    <cellStyle name="Normal 2 2 2 2 3 3" xfId="42155"/>
    <cellStyle name="Normal 2 2 2 2 4" xfId="13644"/>
    <cellStyle name="Normal 2 2 2 2 4 2" xfId="36310"/>
    <cellStyle name="Normal 2 2 2 2 5" xfId="15566"/>
    <cellStyle name="Normal 2 2 2 2 5 2" xfId="42156"/>
    <cellStyle name="Normal 2 2 2 2 6" xfId="17568"/>
    <cellStyle name="Normal 2 2 2 2 7" xfId="10177"/>
    <cellStyle name="Normal 2 2 2 3" xfId="13645"/>
    <cellStyle name="Normal 2 2 2 3 2" xfId="13646"/>
    <cellStyle name="Normal 2 2 2 3 2 2" xfId="13647"/>
    <cellStyle name="Normal 2 2 2 3 2 2 2" xfId="36311"/>
    <cellStyle name="Normal 2 2 2 3 2 3" xfId="36312"/>
    <cellStyle name="Normal 2 2 2 3 3" xfId="13648"/>
    <cellStyle name="Normal 2 2 2 3 3 2" xfId="13649"/>
    <cellStyle name="Normal 2 2 2 3 3 2 2" xfId="36313"/>
    <cellStyle name="Normal 2 2 2 3 3 3" xfId="42157"/>
    <cellStyle name="Normal 2 2 2 3 4" xfId="13650"/>
    <cellStyle name="Normal 2 2 2 3 4 2" xfId="36314"/>
    <cellStyle name="Normal 2 2 2 3 5" xfId="36315"/>
    <cellStyle name="Normal 2 2 2 4" xfId="13651"/>
    <cellStyle name="Normal 2 2 2 4 2" xfId="13652"/>
    <cellStyle name="Normal 2 2 2 4 2 2" xfId="36316"/>
    <cellStyle name="Normal 2 2 2 4 3" xfId="36317"/>
    <cellStyle name="Normal 2 2 2 5" xfId="13653"/>
    <cellStyle name="Normal 2 2 2 5 2" xfId="13654"/>
    <cellStyle name="Normal 2 2 2 5 2 2" xfId="36318"/>
    <cellStyle name="Normal 2 2 2 5 3" xfId="36319"/>
    <cellStyle name="Normal 2 2 2 6" xfId="13655"/>
    <cellStyle name="Normal 2 2 2 6 2" xfId="36320"/>
    <cellStyle name="Normal 2 2 2 7" xfId="15567"/>
    <cellStyle name="Normal 2 2 2 7 2" xfId="42158"/>
    <cellStyle name="Normal 2 2 2 8" xfId="17567"/>
    <cellStyle name="Normal 2 2 2 9" xfId="10176"/>
    <cellStyle name="Normal 2 2 2_12PCORC Wind Vestas and Royalties" xfId="36321"/>
    <cellStyle name="Normal 2 2 3" xfId="2986"/>
    <cellStyle name="Normal 2 2 3 2" xfId="2987"/>
    <cellStyle name="Normal 2 2 3 2 2" xfId="13656"/>
    <cellStyle name="Normal 2 2 3 2 2 2" xfId="36322"/>
    <cellStyle name="Normal 2 2 3 2 3" xfId="15568"/>
    <cellStyle name="Normal 2 2 3 2 3 2" xfId="36323"/>
    <cellStyle name="Normal 2 2 3 2 3 3" xfId="36324"/>
    <cellStyle name="Normal 2 2 3 2 4" xfId="17570"/>
    <cellStyle name="Normal 2 2 3 2 5" xfId="10179"/>
    <cellStyle name="Normal 2 2 3 3" xfId="13657"/>
    <cellStyle name="Normal 2 2 3 3 2" xfId="13658"/>
    <cellStyle name="Normal 2 2 3 3 2 2" xfId="36325"/>
    <cellStyle name="Normal 2 2 3 3 3" xfId="36326"/>
    <cellStyle name="Normal 2 2 3 4" xfId="13659"/>
    <cellStyle name="Normal 2 2 3 4 2" xfId="36327"/>
    <cellStyle name="Normal 2 2 3 5" xfId="15569"/>
    <cellStyle name="Normal 2 2 3 5 2" xfId="36328"/>
    <cellStyle name="Normal 2 2 3 5 3" xfId="36329"/>
    <cellStyle name="Normal 2 2 3 6" xfId="17569"/>
    <cellStyle name="Normal 2 2 3 7" xfId="10178"/>
    <cellStyle name="Normal 2 2 4" xfId="2988"/>
    <cellStyle name="Normal 2 2 4 2" xfId="6009"/>
    <cellStyle name="Normal 2 2 4 2 2" xfId="22036"/>
    <cellStyle name="Normal 2 2 4 2 2 2" xfId="36330"/>
    <cellStyle name="Normal 2 2 4 3" xfId="15570"/>
    <cellStyle name="Normal 2 2 4 3 2" xfId="36331"/>
    <cellStyle name="Normal 2 2 4 3 3" xfId="36332"/>
    <cellStyle name="Normal 2 2 4 4" xfId="17571"/>
    <cellStyle name="Normal 2 2 4 4 2" xfId="36333"/>
    <cellStyle name="Normal 2 2 5" xfId="6008"/>
    <cellStyle name="Normal 2 2 5 2" xfId="22037"/>
    <cellStyle name="Normal 2 2 5 2 2" xfId="36334"/>
    <cellStyle name="Normal 2 2 5 3" xfId="36335"/>
    <cellStyle name="Normal 2 2 6" xfId="13660"/>
    <cellStyle name="Normal 2 2 6 2" xfId="36336"/>
    <cellStyle name="Normal 2 2 6 2 2" xfId="36337"/>
    <cellStyle name="Normal 2 2 6 3" xfId="36338"/>
    <cellStyle name="Normal 2 2 7" xfId="13661"/>
    <cellStyle name="Normal 2 2 7 2" xfId="36339"/>
    <cellStyle name="Normal 2 2 7 2 2" xfId="36340"/>
    <cellStyle name="Normal 2 2 7 3" xfId="36341"/>
    <cellStyle name="Normal 2 2 7 4" xfId="36342"/>
    <cellStyle name="Normal 2 2 8" xfId="15571"/>
    <cellStyle name="Normal 2 2 8 2" xfId="36343"/>
    <cellStyle name="Normal 2 2 8 2 2" xfId="36344"/>
    <cellStyle name="Normal 2 2 8 3" xfId="36345"/>
    <cellStyle name="Normal 2 2 9" xfId="15572"/>
    <cellStyle name="Normal 2 2 9 2" xfId="36346"/>
    <cellStyle name="Normal 2 2 9 3" xfId="36347"/>
    <cellStyle name="Normal 2 2_ Price Inputs" xfId="13662"/>
    <cellStyle name="Normal 2 3" xfId="2989"/>
    <cellStyle name="Normal 2 3 2" xfId="2990"/>
    <cellStyle name="Normal 2 3 2 2" xfId="13663"/>
    <cellStyle name="Normal 2 3 2 2 2" xfId="36348"/>
    <cellStyle name="Normal 2 3 2 2 2 2" xfId="36349"/>
    <cellStyle name="Normal 2 3 2 2 3" xfId="36350"/>
    <cellStyle name="Normal 2 3 2 3" xfId="15573"/>
    <cellStyle name="Normal 2 3 2 3 2" xfId="36351"/>
    <cellStyle name="Normal 2 3 2 3 3" xfId="36352"/>
    <cellStyle name="Normal 2 3 2 4" xfId="17573"/>
    <cellStyle name="Normal 2 3 2 4 2" xfId="36353"/>
    <cellStyle name="Normal 2 3 2 5" xfId="10180"/>
    <cellStyle name="Normal 2 3 3" xfId="2991"/>
    <cellStyle name="Normal 2 3 3 2" xfId="6010"/>
    <cellStyle name="Normal 2 3 3 2 2" xfId="36354"/>
    <cellStyle name="Normal 2 3 3 2 3" xfId="13664"/>
    <cellStyle name="Normal 2 3 3 3" xfId="15574"/>
    <cellStyle name="Normal 2 3 3 3 2" xfId="42159"/>
    <cellStyle name="Normal 2 3 3 4" xfId="18064"/>
    <cellStyle name="Normal 2 3 4" xfId="13665"/>
    <cellStyle name="Normal 2 3 4 2" xfId="36355"/>
    <cellStyle name="Normal 2 3 5" xfId="15575"/>
    <cellStyle name="Normal 2 3 5 2" xfId="36356"/>
    <cellStyle name="Normal 2 3 5 3" xfId="36357"/>
    <cellStyle name="Normal 2 3 6" xfId="17572"/>
    <cellStyle name="Normal 2 4" xfId="2992"/>
    <cellStyle name="Normal 2 4 2" xfId="2993"/>
    <cellStyle name="Normal 2 4 2 2" xfId="13666"/>
    <cellStyle name="Normal 2 4 2 2 2" xfId="36358"/>
    <cellStyle name="Normal 2 4 2 2 2 2" xfId="36359"/>
    <cellStyle name="Normal 2 4 2 2 3" xfId="36360"/>
    <cellStyle name="Normal 2 4 2 3" xfId="15576"/>
    <cellStyle name="Normal 2 4 2 3 2" xfId="36361"/>
    <cellStyle name="Normal 2 4 2 3 3" xfId="36362"/>
    <cellStyle name="Normal 2 4 2 4" xfId="17575"/>
    <cellStyle name="Normal 2 4 2 4 2" xfId="36363"/>
    <cellStyle name="Normal 2 4 2 5" xfId="10182"/>
    <cellStyle name="Normal 2 4 3" xfId="13667"/>
    <cellStyle name="Normal 2 4 3 2" xfId="13668"/>
    <cellStyle name="Normal 2 4 3 2 2" xfId="36364"/>
    <cellStyle name="Normal 2 4 3 3" xfId="36365"/>
    <cellStyle name="Normal 2 4 4" xfId="13669"/>
    <cellStyle name="Normal 2 4 4 2" xfId="36366"/>
    <cellStyle name="Normal 2 4 5" xfId="15577"/>
    <cellStyle name="Normal 2 4 5 2" xfId="36367"/>
    <cellStyle name="Normal 2 4 5 3" xfId="36368"/>
    <cellStyle name="Normal 2 4 6" xfId="17574"/>
    <cellStyle name="Normal 2 4 7" xfId="10181"/>
    <cellStyle name="Normal 2 5" xfId="2994"/>
    <cellStyle name="Normal 2 5 2" xfId="2995"/>
    <cellStyle name="Normal 2 5 2 2" xfId="13670"/>
    <cellStyle name="Normal 2 5 2 2 2" xfId="36369"/>
    <cellStyle name="Normal 2 5 2 2 2 2" xfId="36370"/>
    <cellStyle name="Normal 2 5 2 2 3" xfId="36371"/>
    <cellStyle name="Normal 2 5 2 3" xfId="15578"/>
    <cellStyle name="Normal 2 5 2 3 2" xfId="36372"/>
    <cellStyle name="Normal 2 5 2 3 3" xfId="36373"/>
    <cellStyle name="Normal 2 5 2 4" xfId="17577"/>
    <cellStyle name="Normal 2 5 2 4 2" xfId="36374"/>
    <cellStyle name="Normal 2 5 2 5" xfId="10184"/>
    <cellStyle name="Normal 2 5 3" xfId="13671"/>
    <cellStyle name="Normal 2 5 3 2" xfId="13672"/>
    <cellStyle name="Normal 2 5 3 2 2" xfId="36375"/>
    <cellStyle name="Normal 2 5 3 3" xfId="36376"/>
    <cellStyle name="Normal 2 5 4" xfId="13673"/>
    <cellStyle name="Normal 2 5 4 2" xfId="36377"/>
    <cellStyle name="Normal 2 5 5" xfId="15579"/>
    <cellStyle name="Normal 2 5 5 2" xfId="36378"/>
    <cellStyle name="Normal 2 5 5 3" xfId="36379"/>
    <cellStyle name="Normal 2 5 6" xfId="17576"/>
    <cellStyle name="Normal 2 5 7" xfId="10183"/>
    <cellStyle name="Normal 2 6" xfId="2996"/>
    <cellStyle name="Normal 2 6 2" xfId="2997"/>
    <cellStyle name="Normal 2 6 2 2" xfId="6012"/>
    <cellStyle name="Normal 2 6 2 2 2" xfId="22038"/>
    <cellStyle name="Normal 2 6 2 2 2 2" xfId="36380"/>
    <cellStyle name="Normal 2 6 2 3" xfId="15580"/>
    <cellStyle name="Normal 2 6 2 3 2" xfId="36381"/>
    <cellStyle name="Normal 2 6 2 3 3" xfId="36382"/>
    <cellStyle name="Normal 2 6 2 4" xfId="17579"/>
    <cellStyle name="Normal 2 6 2 4 2" xfId="36383"/>
    <cellStyle name="Normal 2 6 3" xfId="6011"/>
    <cellStyle name="Normal 2 6 3 2" xfId="22039"/>
    <cellStyle name="Normal 2 6 3 2 2" xfId="36384"/>
    <cellStyle name="Normal 2 6 4" xfId="15581"/>
    <cellStyle name="Normal 2 6 4 2" xfId="36385"/>
    <cellStyle name="Normal 2 6 4 3" xfId="36386"/>
    <cellStyle name="Normal 2 6 5" xfId="17578"/>
    <cellStyle name="Normal 2 6 5 2" xfId="36387"/>
    <cellStyle name="Normal 2 7" xfId="2998"/>
    <cellStyle name="Normal 2 7 2" xfId="6013"/>
    <cellStyle name="Normal 2 7 2 2" xfId="10185"/>
    <cellStyle name="Normal 2 7 2 2 2" xfId="22040"/>
    <cellStyle name="Normal 2 7 2 2 3" xfId="36388"/>
    <cellStyle name="Normal 2 7 2 3" xfId="19109"/>
    <cellStyle name="Normal 2 7 2 4" xfId="36389"/>
    <cellStyle name="Normal 2 7 3" xfId="10186"/>
    <cellStyle name="Normal 2 7 3 2" xfId="22041"/>
    <cellStyle name="Normal 2 7 3 3" xfId="36390"/>
    <cellStyle name="Normal 2 7 4" xfId="17580"/>
    <cellStyle name="Normal 2 7 4 2" xfId="42160"/>
    <cellStyle name="Normal 2 7 5" xfId="42161"/>
    <cellStyle name="Normal 2 8" xfId="2999"/>
    <cellStyle name="Normal 2 8 2" xfId="6014"/>
    <cellStyle name="Normal 2 8 2 2" xfId="10189"/>
    <cellStyle name="Normal 2 8 2 2 2" xfId="10190"/>
    <cellStyle name="Normal 2 8 2 2 2 2" xfId="22042"/>
    <cellStyle name="Normal 2 8 2 2 3" xfId="19111"/>
    <cellStyle name="Normal 2 8 2 3" xfId="10191"/>
    <cellStyle name="Normal 2 8 2 3 2" xfId="22043"/>
    <cellStyle name="Normal 2 8 2 4" xfId="19110"/>
    <cellStyle name="Normal 2 8 2 5" xfId="10188"/>
    <cellStyle name="Normal 2 8 3" xfId="10192"/>
    <cellStyle name="Normal 2 8 3 2" xfId="10193"/>
    <cellStyle name="Normal 2 8 3 2 2" xfId="22044"/>
    <cellStyle name="Normal 2 8 3 3" xfId="19112"/>
    <cellStyle name="Normal 2 8 3 4" xfId="36391"/>
    <cellStyle name="Normal 2 8 4" xfId="10194"/>
    <cellStyle name="Normal 2 8 4 2" xfId="22045"/>
    <cellStyle name="Normal 2 8 5" xfId="17581"/>
    <cellStyle name="Normal 2 8 6" xfId="10187"/>
    <cellStyle name="Normal 2 9" xfId="3000"/>
    <cellStyle name="Normal 2 9 2" xfId="6015"/>
    <cellStyle name="Normal 2 9 2 2" xfId="10195"/>
    <cellStyle name="Normal 2 9 2 2 2" xfId="22046"/>
    <cellStyle name="Normal 2 9 2 3" xfId="19113"/>
    <cellStyle name="Normal 2 9 3" xfId="10196"/>
    <cellStyle name="Normal 2 9 3 2" xfId="22047"/>
    <cellStyle name="Normal 2 9 4" xfId="17582"/>
    <cellStyle name="Normal 2 9 4 2" xfId="36392"/>
    <cellStyle name="Normal 2_16.37E Wild Horse Expansion DeferralRevwrkingfile SF" xfId="3001"/>
    <cellStyle name="Normal 20" xfId="3002"/>
    <cellStyle name="Normal 20 2" xfId="3003"/>
    <cellStyle name="Normal 20 2 2" xfId="6017"/>
    <cellStyle name="Normal 20 2 2 2" xfId="22048"/>
    <cellStyle name="Normal 20 2 2 2 2" xfId="36393"/>
    <cellStyle name="Normal 20 2 2 3" xfId="10199"/>
    <cellStyle name="Normal 20 2 3" xfId="15582"/>
    <cellStyle name="Normal 20 2 3 2" xfId="36394"/>
    <cellStyle name="Normal 20 2 3 3" xfId="36395"/>
    <cellStyle name="Normal 20 2 4" xfId="17584"/>
    <cellStyle name="Normal 20 2 4 2" xfId="36396"/>
    <cellStyle name="Normal 20 2 5" xfId="10198"/>
    <cellStyle name="Normal 20 3" xfId="3004"/>
    <cellStyle name="Normal 20 3 2" xfId="3337"/>
    <cellStyle name="Normal 20 3 2 2" xfId="6194"/>
    <cellStyle name="Normal 20 3 2 2 2" xfId="6447"/>
    <cellStyle name="Normal 20 3 2 2 3" xfId="22049"/>
    <cellStyle name="Normal 20 3 2 3" xfId="6379"/>
    <cellStyle name="Normal 20 3 2 4" xfId="10201"/>
    <cellStyle name="Normal 20 3 3" xfId="3341"/>
    <cellStyle name="Normal 20 3 3 2" xfId="3378"/>
    <cellStyle name="Normal 20 3 3 2 2" xfId="6214"/>
    <cellStyle name="Normal 20 3 3 2 2 2" xfId="6459"/>
    <cellStyle name="Normal 20 3 3 2 3" xfId="6391"/>
    <cellStyle name="Normal 20 3 3 3" xfId="6198"/>
    <cellStyle name="Normal 20 3 3 3 2" xfId="6451"/>
    <cellStyle name="Normal 20 3 3 4" xfId="6383"/>
    <cellStyle name="Normal 20 3 3 5" xfId="18065"/>
    <cellStyle name="Normal 20 3 4" xfId="3342"/>
    <cellStyle name="Normal 20 3 4 2" xfId="6199"/>
    <cellStyle name="Normal 20 3 4 2 2" xfId="6452"/>
    <cellStyle name="Normal 20 3 4 3" xfId="6384"/>
    <cellStyle name="Normal 20 3 5" xfId="6018"/>
    <cellStyle name="Normal 20 3 5 2" xfId="6421"/>
    <cellStyle name="Normal 20 3 6" xfId="6353"/>
    <cellStyle name="Normal 20 3 7" xfId="10200"/>
    <cellStyle name="Normal 20 4" xfId="6016"/>
    <cellStyle name="Normal 20 4 2" xfId="10203"/>
    <cellStyle name="Normal 20 4 2 2" xfId="22050"/>
    <cellStyle name="Normal 20 4 3" xfId="19114"/>
    <cellStyle name="Normal 20 4 4" xfId="36397"/>
    <cellStyle name="Normal 20 4 5" xfId="10202"/>
    <cellStyle name="Normal 20 5" xfId="10204"/>
    <cellStyle name="Normal 20 5 2" xfId="22051"/>
    <cellStyle name="Normal 20 6" xfId="17583"/>
    <cellStyle name="Normal 20 6 2" xfId="36398"/>
    <cellStyle name="Normal 20 7" xfId="10197"/>
    <cellStyle name="Normal 21" xfId="3005"/>
    <cellStyle name="Normal 21 2" xfId="3006"/>
    <cellStyle name="Normal 21 2 2" xfId="6019"/>
    <cellStyle name="Normal 21 2 2 2" xfId="6422"/>
    <cellStyle name="Normal 21 2 2 2 2" xfId="36399"/>
    <cellStyle name="Normal 21 2 2 2 3" xfId="36400"/>
    <cellStyle name="Normal 21 2 2 2 4" xfId="19115"/>
    <cellStyle name="Normal 21 2 2 3" xfId="42162"/>
    <cellStyle name="Normal 21 2 2 4" xfId="10207"/>
    <cellStyle name="Normal 21 2 3" xfId="6354"/>
    <cellStyle name="Normal 21 2 3 2" xfId="19116"/>
    <cellStyle name="Normal 21 2 3 2 2" xfId="36401"/>
    <cellStyle name="Normal 21 2 3 3" xfId="36402"/>
    <cellStyle name="Normal 21 2 3 4" xfId="10208"/>
    <cellStyle name="Normal 21 2 4" xfId="17905"/>
    <cellStyle name="Normal 21 2 4 2" xfId="36403"/>
    <cellStyle name="Normal 21 2 5" xfId="36404"/>
    <cellStyle name="Normal 21 2 5 2" xfId="36405"/>
    <cellStyle name="Normal 21 2 6" xfId="36406"/>
    <cellStyle name="Normal 21 2 7" xfId="10206"/>
    <cellStyle name="Normal 21 3" xfId="10209"/>
    <cellStyle name="Normal 21 3 2" xfId="10210"/>
    <cellStyle name="Normal 21 3 2 2" xfId="19118"/>
    <cellStyle name="Normal 21 3 3" xfId="19117"/>
    <cellStyle name="Normal 21 4" xfId="10211"/>
    <cellStyle name="Normal 21 4 2" xfId="19119"/>
    <cellStyle name="Normal 21 4 2 2" xfId="36407"/>
    <cellStyle name="Normal 21 4 3" xfId="36408"/>
    <cellStyle name="Normal 21 4 4" xfId="36409"/>
    <cellStyle name="Normal 21 5" xfId="10212"/>
    <cellStyle name="Normal 21 5 2" xfId="19120"/>
    <cellStyle name="Normal 21 5 2 2" xfId="36410"/>
    <cellStyle name="Normal 21 5 3" xfId="36411"/>
    <cellStyle name="Normal 21 5 4" xfId="36412"/>
    <cellStyle name="Normal 21 6" xfId="13674"/>
    <cellStyle name="Normal 21 6 2" xfId="36413"/>
    <cellStyle name="Normal 21 7" xfId="17585"/>
    <cellStyle name="Normal 21 8" xfId="36414"/>
    <cellStyle name="Normal 21 9" xfId="10205"/>
    <cellStyle name="Normal 21_4 31E Reg Asset  Liab and EXH D" xfId="13675"/>
    <cellStyle name="Normal 22" xfId="3007"/>
    <cellStyle name="Normal 22 2" xfId="3008"/>
    <cellStyle name="Normal 22 2 2" xfId="6021"/>
    <cellStyle name="Normal 22 2 2 2" xfId="6424"/>
    <cellStyle name="Normal 22 2 2 2 2" xfId="36415"/>
    <cellStyle name="Normal 22 2 2 2 3" xfId="19121"/>
    <cellStyle name="Normal 22 2 2 3" xfId="42163"/>
    <cellStyle name="Normal 22 2 2 4" xfId="10215"/>
    <cellStyle name="Normal 22 2 3" xfId="6356"/>
    <cellStyle name="Normal 22 2 3 2" xfId="19122"/>
    <cellStyle name="Normal 22 2 3 3" xfId="10216"/>
    <cellStyle name="Normal 22 2 4" xfId="17906"/>
    <cellStyle name="Normal 22 2 5" xfId="10214"/>
    <cellStyle name="Normal 22 3" xfId="6020"/>
    <cellStyle name="Normal 22 3 2" xfId="6423"/>
    <cellStyle name="Normal 22 3 2 2" xfId="19124"/>
    <cellStyle name="Normal 22 3 2 3" xfId="10218"/>
    <cellStyle name="Normal 22 3 3" xfId="19123"/>
    <cellStyle name="Normal 22 3 4" xfId="10217"/>
    <cellStyle name="Normal 22 4" xfId="6355"/>
    <cellStyle name="Normal 22 4 2" xfId="19125"/>
    <cellStyle name="Normal 22 4 3" xfId="10219"/>
    <cellStyle name="Normal 22 5" xfId="10220"/>
    <cellStyle name="Normal 22 5 2" xfId="19126"/>
    <cellStyle name="Normal 22 6" xfId="13676"/>
    <cellStyle name="Normal 22 6 2" xfId="42164"/>
    <cellStyle name="Normal 22 7" xfId="17586"/>
    <cellStyle name="Normal 22 8" xfId="10213"/>
    <cellStyle name="Normal 23" xfId="3009"/>
    <cellStyle name="Normal 23 2" xfId="3010"/>
    <cellStyle name="Normal 23 2 2" xfId="6023"/>
    <cellStyle name="Normal 23 2 2 2" xfId="6426"/>
    <cellStyle name="Normal 23 2 2 2 2" xfId="42165"/>
    <cellStyle name="Normal 23 2 2 2 3" xfId="19127"/>
    <cellStyle name="Normal 23 2 2 3" xfId="42166"/>
    <cellStyle name="Normal 23 2 2 4" xfId="10223"/>
    <cellStyle name="Normal 23 2 3" xfId="6358"/>
    <cellStyle name="Normal 23 2 3 2" xfId="19128"/>
    <cellStyle name="Normal 23 2 3 3" xfId="10224"/>
    <cellStyle name="Normal 23 2 4" xfId="17907"/>
    <cellStyle name="Normal 23 2 5" xfId="10222"/>
    <cellStyle name="Normal 23 3" xfId="6022"/>
    <cellStyle name="Normal 23 3 2" xfId="6425"/>
    <cellStyle name="Normal 23 3 2 2" xfId="19130"/>
    <cellStyle name="Normal 23 3 2 3" xfId="10226"/>
    <cellStyle name="Normal 23 3 3" xfId="19129"/>
    <cellStyle name="Normal 23 3 4" xfId="10225"/>
    <cellStyle name="Normal 23 4" xfId="6357"/>
    <cellStyle name="Normal 23 4 2" xfId="19131"/>
    <cellStyle name="Normal 23 4 3" xfId="36416"/>
    <cellStyle name="Normal 23 4 4" xfId="10227"/>
    <cellStyle name="Normal 23 5" xfId="10228"/>
    <cellStyle name="Normal 23 5 2" xfId="19132"/>
    <cellStyle name="Normal 23 6" xfId="17587"/>
    <cellStyle name="Normal 23 7" xfId="10221"/>
    <cellStyle name="Normal 24" xfId="3011"/>
    <cellStyle name="Normal 24 2" xfId="3012"/>
    <cellStyle name="Normal 24 2 2" xfId="10230"/>
    <cellStyle name="Normal 24 2 2 2" xfId="19133"/>
    <cellStyle name="Normal 24 2 2 2 2" xfId="36417"/>
    <cellStyle name="Normal 24 2 2 2 3" xfId="36418"/>
    <cellStyle name="Normal 24 2 2 3" xfId="36419"/>
    <cellStyle name="Normal 24 2 3" xfId="10231"/>
    <cellStyle name="Normal 24 2 3 2" xfId="19134"/>
    <cellStyle name="Normal 24 2 4" xfId="15583"/>
    <cellStyle name="Normal 24 2 4 2" xfId="42167"/>
    <cellStyle name="Normal 24 2 5" xfId="15584"/>
    <cellStyle name="Normal 24 2 5 2" xfId="42168"/>
    <cellStyle name="Normal 24 2 6" xfId="42169"/>
    <cellStyle name="Normal 24 2 7" xfId="10229"/>
    <cellStyle name="Normal 24 3" xfId="3013"/>
    <cellStyle name="Normal 24 3 2" xfId="6025"/>
    <cellStyle name="Normal 24 3 2 2" xfId="19135"/>
    <cellStyle name="Normal 24 3 2 3" xfId="36420"/>
    <cellStyle name="Normal 24 3 3" xfId="17908"/>
    <cellStyle name="Normal 24 3 3 2" xfId="42170"/>
    <cellStyle name="Normal 24 3 4" xfId="42171"/>
    <cellStyle name="Normal 24 4" xfId="6024"/>
    <cellStyle name="Normal 24 4 2" xfId="6427"/>
    <cellStyle name="Normal 24 4 2 2" xfId="36421"/>
    <cellStyle name="Normal 24 4 2 3" xfId="19136"/>
    <cellStyle name="Normal 24 4 3" xfId="36422"/>
    <cellStyle name="Normal 24 4 4" xfId="10232"/>
    <cellStyle name="Normal 24 5" xfId="6359"/>
    <cellStyle name="Normal 24 5 2" xfId="19137"/>
    <cellStyle name="Normal 24 5 3" xfId="10233"/>
    <cellStyle name="Normal 24 6" xfId="17588"/>
    <cellStyle name="Normal 24_PCA 11 -  Exhibit D Jan 2012 fr A Kellogg" xfId="15585"/>
    <cellStyle name="Normal 25" xfId="3014"/>
    <cellStyle name="Normal 25 2" xfId="3015"/>
    <cellStyle name="Normal 25 2 2" xfId="6027"/>
    <cellStyle name="Normal 25 2 2 2" xfId="6429"/>
    <cellStyle name="Normal 25 2 2 2 2" xfId="42172"/>
    <cellStyle name="Normal 25 2 2 2 3" xfId="19138"/>
    <cellStyle name="Normal 25 2 2 3" xfId="42173"/>
    <cellStyle name="Normal 25 2 2 4" xfId="10236"/>
    <cellStyle name="Normal 25 2 3" xfId="6361"/>
    <cellStyle name="Normal 25 2 3 2" xfId="19139"/>
    <cellStyle name="Normal 25 2 3 3" xfId="10237"/>
    <cellStyle name="Normal 25 2 4" xfId="17909"/>
    <cellStyle name="Normal 25 2 4 2" xfId="42174"/>
    <cellStyle name="Normal 25 2 5" xfId="42175"/>
    <cellStyle name="Normal 25 2 6" xfId="10235"/>
    <cellStyle name="Normal 25 3" xfId="6026"/>
    <cellStyle name="Normal 25 3 2" xfId="6428"/>
    <cellStyle name="Normal 25 3 2 2" xfId="19141"/>
    <cellStyle name="Normal 25 3 2 3" xfId="10239"/>
    <cellStyle name="Normal 25 3 3" xfId="19140"/>
    <cellStyle name="Normal 25 3 4" xfId="36423"/>
    <cellStyle name="Normal 25 3 5" xfId="10238"/>
    <cellStyle name="Normal 25 4" xfId="6360"/>
    <cellStyle name="Normal 25 4 2" xfId="19142"/>
    <cellStyle name="Normal 25 4 3" xfId="36424"/>
    <cellStyle name="Normal 25 4 4" xfId="10240"/>
    <cellStyle name="Normal 25 5" xfId="10241"/>
    <cellStyle name="Normal 25 5 2" xfId="19143"/>
    <cellStyle name="Normal 25 6" xfId="17589"/>
    <cellStyle name="Normal 25 7" xfId="10234"/>
    <cellStyle name="Normal 26" xfId="3016"/>
    <cellStyle name="Normal 26 2" xfId="6028"/>
    <cellStyle name="Normal 26 2 2" xfId="6430"/>
    <cellStyle name="Normal 26 2 2 2" xfId="19144"/>
    <cellStyle name="Normal 26 2 2 2 2" xfId="42176"/>
    <cellStyle name="Normal 26 2 2 3" xfId="36425"/>
    <cellStyle name="Normal 26 2 2 4" xfId="10244"/>
    <cellStyle name="Normal 26 2 3" xfId="10245"/>
    <cellStyle name="Normal 26 2 3 2" xfId="19145"/>
    <cellStyle name="Normal 26 2 4" xfId="17910"/>
    <cellStyle name="Normal 26 2 5" xfId="10243"/>
    <cellStyle name="Normal 26 3" xfId="6362"/>
    <cellStyle name="Normal 26 3 2" xfId="10247"/>
    <cellStyle name="Normal 26 3 2 2" xfId="19147"/>
    <cellStyle name="Normal 26 3 3" xfId="19146"/>
    <cellStyle name="Normal 26 3 4" xfId="10246"/>
    <cellStyle name="Normal 26 4" xfId="10248"/>
    <cellStyle name="Normal 26 4 2" xfId="19148"/>
    <cellStyle name="Normal 26 4 2 2" xfId="42177"/>
    <cellStyle name="Normal 26 4 3" xfId="22585"/>
    <cellStyle name="Normal 26 4 4" xfId="42178"/>
    <cellStyle name="Normal 26 4 5" xfId="42179"/>
    <cellStyle name="Normal 26 5" xfId="10249"/>
    <cellStyle name="Normal 26 5 2" xfId="19149"/>
    <cellStyle name="Normal 26 5 3" xfId="36426"/>
    <cellStyle name="Normal 26 6" xfId="11862"/>
    <cellStyle name="Normal 26 7" xfId="17590"/>
    <cellStyle name="Normal 26 8" xfId="10242"/>
    <cellStyle name="Normal 27" xfId="3017"/>
    <cellStyle name="Normal 27 2" xfId="6029"/>
    <cellStyle name="Normal 27 2 2" xfId="6431"/>
    <cellStyle name="Normal 27 2 2 2" xfId="19150"/>
    <cellStyle name="Normal 27 2 2 2 2" xfId="42180"/>
    <cellStyle name="Normal 27 2 2 3" xfId="36427"/>
    <cellStyle name="Normal 27 2 2 4" xfId="10252"/>
    <cellStyle name="Normal 27 2 3" xfId="10253"/>
    <cellStyle name="Normal 27 2 3 2" xfId="19151"/>
    <cellStyle name="Normal 27 2 4" xfId="17911"/>
    <cellStyle name="Normal 27 2 5" xfId="10251"/>
    <cellStyle name="Normal 27 3" xfId="6363"/>
    <cellStyle name="Normal 27 3 2" xfId="10255"/>
    <cellStyle name="Normal 27 3 2 2" xfId="19153"/>
    <cellStyle name="Normal 27 3 3" xfId="19152"/>
    <cellStyle name="Normal 27 3 4" xfId="10254"/>
    <cellStyle name="Normal 27 4" xfId="10256"/>
    <cellStyle name="Normal 27 4 2" xfId="19154"/>
    <cellStyle name="Normal 27 5" xfId="10257"/>
    <cellStyle name="Normal 27 5 2" xfId="19155"/>
    <cellStyle name="Normal 27 6" xfId="17591"/>
    <cellStyle name="Normal 27 7" xfId="10250"/>
    <cellStyle name="Normal 28" xfId="3018"/>
    <cellStyle name="Normal 28 2" xfId="6030"/>
    <cellStyle name="Normal 28 2 2" xfId="6432"/>
    <cellStyle name="Normal 28 2 2 2" xfId="19156"/>
    <cellStyle name="Normal 28 2 2 2 2" xfId="36428"/>
    <cellStyle name="Normal 28 2 2 3" xfId="42181"/>
    <cellStyle name="Normal 28 2 2 4" xfId="10260"/>
    <cellStyle name="Normal 28 2 3" xfId="10261"/>
    <cellStyle name="Normal 28 2 3 2" xfId="19157"/>
    <cellStyle name="Normal 28 2 4" xfId="17912"/>
    <cellStyle name="Normal 28 2 5" xfId="10259"/>
    <cellStyle name="Normal 28 3" xfId="6364"/>
    <cellStyle name="Normal 28 3 2" xfId="10263"/>
    <cellStyle name="Normal 28 3 2 2" xfId="19159"/>
    <cellStyle name="Normal 28 3 3" xfId="19158"/>
    <cellStyle name="Normal 28 3 4" xfId="36429"/>
    <cellStyle name="Normal 28 3 5" xfId="10262"/>
    <cellStyle name="Normal 28 4" xfId="10264"/>
    <cellStyle name="Normal 28 4 2" xfId="19160"/>
    <cellStyle name="Normal 28 5" xfId="10265"/>
    <cellStyle name="Normal 28 5 2" xfId="19161"/>
    <cellStyle name="Normal 28 6" xfId="17592"/>
    <cellStyle name="Normal 28 7" xfId="10258"/>
    <cellStyle name="Normal 29" xfId="3019"/>
    <cellStyle name="Normal 29 2" xfId="6031"/>
    <cellStyle name="Normal 29 2 2" xfId="6433"/>
    <cellStyle name="Normal 29 2 2 2" xfId="19162"/>
    <cellStyle name="Normal 29 2 2 2 2" xfId="42182"/>
    <cellStyle name="Normal 29 2 2 3" xfId="36430"/>
    <cellStyle name="Normal 29 2 2 4" xfId="10268"/>
    <cellStyle name="Normal 29 2 3" xfId="10269"/>
    <cellStyle name="Normal 29 2 3 2" xfId="19163"/>
    <cellStyle name="Normal 29 2 4" xfId="17913"/>
    <cellStyle name="Normal 29 2 5" xfId="10267"/>
    <cellStyle name="Normal 29 3" xfId="6365"/>
    <cellStyle name="Normal 29 3 2" xfId="10271"/>
    <cellStyle name="Normal 29 3 2 2" xfId="19165"/>
    <cellStyle name="Normal 29 3 3" xfId="19164"/>
    <cellStyle name="Normal 29 3 4" xfId="36431"/>
    <cellStyle name="Normal 29 3 5" xfId="10270"/>
    <cellStyle name="Normal 29 4" xfId="10272"/>
    <cellStyle name="Normal 29 4 2" xfId="19166"/>
    <cellStyle name="Normal 29 5" xfId="10273"/>
    <cellStyle name="Normal 29 5 2" xfId="19167"/>
    <cellStyle name="Normal 29 6" xfId="17593"/>
    <cellStyle name="Normal 29 7" xfId="41115"/>
    <cellStyle name="Normal 29 8" xfId="10266"/>
    <cellStyle name="Normal 3" xfId="3020"/>
    <cellStyle name="Normal 3 10" xfId="13677"/>
    <cellStyle name="Normal 3 10 2" xfId="13678"/>
    <cellStyle name="Normal 3 10 2 2" xfId="36432"/>
    <cellStyle name="Normal 3 10 3" xfId="36433"/>
    <cellStyle name="Normal 3 10 4" xfId="36434"/>
    <cellStyle name="Normal 3 11" xfId="13679"/>
    <cellStyle name="Normal 3 11 2" xfId="13680"/>
    <cellStyle name="Normal 3 11 2 2" xfId="36435"/>
    <cellStyle name="Normal 3 11 3" xfId="36436"/>
    <cellStyle name="Normal 3 12" xfId="13681"/>
    <cellStyle name="Normal 3 12 2" xfId="36437"/>
    <cellStyle name="Normal 3 13" xfId="13682"/>
    <cellStyle name="Normal 3 13 2" xfId="42183"/>
    <cellStyle name="Normal 3 14" xfId="15586"/>
    <cellStyle name="Normal 3 14 2" xfId="42184"/>
    <cellStyle name="Normal 3 15" xfId="17859"/>
    <cellStyle name="Normal 3 2" xfId="3021"/>
    <cellStyle name="Normal 3 2 2" xfId="3022"/>
    <cellStyle name="Normal 3 2 2 2" xfId="6034"/>
    <cellStyle name="Normal 3 2 2 2 2" xfId="22052"/>
    <cellStyle name="Normal 3 2 2 2 2 2" xfId="36438"/>
    <cellStyle name="Normal 3 2 2 3" xfId="15587"/>
    <cellStyle name="Normal 3 2 2 3 2" xfId="36439"/>
    <cellStyle name="Normal 3 2 2 3 3" xfId="36440"/>
    <cellStyle name="Normal 3 2 2 4" xfId="17595"/>
    <cellStyle name="Normal 3 2 2 4 2" xfId="36441"/>
    <cellStyle name="Normal 3 2 3" xfId="6033"/>
    <cellStyle name="Normal 3 2 3 2" xfId="13683"/>
    <cellStyle name="Normal 3 2 3 2 2" xfId="36442"/>
    <cellStyle name="Normal 3 2 3 2 2 2" xfId="36443"/>
    <cellStyle name="Normal 3 2 3 3" xfId="22053"/>
    <cellStyle name="Normal 3 2 3 3 2" xfId="36444"/>
    <cellStyle name="Normal 3 2 3 4" xfId="36445"/>
    <cellStyle name="Normal 3 2 3 4 2" xfId="36446"/>
    <cellStyle name="Normal 3 2 4" xfId="13684"/>
    <cellStyle name="Normal 3 2 4 2" xfId="36447"/>
    <cellStyle name="Normal 3 2 4 2 2" xfId="36448"/>
    <cellStyle name="Normal 3 2 5" xfId="15588"/>
    <cellStyle name="Normal 3 2 5 2" xfId="36449"/>
    <cellStyle name="Normal 3 2 5 3" xfId="36450"/>
    <cellStyle name="Normal 3 2 6" xfId="17594"/>
    <cellStyle name="Normal 3 2 6 2" xfId="36451"/>
    <cellStyle name="Normal 3 2_Chelan PUD Power Costs (8-10)" xfId="13685"/>
    <cellStyle name="Normal 3 3" xfId="3023"/>
    <cellStyle name="Normal 3 3 2" xfId="3024"/>
    <cellStyle name="Normal 3 3 2 2" xfId="6036"/>
    <cellStyle name="Normal 3 3 2 2 2" xfId="22054"/>
    <cellStyle name="Normal 3 3 2 2 2 2" xfId="36452"/>
    <cellStyle name="Normal 3 3 2 3" xfId="15589"/>
    <cellStyle name="Normal 3 3 2 3 2" xfId="36453"/>
    <cellStyle name="Normal 3 3 2 3 3" xfId="36454"/>
    <cellStyle name="Normal 3 3 2 4" xfId="17597"/>
    <cellStyle name="Normal 3 3 2 4 2" xfId="36455"/>
    <cellStyle name="Normal 3 3 3" xfId="6035"/>
    <cellStyle name="Normal 3 3 3 2" xfId="22055"/>
    <cellStyle name="Normal 3 3 3 2 2" xfId="36456"/>
    <cellStyle name="Normal 3 3 4" xfId="15590"/>
    <cellStyle name="Normal 3 3 4 2" xfId="36457"/>
    <cellStyle name="Normal 3 3 4 3" xfId="36458"/>
    <cellStyle name="Normal 3 3 5" xfId="17596"/>
    <cellStyle name="Normal 3 3 5 2" xfId="36459"/>
    <cellStyle name="Normal 3 4" xfId="3025"/>
    <cellStyle name="Normal 3 4 2" xfId="3026"/>
    <cellStyle name="Normal 3 4 2 2" xfId="6038"/>
    <cellStyle name="Normal 3 4 2 2 2" xfId="22056"/>
    <cellStyle name="Normal 3 4 2 2 3" xfId="36460"/>
    <cellStyle name="Normal 3 4 2 2 4" xfId="10276"/>
    <cellStyle name="Normal 3 4 2 3" xfId="19168"/>
    <cellStyle name="Normal 3 4 2 4" xfId="36461"/>
    <cellStyle name="Normal 3 4 2 5" xfId="10275"/>
    <cellStyle name="Normal 3 4 3" xfId="6037"/>
    <cellStyle name="Normal 3 4 3 2" xfId="10278"/>
    <cellStyle name="Normal 3 4 3 2 2" xfId="22057"/>
    <cellStyle name="Normal 3 4 3 3" xfId="19169"/>
    <cellStyle name="Normal 3 4 3 4" xfId="36462"/>
    <cellStyle name="Normal 3 4 3 5" xfId="10277"/>
    <cellStyle name="Normal 3 4 4" xfId="10279"/>
    <cellStyle name="Normal 3 4 4 2" xfId="10280"/>
    <cellStyle name="Normal 3 4 4 2 2" xfId="22058"/>
    <cellStyle name="Normal 3 4 4 3" xfId="19170"/>
    <cellStyle name="Normal 3 4 5" xfId="17598"/>
    <cellStyle name="Normal 3 4 5 2" xfId="36463"/>
    <cellStyle name="Normal 3 4 6" xfId="42185"/>
    <cellStyle name="Normal 3 4 7" xfId="10274"/>
    <cellStyle name="Normal 3 5" xfId="3027"/>
    <cellStyle name="Normal 3 5 2" xfId="6039"/>
    <cellStyle name="Normal 3 5 2 2" xfId="19171"/>
    <cellStyle name="Normal 3 5 2 2 2" xfId="36464"/>
    <cellStyle name="Normal 3 5 2 3" xfId="36465"/>
    <cellStyle name="Normal 3 5 2 4" xfId="10282"/>
    <cellStyle name="Normal 3 5 3" xfId="13686"/>
    <cellStyle name="Normal 3 5 3 2" xfId="36466"/>
    <cellStyle name="Normal 3 5 3 2 2" xfId="36467"/>
    <cellStyle name="Normal 3 5 3 3" xfId="36468"/>
    <cellStyle name="Normal 3 5 3 4" xfId="36469"/>
    <cellStyle name="Normal 3 5 4" xfId="18066"/>
    <cellStyle name="Normal 3 5 4 2" xfId="36470"/>
    <cellStyle name="Normal 3 5 5" xfId="36471"/>
    <cellStyle name="Normal 3 5 5 2" xfId="36472"/>
    <cellStyle name="Normal 3 5 6" xfId="10281"/>
    <cellStyle name="Normal 3 6" xfId="6032"/>
    <cellStyle name="Normal 3 6 2" xfId="13688"/>
    <cellStyle name="Normal 3 6 2 2" xfId="36473"/>
    <cellStyle name="Normal 3 6 2 2 2" xfId="36474"/>
    <cellStyle name="Normal 3 6 3" xfId="36475"/>
    <cellStyle name="Normal 3 6 3 2" xfId="36476"/>
    <cellStyle name="Normal 3 6 3 2 2" xfId="36477"/>
    <cellStyle name="Normal 3 6 3 3" xfId="36478"/>
    <cellStyle name="Normal 3 6 3 4" xfId="36479"/>
    <cellStyle name="Normal 3 6 4" xfId="36480"/>
    <cellStyle name="Normal 3 6 4 2" xfId="36481"/>
    <cellStyle name="Normal 3 6 5" xfId="36482"/>
    <cellStyle name="Normal 3 6 5 2" xfId="36483"/>
    <cellStyle name="Normal 3 6 6" xfId="13687"/>
    <cellStyle name="Normal 3 7" xfId="13689"/>
    <cellStyle name="Normal 3 7 2" xfId="13690"/>
    <cellStyle name="Normal 3 7 2 2" xfId="36484"/>
    <cellStyle name="Normal 3 7 2 2 2" xfId="36485"/>
    <cellStyle name="Normal 3 7 3" xfId="36486"/>
    <cellStyle name="Normal 3 7 3 2" xfId="36487"/>
    <cellStyle name="Normal 3 7 3 2 2" xfId="36488"/>
    <cellStyle name="Normal 3 7 3 3" xfId="36489"/>
    <cellStyle name="Normal 3 7 4" xfId="36490"/>
    <cellStyle name="Normal 3 7 4 2" xfId="36491"/>
    <cellStyle name="Normal 3 7 5" xfId="36492"/>
    <cellStyle name="Normal 3 7 5 2" xfId="36493"/>
    <cellStyle name="Normal 3 8" xfId="13691"/>
    <cellStyle name="Normal 3 8 2" xfId="13692"/>
    <cellStyle name="Normal 3 8 2 2" xfId="36494"/>
    <cellStyle name="Normal 3 8 2 2 2" xfId="36495"/>
    <cellStyle name="Normal 3 8 3" xfId="36496"/>
    <cellStyle name="Normal 3 8 3 2" xfId="36497"/>
    <cellStyle name="Normal 3 8 3 2 2" xfId="36498"/>
    <cellStyle name="Normal 3 8 3 3" xfId="36499"/>
    <cellStyle name="Normal 3 8 4" xfId="36500"/>
    <cellStyle name="Normal 3 8 4 2" xfId="36501"/>
    <cellStyle name="Normal 3 8 5" xfId="36502"/>
    <cellStyle name="Normal 3 8 5 2" xfId="36503"/>
    <cellStyle name="Normal 3 9" xfId="13693"/>
    <cellStyle name="Normal 3 9 2" xfId="13694"/>
    <cellStyle name="Normal 3 9 2 2" xfId="36504"/>
    <cellStyle name="Normal 3 9 2 2 2" xfId="36505"/>
    <cellStyle name="Normal 3 9 3" xfId="36506"/>
    <cellStyle name="Normal 3 9 3 2" xfId="36507"/>
    <cellStyle name="Normal 3 9 3 2 2" xfId="36508"/>
    <cellStyle name="Normal 3 9 3 3" xfId="36509"/>
    <cellStyle name="Normal 3 9 4" xfId="36510"/>
    <cellStyle name="Normal 3 9 4 2" xfId="36511"/>
    <cellStyle name="Normal 3 9 5" xfId="36512"/>
    <cellStyle name="Normal 3 9 5 2" xfId="36513"/>
    <cellStyle name="Normal 3_ Price Inputs" xfId="13695"/>
    <cellStyle name="Normal 30" xfId="3028"/>
    <cellStyle name="Normal 30 2" xfId="6040"/>
    <cellStyle name="Normal 30 2 2" xfId="6434"/>
    <cellStyle name="Normal 30 2 2 2" xfId="19172"/>
    <cellStyle name="Normal 30 2 2 2 2" xfId="42186"/>
    <cellStyle name="Normal 30 2 2 3" xfId="36514"/>
    <cellStyle name="Normal 30 2 2 4" xfId="10285"/>
    <cellStyle name="Normal 30 2 3" xfId="10286"/>
    <cellStyle name="Normal 30 2 3 2" xfId="19173"/>
    <cellStyle name="Normal 30 2 4" xfId="17914"/>
    <cellStyle name="Normal 30 2 5" xfId="10284"/>
    <cellStyle name="Normal 30 3" xfId="6366"/>
    <cellStyle name="Normal 30 3 2" xfId="10288"/>
    <cellStyle name="Normal 30 3 2 2" xfId="19175"/>
    <cellStyle name="Normal 30 3 3" xfId="19174"/>
    <cellStyle name="Normal 30 3 4" xfId="10287"/>
    <cellStyle name="Normal 30 4" xfId="10289"/>
    <cellStyle name="Normal 30 4 2" xfId="19176"/>
    <cellStyle name="Normal 30 5" xfId="10290"/>
    <cellStyle name="Normal 30 5 2" xfId="19177"/>
    <cellStyle name="Normal 30 6" xfId="17599"/>
    <cellStyle name="Normal 30 7" xfId="10283"/>
    <cellStyle name="Normal 31" xfId="3029"/>
    <cellStyle name="Normal 31 2" xfId="6041"/>
    <cellStyle name="Normal 31 2 2" xfId="6435"/>
    <cellStyle name="Normal 31 2 2 2" xfId="19178"/>
    <cellStyle name="Normal 31 2 2 2 2" xfId="36515"/>
    <cellStyle name="Normal 31 2 2 3" xfId="36516"/>
    <cellStyle name="Normal 31 2 2 4" xfId="10293"/>
    <cellStyle name="Normal 31 2 3" xfId="10294"/>
    <cellStyle name="Normal 31 2 3 2" xfId="19179"/>
    <cellStyle name="Normal 31 2 4" xfId="17915"/>
    <cellStyle name="Normal 31 2 5" xfId="10292"/>
    <cellStyle name="Normal 31 3" xfId="6367"/>
    <cellStyle name="Normal 31 3 2" xfId="10296"/>
    <cellStyle name="Normal 31 3 2 2" xfId="19181"/>
    <cellStyle name="Normal 31 3 3" xfId="19180"/>
    <cellStyle name="Normal 31 3 4" xfId="10295"/>
    <cellStyle name="Normal 31 4" xfId="10297"/>
    <cellStyle name="Normal 31 4 2" xfId="19182"/>
    <cellStyle name="Normal 31 5" xfId="10298"/>
    <cellStyle name="Normal 31 5 2" xfId="19183"/>
    <cellStyle name="Normal 31 6" xfId="17600"/>
    <cellStyle name="Normal 31 7" xfId="10291"/>
    <cellStyle name="Normal 32" xfId="3030"/>
    <cellStyle name="Normal 32 2" xfId="6042"/>
    <cellStyle name="Normal 32 2 2" xfId="6436"/>
    <cellStyle name="Normal 32 2 2 2" xfId="19184"/>
    <cellStyle name="Normal 32 2 2 2 2" xfId="42187"/>
    <cellStyle name="Normal 32 2 2 3" xfId="36517"/>
    <cellStyle name="Normal 32 2 2 4" xfId="10301"/>
    <cellStyle name="Normal 32 2 3" xfId="10302"/>
    <cellStyle name="Normal 32 2 3 2" xfId="19185"/>
    <cellStyle name="Normal 32 2 4" xfId="17916"/>
    <cellStyle name="Normal 32 2 5" xfId="10300"/>
    <cellStyle name="Normal 32 3" xfId="6368"/>
    <cellStyle name="Normal 32 3 2" xfId="10304"/>
    <cellStyle name="Normal 32 3 2 2" xfId="19187"/>
    <cellStyle name="Normal 32 3 3" xfId="19186"/>
    <cellStyle name="Normal 32 3 4" xfId="10303"/>
    <cellStyle name="Normal 32 4" xfId="10305"/>
    <cellStyle name="Normal 32 4 2" xfId="19188"/>
    <cellStyle name="Normal 32 5" xfId="10306"/>
    <cellStyle name="Normal 32 5 2" xfId="19189"/>
    <cellStyle name="Normal 32 6" xfId="17601"/>
    <cellStyle name="Normal 32 7" xfId="10299"/>
    <cellStyle name="Normal 33" xfId="3031"/>
    <cellStyle name="Normal 33 2" xfId="6043"/>
    <cellStyle name="Normal 33 2 2" xfId="6437"/>
    <cellStyle name="Normal 33 2 2 2" xfId="19190"/>
    <cellStyle name="Normal 33 2 2 2 2" xfId="42188"/>
    <cellStyle name="Normal 33 2 2 3" xfId="36518"/>
    <cellStyle name="Normal 33 2 2 4" xfId="10309"/>
    <cellStyle name="Normal 33 2 3" xfId="10310"/>
    <cellStyle name="Normal 33 2 3 2" xfId="19191"/>
    <cellStyle name="Normal 33 2 4" xfId="17917"/>
    <cellStyle name="Normal 33 2 5" xfId="10308"/>
    <cellStyle name="Normal 33 3" xfId="6369"/>
    <cellStyle name="Normal 33 3 2" xfId="10312"/>
    <cellStyle name="Normal 33 3 2 2" xfId="19193"/>
    <cellStyle name="Normal 33 3 3" xfId="19192"/>
    <cellStyle name="Normal 33 3 4" xfId="10311"/>
    <cellStyle name="Normal 33 4" xfId="10313"/>
    <cellStyle name="Normal 33 4 2" xfId="19194"/>
    <cellStyle name="Normal 33 5" xfId="10314"/>
    <cellStyle name="Normal 33 5 2" xfId="19195"/>
    <cellStyle name="Normal 33 6" xfId="17602"/>
    <cellStyle name="Normal 33 7" xfId="10307"/>
    <cellStyle name="Normal 34" xfId="3032"/>
    <cellStyle name="Normal 34 2" xfId="6044"/>
    <cellStyle name="Normal 34 2 2" xfId="6438"/>
    <cellStyle name="Normal 34 2 2 2" xfId="19196"/>
    <cellStyle name="Normal 34 2 2 2 2" xfId="42189"/>
    <cellStyle name="Normal 34 2 2 3" xfId="36519"/>
    <cellStyle name="Normal 34 2 2 4" xfId="10317"/>
    <cellStyle name="Normal 34 2 3" xfId="10318"/>
    <cellStyle name="Normal 34 2 3 2" xfId="19197"/>
    <cellStyle name="Normal 34 2 4" xfId="17918"/>
    <cellStyle name="Normal 34 2 5" xfId="10316"/>
    <cellStyle name="Normal 34 3" xfId="6370"/>
    <cellStyle name="Normal 34 3 2" xfId="10320"/>
    <cellStyle name="Normal 34 3 2 2" xfId="19199"/>
    <cellStyle name="Normal 34 3 3" xfId="19198"/>
    <cellStyle name="Normal 34 3 4" xfId="10319"/>
    <cellStyle name="Normal 34 4" xfId="10321"/>
    <cellStyle name="Normal 34 4 2" xfId="19200"/>
    <cellStyle name="Normal 34 5" xfId="10322"/>
    <cellStyle name="Normal 34 5 2" xfId="19201"/>
    <cellStyle name="Normal 34 6" xfId="17603"/>
    <cellStyle name="Normal 34 7" xfId="10315"/>
    <cellStyle name="Normal 35" xfId="3033"/>
    <cellStyle name="Normal 35 2" xfId="6045"/>
    <cellStyle name="Normal 35 2 2" xfId="6439"/>
    <cellStyle name="Normal 35 2 2 2" xfId="19202"/>
    <cellStyle name="Normal 35 2 2 2 2" xfId="42190"/>
    <cellStyle name="Normal 35 2 2 3" xfId="36520"/>
    <cellStyle name="Normal 35 2 2 4" xfId="10325"/>
    <cellStyle name="Normal 35 2 3" xfId="10326"/>
    <cellStyle name="Normal 35 2 3 2" xfId="19203"/>
    <cellStyle name="Normal 35 2 4" xfId="17919"/>
    <cellStyle name="Normal 35 2 5" xfId="10324"/>
    <cellStyle name="Normal 35 3" xfId="6371"/>
    <cellStyle name="Normal 35 3 2" xfId="10328"/>
    <cellStyle name="Normal 35 3 2 2" xfId="19205"/>
    <cellStyle name="Normal 35 3 3" xfId="19204"/>
    <cellStyle name="Normal 35 3 4" xfId="10327"/>
    <cellStyle name="Normal 35 4" xfId="10329"/>
    <cellStyle name="Normal 35 4 2" xfId="19206"/>
    <cellStyle name="Normal 35 5" xfId="10330"/>
    <cellStyle name="Normal 35 5 2" xfId="19207"/>
    <cellStyle name="Normal 35 6" xfId="17604"/>
    <cellStyle name="Normal 35 7" xfId="10323"/>
    <cellStyle name="Normal 36" xfId="3034"/>
    <cellStyle name="Normal 36 2" xfId="6046"/>
    <cellStyle name="Normal 36 2 2" xfId="6440"/>
    <cellStyle name="Normal 36 2 2 2" xfId="19208"/>
    <cellStyle name="Normal 36 2 2 2 2" xfId="42191"/>
    <cellStyle name="Normal 36 2 2 3" xfId="36521"/>
    <cellStyle name="Normal 36 2 2 4" xfId="10333"/>
    <cellStyle name="Normal 36 2 3" xfId="10334"/>
    <cellStyle name="Normal 36 2 3 2" xfId="19209"/>
    <cellStyle name="Normal 36 2 4" xfId="17920"/>
    <cellStyle name="Normal 36 2 5" xfId="10332"/>
    <cellStyle name="Normal 36 3" xfId="6372"/>
    <cellStyle name="Normal 36 3 2" xfId="10336"/>
    <cellStyle name="Normal 36 3 2 2" xfId="19211"/>
    <cellStyle name="Normal 36 3 3" xfId="19210"/>
    <cellStyle name="Normal 36 3 4" xfId="10335"/>
    <cellStyle name="Normal 36 4" xfId="10337"/>
    <cellStyle name="Normal 36 4 2" xfId="19212"/>
    <cellStyle name="Normal 36 5" xfId="10338"/>
    <cellStyle name="Normal 36 5 2" xfId="19213"/>
    <cellStyle name="Normal 36 6" xfId="17605"/>
    <cellStyle name="Normal 36 7" xfId="10331"/>
    <cellStyle name="Normal 37" xfId="3035"/>
    <cellStyle name="Normal 37 2" xfId="6047"/>
    <cellStyle name="Normal 37 2 2" xfId="6441"/>
    <cellStyle name="Normal 37 2 2 2" xfId="19214"/>
    <cellStyle name="Normal 37 2 2 2 2" xfId="42192"/>
    <cellStyle name="Normal 37 2 2 3" xfId="36522"/>
    <cellStyle name="Normal 37 2 2 4" xfId="10341"/>
    <cellStyle name="Normal 37 2 3" xfId="10342"/>
    <cellStyle name="Normal 37 2 3 2" xfId="19215"/>
    <cellStyle name="Normal 37 2 4" xfId="17921"/>
    <cellStyle name="Normal 37 2 5" xfId="10340"/>
    <cellStyle name="Normal 37 3" xfId="6373"/>
    <cellStyle name="Normal 37 3 2" xfId="10344"/>
    <cellStyle name="Normal 37 3 2 2" xfId="19217"/>
    <cellStyle name="Normal 37 3 3" xfId="19216"/>
    <cellStyle name="Normal 37 3 4" xfId="10343"/>
    <cellStyle name="Normal 37 4" xfId="10345"/>
    <cellStyle name="Normal 37 4 2" xfId="19218"/>
    <cellStyle name="Normal 37 5" xfId="10346"/>
    <cellStyle name="Normal 37 5 2" xfId="19219"/>
    <cellStyle name="Normal 37 6" xfId="17606"/>
    <cellStyle name="Normal 37 7" xfId="10339"/>
    <cellStyle name="Normal 38" xfId="3036"/>
    <cellStyle name="Normal 38 2" xfId="6048"/>
    <cellStyle name="Normal 38 2 2" xfId="6442"/>
    <cellStyle name="Normal 38 2 2 2" xfId="19220"/>
    <cellStyle name="Normal 38 2 2 2 2" xfId="42193"/>
    <cellStyle name="Normal 38 2 2 3" xfId="36523"/>
    <cellStyle name="Normal 38 2 2 4" xfId="10349"/>
    <cellStyle name="Normal 38 2 3" xfId="10350"/>
    <cellStyle name="Normal 38 2 3 2" xfId="19221"/>
    <cellStyle name="Normal 38 2 4" xfId="17922"/>
    <cellStyle name="Normal 38 2 5" xfId="10348"/>
    <cellStyle name="Normal 38 3" xfId="6374"/>
    <cellStyle name="Normal 38 3 2" xfId="10352"/>
    <cellStyle name="Normal 38 3 2 2" xfId="19223"/>
    <cellStyle name="Normal 38 3 3" xfId="19222"/>
    <cellStyle name="Normal 38 3 4" xfId="10351"/>
    <cellStyle name="Normal 38 4" xfId="10353"/>
    <cellStyle name="Normal 38 4 2" xfId="19224"/>
    <cellStyle name="Normal 38 5" xfId="10354"/>
    <cellStyle name="Normal 38 5 2" xfId="19225"/>
    <cellStyle name="Normal 38 6" xfId="17607"/>
    <cellStyle name="Normal 38 7" xfId="10347"/>
    <cellStyle name="Normal 39" xfId="3037"/>
    <cellStyle name="Normal 39 2" xfId="6049"/>
    <cellStyle name="Normal 39 2 2" xfId="6443"/>
    <cellStyle name="Normal 39 2 2 2" xfId="19226"/>
    <cellStyle name="Normal 39 2 2 2 2" xfId="42194"/>
    <cellStyle name="Normal 39 2 2 3" xfId="36524"/>
    <cellStyle name="Normal 39 2 2 4" xfId="10357"/>
    <cellStyle name="Normal 39 2 3" xfId="10358"/>
    <cellStyle name="Normal 39 2 3 2" xfId="19227"/>
    <cellStyle name="Normal 39 2 4" xfId="17923"/>
    <cellStyle name="Normal 39 2 5" xfId="10356"/>
    <cellStyle name="Normal 39 3" xfId="6375"/>
    <cellStyle name="Normal 39 3 2" xfId="10360"/>
    <cellStyle name="Normal 39 3 2 2" xfId="19229"/>
    <cellStyle name="Normal 39 3 3" xfId="19228"/>
    <cellStyle name="Normal 39 3 4" xfId="10359"/>
    <cellStyle name="Normal 39 4" xfId="10361"/>
    <cellStyle name="Normal 39 4 2" xfId="19230"/>
    <cellStyle name="Normal 39 5" xfId="10362"/>
    <cellStyle name="Normal 39 5 2" xfId="19231"/>
    <cellStyle name="Normal 39 6" xfId="17608"/>
    <cellStyle name="Normal 39 7" xfId="10355"/>
    <cellStyle name="Normal 4" xfId="3038"/>
    <cellStyle name="Normal 4 2" xfId="3039"/>
    <cellStyle name="Normal 4 2 2" xfId="3040"/>
    <cellStyle name="Normal 4 2 2 2" xfId="6052"/>
    <cellStyle name="Normal 4 2 2 2 2" xfId="19232"/>
    <cellStyle name="Normal 4 2 2 2 2 2" xfId="36525"/>
    <cellStyle name="Normal 4 2 2 3" xfId="10363"/>
    <cellStyle name="Normal 4 2 2 3 2" xfId="19233"/>
    <cellStyle name="Normal 4 2 2 3 3" xfId="36526"/>
    <cellStyle name="Normal 4 2 2 4" xfId="13998"/>
    <cellStyle name="Normal 4 2 2 4 2" xfId="36527"/>
    <cellStyle name="Normal 4 2 3" xfId="6051"/>
    <cellStyle name="Normal 4 2 3 2" xfId="6444"/>
    <cellStyle name="Normal 4 2 3 2 2" xfId="19234"/>
    <cellStyle name="Normal 4 2 3 2 3" xfId="10365"/>
    <cellStyle name="Normal 4 2 3 3" xfId="17924"/>
    <cellStyle name="Normal 4 2 3 4" xfId="36528"/>
    <cellStyle name="Normal 4 2 3 5" xfId="10364"/>
    <cellStyle name="Normal 4 2 4" xfId="6376"/>
    <cellStyle name="Normal 4 2 4 2" xfId="13696"/>
    <cellStyle name="Normal 4 2 4 2 2" xfId="36529"/>
    <cellStyle name="Normal 4 2 4 3" xfId="19235"/>
    <cellStyle name="Normal 4 2 4 4" xfId="10366"/>
    <cellStyle name="Normal 4 2 5" xfId="10367"/>
    <cellStyle name="Normal 4 2 5 2" xfId="19236"/>
    <cellStyle name="Normal 4 2 6" xfId="15591"/>
    <cellStyle name="Normal 4 2 6 2" xfId="42195"/>
    <cellStyle name="Normal 4 2 7" xfId="17609"/>
    <cellStyle name="Normal 4 2 7 2" xfId="42196"/>
    <cellStyle name="Normal 4 2 8" xfId="42197"/>
    <cellStyle name="Normal 4 3" xfId="3041"/>
    <cellStyle name="Normal 4 3 2" xfId="6053"/>
    <cellStyle name="Normal 4 3 2 2" xfId="22059"/>
    <cellStyle name="Normal 4 3 2 2 2" xfId="36530"/>
    <cellStyle name="Normal 4 3 3" xfId="15592"/>
    <cellStyle name="Normal 4 3 3 2" xfId="36531"/>
    <cellStyle name="Normal 4 3 3 2 2" xfId="36532"/>
    <cellStyle name="Normal 4 3 3 3" xfId="36533"/>
    <cellStyle name="Normal 4 3 3 4" xfId="36534"/>
    <cellStyle name="Normal 4 3 4" xfId="17610"/>
    <cellStyle name="Normal 4 3 4 2" xfId="36535"/>
    <cellStyle name="Normal 4 3 4 3" xfId="36536"/>
    <cellStyle name="Normal 4 3 5" xfId="36537"/>
    <cellStyle name="Normal 4 3 5 2" xfId="36538"/>
    <cellStyle name="Normal 4 3 6" xfId="36539"/>
    <cellStyle name="Normal 4 4" xfId="3042"/>
    <cellStyle name="Normal 4 4 2" xfId="6054"/>
    <cellStyle name="Normal 4 4 2 2" xfId="36540"/>
    <cellStyle name="Normal 4 4 2 2 2" xfId="36541"/>
    <cellStyle name="Normal 4 4 2 3" xfId="13697"/>
    <cellStyle name="Normal 4 4 3" xfId="15593"/>
    <cellStyle name="Normal 4 4 3 2" xfId="36542"/>
    <cellStyle name="Normal 4 4 3 3" xfId="36543"/>
    <cellStyle name="Normal 4 4 4" xfId="18067"/>
    <cellStyle name="Normal 4 4 4 2" xfId="36544"/>
    <cellStyle name="Normal 4 4 5" xfId="10368"/>
    <cellStyle name="Normal 4 5" xfId="6050"/>
    <cellStyle name="Normal 4 5 2" xfId="36545"/>
    <cellStyle name="Normal 4 5 2 2" xfId="36546"/>
    <cellStyle name="Normal 4 5 3" xfId="36547"/>
    <cellStyle name="Normal 4 5 4" xfId="13698"/>
    <cellStyle name="Normal 4 6" xfId="13699"/>
    <cellStyle name="Normal 4 6 2" xfId="36548"/>
    <cellStyle name="Normal 4 6 3" xfId="36549"/>
    <cellStyle name="Normal 4 7" xfId="13700"/>
    <cellStyle name="Normal 4 8" xfId="17860"/>
    <cellStyle name="Normal 4_ Price Inputs" xfId="13701"/>
    <cellStyle name="Normal 40" xfId="3043"/>
    <cellStyle name="Normal 40 2" xfId="6055"/>
    <cellStyle name="Normal 40 2 2" xfId="6445"/>
    <cellStyle name="Normal 40 2 2 2" xfId="36550"/>
    <cellStyle name="Normal 40 2 2 2 2" xfId="42198"/>
    <cellStyle name="Normal 40 2 2 3" xfId="36551"/>
    <cellStyle name="Normal 40 2 2 4" xfId="15594"/>
    <cellStyle name="Normal 40 2 3" xfId="36552"/>
    <cellStyle name="Normal 40 2 3 2" xfId="36553"/>
    <cellStyle name="Normal 40 2 4" xfId="36554"/>
    <cellStyle name="Normal 40 2 5" xfId="13702"/>
    <cellStyle name="Normal 40 3" xfId="6377"/>
    <cellStyle name="Normal 40 3 2" xfId="36555"/>
    <cellStyle name="Normal 40 3 2 2" xfId="42199"/>
    <cellStyle name="Normal 40 3 3" xfId="42200"/>
    <cellStyle name="Normal 40 3 4" xfId="15595"/>
    <cellStyle name="Normal 40 4" xfId="42201"/>
    <cellStyle name="Normal 40 5" xfId="10369"/>
    <cellStyle name="Normal 41" xfId="3044"/>
    <cellStyle name="Normal 41 2" xfId="6056"/>
    <cellStyle name="Normal 41 2 2" xfId="6446"/>
    <cellStyle name="Normal 41 2 2 2" xfId="22060"/>
    <cellStyle name="Normal 41 2 2 3" xfId="10372"/>
    <cellStyle name="Normal 41 2 3" xfId="19237"/>
    <cellStyle name="Normal 41 2 3 2" xfId="42202"/>
    <cellStyle name="Normal 41 2 4" xfId="36556"/>
    <cellStyle name="Normal 41 2 5" xfId="10371"/>
    <cellStyle name="Normal 41 3" xfId="6378"/>
    <cellStyle name="Normal 41 3 2" xfId="10374"/>
    <cellStyle name="Normal 41 3 2 2" xfId="22061"/>
    <cellStyle name="Normal 41 3 3" xfId="19238"/>
    <cellStyle name="Normal 41 3 4" xfId="10373"/>
    <cellStyle name="Normal 41 4" xfId="10375"/>
    <cellStyle name="Normal 41 4 2" xfId="10376"/>
    <cellStyle name="Normal 41 4 2 2" xfId="22062"/>
    <cellStyle name="Normal 41 4 3" xfId="19239"/>
    <cellStyle name="Normal 41 5" xfId="18095"/>
    <cellStyle name="Normal 41 6" xfId="10370"/>
    <cellStyle name="Normal 42" xfId="3340"/>
    <cellStyle name="Normal 42 2" xfId="3377"/>
    <cellStyle name="Normal 42 2 2" xfId="6215"/>
    <cellStyle name="Normal 42 2 2 2" xfId="6460"/>
    <cellStyle name="Normal 42 2 2 2 2" xfId="22063"/>
    <cellStyle name="Normal 42 2 2 2 3" xfId="10380"/>
    <cellStyle name="Normal 42 2 2 3" xfId="19242"/>
    <cellStyle name="Normal 42 2 2 4" xfId="10379"/>
    <cellStyle name="Normal 42 2 3" xfId="6390"/>
    <cellStyle name="Normal 42 2 3 2" xfId="22064"/>
    <cellStyle name="Normal 42 2 3 3" xfId="10381"/>
    <cellStyle name="Normal 42 2 4" xfId="19241"/>
    <cellStyle name="Normal 42 2 5" xfId="10378"/>
    <cellStyle name="Normal 42 3" xfId="6197"/>
    <cellStyle name="Normal 42 3 2" xfId="6450"/>
    <cellStyle name="Normal 42 3 2 2" xfId="22065"/>
    <cellStyle name="Normal 42 3 2 3" xfId="10383"/>
    <cellStyle name="Normal 42 3 3" xfId="19243"/>
    <cellStyle name="Normal 42 3 4" xfId="10382"/>
    <cellStyle name="Normal 42 4" xfId="6382"/>
    <cellStyle name="Normal 42 4 2" xfId="10385"/>
    <cellStyle name="Normal 42 4 2 2" xfId="22066"/>
    <cellStyle name="Normal 42 4 3" xfId="19244"/>
    <cellStyle name="Normal 42 4 4" xfId="10384"/>
    <cellStyle name="Normal 42 5" xfId="10386"/>
    <cellStyle name="Normal 42 5 2" xfId="10387"/>
    <cellStyle name="Normal 42 5 2 2" xfId="22067"/>
    <cellStyle name="Normal 42 5 3" xfId="19245"/>
    <cellStyle name="Normal 42 6" xfId="19240"/>
    <cellStyle name="Normal 42 7" xfId="10377"/>
    <cellStyle name="Normal 43" xfId="3344"/>
    <cellStyle name="Normal 43 2" xfId="3374"/>
    <cellStyle name="Normal 43 2 2" xfId="6216"/>
    <cellStyle name="Normal 43 2 2 2" xfId="36557"/>
    <cellStyle name="Normal 43 2 2 3" xfId="19247"/>
    <cellStyle name="Normal 43 2 3" xfId="36558"/>
    <cellStyle name="Normal 43 2 3 2" xfId="42203"/>
    <cellStyle name="Normal 43 2 4" xfId="36559"/>
    <cellStyle name="Normal 43 3" xfId="3386"/>
    <cellStyle name="Normal 43 3 2" xfId="10388"/>
    <cellStyle name="Normal 43 3 2 2" xfId="22068"/>
    <cellStyle name="Normal 43 3 3" xfId="19248"/>
    <cellStyle name="Normal 43 4" xfId="19246"/>
    <cellStyle name="Normal 43 4 2" xfId="42204"/>
    <cellStyle name="Normal 43 5" xfId="42205"/>
    <cellStyle name="Normal 44" xfId="3347"/>
    <cellStyle name="Normal 44 2" xfId="10390"/>
    <cellStyle name="Normal 44 2 2" xfId="10391"/>
    <cellStyle name="Normal 44 2 2 2" xfId="10392"/>
    <cellStyle name="Normal 44 2 2 2 2" xfId="22069"/>
    <cellStyle name="Normal 44 2 2 3" xfId="19251"/>
    <cellStyle name="Normal 44 2 3" xfId="10393"/>
    <cellStyle name="Normal 44 2 3 2" xfId="22070"/>
    <cellStyle name="Normal 44 2 4" xfId="10394"/>
    <cellStyle name="Normal 44 2 4 2" xfId="22071"/>
    <cellStyle name="Normal 44 2 5" xfId="19250"/>
    <cellStyle name="Normal 44 3" xfId="10395"/>
    <cellStyle name="Normal 44 3 2" xfId="10396"/>
    <cellStyle name="Normal 44 3 2 2" xfId="22072"/>
    <cellStyle name="Normal 44 3 3" xfId="10397"/>
    <cellStyle name="Normal 44 3 3 2" xfId="22073"/>
    <cellStyle name="Normal 44 3 4" xfId="19252"/>
    <cellStyle name="Normal 44 4" xfId="10398"/>
    <cellStyle name="Normal 44 4 2" xfId="10399"/>
    <cellStyle name="Normal 44 4 2 2" xfId="22074"/>
    <cellStyle name="Normal 44 4 3" xfId="19253"/>
    <cellStyle name="Normal 44 5" xfId="10400"/>
    <cellStyle name="Normal 44 5 2" xfId="10401"/>
    <cellStyle name="Normal 44 5 2 2" xfId="22075"/>
    <cellStyle name="Normal 44 5 3" xfId="19254"/>
    <cellStyle name="Normal 44 6" xfId="15687"/>
    <cellStyle name="Normal 44 7" xfId="19249"/>
    <cellStyle name="Normal 44 8" xfId="10389"/>
    <cellStyle name="Normal 45" xfId="3371"/>
    <cellStyle name="Normal 45 2" xfId="6209"/>
    <cellStyle name="Normal 45 2 2" xfId="6455"/>
    <cellStyle name="Normal 45 2 2 2" xfId="19257"/>
    <cellStyle name="Normal 45 2 2 3" xfId="10404"/>
    <cellStyle name="Normal 45 2 3" xfId="19256"/>
    <cellStyle name="Normal 45 2 3 2" xfId="42206"/>
    <cellStyle name="Normal 45 2 4" xfId="36560"/>
    <cellStyle name="Normal 45 2 5" xfId="10403"/>
    <cellStyle name="Normal 45 3" xfId="6387"/>
    <cellStyle name="Normal 45 3 2" xfId="19258"/>
    <cellStyle name="Normal 45 3 3" xfId="10405"/>
    <cellStyle name="Normal 45 4" xfId="10406"/>
    <cellStyle name="Normal 45 4 2" xfId="19259"/>
    <cellStyle name="Normal 45 5" xfId="10407"/>
    <cellStyle name="Normal 45 5 2" xfId="22076"/>
    <cellStyle name="Normal 45 6" xfId="19255"/>
    <cellStyle name="Normal 45 7" xfId="10402"/>
    <cellStyle name="Normal 46" xfId="3379"/>
    <cellStyle name="Normal 46 2" xfId="3387"/>
    <cellStyle name="Normal 46 2 2" xfId="6218"/>
    <cellStyle name="Normal 46 2 2 2" xfId="6461"/>
    <cellStyle name="Normal 46 2 2 2 2" xfId="19262"/>
    <cellStyle name="Normal 46 2 2 3" xfId="10410"/>
    <cellStyle name="Normal 46 2 3" xfId="6395"/>
    <cellStyle name="Normal 46 2 3 2" xfId="19263"/>
    <cellStyle name="Normal 46 2 3 3" xfId="10411"/>
    <cellStyle name="Normal 46 2 4" xfId="19261"/>
    <cellStyle name="Normal 46 2 5" xfId="36561"/>
    <cellStyle name="Normal 46 2 6" xfId="10409"/>
    <cellStyle name="Normal 46 3" xfId="3388"/>
    <cellStyle name="Normal 46 3 2" xfId="6396"/>
    <cellStyle name="Normal 46 3 2 2" xfId="19264"/>
    <cellStyle name="Normal 46 3 3" xfId="10412"/>
    <cellStyle name="Normal 46 4" xfId="6212"/>
    <cellStyle name="Normal 46 4 2" xfId="6458"/>
    <cellStyle name="Normal 46 4 2 2" xfId="19265"/>
    <cellStyle name="Normal 46 4 3" xfId="10413"/>
    <cellStyle name="Normal 46 5" xfId="6392"/>
    <cellStyle name="Normal 46 5 2" xfId="22077"/>
    <cellStyle name="Normal 46 5 3" xfId="10414"/>
    <cellStyle name="Normal 46 6" xfId="19260"/>
    <cellStyle name="Normal 46 7" xfId="10408"/>
    <cellStyle name="Normal 47" xfId="3384"/>
    <cellStyle name="Normal 47 2" xfId="6393"/>
    <cellStyle name="Normal 47 2 2" xfId="10417"/>
    <cellStyle name="Normal 47 2 2 2" xfId="22078"/>
    <cellStyle name="Normal 47 2 3" xfId="19267"/>
    <cellStyle name="Normal 47 2 3 2" xfId="42207"/>
    <cellStyle name="Normal 47 2 4" xfId="42208"/>
    <cellStyle name="Normal 47 2 5" xfId="10416"/>
    <cellStyle name="Normal 47 3" xfId="10418"/>
    <cellStyle name="Normal 47 3 2" xfId="10419"/>
    <cellStyle name="Normal 47 3 2 2" xfId="22079"/>
    <cellStyle name="Normal 47 3 3" xfId="19268"/>
    <cellStyle name="Normal 47 4" xfId="10420"/>
    <cellStyle name="Normal 47 4 2" xfId="10421"/>
    <cellStyle name="Normal 47 4 2 2" xfId="22080"/>
    <cellStyle name="Normal 47 4 3" xfId="19269"/>
    <cellStyle name="Normal 47 5" xfId="19266"/>
    <cellStyle name="Normal 47 5 2" xfId="42209"/>
    <cellStyle name="Normal 47 6" xfId="36562"/>
    <cellStyle name="Normal 47 7" xfId="10415"/>
    <cellStyle name="Normal 48" xfId="3385"/>
    <cellStyle name="Normal 48 2" xfId="6394"/>
    <cellStyle name="Normal 48 2 2" xfId="10424"/>
    <cellStyle name="Normal 48 2 2 2" xfId="22081"/>
    <cellStyle name="Normal 48 2 3" xfId="19271"/>
    <cellStyle name="Normal 48 2 3 2" xfId="42210"/>
    <cellStyle name="Normal 48 2 4" xfId="42211"/>
    <cellStyle name="Normal 48 2 5" xfId="10423"/>
    <cellStyle name="Normal 48 3" xfId="10425"/>
    <cellStyle name="Normal 48 3 2" xfId="10426"/>
    <cellStyle name="Normal 48 3 2 2" xfId="22082"/>
    <cellStyle name="Normal 48 3 3" xfId="19272"/>
    <cellStyle name="Normal 48 4" xfId="10427"/>
    <cellStyle name="Normal 48 4 2" xfId="10428"/>
    <cellStyle name="Normal 48 4 2 2" xfId="22083"/>
    <cellStyle name="Normal 48 4 3" xfId="19273"/>
    <cellStyle name="Normal 48 5" xfId="19270"/>
    <cellStyle name="Normal 48 6" xfId="10422"/>
    <cellStyle name="Normal 49" xfId="6288"/>
    <cellStyle name="Normal 49 2" xfId="10430"/>
    <cellStyle name="Normal 49 2 2" xfId="10431"/>
    <cellStyle name="Normal 49 2 2 2" xfId="22084"/>
    <cellStyle name="Normal 49 2 3" xfId="19275"/>
    <cellStyle name="Normal 49 3" xfId="10432"/>
    <cellStyle name="Normal 49 3 2" xfId="10433"/>
    <cellStyle name="Normal 49 3 2 2" xfId="22085"/>
    <cellStyle name="Normal 49 3 3" xfId="19276"/>
    <cellStyle name="Normal 49 4" xfId="10434"/>
    <cellStyle name="Normal 49 4 2" xfId="10435"/>
    <cellStyle name="Normal 49 4 2 2" xfId="22086"/>
    <cellStyle name="Normal 49 4 3" xfId="19277"/>
    <cellStyle name="Normal 49 5" xfId="19274"/>
    <cellStyle name="Normal 49 5 2" xfId="42212"/>
    <cellStyle name="Normal 49 6" xfId="42213"/>
    <cellStyle name="Normal 49 7" xfId="10429"/>
    <cellStyle name="Normal 5" xfId="3045"/>
    <cellStyle name="Normal 5 2" xfId="3046"/>
    <cellStyle name="Normal 5 2 2" xfId="6058"/>
    <cellStyle name="Normal 5 2 2 2" xfId="22087"/>
    <cellStyle name="Normal 5 2 2 2 2" xfId="36563"/>
    <cellStyle name="Normal 5 2 2 3" xfId="36564"/>
    <cellStyle name="Normal 5 2 3" xfId="15596"/>
    <cellStyle name="Normal 5 2 3 2" xfId="36565"/>
    <cellStyle name="Normal 5 2 3 2 2" xfId="36566"/>
    <cellStyle name="Normal 5 2 3 3" xfId="36567"/>
    <cellStyle name="Normal 5 2 3 4" xfId="36568"/>
    <cellStyle name="Normal 5 2 4" xfId="17611"/>
    <cellStyle name="Normal 5 2 4 2" xfId="36569"/>
    <cellStyle name="Normal 5 2 5" xfId="36570"/>
    <cellStyle name="Normal 5 2 5 2" xfId="36571"/>
    <cellStyle name="Normal 5 2 6" xfId="36572"/>
    <cellStyle name="Normal 5 3" xfId="3047"/>
    <cellStyle name="Normal 5 3 2" xfId="6059"/>
    <cellStyle name="Normal 5 3 2 2" xfId="36573"/>
    <cellStyle name="Normal 5 3 2 3" xfId="36574"/>
    <cellStyle name="Normal 5 3 2 4" xfId="15597"/>
    <cellStyle name="Normal 5 3 3" xfId="18068"/>
    <cellStyle name="Normal 5 3 4" xfId="10436"/>
    <cellStyle name="Normal 5 4" xfId="6057"/>
    <cellStyle name="Normal 5 4 2" xfId="36575"/>
    <cellStyle name="Normal 5 4 3" xfId="36576"/>
    <cellStyle name="Normal 5 4 4" xfId="13703"/>
    <cellStyle name="Normal 5 5" xfId="13704"/>
    <cellStyle name="Normal 5 5 2" xfId="36577"/>
    <cellStyle name="Normal 5 6" xfId="17861"/>
    <cellStyle name="Normal 50" xfId="6462"/>
    <cellStyle name="Normal 50 2" xfId="10438"/>
    <cellStyle name="Normal 50 2 2" xfId="10439"/>
    <cellStyle name="Normal 50 2 2 2" xfId="22088"/>
    <cellStyle name="Normal 50 2 3" xfId="19279"/>
    <cellStyle name="Normal 50 3" xfId="10440"/>
    <cellStyle name="Normal 50 3 2" xfId="10441"/>
    <cellStyle name="Normal 50 3 2 2" xfId="22089"/>
    <cellStyle name="Normal 50 3 3" xfId="19280"/>
    <cellStyle name="Normal 50 4" xfId="10442"/>
    <cellStyle name="Normal 50 4 2" xfId="10443"/>
    <cellStyle name="Normal 50 4 2 2" xfId="22090"/>
    <cellStyle name="Normal 50 4 3" xfId="19281"/>
    <cellStyle name="Normal 50 5" xfId="19278"/>
    <cellStyle name="Normal 50 5 2" xfId="42214"/>
    <cellStyle name="Normal 50 6" xfId="42215"/>
    <cellStyle name="Normal 50 7" xfId="10437"/>
    <cellStyle name="Normal 51" xfId="6465"/>
    <cellStyle name="Normal 51 2" xfId="10445"/>
    <cellStyle name="Normal 51 2 2" xfId="10446"/>
    <cellStyle name="Normal 51 2 2 2" xfId="19284"/>
    <cellStyle name="Normal 51 2 3" xfId="10447"/>
    <cellStyle name="Normal 51 2 3 2" xfId="19285"/>
    <cellStyle name="Normal 51 2 4" xfId="19283"/>
    <cellStyle name="Normal 51 3" xfId="10448"/>
    <cellStyle name="Normal 51 3 2" xfId="19286"/>
    <cellStyle name="Normal 51 4" xfId="10449"/>
    <cellStyle name="Normal 51 4 2" xfId="19287"/>
    <cellStyle name="Normal 51 5" xfId="10450"/>
    <cellStyle name="Normal 51 5 2" xfId="22091"/>
    <cellStyle name="Normal 51 6" xfId="19282"/>
    <cellStyle name="Normal 51 7" xfId="10444"/>
    <cellStyle name="Normal 51 8" xfId="42344"/>
    <cellStyle name="Normal 51 9" xfId="42368"/>
    <cellStyle name="Normal 52" xfId="6466"/>
    <cellStyle name="Normal 52 2" xfId="19288"/>
    <cellStyle name="Normal 52 2 2" xfId="36578"/>
    <cellStyle name="Normal 52 2 2 2" xfId="42216"/>
    <cellStyle name="Normal 52 2 3" xfId="36579"/>
    <cellStyle name="Normal 52 3" xfId="36580"/>
    <cellStyle name="Normal 52 3 2" xfId="42217"/>
    <cellStyle name="Normal 52 4" xfId="36581"/>
    <cellStyle name="Normal 52 4 2" xfId="42218"/>
    <cellStyle name="Normal 52 5" xfId="42219"/>
    <cellStyle name="Normal 52 6" xfId="10451"/>
    <cellStyle name="Normal 53" xfId="10452"/>
    <cellStyle name="Normal 53 2" xfId="10453"/>
    <cellStyle name="Normal 53 2 2" xfId="19290"/>
    <cellStyle name="Normal 53 2 2 2" xfId="42220"/>
    <cellStyle name="Normal 53 2 3" xfId="36582"/>
    <cellStyle name="Normal 53 2 4" xfId="36583"/>
    <cellStyle name="Normal 53 3" xfId="10454"/>
    <cellStyle name="Normal 53 3 2" xfId="10455"/>
    <cellStyle name="Normal 53 3 2 2" xfId="22092"/>
    <cellStyle name="Normal 53 3 3" xfId="19291"/>
    <cellStyle name="Normal 53 4" xfId="10456"/>
    <cellStyle name="Normal 53 4 2" xfId="19292"/>
    <cellStyle name="Normal 53 5" xfId="19289"/>
    <cellStyle name="Normal 54" xfId="10457"/>
    <cellStyle name="Normal 54 2" xfId="10458"/>
    <cellStyle name="Normal 54 2 2" xfId="19294"/>
    <cellStyle name="Normal 54 2 2 2" xfId="42221"/>
    <cellStyle name="Normal 54 2 3" xfId="36584"/>
    <cellStyle name="Normal 54 2 4" xfId="36585"/>
    <cellStyle name="Normal 54 3" xfId="10459"/>
    <cellStyle name="Normal 54 3 2" xfId="10460"/>
    <cellStyle name="Normal 54 3 2 2" xfId="22093"/>
    <cellStyle name="Normal 54 3 3" xfId="19295"/>
    <cellStyle name="Normal 54 4" xfId="10461"/>
    <cellStyle name="Normal 54 4 2" xfId="19296"/>
    <cellStyle name="Normal 54 5" xfId="14311"/>
    <cellStyle name="Normal 54 6" xfId="19293"/>
    <cellStyle name="Normal 55" xfId="10462"/>
    <cellStyle name="Normal 55 2" xfId="10463"/>
    <cellStyle name="Normal 55 2 2" xfId="10464"/>
    <cellStyle name="Normal 55 2 2 2" xfId="22094"/>
    <cellStyle name="Normal 55 2 3" xfId="19298"/>
    <cellStyle name="Normal 55 2 4" xfId="36586"/>
    <cellStyle name="Normal 55 3" xfId="10465"/>
    <cellStyle name="Normal 55 3 2" xfId="22095"/>
    <cellStyle name="Normal 55 4" xfId="19297"/>
    <cellStyle name="Normal 55 4 2" xfId="42222"/>
    <cellStyle name="Normal 55 5" xfId="36587"/>
    <cellStyle name="Normal 56" xfId="10466"/>
    <cellStyle name="Normal 56 2" xfId="10467"/>
    <cellStyle name="Normal 56 2 2" xfId="10468"/>
    <cellStyle name="Normal 56 2 2 2" xfId="22096"/>
    <cellStyle name="Normal 56 2 3" xfId="19300"/>
    <cellStyle name="Normal 56 2 4" xfId="36588"/>
    <cellStyle name="Normal 56 3" xfId="10469"/>
    <cellStyle name="Normal 56 3 2" xfId="22097"/>
    <cellStyle name="Normal 56 4" xfId="19299"/>
    <cellStyle name="Normal 56 4 2" xfId="42223"/>
    <cellStyle name="Normal 56 5" xfId="36589"/>
    <cellStyle name="Normal 57" xfId="10470"/>
    <cellStyle name="Normal 57 2" xfId="10471"/>
    <cellStyle name="Normal 57 2 2" xfId="22098"/>
    <cellStyle name="Normal 57 2 2 2" xfId="42224"/>
    <cellStyle name="Normal 57 2 3" xfId="36590"/>
    <cellStyle name="Normal 57 2 4" xfId="36591"/>
    <cellStyle name="Normal 57 3" xfId="19301"/>
    <cellStyle name="Normal 57 3 2" xfId="42225"/>
    <cellStyle name="Normal 57 4" xfId="36592"/>
    <cellStyle name="Normal 57 4 2" xfId="42226"/>
    <cellStyle name="Normal 57 5" xfId="36593"/>
    <cellStyle name="Normal 58" xfId="10472"/>
    <cellStyle name="Normal 58 2" xfId="10473"/>
    <cellStyle name="Normal 58 2 2" xfId="22099"/>
    <cellStyle name="Normal 58 2 2 2" xfId="42227"/>
    <cellStyle name="Normal 58 2 3" xfId="36594"/>
    <cellStyle name="Normal 58 2 4" xfId="36595"/>
    <cellStyle name="Normal 58 3" xfId="19302"/>
    <cellStyle name="Normal 58 3 2" xfId="42228"/>
    <cellStyle name="Normal 58 4" xfId="36596"/>
    <cellStyle name="Normal 58 4 2" xfId="42229"/>
    <cellStyle name="Normal 58 5" xfId="36597"/>
    <cellStyle name="Normal 59" xfId="10474"/>
    <cellStyle name="Normal 59 2" xfId="10475"/>
    <cellStyle name="Normal 59 2 2" xfId="22100"/>
    <cellStyle name="Normal 59 2 2 2" xfId="42230"/>
    <cellStyle name="Normal 59 2 3" xfId="36598"/>
    <cellStyle name="Normal 59 3" xfId="19303"/>
    <cellStyle name="Normal 59 3 2" xfId="42231"/>
    <cellStyle name="Normal 59 4" xfId="36599"/>
    <cellStyle name="Normal 59 4 2" xfId="42232"/>
    <cellStyle name="Normal 59 5" xfId="42233"/>
    <cellStyle name="Normal 6" xfId="3048"/>
    <cellStyle name="Normal 6 2" xfId="3049"/>
    <cellStyle name="Normal 6 2 2" xfId="6061"/>
    <cellStyle name="Normal 6 2 2 2" xfId="10478"/>
    <cellStyle name="Normal 6 2 2 2 2" xfId="22101"/>
    <cellStyle name="Normal 6 2 2 3" xfId="19304"/>
    <cellStyle name="Normal 6 2 2 4" xfId="10477"/>
    <cellStyle name="Normal 6 2 3" xfId="10479"/>
    <cellStyle name="Normal 6 2 3 2" xfId="22102"/>
    <cellStyle name="Normal 6 2 3 2 2" xfId="36600"/>
    <cellStyle name="Normal 6 2 3 3" xfId="36601"/>
    <cellStyle name="Normal 6 2 3 4" xfId="36602"/>
    <cellStyle name="Normal 6 2 4" xfId="15598"/>
    <cellStyle name="Normal 6 2 4 2" xfId="36603"/>
    <cellStyle name="Normal 6 2 5" xfId="36604"/>
    <cellStyle name="Normal 6 2 6" xfId="10476"/>
    <cellStyle name="Normal 6 3" xfId="6060"/>
    <cellStyle name="Normal 6 3 2" xfId="13706"/>
    <cellStyle name="Normal 6 3 2 2" xfId="36605"/>
    <cellStyle name="Normal 6 3 2 2 2" xfId="36606"/>
    <cellStyle name="Normal 6 3 2 3" xfId="36607"/>
    <cellStyle name="Normal 6 3 3" xfId="15599"/>
    <cellStyle name="Normal 6 3 3 2" xfId="36608"/>
    <cellStyle name="Normal 6 3 3 3" xfId="36609"/>
    <cellStyle name="Normal 6 3 4" xfId="36610"/>
    <cellStyle name="Normal 6 3 4 2" xfId="36611"/>
    <cellStyle name="Normal 6 3 5" xfId="13705"/>
    <cellStyle name="Normal 6 4" xfId="13707"/>
    <cellStyle name="Normal 6 4 2" xfId="36612"/>
    <cellStyle name="Normal 6 4 2 2" xfId="36613"/>
    <cellStyle name="Normal 6 4 3" xfId="36614"/>
    <cellStyle name="Normal 6 5" xfId="13708"/>
    <cellStyle name="Normal 6 5 2" xfId="36615"/>
    <cellStyle name="Normal 6 5 3" xfId="36616"/>
    <cellStyle name="Normal 6 6" xfId="13709"/>
    <cellStyle name="Normal 6 6 2" xfId="36617"/>
    <cellStyle name="Normal 6 6 2 2" xfId="36618"/>
    <cellStyle name="Normal 6 6 3" xfId="36619"/>
    <cellStyle name="Normal 6 7" xfId="36620"/>
    <cellStyle name="Normal 6 8" xfId="36621"/>
    <cellStyle name="Normal 6 9" xfId="36622"/>
    <cellStyle name="Normal 6_Scenario 1 REC vs PTC Offset" xfId="15600"/>
    <cellStyle name="Normal 60" xfId="10480"/>
    <cellStyle name="Normal 60 2" xfId="10481"/>
    <cellStyle name="Normal 60 2 2" xfId="22103"/>
    <cellStyle name="Normal 60 2 2 2" xfId="42234"/>
    <cellStyle name="Normal 60 2 3" xfId="36623"/>
    <cellStyle name="Normal 60 3" xfId="19305"/>
    <cellStyle name="Normal 60 3 2" xfId="42235"/>
    <cellStyle name="Normal 60 4" xfId="36624"/>
    <cellStyle name="Normal 60 4 2" xfId="42236"/>
    <cellStyle name="Normal 60 5" xfId="42237"/>
    <cellStyle name="Normal 61" xfId="10482"/>
    <cellStyle name="Normal 61 2" xfId="10483"/>
    <cellStyle name="Normal 61 2 2" xfId="22104"/>
    <cellStyle name="Normal 61 2 2 2" xfId="42238"/>
    <cellStyle name="Normal 61 2 3" xfId="42239"/>
    <cellStyle name="Normal 61 3" xfId="19306"/>
    <cellStyle name="Normal 61 3 2" xfId="42240"/>
    <cellStyle name="Normal 61 4" xfId="36625"/>
    <cellStyle name="Normal 62" xfId="10484"/>
    <cellStyle name="Normal 62 2" xfId="10485"/>
    <cellStyle name="Normal 62 2 2" xfId="22105"/>
    <cellStyle name="Normal 62 3" xfId="19307"/>
    <cellStyle name="Normal 63" xfId="10486"/>
    <cellStyle name="Normal 63 2" xfId="10487"/>
    <cellStyle name="Normal 63 2 2" xfId="22106"/>
    <cellStyle name="Normal 63 2 3" xfId="36626"/>
    <cellStyle name="Normal 63 3" xfId="19308"/>
    <cellStyle name="Normal 63 3 2" xfId="42241"/>
    <cellStyle name="Normal 63 4" xfId="42242"/>
    <cellStyle name="Normal 64" xfId="10488"/>
    <cellStyle name="Normal 64 2" xfId="10489"/>
    <cellStyle name="Normal 64 2 2" xfId="22107"/>
    <cellStyle name="Normal 64 2 3" xfId="36627"/>
    <cellStyle name="Normal 64 3" xfId="19309"/>
    <cellStyle name="Normal 64 3 2" xfId="42243"/>
    <cellStyle name="Normal 64 4" xfId="36628"/>
    <cellStyle name="Normal 65" xfId="10490"/>
    <cellStyle name="Normal 65 2" xfId="10491"/>
    <cellStyle name="Normal 65 2 2" xfId="22108"/>
    <cellStyle name="Normal 65 2 3" xfId="36629"/>
    <cellStyle name="Normal 65 3" xfId="19310"/>
    <cellStyle name="Normal 65 3 2" xfId="42244"/>
    <cellStyle name="Normal 65 4" xfId="36630"/>
    <cellStyle name="Normal 66" xfId="10492"/>
    <cellStyle name="Normal 66 2" xfId="10493"/>
    <cellStyle name="Normal 66 2 2" xfId="22109"/>
    <cellStyle name="Normal 66 2 3" xfId="36631"/>
    <cellStyle name="Normal 66 3" xfId="19311"/>
    <cellStyle name="Normal 66 3 2" xfId="42245"/>
    <cellStyle name="Normal 66 4" xfId="36632"/>
    <cellStyle name="Normal 66 5" xfId="36633"/>
    <cellStyle name="Normal 67" xfId="10494"/>
    <cellStyle name="Normal 67 2" xfId="10495"/>
    <cellStyle name="Normal 67 2 2" xfId="22110"/>
    <cellStyle name="Normal 67 2 3" xfId="36634"/>
    <cellStyle name="Normal 67 3" xfId="19312"/>
    <cellStyle name="Normal 67 3 2" xfId="42246"/>
    <cellStyle name="Normal 67 4" xfId="36635"/>
    <cellStyle name="Normal 68" xfId="10496"/>
    <cellStyle name="Normal 68 2" xfId="10497"/>
    <cellStyle name="Normal 68 2 2" xfId="22111"/>
    <cellStyle name="Normal 68 2 3" xfId="36636"/>
    <cellStyle name="Normal 68 3" xfId="19313"/>
    <cellStyle name="Normal 68 3 2" xfId="42247"/>
    <cellStyle name="Normal 68 4" xfId="36637"/>
    <cellStyle name="Normal 69" xfId="10498"/>
    <cellStyle name="Normal 69 2" xfId="10499"/>
    <cellStyle name="Normal 69 2 2" xfId="22112"/>
    <cellStyle name="Normal 69 2 3" xfId="36638"/>
    <cellStyle name="Normal 69 3" xfId="19314"/>
    <cellStyle name="Normal 69 3 2" xfId="42248"/>
    <cellStyle name="Normal 69 4" xfId="36639"/>
    <cellStyle name="Normal 7" xfId="3050"/>
    <cellStyle name="Normal 7 2" xfId="3051"/>
    <cellStyle name="Normal 7 2 2" xfId="6063"/>
    <cellStyle name="Normal 7 2 2 2" xfId="10502"/>
    <cellStyle name="Normal 7 2 2 2 2" xfId="22113"/>
    <cellStyle name="Normal 7 2 2 2 3" xfId="36640"/>
    <cellStyle name="Normal 7 2 2 3" xfId="19315"/>
    <cellStyle name="Normal 7 2 2 4" xfId="10501"/>
    <cellStyle name="Normal 7 2 3" xfId="10503"/>
    <cellStyle name="Normal 7 2 3 2" xfId="22114"/>
    <cellStyle name="Normal 7 2 3 2 2" xfId="36641"/>
    <cellStyle name="Normal 7 2 3 3" xfId="36642"/>
    <cellStyle name="Normal 7 2 3 4" xfId="36643"/>
    <cellStyle name="Normal 7 2 4" xfId="17613"/>
    <cellStyle name="Normal 7 2 4 2" xfId="36644"/>
    <cellStyle name="Normal 7 2 5" xfId="36645"/>
    <cellStyle name="Normal 7 2 6" xfId="36646"/>
    <cellStyle name="Normal 7 2 7" xfId="10500"/>
    <cellStyle name="Normal 7 3" xfId="3052"/>
    <cellStyle name="Normal 7 3 2" xfId="6064"/>
    <cellStyle name="Normal 7 3 2 2" xfId="36647"/>
    <cellStyle name="Normal 7 3 2 3" xfId="36648"/>
    <cellStyle name="Normal 7 3 2 4" xfId="15601"/>
    <cellStyle name="Normal 7 3 3" xfId="17925"/>
    <cellStyle name="Normal 7 4" xfId="6062"/>
    <cellStyle name="Normal 7 4 2" xfId="36649"/>
    <cellStyle name="Normal 7 4 3" xfId="36650"/>
    <cellStyle name="Normal 7 4 4" xfId="36651"/>
    <cellStyle name="Normal 7 4 5" xfId="13710"/>
    <cellStyle name="Normal 7 5" xfId="13711"/>
    <cellStyle name="Normal 7 5 2" xfId="36652"/>
    <cellStyle name="Normal 7 5 2 2" xfId="36653"/>
    <cellStyle name="Normal 7 5 3" xfId="36654"/>
    <cellStyle name="Normal 7 6" xfId="14226"/>
    <cellStyle name="Normal 7 7" xfId="17612"/>
    <cellStyle name="Normal 70" xfId="10504"/>
    <cellStyle name="Normal 70 2" xfId="10505"/>
    <cellStyle name="Normal 70 2 2" xfId="22115"/>
    <cellStyle name="Normal 70 2 3" xfId="36655"/>
    <cellStyle name="Normal 70 3" xfId="19316"/>
    <cellStyle name="Normal 71" xfId="10506"/>
    <cellStyle name="Normal 71 2" xfId="10507"/>
    <cellStyle name="Normal 71 2 2" xfId="22116"/>
    <cellStyle name="Normal 71 3" xfId="19317"/>
    <cellStyle name="Normal 72" xfId="10508"/>
    <cellStyle name="Normal 72 2" xfId="10509"/>
    <cellStyle name="Normal 72 2 2" xfId="22117"/>
    <cellStyle name="Normal 72 2 3" xfId="36656"/>
    <cellStyle name="Normal 72 3" xfId="19318"/>
    <cellStyle name="Normal 72 4" xfId="36657"/>
    <cellStyle name="Normal 73" xfId="10510"/>
    <cellStyle name="Normal 73 2" xfId="10511"/>
    <cellStyle name="Normal 73 2 2" xfId="22118"/>
    <cellStyle name="Normal 73 3" xfId="19319"/>
    <cellStyle name="Normal 73 3 2" xfId="42249"/>
    <cellStyle name="Normal 73 4" xfId="42250"/>
    <cellStyle name="Normal 74" xfId="10512"/>
    <cellStyle name="Normal 74 2" xfId="14332"/>
    <cellStyle name="Normal 74 2 2" xfId="42251"/>
    <cellStyle name="Normal 74 3" xfId="19320"/>
    <cellStyle name="Normal 74 3 2" xfId="42252"/>
    <cellStyle name="Normal 74 4" xfId="42253"/>
    <cellStyle name="Normal 75" xfId="10513"/>
    <cellStyle name="Normal 75 2" xfId="14328"/>
    <cellStyle name="Normal 75 2 2" xfId="42254"/>
    <cellStyle name="Normal 75 3" xfId="19321"/>
    <cellStyle name="Normal 75 3 2" xfId="42255"/>
    <cellStyle name="Normal 75 4" xfId="42256"/>
    <cellStyle name="Normal 76" xfId="10514"/>
    <cellStyle name="Normal 76 2" xfId="14326"/>
    <cellStyle name="Normal 76 2 2" xfId="42257"/>
    <cellStyle name="Normal 76 3" xfId="19322"/>
    <cellStyle name="Normal 76 3 2" xfId="42258"/>
    <cellStyle name="Normal 76 4" xfId="42259"/>
    <cellStyle name="Normal 77" xfId="10515"/>
    <cellStyle name="Normal 77 2" xfId="14330"/>
    <cellStyle name="Normal 77 2 2" xfId="42260"/>
    <cellStyle name="Normal 77 3" xfId="19323"/>
    <cellStyle name="Normal 77 3 2" xfId="42261"/>
    <cellStyle name="Normal 77 4" xfId="42262"/>
    <cellStyle name="Normal 78" xfId="10516"/>
    <cellStyle name="Normal 78 2" xfId="14331"/>
    <cellStyle name="Normal 78 2 2" xfId="42263"/>
    <cellStyle name="Normal 78 3" xfId="19324"/>
    <cellStyle name="Normal 78 3 2" xfId="42264"/>
    <cellStyle name="Normal 78 4" xfId="42265"/>
    <cellStyle name="Normal 79" xfId="10517"/>
    <cellStyle name="Normal 79 2" xfId="19325"/>
    <cellStyle name="Normal 79 2 2" xfId="42266"/>
    <cellStyle name="Normal 79 3" xfId="36658"/>
    <cellStyle name="Normal 79 3 2" xfId="42267"/>
    <cellStyle name="Normal 79 4" xfId="42268"/>
    <cellStyle name="Normal 8" xfId="3053"/>
    <cellStyle name="Normal 8 2" xfId="3054"/>
    <cellStyle name="Normal 8 2 2" xfId="6065"/>
    <cellStyle name="Normal 8 2 2 2" xfId="10518"/>
    <cellStyle name="Normal 8 2 2 2 2" xfId="22119"/>
    <cellStyle name="Normal 8 2 2 3" xfId="19326"/>
    <cellStyle name="Normal 8 2 3" xfId="10519"/>
    <cellStyle name="Normal 8 2 3 2" xfId="22120"/>
    <cellStyle name="Normal 8 2 3 2 2" xfId="36659"/>
    <cellStyle name="Normal 8 2 3 3" xfId="36660"/>
    <cellStyle name="Normal 8 2 3 4" xfId="36661"/>
    <cellStyle name="Normal 8 2 4" xfId="17614"/>
    <cellStyle name="Normal 8 2 4 2" xfId="36662"/>
    <cellStyle name="Normal 8 2 5" xfId="36663"/>
    <cellStyle name="Normal 8 2 5 2" xfId="36664"/>
    <cellStyle name="Normal 8 2 6" xfId="36665"/>
    <cellStyle name="Normal 8 3" xfId="3055"/>
    <cellStyle name="Normal 8 3 2" xfId="6066"/>
    <cellStyle name="Normal 8 3 2 2" xfId="36666"/>
    <cellStyle name="Normal 8 3 2 3" xfId="36667"/>
    <cellStyle name="Normal 8 3 2 4" xfId="15602"/>
    <cellStyle name="Normal 8 3 3" xfId="18069"/>
    <cellStyle name="Normal 8 3 4" xfId="10520"/>
    <cellStyle name="Normal 8 4" xfId="3380"/>
    <cellStyle name="Normal 8 4 2" xfId="36668"/>
    <cellStyle name="Normal 8 4 3" xfId="36669"/>
    <cellStyle name="Normal 8 4 4" xfId="13712"/>
    <cellStyle name="Normal 8 5" xfId="13713"/>
    <cellStyle name="Normal 8 5 2" xfId="36670"/>
    <cellStyle name="Normal 8 6" xfId="36671"/>
    <cellStyle name="Normal 80" xfId="10521"/>
    <cellStyle name="Normal 80 2" xfId="19327"/>
    <cellStyle name="Normal 80 2 2" xfId="42269"/>
    <cellStyle name="Normal 80 3" xfId="36672"/>
    <cellStyle name="Normal 80 3 2" xfId="42270"/>
    <cellStyle name="Normal 80 4" xfId="42271"/>
    <cellStyle name="Normal 81" xfId="10522"/>
    <cellStyle name="Normal 81 2" xfId="19328"/>
    <cellStyle name="Normal 81 2 2" xfId="42272"/>
    <cellStyle name="Normal 81 3" xfId="36673"/>
    <cellStyle name="Normal 81 3 2" xfId="42273"/>
    <cellStyle name="Normal 81 4" xfId="42274"/>
    <cellStyle name="Normal 82" xfId="10523"/>
    <cellStyle name="Normal 82 2" xfId="19329"/>
    <cellStyle name="Normal 82 2 2" xfId="42275"/>
    <cellStyle name="Normal 82 3" xfId="36674"/>
    <cellStyle name="Normal 82 3 2" xfId="42276"/>
    <cellStyle name="Normal 82 4" xfId="42277"/>
    <cellStyle name="Normal 83" xfId="10524"/>
    <cellStyle name="Normal 83 2" xfId="19330"/>
    <cellStyle name="Normal 83 2 2" xfId="36675"/>
    <cellStyle name="Normal 83 2 3" xfId="36676"/>
    <cellStyle name="Normal 83 3" xfId="36677"/>
    <cellStyle name="Normal 83 3 2" xfId="42278"/>
    <cellStyle name="Normal 83 4" xfId="42279"/>
    <cellStyle name="Normal 84" xfId="10525"/>
    <cellStyle name="Normal 84 2" xfId="19331"/>
    <cellStyle name="Normal 84 2 2" xfId="36678"/>
    <cellStyle name="Normal 84 2 3" xfId="36679"/>
    <cellStyle name="Normal 84 3" xfId="36680"/>
    <cellStyle name="Normal 84 3 2" xfId="42280"/>
    <cellStyle name="Normal 84 4" xfId="42281"/>
    <cellStyle name="Normal 85" xfId="10526"/>
    <cellStyle name="Normal 85 2" xfId="19332"/>
    <cellStyle name="Normal 85 2 2" xfId="36681"/>
    <cellStyle name="Normal 85 2 3" xfId="36682"/>
    <cellStyle name="Normal 85 3" xfId="36683"/>
    <cellStyle name="Normal 85 3 2" xfId="42282"/>
    <cellStyle name="Normal 85 4" xfId="42283"/>
    <cellStyle name="Normal 86" xfId="10527"/>
    <cellStyle name="Normal 86 2" xfId="19333"/>
    <cellStyle name="Normal 86 2 2" xfId="36684"/>
    <cellStyle name="Normal 86 2 3" xfId="36685"/>
    <cellStyle name="Normal 86 3" xfId="36686"/>
    <cellStyle name="Normal 86 4" xfId="36687"/>
    <cellStyle name="Normal 87" xfId="10528"/>
    <cellStyle name="Normal 87 2" xfId="19334"/>
    <cellStyle name="Normal 87 2 2" xfId="42284"/>
    <cellStyle name="Normal 87 3" xfId="36688"/>
    <cellStyle name="Normal 88" xfId="10529"/>
    <cellStyle name="Normal 88 2" xfId="19335"/>
    <cellStyle name="Normal 88 2 2" xfId="42285"/>
    <cellStyle name="Normal 88 3" xfId="36689"/>
    <cellStyle name="Normal 89" xfId="10530"/>
    <cellStyle name="Normal 89 2" xfId="19336"/>
    <cellStyle name="Normal 89 2 2" xfId="42286"/>
    <cellStyle name="Normal 89 3" xfId="36690"/>
    <cellStyle name="Normal 9" xfId="3056"/>
    <cellStyle name="Normal 9 2" xfId="3057"/>
    <cellStyle name="Normal 9 2 2" xfId="6068"/>
    <cellStyle name="Normal 9 2 2 2" xfId="10533"/>
    <cellStyle name="Normal 9 2 2 2 2" xfId="22121"/>
    <cellStyle name="Normal 9 2 2 3" xfId="19337"/>
    <cellStyle name="Normal 9 2 2 4" xfId="10532"/>
    <cellStyle name="Normal 9 2 3" xfId="10534"/>
    <cellStyle name="Normal 9 2 3 2" xfId="22122"/>
    <cellStyle name="Normal 9 2 3 2 2" xfId="36691"/>
    <cellStyle name="Normal 9 2 3 3" xfId="36692"/>
    <cellStyle name="Normal 9 2 3 4" xfId="36693"/>
    <cellStyle name="Normal 9 2 4" xfId="18070"/>
    <cellStyle name="Normal 9 2 4 2" xfId="36694"/>
    <cellStyle name="Normal 9 2 5" xfId="36695"/>
    <cellStyle name="Normal 9 2 5 2" xfId="36696"/>
    <cellStyle name="Normal 9 2 6" xfId="36697"/>
    <cellStyle name="Normal 9 2 7" xfId="10531"/>
    <cellStyle name="Normal 9 3" xfId="6067"/>
    <cellStyle name="Normal 9 3 2" xfId="36698"/>
    <cellStyle name="Normal 9 3 2 2" xfId="36699"/>
    <cellStyle name="Normal 9 3 3" xfId="13714"/>
    <cellStyle name="Normal 9 4" xfId="13715"/>
    <cellStyle name="Normal 9 4 2" xfId="36700"/>
    <cellStyle name="Normal 9 4 3" xfId="36701"/>
    <cellStyle name="Normal 9 4 4" xfId="36702"/>
    <cellStyle name="Normal 9 5" xfId="13716"/>
    <cellStyle name="Normal 9 5 2" xfId="36703"/>
    <cellStyle name="Normal 9 5 2 2" xfId="36704"/>
    <cellStyle name="Normal 9 5 3" xfId="36705"/>
    <cellStyle name="Normal 9 6" xfId="17615"/>
    <cellStyle name="Normal 9 7" xfId="36706"/>
    <cellStyle name="Normal 9_NOL Analysis(For Ann Kellog and  Pete Winne)" xfId="41113"/>
    <cellStyle name="Normal 90" xfId="10535"/>
    <cellStyle name="Normal 90 2" xfId="19338"/>
    <cellStyle name="Normal 90 2 2" xfId="42287"/>
    <cellStyle name="Normal 90 3" xfId="36707"/>
    <cellStyle name="Normal 91" xfId="10536"/>
    <cellStyle name="Normal 91 2" xfId="19339"/>
    <cellStyle name="Normal 91 2 2" xfId="42288"/>
    <cellStyle name="Normal 91 3" xfId="36708"/>
    <cellStyle name="Normal 92" xfId="10537"/>
    <cellStyle name="Normal 92 2" xfId="19340"/>
    <cellStyle name="Normal 92 2 2" xfId="42289"/>
    <cellStyle name="Normal 92 3" xfId="36709"/>
    <cellStyle name="Normal 93" xfId="10538"/>
    <cellStyle name="Normal 93 2" xfId="19341"/>
    <cellStyle name="Normal 93 2 2" xfId="42290"/>
    <cellStyle name="Normal 93 3" xfId="36710"/>
    <cellStyle name="Normal 94" xfId="3058"/>
    <cellStyle name="Normal 94 2" xfId="6069"/>
    <cellStyle name="Normal 94 2 2" xfId="42291"/>
    <cellStyle name="Normal 94 3" xfId="36711"/>
    <cellStyle name="Normal 94 3 2" xfId="42292"/>
    <cellStyle name="Normal 94 4" xfId="42293"/>
    <cellStyle name="Normal 95" xfId="10539"/>
    <cellStyle name="Normal 95 2" xfId="19342"/>
    <cellStyle name="Normal 95 2 2" xfId="36712"/>
    <cellStyle name="Normal 95 2 3" xfId="36713"/>
    <cellStyle name="Normal 95 3" xfId="36714"/>
    <cellStyle name="Normal 95 4" xfId="36715"/>
    <cellStyle name="Normal 95 5" xfId="36716"/>
    <cellStyle name="Normal 96" xfId="3059"/>
    <cellStyle name="Normal 96 2" xfId="6070"/>
    <cellStyle name="Normal 96 2 2" xfId="42294"/>
    <cellStyle name="Normal 96 3" xfId="36717"/>
    <cellStyle name="Normal 96 3 2" xfId="42295"/>
    <cellStyle name="Normal 96 4" xfId="42296"/>
    <cellStyle name="Normal 97" xfId="10540"/>
    <cellStyle name="Normal 97 2" xfId="22123"/>
    <cellStyle name="Normal 97 2 2" xfId="42297"/>
    <cellStyle name="Normal 97 3" xfId="36718"/>
    <cellStyle name="Normal 97 4" xfId="36719"/>
    <cellStyle name="Normal 98" xfId="10541"/>
    <cellStyle name="Normal 98 2" xfId="22124"/>
    <cellStyle name="Normal 98 2 2" xfId="42298"/>
    <cellStyle name="Normal 98 3" xfId="36720"/>
    <cellStyle name="Normal 98 4" xfId="36721"/>
    <cellStyle name="Normal 98 5" xfId="36722"/>
    <cellStyle name="Normal 99" xfId="10542"/>
    <cellStyle name="Normal 99 2" xfId="22125"/>
    <cellStyle name="Normal 99 2 2" xfId="42299"/>
    <cellStyle name="Normal 99 3" xfId="36723"/>
    <cellStyle name="Normal 99 4" xfId="36724"/>
    <cellStyle name="Normal 99 5" xfId="36725"/>
    <cellStyle name="Normal_04.07E Wild Horse Wind Expansion" xfId="3060"/>
    <cellStyle name="Normal_4.10E Hopkins Ridge Working File" xfId="3061"/>
    <cellStyle name="Normal_DEPR2" xfId="3062"/>
    <cellStyle name="Normal_Hopkins Ridge" xfId="3063"/>
    <cellStyle name="Normal_LBAFT 2009 PSE Labor" xfId="42345"/>
    <cellStyle name="Normal_Wild Horse 2006 GRC" xfId="3064"/>
    <cellStyle name="Note 10" xfId="3065"/>
    <cellStyle name="Note 10 2" xfId="3066"/>
    <cellStyle name="Note 10 2 2" xfId="13717"/>
    <cellStyle name="Note 10 2 2 2" xfId="36726"/>
    <cellStyle name="Note 10 2 3" xfId="17926"/>
    <cellStyle name="Note 10 2 4" xfId="36727"/>
    <cellStyle name="Note 10 2 5" xfId="10544"/>
    <cellStyle name="Note 10 3" xfId="13718"/>
    <cellStyle name="Note 10 3 2" xfId="13719"/>
    <cellStyle name="Note 10 3 2 2" xfId="36728"/>
    <cellStyle name="Note 10 3 3" xfId="36729"/>
    <cellStyle name="Note 10 4" xfId="13720"/>
    <cellStyle name="Note 10 4 2" xfId="36730"/>
    <cellStyle name="Note 10 5" xfId="15603"/>
    <cellStyle name="Note 10 5 2" xfId="42300"/>
    <cellStyle name="Note 10 6" xfId="15604"/>
    <cellStyle name="Note 10 6 2" xfId="42301"/>
    <cellStyle name="Note 10 7" xfId="36731"/>
    <cellStyle name="Note 10 7 2" xfId="42302"/>
    <cellStyle name="Note 10 8" xfId="42303"/>
    <cellStyle name="Note 10 9" xfId="10543"/>
    <cellStyle name="Note 11" xfId="3067"/>
    <cellStyle name="Note 11 2" xfId="10546"/>
    <cellStyle name="Note 11 2 2" xfId="17927"/>
    <cellStyle name="Note 11 2 2 2" xfId="36732"/>
    <cellStyle name="Note 11 2 3" xfId="36733"/>
    <cellStyle name="Note 11 2 4" xfId="36734"/>
    <cellStyle name="Note 11 2 5" xfId="36735"/>
    <cellStyle name="Note 11 3" xfId="13721"/>
    <cellStyle name="Note 11 3 2" xfId="36736"/>
    <cellStyle name="Note 11 3 2 2" xfId="36737"/>
    <cellStyle name="Note 11 3 3" xfId="36738"/>
    <cellStyle name="Note 11 3 4" xfId="36739"/>
    <cellStyle name="Note 11 3 5" xfId="36740"/>
    <cellStyle name="Note 11 4" xfId="15605"/>
    <cellStyle name="Note 11 4 2" xfId="36741"/>
    <cellStyle name="Note 11 4 3" xfId="36742"/>
    <cellStyle name="Note 11 5" xfId="36743"/>
    <cellStyle name="Note 11 6" xfId="36744"/>
    <cellStyle name="Note 11 7" xfId="10545"/>
    <cellStyle name="Note 12" xfId="3068"/>
    <cellStyle name="Note 12 2" xfId="10548"/>
    <cellStyle name="Note 12 2 2" xfId="13722"/>
    <cellStyle name="Note 12 2 2 2" xfId="36745"/>
    <cellStyle name="Note 12 2 2 2 2" xfId="36746"/>
    <cellStyle name="Note 12 2 3" xfId="15606"/>
    <cellStyle name="Note 12 2 3 2" xfId="36747"/>
    <cellStyle name="Note 12 2 3 3" xfId="36748"/>
    <cellStyle name="Note 12 2 4" xfId="17928"/>
    <cellStyle name="Note 12 2 4 2" xfId="36749"/>
    <cellStyle name="Note 12 2 5" xfId="36750"/>
    <cellStyle name="Note 12 2 6" xfId="36751"/>
    <cellStyle name="Note 12 3" xfId="10549"/>
    <cellStyle name="Note 12 3 2" xfId="10550"/>
    <cellStyle name="Note 12 3 2 2" xfId="10551"/>
    <cellStyle name="Note 12 3 2 3" xfId="10552"/>
    <cellStyle name="Note 12 3 2 4" xfId="10553"/>
    <cellStyle name="Note 12 3 2 5" xfId="10554"/>
    <cellStyle name="Note 12 3 2 6" xfId="22126"/>
    <cellStyle name="Note 12 3 2 7" xfId="22528"/>
    <cellStyle name="Note 12 3 3" xfId="10555"/>
    <cellStyle name="Note 12 3 4" xfId="10556"/>
    <cellStyle name="Note 12 3 5" xfId="10557"/>
    <cellStyle name="Note 12 3 6" xfId="10558"/>
    <cellStyle name="Note 12 3 7" xfId="19343"/>
    <cellStyle name="Note 12 3 8" xfId="22468"/>
    <cellStyle name="Note 12 4" xfId="10559"/>
    <cellStyle name="Note 12 4 2" xfId="10560"/>
    <cellStyle name="Note 12 4 2 2" xfId="36752"/>
    <cellStyle name="Note 12 4 3" xfId="10561"/>
    <cellStyle name="Note 12 4 4" xfId="10562"/>
    <cellStyle name="Note 12 4 5" xfId="10563"/>
    <cellStyle name="Note 12 4 6" xfId="22127"/>
    <cellStyle name="Note 12 4 7" xfId="22529"/>
    <cellStyle name="Note 12 5" xfId="17616"/>
    <cellStyle name="Note 12 5 2" xfId="36753"/>
    <cellStyle name="Note 12 5 2 2" xfId="36754"/>
    <cellStyle name="Note 12 5 3" xfId="36755"/>
    <cellStyle name="Note 12 6" xfId="36756"/>
    <cellStyle name="Note 12 6 2" xfId="36757"/>
    <cellStyle name="Note 12 7" xfId="36758"/>
    <cellStyle name="Note 12 8" xfId="36759"/>
    <cellStyle name="Note 12 9" xfId="10547"/>
    <cellStyle name="Note 13" xfId="13723"/>
    <cellStyle name="Note 13 2" xfId="13724"/>
    <cellStyle name="Note 13 2 2" xfId="36760"/>
    <cellStyle name="Note 13 2 3" xfId="36761"/>
    <cellStyle name="Note 13 3" xfId="13725"/>
    <cellStyle name="Note 14" xfId="13726"/>
    <cellStyle name="Note 14 2" xfId="36762"/>
    <cellStyle name="Note 14 2 2" xfId="36763"/>
    <cellStyle name="Note 14 2 3" xfId="36764"/>
    <cellStyle name="Note 14 3" xfId="36765"/>
    <cellStyle name="Note 14 3 2" xfId="36766"/>
    <cellStyle name="Note 14 4" xfId="36767"/>
    <cellStyle name="Note 15" xfId="13727"/>
    <cellStyle name="Note 15 2" xfId="36768"/>
    <cellStyle name="Note 15 2 2" xfId="36769"/>
    <cellStyle name="Note 15 2 3" xfId="36770"/>
    <cellStyle name="Note 15 3" xfId="36771"/>
    <cellStyle name="Note 15 4" xfId="36772"/>
    <cellStyle name="Note 15 5" xfId="36773"/>
    <cellStyle name="Note 16" xfId="14306"/>
    <cellStyle name="Note 16 2" xfId="36774"/>
    <cellStyle name="Note 16 2 2" xfId="36775"/>
    <cellStyle name="Note 16 3" xfId="36776"/>
    <cellStyle name="Note 17" xfId="36777"/>
    <cellStyle name="Note 17 2" xfId="36778"/>
    <cellStyle name="Note 18" xfId="36779"/>
    <cellStyle name="Note 2" xfId="3069"/>
    <cellStyle name="Note 2 2" xfId="3070"/>
    <cellStyle name="Note 2 2 2" xfId="3071"/>
    <cellStyle name="Note 2 2 2 2" xfId="10567"/>
    <cellStyle name="Note 2 2 2 2 2" xfId="36780"/>
    <cellStyle name="Note 2 2 2 3" xfId="10568"/>
    <cellStyle name="Note 2 2 2 3 2" xfId="36781"/>
    <cellStyle name="Note 2 2 2 4" xfId="10569"/>
    <cellStyle name="Note 2 2 2 5" xfId="10570"/>
    <cellStyle name="Note 2 2 2 6" xfId="17619"/>
    <cellStyle name="Note 2 2 2 7" xfId="22346"/>
    <cellStyle name="Note 2 2 2 8" xfId="10566"/>
    <cellStyle name="Note 2 2 3" xfId="10571"/>
    <cellStyle name="Note 2 2 3 2" xfId="10572"/>
    <cellStyle name="Note 2 2 3 2 2" xfId="36782"/>
    <cellStyle name="Note 2 2 3 3" xfId="10573"/>
    <cellStyle name="Note 2 2 3 4" xfId="10574"/>
    <cellStyle name="Note 2 2 3 5" xfId="10575"/>
    <cellStyle name="Note 2 2 3 6" xfId="17930"/>
    <cellStyle name="Note 2 2 3 7" xfId="22382"/>
    <cellStyle name="Note 2 2 4" xfId="13728"/>
    <cellStyle name="Note 2 2 4 2" xfId="36783"/>
    <cellStyle name="Note 2 2 5" xfId="13729"/>
    <cellStyle name="Note 2 2 5 2" xfId="36784"/>
    <cellStyle name="Note 2 2 6" xfId="15607"/>
    <cellStyle name="Note 2 2 6 2" xfId="42304"/>
    <cellStyle name="Note 2 2 7" xfId="17618"/>
    <cellStyle name="Note 2 2 8" xfId="10565"/>
    <cellStyle name="Note 2 3" xfId="3072"/>
    <cellStyle name="Note 2 3 2" xfId="10577"/>
    <cellStyle name="Note 2 3 2 2" xfId="13730"/>
    <cellStyle name="Note 2 3 2 2 2" xfId="36785"/>
    <cellStyle name="Note 2 3 2 3" xfId="36786"/>
    <cellStyle name="Note 2 3 3" xfId="10578"/>
    <cellStyle name="Note 2 3 3 2" xfId="13731"/>
    <cellStyle name="Note 2 3 3 2 2" xfId="36787"/>
    <cellStyle name="Note 2 3 3 3" xfId="42305"/>
    <cellStyle name="Note 2 3 4" xfId="10579"/>
    <cellStyle name="Note 2 3 4 2" xfId="36788"/>
    <cellStyle name="Note 2 3 5" xfId="10580"/>
    <cellStyle name="Note 2 3 5 2" xfId="42306"/>
    <cellStyle name="Note 2 3 6" xfId="17620"/>
    <cellStyle name="Note 2 3 7" xfId="22347"/>
    <cellStyle name="Note 2 3 8" xfId="10576"/>
    <cellStyle name="Note 2 4" xfId="3073"/>
    <cellStyle name="Note 2 4 2" xfId="10582"/>
    <cellStyle name="Note 2 4 2 2" xfId="36789"/>
    <cellStyle name="Note 2 4 2 2 2" xfId="36790"/>
    <cellStyle name="Note 2 4 2 3" xfId="36791"/>
    <cellStyle name="Note 2 4 2 4" xfId="36792"/>
    <cellStyle name="Note 2 4 3" xfId="10583"/>
    <cellStyle name="Note 2 4 3 2" xfId="36793"/>
    <cellStyle name="Note 2 4 3 3" xfId="36794"/>
    <cellStyle name="Note 2 4 4" xfId="10584"/>
    <cellStyle name="Note 2 4 4 2" xfId="36795"/>
    <cellStyle name="Note 2 4 4 3" xfId="36796"/>
    <cellStyle name="Note 2 4 5" xfId="10585"/>
    <cellStyle name="Note 2 4 6" xfId="17929"/>
    <cellStyle name="Note 2 4 7" xfId="22381"/>
    <cellStyle name="Note 2 4 8" xfId="10581"/>
    <cellStyle name="Note 2 5" xfId="13732"/>
    <cellStyle name="Note 2 5 2" xfId="13733"/>
    <cellStyle name="Note 2 5 2 2" xfId="36797"/>
    <cellStyle name="Note 2 5 3" xfId="36798"/>
    <cellStyle name="Note 2 6" xfId="13734"/>
    <cellStyle name="Note 2 6 2" xfId="36799"/>
    <cellStyle name="Note 2 6 2 2" xfId="36800"/>
    <cellStyle name="Note 2 6 3" xfId="36801"/>
    <cellStyle name="Note 2 7" xfId="13735"/>
    <cellStyle name="Note 2 7 2" xfId="36802"/>
    <cellStyle name="Note 2 8" xfId="17617"/>
    <cellStyle name="Note 2 9" xfId="10564"/>
    <cellStyle name="Note 2_AURORA Total New" xfId="3074"/>
    <cellStyle name="Note 3" xfId="3075"/>
    <cellStyle name="Note 3 2" xfId="3076"/>
    <cellStyle name="Note 3 2 2" xfId="10588"/>
    <cellStyle name="Note 3 2 2 2" xfId="36803"/>
    <cellStyle name="Note 3 2 2 2 2" xfId="36804"/>
    <cellStyle name="Note 3 2 2 3" xfId="36805"/>
    <cellStyle name="Note 3 2 3" xfId="10589"/>
    <cellStyle name="Note 3 2 3 2" xfId="36806"/>
    <cellStyle name="Note 3 2 3 3" xfId="36807"/>
    <cellStyle name="Note 3 2 4" xfId="10590"/>
    <cellStyle name="Note 3 2 4 2" xfId="36808"/>
    <cellStyle name="Note 3 2 4 3" xfId="36809"/>
    <cellStyle name="Note 3 2 5" xfId="10591"/>
    <cellStyle name="Note 3 2 6" xfId="17622"/>
    <cellStyle name="Note 3 2 7" xfId="22348"/>
    <cellStyle name="Note 3 2 8" xfId="10587"/>
    <cellStyle name="Note 3 3" xfId="3077"/>
    <cellStyle name="Note 3 3 2" xfId="10593"/>
    <cellStyle name="Note 3 3 2 2" xfId="36810"/>
    <cellStyle name="Note 3 3 3" xfId="10594"/>
    <cellStyle name="Note 3 3 3 2" xfId="42307"/>
    <cellStyle name="Note 3 3 4" xfId="10595"/>
    <cellStyle name="Note 3 3 5" xfId="10596"/>
    <cellStyle name="Note 3 3 6" xfId="17931"/>
    <cellStyle name="Note 3 3 7" xfId="22383"/>
    <cellStyle name="Note 3 3 8" xfId="10592"/>
    <cellStyle name="Note 3 4" xfId="13736"/>
    <cellStyle name="Note 3 4 2" xfId="36811"/>
    <cellStyle name="Note 3 4 2 2" xfId="36812"/>
    <cellStyle name="Note 3 4 3" xfId="36813"/>
    <cellStyle name="Note 3 5" xfId="13737"/>
    <cellStyle name="Note 3 5 2" xfId="36814"/>
    <cellStyle name="Note 3 6" xfId="17621"/>
    <cellStyle name="Note 3 7" xfId="36815"/>
    <cellStyle name="Note 3 8" xfId="10586"/>
    <cellStyle name="Note 4" xfId="3078"/>
    <cellStyle name="Note 4 2" xfId="3079"/>
    <cellStyle name="Note 4 2 2" xfId="10599"/>
    <cellStyle name="Note 4 2 2 2" xfId="36816"/>
    <cellStyle name="Note 4 2 3" xfId="10600"/>
    <cellStyle name="Note 4 2 3 2" xfId="36817"/>
    <cellStyle name="Note 4 2 4" xfId="10601"/>
    <cellStyle name="Note 4 2 5" xfId="10602"/>
    <cellStyle name="Note 4 2 6" xfId="17624"/>
    <cellStyle name="Note 4 2 7" xfId="22349"/>
    <cellStyle name="Note 4 2 8" xfId="10598"/>
    <cellStyle name="Note 4 3" xfId="10603"/>
    <cellStyle name="Note 4 3 2" xfId="10604"/>
    <cellStyle name="Note 4 3 2 2" xfId="36818"/>
    <cellStyle name="Note 4 3 3" xfId="10605"/>
    <cellStyle name="Note 4 3 4" xfId="10606"/>
    <cellStyle name="Note 4 3 5" xfId="10607"/>
    <cellStyle name="Note 4 3 6" xfId="17932"/>
    <cellStyle name="Note 4 3 7" xfId="22384"/>
    <cellStyle name="Note 4 4" xfId="13738"/>
    <cellStyle name="Note 4 4 2" xfId="36819"/>
    <cellStyle name="Note 4 4 2 2" xfId="36820"/>
    <cellStyle name="Note 4 4 3" xfId="36821"/>
    <cellStyle name="Note 4 5" xfId="15608"/>
    <cellStyle name="Note 4 5 2" xfId="36822"/>
    <cellStyle name="Note 4 6" xfId="15609"/>
    <cellStyle name="Note 4 6 2" xfId="36823"/>
    <cellStyle name="Note 4 7" xfId="17623"/>
    <cellStyle name="Note 4 8" xfId="10597"/>
    <cellStyle name="Note 5" xfId="3080"/>
    <cellStyle name="Note 5 2" xfId="3081"/>
    <cellStyle name="Note 5 2 2" xfId="10610"/>
    <cellStyle name="Note 5 2 2 2" xfId="36824"/>
    <cellStyle name="Note 5 2 3" xfId="10611"/>
    <cellStyle name="Note 5 2 3 2" xfId="36825"/>
    <cellStyle name="Note 5 2 4" xfId="10612"/>
    <cellStyle name="Note 5 2 5" xfId="10613"/>
    <cellStyle name="Note 5 2 6" xfId="17626"/>
    <cellStyle name="Note 5 2 7" xfId="22350"/>
    <cellStyle name="Note 5 2 8" xfId="10609"/>
    <cellStyle name="Note 5 3" xfId="10614"/>
    <cellStyle name="Note 5 3 2" xfId="10615"/>
    <cellStyle name="Note 5 3 2 2" xfId="36826"/>
    <cellStyle name="Note 5 3 3" xfId="10616"/>
    <cellStyle name="Note 5 3 4" xfId="10617"/>
    <cellStyle name="Note 5 3 5" xfId="10618"/>
    <cellStyle name="Note 5 3 6" xfId="17933"/>
    <cellStyle name="Note 5 3 7" xfId="22385"/>
    <cellStyle name="Note 5 4" xfId="13739"/>
    <cellStyle name="Note 5 4 2" xfId="36827"/>
    <cellStyle name="Note 5 4 2 2" xfId="36828"/>
    <cellStyle name="Note 5 4 3" xfId="36829"/>
    <cellStyle name="Note 5 5" xfId="15610"/>
    <cellStyle name="Note 5 5 2" xfId="36830"/>
    <cellStyle name="Note 5 6" xfId="15611"/>
    <cellStyle name="Note 5 6 2" xfId="36831"/>
    <cellStyle name="Note 5 7" xfId="17625"/>
    <cellStyle name="Note 5 8" xfId="10608"/>
    <cellStyle name="Note 6" xfId="3082"/>
    <cellStyle name="Note 6 2" xfId="3083"/>
    <cellStyle name="Note 6 2 2" xfId="10621"/>
    <cellStyle name="Note 6 2 2 2" xfId="36832"/>
    <cellStyle name="Note 6 2 2 3" xfId="36833"/>
    <cellStyle name="Note 6 2 3" xfId="10622"/>
    <cellStyle name="Note 6 2 3 2" xfId="36834"/>
    <cellStyle name="Note 6 2 4" xfId="10623"/>
    <cellStyle name="Note 6 2 5" xfId="10624"/>
    <cellStyle name="Note 6 2 6" xfId="17628"/>
    <cellStyle name="Note 6 2 7" xfId="22351"/>
    <cellStyle name="Note 6 2 8" xfId="10620"/>
    <cellStyle name="Note 6 3" xfId="10625"/>
    <cellStyle name="Note 6 3 2" xfId="10626"/>
    <cellStyle name="Note 6 3 2 2" xfId="36835"/>
    <cellStyle name="Note 6 3 3" xfId="10627"/>
    <cellStyle name="Note 6 3 4" xfId="10628"/>
    <cellStyle name="Note 6 3 5" xfId="10629"/>
    <cellStyle name="Note 6 3 6" xfId="17934"/>
    <cellStyle name="Note 6 3 7" xfId="22386"/>
    <cellStyle name="Note 6 4" xfId="15612"/>
    <cellStyle name="Note 6 4 2" xfId="36836"/>
    <cellStyle name="Note 6 4 2 2" xfId="36837"/>
    <cellStyle name="Note 6 4 3" xfId="36838"/>
    <cellStyle name="Note 6 4 4" xfId="36839"/>
    <cellStyle name="Note 6 5" xfId="17627"/>
    <cellStyle name="Note 6 5 2" xfId="36840"/>
    <cellStyle name="Note 6 6" xfId="36841"/>
    <cellStyle name="Note 6 7" xfId="10619"/>
    <cellStyle name="Note 7" xfId="3084"/>
    <cellStyle name="Note 7 2" xfId="3085"/>
    <cellStyle name="Note 7 2 2" xfId="10632"/>
    <cellStyle name="Note 7 2 2 2" xfId="36842"/>
    <cellStyle name="Note 7 2 2 3" xfId="36843"/>
    <cellStyle name="Note 7 2 3" xfId="10633"/>
    <cellStyle name="Note 7 2 3 2" xfId="36844"/>
    <cellStyle name="Note 7 2 4" xfId="10634"/>
    <cellStyle name="Note 7 2 5" xfId="10635"/>
    <cellStyle name="Note 7 2 6" xfId="17630"/>
    <cellStyle name="Note 7 2 7" xfId="22352"/>
    <cellStyle name="Note 7 2 8" xfId="10631"/>
    <cellStyle name="Note 7 3" xfId="10636"/>
    <cellStyle name="Note 7 3 2" xfId="10637"/>
    <cellStyle name="Note 7 3 2 2" xfId="36845"/>
    <cellStyle name="Note 7 3 3" xfId="10638"/>
    <cellStyle name="Note 7 3 4" xfId="10639"/>
    <cellStyle name="Note 7 3 5" xfId="10640"/>
    <cellStyle name="Note 7 3 6" xfId="17935"/>
    <cellStyle name="Note 7 3 7" xfId="22387"/>
    <cellStyle name="Note 7 4" xfId="15613"/>
    <cellStyle name="Note 7 4 2" xfId="36846"/>
    <cellStyle name="Note 7 4 2 2" xfId="36847"/>
    <cellStyle name="Note 7 4 3" xfId="36848"/>
    <cellStyle name="Note 7 4 4" xfId="36849"/>
    <cellStyle name="Note 7 5" xfId="17629"/>
    <cellStyle name="Note 7 5 2" xfId="36850"/>
    <cellStyle name="Note 7 6" xfId="36851"/>
    <cellStyle name="Note 7 7" xfId="10630"/>
    <cellStyle name="Note 8" xfId="3086"/>
    <cellStyle name="Note 8 2" xfId="3087"/>
    <cellStyle name="Note 8 2 2" xfId="10643"/>
    <cellStyle name="Note 8 2 2 2" xfId="36852"/>
    <cellStyle name="Note 8 2 2 3" xfId="36853"/>
    <cellStyle name="Note 8 2 3" xfId="10644"/>
    <cellStyle name="Note 8 2 3 2" xfId="36854"/>
    <cellStyle name="Note 8 2 4" xfId="10645"/>
    <cellStyle name="Note 8 2 5" xfId="10646"/>
    <cellStyle name="Note 8 2 6" xfId="17632"/>
    <cellStyle name="Note 8 2 7" xfId="22353"/>
    <cellStyle name="Note 8 2 8" xfId="10642"/>
    <cellStyle name="Note 8 3" xfId="10647"/>
    <cellStyle name="Note 8 3 2" xfId="10648"/>
    <cellStyle name="Note 8 3 2 2" xfId="36855"/>
    <cellStyle name="Note 8 3 3" xfId="10649"/>
    <cellStyle name="Note 8 3 4" xfId="10650"/>
    <cellStyle name="Note 8 3 5" xfId="10651"/>
    <cellStyle name="Note 8 3 6" xfId="17936"/>
    <cellStyle name="Note 8 3 7" xfId="22388"/>
    <cellStyle name="Note 8 4" xfId="15614"/>
    <cellStyle name="Note 8 4 2" xfId="36856"/>
    <cellStyle name="Note 8 4 2 2" xfId="36857"/>
    <cellStyle name="Note 8 4 3" xfId="36858"/>
    <cellStyle name="Note 8 4 4" xfId="36859"/>
    <cellStyle name="Note 8 5" xfId="17631"/>
    <cellStyle name="Note 8 5 2" xfId="36860"/>
    <cellStyle name="Note 8 6" xfId="36861"/>
    <cellStyle name="Note 8 7" xfId="10641"/>
    <cellStyle name="Note 9" xfId="3088"/>
    <cellStyle name="Note 9 2" xfId="3089"/>
    <cellStyle name="Note 9 2 2" xfId="10654"/>
    <cellStyle name="Note 9 2 2 2" xfId="36862"/>
    <cellStyle name="Note 9 2 2 3" xfId="36863"/>
    <cellStyle name="Note 9 2 3" xfId="10655"/>
    <cellStyle name="Note 9 2 3 2" xfId="36864"/>
    <cellStyle name="Note 9 2 4" xfId="10656"/>
    <cellStyle name="Note 9 2 5" xfId="10657"/>
    <cellStyle name="Note 9 2 6" xfId="17634"/>
    <cellStyle name="Note 9 2 7" xfId="22354"/>
    <cellStyle name="Note 9 2 8" xfId="10653"/>
    <cellStyle name="Note 9 3" xfId="10658"/>
    <cellStyle name="Note 9 3 2" xfId="10659"/>
    <cellStyle name="Note 9 3 2 2" xfId="36865"/>
    <cellStyle name="Note 9 3 3" xfId="10660"/>
    <cellStyle name="Note 9 3 4" xfId="10661"/>
    <cellStyle name="Note 9 3 5" xfId="10662"/>
    <cellStyle name="Note 9 3 6" xfId="17937"/>
    <cellStyle name="Note 9 3 7" xfId="22389"/>
    <cellStyle name="Note 9 4" xfId="15615"/>
    <cellStyle name="Note 9 4 2" xfId="36866"/>
    <cellStyle name="Note 9 4 2 2" xfId="36867"/>
    <cellStyle name="Note 9 4 3" xfId="36868"/>
    <cellStyle name="Note 9 4 4" xfId="36869"/>
    <cellStyle name="Note 9 5" xfId="17633"/>
    <cellStyle name="Note 9 5 2" xfId="36870"/>
    <cellStyle name="Note 9 6" xfId="36871"/>
    <cellStyle name="Note 9 7" xfId="10652"/>
    <cellStyle name="Output 10" xfId="10663"/>
    <cellStyle name="Output 2" xfId="3090"/>
    <cellStyle name="Output 2 10" xfId="10664"/>
    <cellStyle name="Output 2 2" xfId="3091"/>
    <cellStyle name="Output 2 2 2" xfId="3092"/>
    <cellStyle name="Output 2 2 2 2" xfId="10667"/>
    <cellStyle name="Output 2 2 2 2 2" xfId="36872"/>
    <cellStyle name="Output 2 2 2 3" xfId="10668"/>
    <cellStyle name="Output 2 2 2 4" xfId="10669"/>
    <cellStyle name="Output 2 2 2 5" xfId="10670"/>
    <cellStyle name="Output 2 2 2 6" xfId="17938"/>
    <cellStyle name="Output 2 2 2 7" xfId="22390"/>
    <cellStyle name="Output 2 2 2 8" xfId="10666"/>
    <cellStyle name="Output 2 2 3" xfId="13740"/>
    <cellStyle name="Output 2 2 3 2" xfId="13741"/>
    <cellStyle name="Output 2 2 3 2 2" xfId="36873"/>
    <cellStyle name="Output 2 2 3 3" xfId="42308"/>
    <cellStyle name="Output 2 2 4" xfId="15616"/>
    <cellStyle name="Output 2 2 4 2" xfId="36874"/>
    <cellStyle name="Output 2 2 5" xfId="17636"/>
    <cellStyle name="Output 2 2 6" xfId="10665"/>
    <cellStyle name="Output 2 3" xfId="3093"/>
    <cellStyle name="Output 2 3 2" xfId="15617"/>
    <cellStyle name="Output 2 3 2 2" xfId="36875"/>
    <cellStyle name="Output 2 3 2 2 2" xfId="36876"/>
    <cellStyle name="Output 2 3 2 3" xfId="36877"/>
    <cellStyle name="Output 2 3 2 4" xfId="36878"/>
    <cellStyle name="Output 2 3 3" xfId="18071"/>
    <cellStyle name="Output 2 3 3 2" xfId="36879"/>
    <cellStyle name="Output 2 3 4" xfId="36880"/>
    <cellStyle name="Output 2 3 4 2" xfId="36881"/>
    <cellStyle name="Output 2 3 5" xfId="10671"/>
    <cellStyle name="Output 2 4" xfId="10672"/>
    <cellStyle name="Output 2 4 2" xfId="13742"/>
    <cellStyle name="Output 2 4 2 2" xfId="36882"/>
    <cellStyle name="Output 2 4 3" xfId="36883"/>
    <cellStyle name="Output 2 4 4" xfId="36884"/>
    <cellStyle name="Output 2 5" xfId="10673"/>
    <cellStyle name="Output 2 5 2" xfId="36885"/>
    <cellStyle name="Output 2 5 3" xfId="36886"/>
    <cellStyle name="Output 2 6" xfId="10674"/>
    <cellStyle name="Output 2 6 2" xfId="36887"/>
    <cellStyle name="Output 2 7" xfId="10675"/>
    <cellStyle name="Output 2 8" xfId="17635"/>
    <cellStyle name="Output 2 9" xfId="22355"/>
    <cellStyle name="Output 3" xfId="3094"/>
    <cellStyle name="Output 3 10" xfId="22356"/>
    <cellStyle name="Output 3 11" xfId="10676"/>
    <cellStyle name="Output 3 2" xfId="10677"/>
    <cellStyle name="Output 3 2 2" xfId="19344"/>
    <cellStyle name="Output 3 2 2 2" xfId="36888"/>
    <cellStyle name="Output 3 2 3" xfId="36889"/>
    <cellStyle name="Output 3 2 4" xfId="36890"/>
    <cellStyle name="Output 3 3" xfId="10678"/>
    <cellStyle name="Output 3 3 2" xfId="13743"/>
    <cellStyle name="Output 3 3 2 2" xfId="36891"/>
    <cellStyle name="Output 3 3 3" xfId="22128"/>
    <cellStyle name="Output 3 4" xfId="10679"/>
    <cellStyle name="Output 3 4 2" xfId="22129"/>
    <cellStyle name="Output 3 5" xfId="10680"/>
    <cellStyle name="Output 3 6" xfId="10681"/>
    <cellStyle name="Output 3 7" xfId="10682"/>
    <cellStyle name="Output 3 8" xfId="10683"/>
    <cellStyle name="Output 3 9" xfId="17637"/>
    <cellStyle name="Output 4" xfId="13744"/>
    <cellStyle name="Output 4 2" xfId="13745"/>
    <cellStyle name="Output 4 2 2" xfId="36892"/>
    <cellStyle name="Output 4 2 2 2" xfId="36893"/>
    <cellStyle name="Output 4 2 3" xfId="36894"/>
    <cellStyle name="Output 4 2 4" xfId="36895"/>
    <cellStyle name="Output 4 3" xfId="36896"/>
    <cellStyle name="Output 4 3 2" xfId="36897"/>
    <cellStyle name="Output 4 3 3" xfId="36898"/>
    <cellStyle name="Output 4 4" xfId="36899"/>
    <cellStyle name="Output 4 4 2" xfId="36900"/>
    <cellStyle name="Output 5" xfId="13746"/>
    <cellStyle name="Output 5 2" xfId="15618"/>
    <cellStyle name="Output 5 2 2" xfId="36901"/>
    <cellStyle name="Output 5 2 3" xfId="36902"/>
    <cellStyle name="Output 5 3" xfId="36903"/>
    <cellStyle name="Output 5 3 2" xfId="42309"/>
    <cellStyle name="Output 5 4" xfId="42310"/>
    <cellStyle name="Output 6" xfId="13747"/>
    <cellStyle name="Output 6 2" xfId="13748"/>
    <cellStyle name="Output 6 2 2" xfId="36904"/>
    <cellStyle name="Output 6 3" xfId="36905"/>
    <cellStyle name="Output 6 4" xfId="36906"/>
    <cellStyle name="Output 7" xfId="13749"/>
    <cellStyle name="Output 7 2" xfId="36907"/>
    <cellStyle name="Output 8" xfId="13750"/>
    <cellStyle name="Output 8 2" xfId="36908"/>
    <cellStyle name="Output 9" xfId="36909"/>
    <cellStyle name="Percen - Style1" xfId="3095"/>
    <cellStyle name="Percen - Style1 2" xfId="13751"/>
    <cellStyle name="Percen - Style1 2 2" xfId="13752"/>
    <cellStyle name="Percen - Style1 2 2 2" xfId="36910"/>
    <cellStyle name="Percen - Style1 2 3" xfId="36911"/>
    <cellStyle name="Percen - Style1 3" xfId="13753"/>
    <cellStyle name="Percen - Style1 3 2" xfId="36912"/>
    <cellStyle name="Percen - Style1 3 3" xfId="36913"/>
    <cellStyle name="Percen - Style1 4" xfId="17638"/>
    <cellStyle name="Percen - Style1 4 2" xfId="36914"/>
    <cellStyle name="Percen - Style1 5" xfId="10684"/>
    <cellStyle name="Percen - Style2" xfId="3096"/>
    <cellStyle name="Percen - Style2 2" xfId="13754"/>
    <cellStyle name="Percen - Style2 2 2" xfId="13755"/>
    <cellStyle name="Percen - Style2 2 2 2" xfId="36915"/>
    <cellStyle name="Percen - Style2 2 3" xfId="36916"/>
    <cellStyle name="Percen - Style2 3" xfId="13756"/>
    <cellStyle name="Percen - Style2 3 2" xfId="36917"/>
    <cellStyle name="Percen - Style2 3 3" xfId="36918"/>
    <cellStyle name="Percen - Style2 4" xfId="17639"/>
    <cellStyle name="Percen - Style2 4 2" xfId="36919"/>
    <cellStyle name="Percen - Style2 5" xfId="10685"/>
    <cellStyle name="Percen - Style3" xfId="3097"/>
    <cellStyle name="Percen - Style3 2" xfId="3098"/>
    <cellStyle name="Percen - Style3 2 2" xfId="13757"/>
    <cellStyle name="Percen - Style3 2 2 2" xfId="36920"/>
    <cellStyle name="Percen - Style3 2 3" xfId="17862"/>
    <cellStyle name="Percen - Style3 2 4" xfId="10687"/>
    <cellStyle name="Percen - Style3 3" xfId="13758"/>
    <cellStyle name="Percen - Style3 3 2" xfId="36921"/>
    <cellStyle name="Percen - Style3 3 2 2" xfId="36922"/>
    <cellStyle name="Percen - Style3 3 3" xfId="36923"/>
    <cellStyle name="Percen - Style3 3 4" xfId="36924"/>
    <cellStyle name="Percen - Style3 4" xfId="17640"/>
    <cellStyle name="Percen - Style3 4 2" xfId="36925"/>
    <cellStyle name="Percen - Style3 5" xfId="36926"/>
    <cellStyle name="Percen - Style3 6" xfId="10686"/>
    <cellStyle name="Percen - Style3_Electric Rev Req Model (2009 GRC) Rebuttal" xfId="10688"/>
    <cellStyle name="Percent" xfId="3099" builtinId="5"/>
    <cellStyle name="Percent (0)" xfId="14227"/>
    <cellStyle name="Percent (0) 2" xfId="36927"/>
    <cellStyle name="Percent (0) 3" xfId="36928"/>
    <cellStyle name="Percent [2]" xfId="3100"/>
    <cellStyle name="Percent [2] 10" xfId="36929"/>
    <cellStyle name="Percent [2] 10 2" xfId="36930"/>
    <cellStyle name="Percent [2] 11" xfId="36931"/>
    <cellStyle name="Percent [2] 11 2" xfId="36932"/>
    <cellStyle name="Percent [2] 12" xfId="36933"/>
    <cellStyle name="Percent [2] 12 2" xfId="36934"/>
    <cellStyle name="Percent [2] 12 3" xfId="36935"/>
    <cellStyle name="Percent [2] 13" xfId="10690"/>
    <cellStyle name="Percent [2] 2" xfId="3101"/>
    <cellStyle name="Percent [2] 2 2" xfId="3102"/>
    <cellStyle name="Percent [2] 2 2 2" xfId="6074"/>
    <cellStyle name="Percent [2] 2 2 2 2" xfId="22130"/>
    <cellStyle name="Percent [2] 2 2 2 2 2" xfId="36936"/>
    <cellStyle name="Percent [2] 2 2 2 3" xfId="36937"/>
    <cellStyle name="Percent [2] 2 2 2 4" xfId="10693"/>
    <cellStyle name="Percent [2] 2 2 3" xfId="17642"/>
    <cellStyle name="Percent [2] 2 2 3 2" xfId="36938"/>
    <cellStyle name="Percent [2] 2 2 4" xfId="36939"/>
    <cellStyle name="Percent [2] 2 2 4 2" xfId="36940"/>
    <cellStyle name="Percent [2] 2 2 5" xfId="10692"/>
    <cellStyle name="Percent [2] 2 3" xfId="6073"/>
    <cellStyle name="Percent [2] 2 3 2" xfId="15619"/>
    <cellStyle name="Percent [2] 2 3 2 2" xfId="36941"/>
    <cellStyle name="Percent [2] 2 3 2 3" xfId="36942"/>
    <cellStyle name="Percent [2] 2 3 3" xfId="36943"/>
    <cellStyle name="Percent [2] 2 3 4" xfId="10694"/>
    <cellStyle name="Percent [2] 2 4" xfId="36944"/>
    <cellStyle name="Percent [2] 2 4 2" xfId="36945"/>
    <cellStyle name="Percent [2] 2 4 2 2" xfId="36946"/>
    <cellStyle name="Percent [2] 2 4 3" xfId="36947"/>
    <cellStyle name="Percent [2] 2 5" xfId="36948"/>
    <cellStyle name="Percent [2] 2 5 2" xfId="36949"/>
    <cellStyle name="Percent [2] 2 6" xfId="36950"/>
    <cellStyle name="Percent [2] 2 6 2" xfId="36951"/>
    <cellStyle name="Percent [2] 2 7" xfId="10691"/>
    <cellStyle name="Percent [2] 3" xfId="3103"/>
    <cellStyle name="Percent [2] 3 2" xfId="6075"/>
    <cellStyle name="Percent [2] 3 2 2" xfId="10697"/>
    <cellStyle name="Percent [2] 3 2 2 2" xfId="22131"/>
    <cellStyle name="Percent [2] 3 2 3" xfId="19345"/>
    <cellStyle name="Percent [2] 3 2 4" xfId="36952"/>
    <cellStyle name="Percent [2] 3 2 5" xfId="10696"/>
    <cellStyle name="Percent [2] 3 3" xfId="10698"/>
    <cellStyle name="Percent [2] 3 3 2" xfId="10699"/>
    <cellStyle name="Percent [2] 3 3 2 2" xfId="22132"/>
    <cellStyle name="Percent [2] 3 3 3" xfId="19346"/>
    <cellStyle name="Percent [2] 3 4" xfId="10700"/>
    <cellStyle name="Percent [2] 3 4 2" xfId="10701"/>
    <cellStyle name="Percent [2] 3 4 2 2" xfId="22133"/>
    <cellStyle name="Percent [2] 3 4 3" xfId="19347"/>
    <cellStyle name="Percent [2] 3 5" xfId="17643"/>
    <cellStyle name="Percent [2] 3 5 2" xfId="36953"/>
    <cellStyle name="Percent [2] 3 6" xfId="10695"/>
    <cellStyle name="Percent [2] 4" xfId="3104"/>
    <cellStyle name="Percent [2] 4 2" xfId="3105"/>
    <cellStyle name="Percent [2] 4 2 2" xfId="6077"/>
    <cellStyle name="Percent [2] 4 2 2 2" xfId="36954"/>
    <cellStyle name="Percent [2] 4 2 2 2 2" xfId="36955"/>
    <cellStyle name="Percent [2] 4 2 2 3" xfId="36956"/>
    <cellStyle name="Percent [2] 4 2 2 4" xfId="15620"/>
    <cellStyle name="Percent [2] 4 2 3" xfId="18072"/>
    <cellStyle name="Percent [2] 4 2 3 2" xfId="36957"/>
    <cellStyle name="Percent [2] 4 2 4" xfId="36958"/>
    <cellStyle name="Percent [2] 4 2 4 2" xfId="36959"/>
    <cellStyle name="Percent [2] 4 2 5" xfId="10703"/>
    <cellStyle name="Percent [2] 4 3" xfId="6076"/>
    <cellStyle name="Percent [2] 4 3 2" xfId="36960"/>
    <cellStyle name="Percent [2] 4 3 2 2" xfId="36961"/>
    <cellStyle name="Percent [2] 4 3 3" xfId="36962"/>
    <cellStyle name="Percent [2] 4 3 4" xfId="36963"/>
    <cellStyle name="Percent [2] 4 3 5" xfId="15621"/>
    <cellStyle name="Percent [2] 4 4" xfId="17644"/>
    <cellStyle name="Percent [2] 4 4 2" xfId="36964"/>
    <cellStyle name="Percent [2] 4 4 2 2" xfId="36965"/>
    <cellStyle name="Percent [2] 4 4 3" xfId="36966"/>
    <cellStyle name="Percent [2] 4 5" xfId="36967"/>
    <cellStyle name="Percent [2] 4 5 2" xfId="36968"/>
    <cellStyle name="Percent [2] 4 6" xfId="36969"/>
    <cellStyle name="Percent [2] 4 6 2" xfId="36970"/>
    <cellStyle name="Percent [2] 4 7" xfId="10702"/>
    <cellStyle name="Percent [2] 5" xfId="10704"/>
    <cellStyle name="Percent [2] 5 2" xfId="22134"/>
    <cellStyle name="Percent [2] 5 2 2" xfId="36971"/>
    <cellStyle name="Percent [2] 5 2 2 2" xfId="36972"/>
    <cellStyle name="Percent [2] 5 2 2 2 2" xfId="36973"/>
    <cellStyle name="Percent [2] 5 2 3" xfId="36974"/>
    <cellStyle name="Percent [2] 5 2 3 2" xfId="36975"/>
    <cellStyle name="Percent [2] 5 2 4" xfId="36976"/>
    <cellStyle name="Percent [2] 5 2 4 2" xfId="36977"/>
    <cellStyle name="Percent [2] 5 2 5" xfId="36978"/>
    <cellStyle name="Percent [2] 5 3" xfId="36979"/>
    <cellStyle name="Percent [2] 5 3 2" xfId="36980"/>
    <cellStyle name="Percent [2] 5 3 2 2" xfId="36981"/>
    <cellStyle name="Percent [2] 5 4" xfId="36982"/>
    <cellStyle name="Percent [2] 5 4 2" xfId="36983"/>
    <cellStyle name="Percent [2] 5 5" xfId="36984"/>
    <cellStyle name="Percent [2] 5 5 2" xfId="36985"/>
    <cellStyle name="Percent [2] 6" xfId="10705"/>
    <cellStyle name="Percent [2] 6 2" xfId="13759"/>
    <cellStyle name="Percent [2] 6 2 2" xfId="36986"/>
    <cellStyle name="Percent [2] 6 2 2 2" xfId="36987"/>
    <cellStyle name="Percent [2] 6 3" xfId="36988"/>
    <cellStyle name="Percent [2] 6 3 2" xfId="36989"/>
    <cellStyle name="Percent [2] 6 4" xfId="36990"/>
    <cellStyle name="Percent [2] 6 4 2" xfId="36991"/>
    <cellStyle name="Percent [2] 7" xfId="13760"/>
    <cellStyle name="Percent [2] 7 2" xfId="13761"/>
    <cellStyle name="Percent [2] 7 2 2" xfId="36992"/>
    <cellStyle name="Percent [2] 7 3" xfId="42311"/>
    <cellStyle name="Percent [2] 8" xfId="13762"/>
    <cellStyle name="Percent [2] 8 2" xfId="36993"/>
    <cellStyle name="Percent [2] 8 2 2" xfId="36994"/>
    <cellStyle name="Percent [2] 8 3" xfId="36995"/>
    <cellStyle name="Percent [2] 8 4" xfId="36996"/>
    <cellStyle name="Percent [2] 9" xfId="36997"/>
    <cellStyle name="Percent [2] 9 2" xfId="36998"/>
    <cellStyle name="Percent [2] 9 2 2" xfId="36999"/>
    <cellStyle name="Percent [2] 9 2 2 2" xfId="37000"/>
    <cellStyle name="Percent [2] 9 2 3" xfId="37001"/>
    <cellStyle name="Percent [2] 9 3" xfId="37002"/>
    <cellStyle name="Percent [2] 9 3 2" xfId="37003"/>
    <cellStyle name="Percent [2] 9 4" xfId="37004"/>
    <cellStyle name="Percent 10" xfId="3106"/>
    <cellStyle name="Percent 10 2" xfId="3107"/>
    <cellStyle name="Percent 10 2 2" xfId="6079"/>
    <cellStyle name="Percent 10 2 2 2" xfId="37005"/>
    <cellStyle name="Percent 10 2 2 2 2" xfId="37006"/>
    <cellStyle name="Percent 10 2 2 3" xfId="37007"/>
    <cellStyle name="Percent 10 2 2 4" xfId="15622"/>
    <cellStyle name="Percent 10 2 3" xfId="17646"/>
    <cellStyle name="Percent 10 2 3 2" xfId="37008"/>
    <cellStyle name="Percent 10 2 4" xfId="37009"/>
    <cellStyle name="Percent 10 2 4 2" xfId="37010"/>
    <cellStyle name="Percent 10 2 5" xfId="10707"/>
    <cellStyle name="Percent 10 3" xfId="6078"/>
    <cellStyle name="Percent 10 3 2" xfId="10709"/>
    <cellStyle name="Percent 10 3 2 2" xfId="22135"/>
    <cellStyle name="Percent 10 3 3" xfId="15623"/>
    <cellStyle name="Percent 10 3 3 2" xfId="42312"/>
    <cellStyle name="Percent 10 3 4" xfId="19348"/>
    <cellStyle name="Percent 10 3 5" xfId="10708"/>
    <cellStyle name="Percent 10 4" xfId="13763"/>
    <cellStyle name="Percent 10 4 2" xfId="37011"/>
    <cellStyle name="Percent 10 4 2 2" xfId="37012"/>
    <cellStyle name="Percent 10 4 3" xfId="37013"/>
    <cellStyle name="Percent 10 4 4" xfId="37014"/>
    <cellStyle name="Percent 10 5" xfId="17645"/>
    <cellStyle name="Percent 10 5 2" xfId="37015"/>
    <cellStyle name="Percent 10 5 2 2" xfId="37016"/>
    <cellStyle name="Percent 10 5 3" xfId="37017"/>
    <cellStyle name="Percent 10 6" xfId="37018"/>
    <cellStyle name="Percent 10 6 2" xfId="37019"/>
    <cellStyle name="Percent 10 7" xfId="37020"/>
    <cellStyle name="Percent 10 8" xfId="10706"/>
    <cellStyle name="Percent 100" xfId="37021"/>
    <cellStyle name="Percent 101" xfId="37022"/>
    <cellStyle name="Percent 102" xfId="37023"/>
    <cellStyle name="Percent 103" xfId="37024"/>
    <cellStyle name="Percent 104" xfId="37025"/>
    <cellStyle name="Percent 105" xfId="37026"/>
    <cellStyle name="Percent 106" xfId="37027"/>
    <cellStyle name="Percent 107" xfId="37028"/>
    <cellStyle name="Percent 108" xfId="10689"/>
    <cellStyle name="Percent 11" xfId="3108"/>
    <cellStyle name="Percent 11 2" xfId="3109"/>
    <cellStyle name="Percent 11 2 2" xfId="6081"/>
    <cellStyle name="Percent 11 2 2 2" xfId="22136"/>
    <cellStyle name="Percent 11 2 2 2 2" xfId="37029"/>
    <cellStyle name="Percent 11 2 2 3" xfId="37030"/>
    <cellStyle name="Percent 11 2 2 4" xfId="10712"/>
    <cellStyle name="Percent 11 2 3" xfId="17648"/>
    <cellStyle name="Percent 11 2 3 2" xfId="37031"/>
    <cellStyle name="Percent 11 2 4" xfId="37032"/>
    <cellStyle name="Percent 11 2 4 2" xfId="37033"/>
    <cellStyle name="Percent 11 2 5" xfId="10711"/>
    <cellStyle name="Percent 11 3" xfId="6080"/>
    <cellStyle name="Percent 11 3 2" xfId="10714"/>
    <cellStyle name="Percent 11 3 2 2" xfId="22137"/>
    <cellStyle name="Percent 11 3 2 3" xfId="37034"/>
    <cellStyle name="Percent 11 3 3" xfId="19349"/>
    <cellStyle name="Percent 11 3 4" xfId="10713"/>
    <cellStyle name="Percent 11 4" xfId="10715"/>
    <cellStyle name="Percent 11 4 2" xfId="10716"/>
    <cellStyle name="Percent 11 4 2 2" xfId="22138"/>
    <cellStyle name="Percent 11 4 3" xfId="19350"/>
    <cellStyle name="Percent 11 5" xfId="17647"/>
    <cellStyle name="Percent 11 5 2" xfId="37035"/>
    <cellStyle name="Percent 11 6" xfId="37036"/>
    <cellStyle name="Percent 11 6 2" xfId="37037"/>
    <cellStyle name="Percent 11 7" xfId="10710"/>
    <cellStyle name="Percent 12" xfId="3110"/>
    <cellStyle name="Percent 12 2" xfId="3111"/>
    <cellStyle name="Percent 12 2 2" xfId="6083"/>
    <cellStyle name="Percent 12 2 2 2" xfId="10720"/>
    <cellStyle name="Percent 12 2 2 2 2" xfId="22139"/>
    <cellStyle name="Percent 12 2 2 3" xfId="19351"/>
    <cellStyle name="Percent 12 2 2 4" xfId="10719"/>
    <cellStyle name="Percent 12 2 3" xfId="10721"/>
    <cellStyle name="Percent 12 2 3 2" xfId="22140"/>
    <cellStyle name="Percent 12 2 4" xfId="17650"/>
    <cellStyle name="Percent 12 2 4 2" xfId="37038"/>
    <cellStyle name="Percent 12 2 5" xfId="10718"/>
    <cellStyle name="Percent 12 3" xfId="6082"/>
    <cellStyle name="Percent 12 3 2" xfId="10723"/>
    <cellStyle name="Percent 12 3 2 2" xfId="22141"/>
    <cellStyle name="Percent 12 3 3" xfId="19352"/>
    <cellStyle name="Percent 12 3 4" xfId="10722"/>
    <cellStyle name="Percent 12 4" xfId="10724"/>
    <cellStyle name="Percent 12 4 2" xfId="10725"/>
    <cellStyle name="Percent 12 4 2 2" xfId="22142"/>
    <cellStyle name="Percent 12 4 3" xfId="19353"/>
    <cellStyle name="Percent 12 5" xfId="10726"/>
    <cellStyle name="Percent 12 5 2" xfId="10727"/>
    <cellStyle name="Percent 12 5 2 2" xfId="22143"/>
    <cellStyle name="Percent 12 5 3" xfId="19354"/>
    <cellStyle name="Percent 12 6" xfId="17649"/>
    <cellStyle name="Percent 12 6 2" xfId="37039"/>
    <cellStyle name="Percent 12 7" xfId="10717"/>
    <cellStyle name="Percent 13" xfId="3112"/>
    <cellStyle name="Percent 13 2" xfId="3113"/>
    <cellStyle name="Percent 13 2 2" xfId="6085"/>
    <cellStyle name="Percent 13 2 2 2" xfId="19355"/>
    <cellStyle name="Percent 13 2 2 2 2" xfId="37040"/>
    <cellStyle name="Percent 13 2 2 3" xfId="37041"/>
    <cellStyle name="Percent 13 2 2 4" xfId="10730"/>
    <cellStyle name="Percent 13 2 3" xfId="10731"/>
    <cellStyle name="Percent 13 2 3 2" xfId="22144"/>
    <cellStyle name="Percent 13 2 4" xfId="17652"/>
    <cellStyle name="Percent 13 2 4 2" xfId="37042"/>
    <cellStyle name="Percent 13 2 5" xfId="10729"/>
    <cellStyle name="Percent 13 3" xfId="6084"/>
    <cellStyle name="Percent 13 3 2" xfId="10733"/>
    <cellStyle name="Percent 13 3 2 2" xfId="22145"/>
    <cellStyle name="Percent 13 3 3" xfId="19356"/>
    <cellStyle name="Percent 13 3 4" xfId="10732"/>
    <cellStyle name="Percent 13 4" xfId="10734"/>
    <cellStyle name="Percent 13 4 2" xfId="19357"/>
    <cellStyle name="Percent 13 4 2 2" xfId="37043"/>
    <cellStyle name="Percent 13 4 3" xfId="37044"/>
    <cellStyle name="Percent 13 5" xfId="10735"/>
    <cellStyle name="Percent 13 5 2" xfId="22146"/>
    <cellStyle name="Percent 13 6" xfId="17651"/>
    <cellStyle name="Percent 13 6 2" xfId="37045"/>
    <cellStyle name="Percent 13 7" xfId="37046"/>
    <cellStyle name="Percent 13 8" xfId="10728"/>
    <cellStyle name="Percent 14" xfId="3114"/>
    <cellStyle name="Percent 14 2" xfId="3115"/>
    <cellStyle name="Percent 14 2 2" xfId="6087"/>
    <cellStyle name="Percent 14 2 2 2" xfId="19358"/>
    <cellStyle name="Percent 14 2 2 2 2" xfId="37047"/>
    <cellStyle name="Percent 14 2 2 3" xfId="37048"/>
    <cellStyle name="Percent 14 2 2 4" xfId="10738"/>
    <cellStyle name="Percent 14 2 3" xfId="17654"/>
    <cellStyle name="Percent 14 2 3 2" xfId="37049"/>
    <cellStyle name="Percent 14 2 4" xfId="37050"/>
    <cellStyle name="Percent 14 2 4 2" xfId="37051"/>
    <cellStyle name="Percent 14 2 5" xfId="10737"/>
    <cellStyle name="Percent 14 3" xfId="6086"/>
    <cellStyle name="Percent 14 3 2" xfId="19359"/>
    <cellStyle name="Percent 14 3 2 2" xfId="37052"/>
    <cellStyle name="Percent 14 3 3" xfId="37053"/>
    <cellStyle name="Percent 14 3 4" xfId="10739"/>
    <cellStyle name="Percent 14 4" xfId="10740"/>
    <cellStyle name="Percent 14 4 2" xfId="10741"/>
    <cellStyle name="Percent 14 4 2 2" xfId="22147"/>
    <cellStyle name="Percent 14 4 3" xfId="19360"/>
    <cellStyle name="Percent 14 5" xfId="10742"/>
    <cellStyle name="Percent 14 5 2" xfId="19361"/>
    <cellStyle name="Percent 14 6" xfId="17653"/>
    <cellStyle name="Percent 14 6 2" xfId="37054"/>
    <cellStyle name="Percent 14 7" xfId="10736"/>
    <cellStyle name="Percent 15" xfId="3116"/>
    <cellStyle name="Percent 15 2" xfId="3117"/>
    <cellStyle name="Percent 15 2 2" xfId="6089"/>
    <cellStyle name="Percent 15 2 2 2" xfId="19362"/>
    <cellStyle name="Percent 15 2 2 2 2" xfId="37055"/>
    <cellStyle name="Percent 15 2 2 3" xfId="37056"/>
    <cellStyle name="Percent 15 2 2 4" xfId="10745"/>
    <cellStyle name="Percent 15 2 3" xfId="10746"/>
    <cellStyle name="Percent 15 2 3 2" xfId="22148"/>
    <cellStyle name="Percent 15 2 4" xfId="10747"/>
    <cellStyle name="Percent 15 2 4 2" xfId="22149"/>
    <cellStyle name="Percent 15 2 5" xfId="17656"/>
    <cellStyle name="Percent 15 2 6" xfId="10744"/>
    <cellStyle name="Percent 15 3" xfId="6088"/>
    <cellStyle name="Percent 15 3 2" xfId="10749"/>
    <cellStyle name="Percent 15 3 2 2" xfId="22150"/>
    <cellStyle name="Percent 15 3 3" xfId="19363"/>
    <cellStyle name="Percent 15 3 4" xfId="10748"/>
    <cellStyle name="Percent 15 4" xfId="10750"/>
    <cellStyle name="Percent 15 4 2" xfId="10751"/>
    <cellStyle name="Percent 15 4 2 2" xfId="22151"/>
    <cellStyle name="Percent 15 4 3" xfId="19364"/>
    <cellStyle name="Percent 15 5" xfId="10752"/>
    <cellStyle name="Percent 15 5 2" xfId="19365"/>
    <cellStyle name="Percent 15 6" xfId="10753"/>
    <cellStyle name="Percent 15 6 2" xfId="22152"/>
    <cellStyle name="Percent 15 7" xfId="17655"/>
    <cellStyle name="Percent 15 8" xfId="10743"/>
    <cellStyle name="Percent 16" xfId="3118"/>
    <cellStyle name="Percent 16 2" xfId="3119"/>
    <cellStyle name="Percent 16 2 2" xfId="6091"/>
    <cellStyle name="Percent 16 2 2 2" xfId="22153"/>
    <cellStyle name="Percent 16 2 2 2 2" xfId="37057"/>
    <cellStyle name="Percent 16 2 2 3" xfId="37058"/>
    <cellStyle name="Percent 16 2 2 4" xfId="10756"/>
    <cellStyle name="Percent 16 2 3" xfId="17658"/>
    <cellStyle name="Percent 16 2 3 2" xfId="37059"/>
    <cellStyle name="Percent 16 2 4" xfId="37060"/>
    <cellStyle name="Percent 16 2 4 2" xfId="37061"/>
    <cellStyle name="Percent 16 2 5" xfId="10755"/>
    <cellStyle name="Percent 16 3" xfId="6090"/>
    <cellStyle name="Percent 16 3 2" xfId="10758"/>
    <cellStyle name="Percent 16 3 2 2" xfId="22154"/>
    <cellStyle name="Percent 16 3 3" xfId="19366"/>
    <cellStyle name="Percent 16 3 4" xfId="10757"/>
    <cellStyle name="Percent 16 4" xfId="10759"/>
    <cellStyle name="Percent 16 4 2" xfId="10760"/>
    <cellStyle name="Percent 16 4 2 2" xfId="22155"/>
    <cellStyle name="Percent 16 4 3" xfId="19367"/>
    <cellStyle name="Percent 16 5" xfId="17657"/>
    <cellStyle name="Percent 16 5 2" xfId="37062"/>
    <cellStyle name="Percent 16 6" xfId="10754"/>
    <cellStyle name="Percent 17" xfId="3120"/>
    <cellStyle name="Percent 17 2" xfId="3121"/>
    <cellStyle name="Percent 17 2 2" xfId="6093"/>
    <cellStyle name="Percent 17 2 2 2" xfId="22156"/>
    <cellStyle name="Percent 17 2 2 2 2" xfId="37063"/>
    <cellStyle name="Percent 17 2 2 3" xfId="37064"/>
    <cellStyle name="Percent 17 2 2 4" xfId="10763"/>
    <cellStyle name="Percent 17 2 3" xfId="17660"/>
    <cellStyle name="Percent 17 2 3 2" xfId="37065"/>
    <cellStyle name="Percent 17 2 4" xfId="37066"/>
    <cellStyle name="Percent 17 2 4 2" xfId="37067"/>
    <cellStyle name="Percent 17 2 5" xfId="10762"/>
    <cellStyle name="Percent 17 3" xfId="6092"/>
    <cellStyle name="Percent 17 3 2" xfId="10765"/>
    <cellStyle name="Percent 17 3 2 2" xfId="22157"/>
    <cellStyle name="Percent 17 3 3" xfId="19368"/>
    <cellStyle name="Percent 17 3 4" xfId="37068"/>
    <cellStyle name="Percent 17 3 5" xfId="10764"/>
    <cellStyle name="Percent 17 4" xfId="10766"/>
    <cellStyle name="Percent 17 4 2" xfId="10767"/>
    <cellStyle name="Percent 17 4 2 2" xfId="22158"/>
    <cellStyle name="Percent 17 4 3" xfId="19369"/>
    <cellStyle name="Percent 17 5" xfId="17659"/>
    <cellStyle name="Percent 17 5 2" xfId="37069"/>
    <cellStyle name="Percent 17 6" xfId="10761"/>
    <cellStyle name="Percent 18" xfId="3122"/>
    <cellStyle name="Percent 18 2" xfId="3123"/>
    <cellStyle name="Percent 18 2 2" xfId="6095"/>
    <cellStyle name="Percent 18 2 2 2" xfId="22159"/>
    <cellStyle name="Percent 18 2 2 2 2" xfId="37070"/>
    <cellStyle name="Percent 18 2 2 3" xfId="37071"/>
    <cellStyle name="Percent 18 2 2 4" xfId="10770"/>
    <cellStyle name="Percent 18 2 3" xfId="17662"/>
    <cellStyle name="Percent 18 2 3 2" xfId="37072"/>
    <cellStyle name="Percent 18 2 4" xfId="37073"/>
    <cellStyle name="Percent 18 2 4 2" xfId="37074"/>
    <cellStyle name="Percent 18 2 5" xfId="10769"/>
    <cellStyle name="Percent 18 3" xfId="6094"/>
    <cellStyle name="Percent 18 3 2" xfId="10772"/>
    <cellStyle name="Percent 18 3 2 2" xfId="22160"/>
    <cellStyle name="Percent 18 3 3" xfId="19370"/>
    <cellStyle name="Percent 18 3 4" xfId="37075"/>
    <cellStyle name="Percent 18 3 5" xfId="10771"/>
    <cellStyle name="Percent 18 4" xfId="10773"/>
    <cellStyle name="Percent 18 4 2" xfId="10774"/>
    <cellStyle name="Percent 18 4 2 2" xfId="22161"/>
    <cellStyle name="Percent 18 4 3" xfId="19371"/>
    <cellStyle name="Percent 18 5" xfId="17661"/>
    <cellStyle name="Percent 18 5 2" xfId="37076"/>
    <cellStyle name="Percent 18 6" xfId="10768"/>
    <cellStyle name="Percent 19" xfId="3124"/>
    <cellStyle name="Percent 19 2" xfId="3125"/>
    <cellStyle name="Percent 19 2 2" xfId="6097"/>
    <cellStyle name="Percent 19 2 2 2" xfId="22162"/>
    <cellStyle name="Percent 19 2 2 2 2" xfId="37077"/>
    <cellStyle name="Percent 19 2 2 3" xfId="37078"/>
    <cellStyle name="Percent 19 2 2 4" xfId="10777"/>
    <cellStyle name="Percent 19 2 3" xfId="17664"/>
    <cellStyle name="Percent 19 2 3 2" xfId="37079"/>
    <cellStyle name="Percent 19 2 4" xfId="37080"/>
    <cellStyle name="Percent 19 2 4 2" xfId="37081"/>
    <cellStyle name="Percent 19 2 5" xfId="10776"/>
    <cellStyle name="Percent 19 3" xfId="6096"/>
    <cellStyle name="Percent 19 3 2" xfId="10779"/>
    <cellStyle name="Percent 19 3 2 2" xfId="22163"/>
    <cellStyle name="Percent 19 3 3" xfId="19372"/>
    <cellStyle name="Percent 19 3 4" xfId="10778"/>
    <cellStyle name="Percent 19 4" xfId="10780"/>
    <cellStyle name="Percent 19 4 2" xfId="10781"/>
    <cellStyle name="Percent 19 4 2 2" xfId="22164"/>
    <cellStyle name="Percent 19 4 3" xfId="19373"/>
    <cellStyle name="Percent 19 5" xfId="17663"/>
    <cellStyle name="Percent 19 5 2" xfId="37082"/>
    <cellStyle name="Percent 19 6" xfId="10775"/>
    <cellStyle name="Percent 2" xfId="3126"/>
    <cellStyle name="Percent 2 2" xfId="3127"/>
    <cellStyle name="Percent 2 2 2" xfId="3128"/>
    <cellStyle name="Percent 2 2 2 2" xfId="6100"/>
    <cellStyle name="Percent 2 2 2 2 2" xfId="13764"/>
    <cellStyle name="Percent 2 2 2 2 2 2" xfId="37083"/>
    <cellStyle name="Percent 2 2 2 2 3" xfId="22165"/>
    <cellStyle name="Percent 2 2 2 2 4" xfId="10785"/>
    <cellStyle name="Percent 2 2 2 3" xfId="15624"/>
    <cellStyle name="Percent 2 2 2 3 2" xfId="37084"/>
    <cellStyle name="Percent 2 2 2 3 2 2" xfId="37085"/>
    <cellStyle name="Percent 2 2 2 3 3" xfId="37086"/>
    <cellStyle name="Percent 2 2 2 3 4" xfId="37087"/>
    <cellStyle name="Percent 2 2 2 4" xfId="17666"/>
    <cellStyle name="Percent 2 2 2 4 2" xfId="37088"/>
    <cellStyle name="Percent 2 2 2 5" xfId="37089"/>
    <cellStyle name="Percent 2 2 2 5 2" xfId="37090"/>
    <cellStyle name="Percent 2 2 2 6" xfId="10784"/>
    <cellStyle name="Percent 2 2 3" xfId="6099"/>
    <cellStyle name="Percent 2 2 3 2" xfId="13765"/>
    <cellStyle name="Percent 2 2 3 2 2" xfId="13766"/>
    <cellStyle name="Percent 2 2 3 2 2 2" xfId="37091"/>
    <cellStyle name="Percent 2 2 3 2 3" xfId="42313"/>
    <cellStyle name="Percent 2 2 3 3" xfId="22166"/>
    <cellStyle name="Percent 2 2 3 3 2" xfId="37092"/>
    <cellStyle name="Percent 2 2 3 3 2 2" xfId="37093"/>
    <cellStyle name="Percent 2 2 3 3 3" xfId="37094"/>
    <cellStyle name="Percent 2 2 3 4" xfId="37095"/>
    <cellStyle name="Percent 2 2 3 4 2" xfId="37096"/>
    <cellStyle name="Percent 2 2 3 5" xfId="37097"/>
    <cellStyle name="Percent 2 2 3 5 2" xfId="37098"/>
    <cellStyle name="Percent 2 2 3 6" xfId="10786"/>
    <cellStyle name="Percent 2 2 4" xfId="13767"/>
    <cellStyle name="Percent 2 2 4 2" xfId="13768"/>
    <cellStyle name="Percent 2 2 4 2 2" xfId="37099"/>
    <cellStyle name="Percent 2 2 4 3" xfId="42314"/>
    <cellStyle name="Percent 2 2 5" xfId="15625"/>
    <cellStyle name="Percent 2 2 5 2" xfId="37100"/>
    <cellStyle name="Percent 2 2 5 2 2" xfId="37101"/>
    <cellStyle name="Percent 2 2 5 3" xfId="37102"/>
    <cellStyle name="Percent 2 2 5 4" xfId="37103"/>
    <cellStyle name="Percent 2 2 5 5" xfId="37104"/>
    <cellStyle name="Percent 2 2 6" xfId="17665"/>
    <cellStyle name="Percent 2 2 6 2" xfId="37105"/>
    <cellStyle name="Percent 2 2 7" xfId="37106"/>
    <cellStyle name="Percent 2 2 7 2" xfId="37107"/>
    <cellStyle name="Percent 2 2 8" xfId="10783"/>
    <cellStyle name="Percent 2 3" xfId="3129"/>
    <cellStyle name="Percent 2 3 2" xfId="3130"/>
    <cellStyle name="Percent 2 3 2 2" xfId="6101"/>
    <cellStyle name="Percent 2 3 2 2 2" xfId="37108"/>
    <cellStyle name="Percent 2 3 2 2 3" xfId="13769"/>
    <cellStyle name="Percent 2 3 2 3" xfId="22167"/>
    <cellStyle name="Percent 2 3 2 4" xfId="37109"/>
    <cellStyle name="Percent 2 3 2 5" xfId="10788"/>
    <cellStyle name="Percent 2 3 3" xfId="15626"/>
    <cellStyle name="Percent 2 3 3 2" xfId="37110"/>
    <cellStyle name="Percent 2 3 3 3" xfId="37111"/>
    <cellStyle name="Percent 2 3 4" xfId="17667"/>
    <cellStyle name="Percent 2 3 4 2" xfId="37112"/>
    <cellStyle name="Percent 2 3 5" xfId="10787"/>
    <cellStyle name="Percent 2 4" xfId="6098"/>
    <cellStyle name="Percent 2 4 2" xfId="10790"/>
    <cellStyle name="Percent 2 4 2 2" xfId="22168"/>
    <cellStyle name="Percent 2 4 3" xfId="15627"/>
    <cellStyle name="Percent 2 4 3 2" xfId="37113"/>
    <cellStyle name="Percent 2 4 4" xfId="42315"/>
    <cellStyle name="Percent 2 4 5" xfId="10789"/>
    <cellStyle name="Percent 2 5" xfId="10791"/>
    <cellStyle name="Percent 2 5 2" xfId="22169"/>
    <cellStyle name="Percent 2 5 3" xfId="37114"/>
    <cellStyle name="Percent 2 6" xfId="37115"/>
    <cellStyle name="Percent 2 6 2" xfId="37116"/>
    <cellStyle name="Percent 2 7" xfId="37117"/>
    <cellStyle name="Percent 2 7 2" xfId="37118"/>
    <cellStyle name="Percent 2 8" xfId="10782"/>
    <cellStyle name="Percent 20" xfId="3131"/>
    <cellStyle name="Percent 20 2" xfId="3132"/>
    <cellStyle name="Percent 20 2 2" xfId="6103"/>
    <cellStyle name="Percent 20 2 2 2" xfId="19374"/>
    <cellStyle name="Percent 20 2 2 2 2" xfId="37119"/>
    <cellStyle name="Percent 20 2 2 3" xfId="37120"/>
    <cellStyle name="Percent 20 2 2 4" xfId="10794"/>
    <cellStyle name="Percent 20 2 3" xfId="10795"/>
    <cellStyle name="Percent 20 2 3 2" xfId="22170"/>
    <cellStyle name="Percent 20 2 4" xfId="10796"/>
    <cellStyle name="Percent 20 2 4 2" xfId="22171"/>
    <cellStyle name="Percent 20 2 5" xfId="17669"/>
    <cellStyle name="Percent 20 2 6" xfId="10793"/>
    <cellStyle name="Percent 20 3" xfId="6102"/>
    <cellStyle name="Percent 20 3 2" xfId="19375"/>
    <cellStyle name="Percent 20 3 2 2" xfId="37121"/>
    <cellStyle name="Percent 20 3 3" xfId="37122"/>
    <cellStyle name="Percent 20 3 4" xfId="10797"/>
    <cellStyle name="Percent 20 4" xfId="10798"/>
    <cellStyle name="Percent 20 4 2" xfId="22172"/>
    <cellStyle name="Percent 20 5" xfId="10799"/>
    <cellStyle name="Percent 20 5 2" xfId="22173"/>
    <cellStyle name="Percent 20 6" xfId="17668"/>
    <cellStyle name="Percent 20 7" xfId="10792"/>
    <cellStyle name="Percent 21" xfId="3133"/>
    <cellStyle name="Percent 21 2" xfId="10801"/>
    <cellStyle name="Percent 21 2 2" xfId="19376"/>
    <cellStyle name="Percent 21 2 2 2" xfId="37123"/>
    <cellStyle name="Percent 21 2 3" xfId="37124"/>
    <cellStyle name="Percent 21 2 3 2" xfId="37125"/>
    <cellStyle name="Percent 21 2 4" xfId="37126"/>
    <cellStyle name="Percent 21 3" xfId="10802"/>
    <cellStyle name="Percent 21 3 2" xfId="22174"/>
    <cellStyle name="Percent 21 3 2 2" xfId="37127"/>
    <cellStyle name="Percent 21 3 3" xfId="37128"/>
    <cellStyle name="Percent 21 4" xfId="15628"/>
    <cellStyle name="Percent 21 4 2" xfId="37129"/>
    <cellStyle name="Percent 21 4 3" xfId="37130"/>
    <cellStyle name="Percent 21 5" xfId="17670"/>
    <cellStyle name="Percent 21 5 2" xfId="37131"/>
    <cellStyle name="Percent 21 6" xfId="10800"/>
    <cellStyle name="Percent 22" xfId="3134"/>
    <cellStyle name="Percent 22 2" xfId="3135"/>
    <cellStyle name="Percent 22 2 2" xfId="6105"/>
    <cellStyle name="Percent 22 2 2 2" xfId="37132"/>
    <cellStyle name="Percent 22 2 2 3" xfId="15629"/>
    <cellStyle name="Percent 22 2 3" xfId="18073"/>
    <cellStyle name="Percent 22 2 4" xfId="10804"/>
    <cellStyle name="Percent 22 3" xfId="6104"/>
    <cellStyle name="Percent 22 3 2" xfId="10806"/>
    <cellStyle name="Percent 22 3 2 2" xfId="22175"/>
    <cellStyle name="Percent 22 3 3" xfId="19377"/>
    <cellStyle name="Percent 22 3 4" xfId="10805"/>
    <cellStyle name="Percent 22 4" xfId="10807"/>
    <cellStyle name="Percent 22 4 2" xfId="19378"/>
    <cellStyle name="Percent 22 5" xfId="17671"/>
    <cellStyle name="Percent 22 6" xfId="10803"/>
    <cellStyle name="Percent 23" xfId="3346"/>
    <cellStyle name="Percent 23 2" xfId="3376"/>
    <cellStyle name="Percent 23 2 2" xfId="6217"/>
    <cellStyle name="Percent 23 2 2 2" xfId="37133"/>
    <cellStyle name="Percent 23 2 2 3" xfId="19379"/>
    <cellStyle name="Percent 23 2 3" xfId="37134"/>
    <cellStyle name="Percent 23 2 4" xfId="10809"/>
    <cellStyle name="Percent 23 3" xfId="6202"/>
    <cellStyle name="Percent 23 3 2" xfId="10811"/>
    <cellStyle name="Percent 23 3 2 2" xfId="22176"/>
    <cellStyle name="Percent 23 3 3" xfId="19380"/>
    <cellStyle name="Percent 23 3 4" xfId="10810"/>
    <cellStyle name="Percent 23 4" xfId="10812"/>
    <cellStyle name="Percent 23 4 2" xfId="19381"/>
    <cellStyle name="Percent 23 5" xfId="17672"/>
    <cellStyle name="Percent 23 6" xfId="10808"/>
    <cellStyle name="Percent 24" xfId="3373"/>
    <cellStyle name="Percent 24 2" xfId="6211"/>
    <cellStyle name="Percent 24 2 2" xfId="6457"/>
    <cellStyle name="Percent 24 2 2 2" xfId="22177"/>
    <cellStyle name="Percent 24 2 2 3" xfId="10815"/>
    <cellStyle name="Percent 24 2 3" xfId="19383"/>
    <cellStyle name="Percent 24 2 4" xfId="10814"/>
    <cellStyle name="Percent 24 3" xfId="6389"/>
    <cellStyle name="Percent 24 3 2" xfId="10817"/>
    <cellStyle name="Percent 24 3 2 2" xfId="22178"/>
    <cellStyle name="Percent 24 3 3" xfId="19384"/>
    <cellStyle name="Percent 24 3 4" xfId="10816"/>
    <cellStyle name="Percent 24 4" xfId="10818"/>
    <cellStyle name="Percent 24 4 2" xfId="10819"/>
    <cellStyle name="Percent 24 4 2 2" xfId="22179"/>
    <cellStyle name="Percent 24 4 3" xfId="19385"/>
    <cellStyle name="Percent 24 5" xfId="10820"/>
    <cellStyle name="Percent 24 5 2" xfId="22180"/>
    <cellStyle name="Percent 24 6" xfId="19382"/>
    <cellStyle name="Percent 24 7" xfId="10813"/>
    <cellStyle name="Percent 25" xfId="6289"/>
    <cellStyle name="Percent 25 2" xfId="10822"/>
    <cellStyle name="Percent 25 2 2" xfId="10823"/>
    <cellStyle name="Percent 25 2 2 2" xfId="22181"/>
    <cellStyle name="Percent 25 2 3" xfId="19387"/>
    <cellStyle name="Percent 25 3" xfId="10824"/>
    <cellStyle name="Percent 25 3 2" xfId="22182"/>
    <cellStyle name="Percent 25 3 3" xfId="37135"/>
    <cellStyle name="Percent 25 4" xfId="19386"/>
    <cellStyle name="Percent 25 4 2" xfId="37136"/>
    <cellStyle name="Percent 25 4 3" xfId="37137"/>
    <cellStyle name="Percent 25 5" xfId="37138"/>
    <cellStyle name="Percent 25 6" xfId="42316"/>
    <cellStyle name="Percent 25 7" xfId="42317"/>
    <cellStyle name="Percent 25 8" xfId="10821"/>
    <cellStyle name="Percent 26" xfId="6467"/>
    <cellStyle name="Percent 26 2" xfId="10826"/>
    <cellStyle name="Percent 26 2 2" xfId="22183"/>
    <cellStyle name="Percent 26 2 2 2" xfId="37139"/>
    <cellStyle name="Percent 26 3" xfId="19388"/>
    <cellStyle name="Percent 26 3 2" xfId="37140"/>
    <cellStyle name="Percent 26 4" xfId="37141"/>
    <cellStyle name="Percent 26 4 2" xfId="37142"/>
    <cellStyle name="Percent 26 5" xfId="10825"/>
    <cellStyle name="Percent 26 6" xfId="42346"/>
    <cellStyle name="Percent 27" xfId="10827"/>
    <cellStyle name="Percent 27 2" xfId="10828"/>
    <cellStyle name="Percent 27 2 2" xfId="22184"/>
    <cellStyle name="Percent 27 3" xfId="19389"/>
    <cellStyle name="Percent 28" xfId="10829"/>
    <cellStyle name="Percent 28 2" xfId="10830"/>
    <cellStyle name="Percent 28 2 2" xfId="22185"/>
    <cellStyle name="Percent 28 2 3" xfId="37143"/>
    <cellStyle name="Percent 28 3" xfId="19390"/>
    <cellStyle name="Percent 29" xfId="10831"/>
    <cellStyle name="Percent 29 2" xfId="10832"/>
    <cellStyle name="Percent 29 2 2" xfId="22186"/>
    <cellStyle name="Percent 29 2 3" xfId="37144"/>
    <cellStyle name="Percent 29 3" xfId="19391"/>
    <cellStyle name="Percent 3" xfId="3136"/>
    <cellStyle name="Percent 3 10" xfId="10833"/>
    <cellStyle name="Percent 3 2" xfId="3137"/>
    <cellStyle name="Percent 3 2 2" xfId="6107"/>
    <cellStyle name="Percent 3 2 2 2" xfId="10836"/>
    <cellStyle name="Percent 3 2 2 2 2" xfId="22187"/>
    <cellStyle name="Percent 3 2 2 3" xfId="19392"/>
    <cellStyle name="Percent 3 2 2 4" xfId="10835"/>
    <cellStyle name="Percent 3 2 3" xfId="10837"/>
    <cellStyle name="Percent 3 2 3 2" xfId="22188"/>
    <cellStyle name="Percent 3 2 3 2 2" xfId="37145"/>
    <cellStyle name="Percent 3 2 3 3" xfId="37146"/>
    <cellStyle name="Percent 3 2 3 4" xfId="37147"/>
    <cellStyle name="Percent 3 2 4" xfId="17673"/>
    <cellStyle name="Percent 3 2 4 2" xfId="37148"/>
    <cellStyle name="Percent 3 2 5" xfId="37149"/>
    <cellStyle name="Percent 3 2 5 2" xfId="37150"/>
    <cellStyle name="Percent 3 2 6" xfId="10834"/>
    <cellStyle name="Percent 3 3" xfId="3138"/>
    <cellStyle name="Percent 3 3 2" xfId="10839"/>
    <cellStyle name="Percent 3 3 2 2" xfId="13770"/>
    <cellStyle name="Percent 3 3 2 2 2" xfId="37151"/>
    <cellStyle name="Percent 3 3 2 3" xfId="22189"/>
    <cellStyle name="Percent 3 3 3" xfId="15630"/>
    <cellStyle name="Percent 3 3 3 2" xfId="37152"/>
    <cellStyle name="Percent 3 3 3 2 2" xfId="37153"/>
    <cellStyle name="Percent 3 3 3 3" xfId="37154"/>
    <cellStyle name="Percent 3 3 3 4" xfId="37155"/>
    <cellStyle name="Percent 3 3 4" xfId="17674"/>
    <cellStyle name="Percent 3 3 4 2" xfId="37156"/>
    <cellStyle name="Percent 3 3 4 2 2" xfId="37157"/>
    <cellStyle name="Percent 3 3 4 3" xfId="37158"/>
    <cellStyle name="Percent 3 3 5" xfId="37159"/>
    <cellStyle name="Percent 3 3 5 2" xfId="37160"/>
    <cellStyle name="Percent 3 3 6" xfId="37161"/>
    <cellStyle name="Percent 3 3 7" xfId="10838"/>
    <cellStyle name="Percent 3 4" xfId="6106"/>
    <cellStyle name="Percent 3 4 2" xfId="15631"/>
    <cellStyle name="Percent 3 4 2 2" xfId="37162"/>
    <cellStyle name="Percent 3 4 2 2 2" xfId="37163"/>
    <cellStyle name="Percent 3 4 2 3" xfId="37164"/>
    <cellStyle name="Percent 3 4 2 4" xfId="37165"/>
    <cellStyle name="Percent 3 4 3" xfId="37166"/>
    <cellStyle name="Percent 3 4 3 2" xfId="37167"/>
    <cellStyle name="Percent 3 4 3 3" xfId="37168"/>
    <cellStyle name="Percent 3 4 4" xfId="37169"/>
    <cellStyle name="Percent 3 4 4 2" xfId="37170"/>
    <cellStyle name="Percent 3 4 5" xfId="10840"/>
    <cellStyle name="Percent 3 5" xfId="11866"/>
    <cellStyle name="Percent 3 5 2" xfId="13771"/>
    <cellStyle name="Percent 3 5 2 2" xfId="37171"/>
    <cellStyle name="Percent 3 5 3" xfId="42318"/>
    <cellStyle name="Percent 3 6" xfId="13772"/>
    <cellStyle name="Percent 3 6 2" xfId="13773"/>
    <cellStyle name="Percent 3 6 2 2" xfId="37172"/>
    <cellStyle name="Percent 3 6 3" xfId="37173"/>
    <cellStyle name="Percent 3 7" xfId="13774"/>
    <cellStyle name="Percent 3 7 2" xfId="37174"/>
    <cellStyle name="Percent 3 7 3" xfId="37175"/>
    <cellStyle name="Percent 3 8" xfId="37176"/>
    <cellStyle name="Percent 3 8 2" xfId="37177"/>
    <cellStyle name="Percent 3 9" xfId="37178"/>
    <cellStyle name="Percent 3 9 2" xfId="37179"/>
    <cellStyle name="Percent 30" xfId="10841"/>
    <cellStyle name="Percent 30 2" xfId="10842"/>
    <cellStyle name="Percent 30 2 2" xfId="22190"/>
    <cellStyle name="Percent 30 2 3" xfId="37180"/>
    <cellStyle name="Percent 30 3" xfId="19393"/>
    <cellStyle name="Percent 31" xfId="10843"/>
    <cellStyle name="Percent 31 2" xfId="10844"/>
    <cellStyle name="Percent 31 2 2" xfId="22191"/>
    <cellStyle name="Percent 31 2 3" xfId="37181"/>
    <cellStyle name="Percent 31 3" xfId="19394"/>
    <cellStyle name="Percent 32" xfId="10845"/>
    <cellStyle name="Percent 32 2" xfId="10846"/>
    <cellStyle name="Percent 32 2 2" xfId="22192"/>
    <cellStyle name="Percent 32 3" xfId="19395"/>
    <cellStyle name="Percent 32 4" xfId="37182"/>
    <cellStyle name="Percent 33" xfId="10847"/>
    <cellStyle name="Percent 33 2" xfId="10848"/>
    <cellStyle name="Percent 33 2 2" xfId="22193"/>
    <cellStyle name="Percent 33 2 3" xfId="37183"/>
    <cellStyle name="Percent 33 3" xfId="19396"/>
    <cellStyle name="Percent 33 4" xfId="37184"/>
    <cellStyle name="Percent 34" xfId="10849"/>
    <cellStyle name="Percent 34 2" xfId="10850"/>
    <cellStyle name="Percent 34 2 2" xfId="22194"/>
    <cellStyle name="Percent 34 3" xfId="19397"/>
    <cellStyle name="Percent 35" xfId="10851"/>
    <cellStyle name="Percent 35 2" xfId="10852"/>
    <cellStyle name="Percent 35 2 2" xfId="22195"/>
    <cellStyle name="Percent 35 3" xfId="19398"/>
    <cellStyle name="Percent 36" xfId="10853"/>
    <cellStyle name="Percent 36 2" xfId="10854"/>
    <cellStyle name="Percent 36 2 2" xfId="22196"/>
    <cellStyle name="Percent 36 3" xfId="19399"/>
    <cellStyle name="Percent 37" xfId="10855"/>
    <cellStyle name="Percent 37 2" xfId="10856"/>
    <cellStyle name="Percent 37 2 2" xfId="22197"/>
    <cellStyle name="Percent 37 3" xfId="19400"/>
    <cellStyle name="Percent 38" xfId="10857"/>
    <cellStyle name="Percent 38 2" xfId="10858"/>
    <cellStyle name="Percent 38 2 2" xfId="22198"/>
    <cellStyle name="Percent 38 3" xfId="19401"/>
    <cellStyle name="Percent 39" xfId="10859"/>
    <cellStyle name="Percent 39 2" xfId="10860"/>
    <cellStyle name="Percent 39 2 2" xfId="22199"/>
    <cellStyle name="Percent 39 3" xfId="19402"/>
    <cellStyle name="Percent 4" xfId="3139"/>
    <cellStyle name="Percent 4 2" xfId="3140"/>
    <cellStyle name="Percent 4 2 2" xfId="3141"/>
    <cellStyle name="Percent 4 2 2 2" xfId="15632"/>
    <cellStyle name="Percent 4 2 2 2 2" xfId="37185"/>
    <cellStyle name="Percent 4 2 2 2 3" xfId="37186"/>
    <cellStyle name="Percent 4 2 2 3" xfId="17676"/>
    <cellStyle name="Percent 4 2 2 3 2" xfId="37187"/>
    <cellStyle name="Percent 4 2 2 4" xfId="10863"/>
    <cellStyle name="Percent 4 2 3" xfId="10864"/>
    <cellStyle name="Percent 4 2 3 2" xfId="10865"/>
    <cellStyle name="Percent 4 2 3 2 2" xfId="22200"/>
    <cellStyle name="Percent 4 2 3 3" xfId="19403"/>
    <cellStyle name="Percent 4 2 4" xfId="10866"/>
    <cellStyle name="Percent 4 2 4 2" xfId="22201"/>
    <cellStyle name="Percent 4 2 4 3" xfId="37188"/>
    <cellStyle name="Percent 4 2 5" xfId="17675"/>
    <cellStyle name="Percent 4 2 5 2" xfId="37189"/>
    <cellStyle name="Percent 4 2 6" xfId="10862"/>
    <cellStyle name="Percent 4 3" xfId="3142"/>
    <cellStyle name="Percent 4 3 2" xfId="6109"/>
    <cellStyle name="Percent 4 3 2 2" xfId="22202"/>
    <cellStyle name="Percent 4 3 2 2 2" xfId="37190"/>
    <cellStyle name="Percent 4 3 2 3" xfId="37191"/>
    <cellStyle name="Percent 4 3 2 4" xfId="10868"/>
    <cellStyle name="Percent 4 3 3" xfId="17677"/>
    <cellStyle name="Percent 4 3 3 2" xfId="37192"/>
    <cellStyle name="Percent 4 3 4" xfId="37193"/>
    <cellStyle name="Percent 4 3 4 2" xfId="37194"/>
    <cellStyle name="Percent 4 3 5" xfId="37195"/>
    <cellStyle name="Percent 4 3 6" xfId="10867"/>
    <cellStyle name="Percent 4 4" xfId="6108"/>
    <cellStyle name="Percent 4 4 2" xfId="13775"/>
    <cellStyle name="Percent 4 4 2 2" xfId="37196"/>
    <cellStyle name="Percent 4 4 3" xfId="22203"/>
    <cellStyle name="Percent 4 4 4" xfId="10869"/>
    <cellStyle name="Percent 4 5" xfId="13776"/>
    <cellStyle name="Percent 4 5 2" xfId="37197"/>
    <cellStyle name="Percent 4 5 2 2" xfId="37198"/>
    <cellStyle name="Percent 4 5 3" xfId="37199"/>
    <cellStyle name="Percent 4 5 4" xfId="37200"/>
    <cellStyle name="Percent 4 6" xfId="18074"/>
    <cellStyle name="Percent 4 6 2" xfId="37201"/>
    <cellStyle name="Percent 4 7" xfId="37202"/>
    <cellStyle name="Percent 4 7 2" xfId="37203"/>
    <cellStyle name="Percent 4 8" xfId="10861"/>
    <cellStyle name="Percent 40" xfId="10870"/>
    <cellStyle name="Percent 40 2" xfId="10871"/>
    <cellStyle name="Percent 40 2 2" xfId="22204"/>
    <cellStyle name="Percent 40 3" xfId="19404"/>
    <cellStyle name="Percent 41" xfId="10872"/>
    <cellStyle name="Percent 41 2" xfId="10873"/>
    <cellStyle name="Percent 41 2 2" xfId="22205"/>
    <cellStyle name="Percent 41 3" xfId="19405"/>
    <cellStyle name="Percent 41 4" xfId="22586"/>
    <cellStyle name="Percent 42" xfId="10874"/>
    <cellStyle name="Percent 42 2" xfId="10875"/>
    <cellStyle name="Percent 42 2 2" xfId="22206"/>
    <cellStyle name="Percent 42 3" xfId="19406"/>
    <cellStyle name="Percent 43" xfId="10876"/>
    <cellStyle name="Percent 43 2" xfId="10877"/>
    <cellStyle name="Percent 43 2 2" xfId="22207"/>
    <cellStyle name="Percent 43 3" xfId="19407"/>
    <cellStyle name="Percent 44" xfId="10878"/>
    <cellStyle name="Percent 44 2" xfId="10879"/>
    <cellStyle name="Percent 44 2 2" xfId="22208"/>
    <cellStyle name="Percent 44 3" xfId="19408"/>
    <cellStyle name="Percent 45" xfId="10880"/>
    <cellStyle name="Percent 45 2" xfId="10881"/>
    <cellStyle name="Percent 45 2 2" xfId="22209"/>
    <cellStyle name="Percent 45 3" xfId="19409"/>
    <cellStyle name="Percent 46" xfId="10882"/>
    <cellStyle name="Percent 46 2" xfId="19410"/>
    <cellStyle name="Percent 46 2 2" xfId="37204"/>
    <cellStyle name="Percent 47" xfId="10883"/>
    <cellStyle name="Percent 47 2" xfId="19411"/>
    <cellStyle name="Percent 47 2 2" xfId="37205"/>
    <cellStyle name="Percent 48" xfId="10884"/>
    <cellStyle name="Percent 48 2" xfId="19412"/>
    <cellStyle name="Percent 48 2 2" xfId="37206"/>
    <cellStyle name="Percent 49" xfId="10885"/>
    <cellStyle name="Percent 49 2" xfId="19413"/>
    <cellStyle name="Percent 49 2 2" xfId="37207"/>
    <cellStyle name="Percent 5" xfId="3143"/>
    <cellStyle name="Percent 5 2" xfId="3144"/>
    <cellStyle name="Percent 5 2 2" xfId="6110"/>
    <cellStyle name="Percent 5 2 2 2" xfId="22210"/>
    <cellStyle name="Percent 5 2 2 2 2" xfId="37208"/>
    <cellStyle name="Percent 5 2 2 3" xfId="37209"/>
    <cellStyle name="Percent 5 2 2 4" xfId="10888"/>
    <cellStyle name="Percent 5 2 3" xfId="17678"/>
    <cellStyle name="Percent 5 2 3 2" xfId="37210"/>
    <cellStyle name="Percent 5 2 4" xfId="37211"/>
    <cellStyle name="Percent 5 2 4 2" xfId="37212"/>
    <cellStyle name="Percent 5 2 5" xfId="10887"/>
    <cellStyle name="Percent 5 3" xfId="3382"/>
    <cellStyle name="Percent 5 3 2" xfId="13777"/>
    <cellStyle name="Percent 5 3 2 2" xfId="37213"/>
    <cellStyle name="Percent 5 3 3" xfId="22211"/>
    <cellStyle name="Percent 5 3 4" xfId="10889"/>
    <cellStyle name="Percent 5 4" xfId="13778"/>
    <cellStyle name="Percent 5 4 2" xfId="37214"/>
    <cellStyle name="Percent 5 4 2 2" xfId="37215"/>
    <cellStyle name="Percent 5 4 3" xfId="37216"/>
    <cellStyle name="Percent 5 4 4" xfId="37217"/>
    <cellStyle name="Percent 5 5" xfId="17863"/>
    <cellStyle name="Percent 5 5 2" xfId="37218"/>
    <cellStyle name="Percent 5 6" xfId="37219"/>
    <cellStyle name="Percent 5 6 2" xfId="37220"/>
    <cellStyle name="Percent 5 7" xfId="10886"/>
    <cellStyle name="Percent 50" xfId="10890"/>
    <cellStyle name="Percent 50 2" xfId="19414"/>
    <cellStyle name="Percent 50 2 2" xfId="37221"/>
    <cellStyle name="Percent 51" xfId="10891"/>
    <cellStyle name="Percent 51 2" xfId="19415"/>
    <cellStyle name="Percent 51 2 2" xfId="37222"/>
    <cellStyle name="Percent 52" xfId="10892"/>
    <cellStyle name="Percent 52 2" xfId="19416"/>
    <cellStyle name="Percent 52 2 2" xfId="37223"/>
    <cellStyle name="Percent 53" xfId="10893"/>
    <cellStyle name="Percent 53 2" xfId="19417"/>
    <cellStyle name="Percent 53 2 2" xfId="37224"/>
    <cellStyle name="Percent 54" xfId="10894"/>
    <cellStyle name="Percent 54 2" xfId="19418"/>
    <cellStyle name="Percent 54 2 2" xfId="37225"/>
    <cellStyle name="Percent 55" xfId="10895"/>
    <cellStyle name="Percent 55 2" xfId="19419"/>
    <cellStyle name="Percent 55 2 2" xfId="37226"/>
    <cellStyle name="Percent 56" xfId="10896"/>
    <cellStyle name="Percent 56 2" xfId="19420"/>
    <cellStyle name="Percent 56 2 2" xfId="37227"/>
    <cellStyle name="Percent 57" xfId="10897"/>
    <cellStyle name="Percent 57 2" xfId="19421"/>
    <cellStyle name="Percent 57 2 2" xfId="37228"/>
    <cellStyle name="Percent 58" xfId="10898"/>
    <cellStyle name="Percent 58 2" xfId="19422"/>
    <cellStyle name="Percent 58 2 2" xfId="37229"/>
    <cellStyle name="Percent 59" xfId="10899"/>
    <cellStyle name="Percent 59 2" xfId="19423"/>
    <cellStyle name="Percent 59 2 2" xfId="37230"/>
    <cellStyle name="Percent 6" xfId="3145"/>
    <cellStyle name="Percent 6 2" xfId="3146"/>
    <cellStyle name="Percent 6 2 2" xfId="6112"/>
    <cellStyle name="Percent 6 2 2 2" xfId="10903"/>
    <cellStyle name="Percent 6 2 2 2 2" xfId="22212"/>
    <cellStyle name="Percent 6 2 2 2 3" xfId="37231"/>
    <cellStyle name="Percent 6 2 2 3" xfId="19424"/>
    <cellStyle name="Percent 6 2 2 4" xfId="10902"/>
    <cellStyle name="Percent 6 2 3" xfId="10904"/>
    <cellStyle name="Percent 6 2 3 2" xfId="22213"/>
    <cellStyle name="Percent 6 2 3 2 2" xfId="37232"/>
    <cellStyle name="Percent 6 2 3 3" xfId="37233"/>
    <cellStyle name="Percent 6 2 4" xfId="17679"/>
    <cellStyle name="Percent 6 2 4 2" xfId="37234"/>
    <cellStyle name="Percent 6 2 5" xfId="37235"/>
    <cellStyle name="Percent 6 2 6" xfId="10901"/>
    <cellStyle name="Percent 6 3" xfId="6111"/>
    <cellStyle name="Percent 6 3 2" xfId="10906"/>
    <cellStyle name="Percent 6 3 2 2" xfId="22214"/>
    <cellStyle name="Percent 6 3 3" xfId="19425"/>
    <cellStyle name="Percent 6 3 4" xfId="10905"/>
    <cellStyle name="Percent 6 4" xfId="10907"/>
    <cellStyle name="Percent 6 4 2" xfId="22215"/>
    <cellStyle name="Percent 6 4 2 2" xfId="37236"/>
    <cellStyle name="Percent 6 4 3" xfId="37237"/>
    <cellStyle name="Percent 6 4 4" xfId="37238"/>
    <cellStyle name="Percent 6 5" xfId="18075"/>
    <cellStyle name="Percent 6 5 2" xfId="37239"/>
    <cellStyle name="Percent 6 6" xfId="37240"/>
    <cellStyle name="Percent 6 6 2" xfId="37241"/>
    <cellStyle name="Percent 6 7" xfId="10900"/>
    <cellStyle name="Percent 60" xfId="10908"/>
    <cellStyle name="Percent 60 2" xfId="19426"/>
    <cellStyle name="Percent 60 2 2" xfId="37242"/>
    <cellStyle name="Percent 61" xfId="10909"/>
    <cellStyle name="Percent 61 2" xfId="19427"/>
    <cellStyle name="Percent 61 2 2" xfId="37243"/>
    <cellStyle name="Percent 62" xfId="10910"/>
    <cellStyle name="Percent 62 2" xfId="19428"/>
    <cellStyle name="Percent 62 2 2" xfId="37244"/>
    <cellStyle name="Percent 63" xfId="10911"/>
    <cellStyle name="Percent 63 2" xfId="19429"/>
    <cellStyle name="Percent 63 2 2" xfId="37245"/>
    <cellStyle name="Percent 64" xfId="10912"/>
    <cellStyle name="Percent 64 2" xfId="19430"/>
    <cellStyle name="Percent 64 2 2" xfId="37246"/>
    <cellStyle name="Percent 64 3" xfId="37247"/>
    <cellStyle name="Percent 65" xfId="10913"/>
    <cellStyle name="Percent 65 2" xfId="19431"/>
    <cellStyle name="Percent 65 2 2" xfId="37248"/>
    <cellStyle name="Percent 65 2 2 2" xfId="37249"/>
    <cellStyle name="Percent 65 2 3" xfId="37250"/>
    <cellStyle name="Percent 65 3" xfId="37251"/>
    <cellStyle name="Percent 65 3 2" xfId="37252"/>
    <cellStyle name="Percent 65 4" xfId="37253"/>
    <cellStyle name="Percent 66" xfId="10914"/>
    <cellStyle name="Percent 66 2" xfId="19432"/>
    <cellStyle name="Percent 66 2 2" xfId="37254"/>
    <cellStyle name="Percent 66 3" xfId="37255"/>
    <cellStyle name="Percent 67" xfId="10915"/>
    <cellStyle name="Percent 67 2" xfId="19433"/>
    <cellStyle name="Percent 67 2 2" xfId="37256"/>
    <cellStyle name="Percent 67 3" xfId="37257"/>
    <cellStyle name="Percent 68" xfId="10916"/>
    <cellStyle name="Percent 68 2" xfId="22216"/>
    <cellStyle name="Percent 68 2 2" xfId="37258"/>
    <cellStyle name="Percent 68 3" xfId="37259"/>
    <cellStyle name="Percent 69" xfId="10917"/>
    <cellStyle name="Percent 69 2" xfId="22217"/>
    <cellStyle name="Percent 69 2 2" xfId="37260"/>
    <cellStyle name="Percent 69 3" xfId="37261"/>
    <cellStyle name="Percent 7" xfId="3147"/>
    <cellStyle name="Percent 7 10" xfId="10918"/>
    <cellStyle name="Percent 7 2" xfId="3148"/>
    <cellStyle name="Percent 7 2 2" xfId="6113"/>
    <cellStyle name="Percent 7 2 2 2" xfId="37262"/>
    <cellStyle name="Percent 7 2 2 3" xfId="13779"/>
    <cellStyle name="Percent 7 2 3" xfId="15633"/>
    <cellStyle name="Percent 7 2 3 2" xfId="42319"/>
    <cellStyle name="Percent 7 2 4" xfId="18076"/>
    <cellStyle name="Percent 7 2 5" xfId="10919"/>
    <cellStyle name="Percent 7 3" xfId="10920"/>
    <cellStyle name="Percent 7 3 2" xfId="10921"/>
    <cellStyle name="Percent 7 3 2 2" xfId="19435"/>
    <cellStyle name="Percent 7 3 3" xfId="10922"/>
    <cellStyle name="Percent 7 3 3 2" xfId="22218"/>
    <cellStyle name="Percent 7 3 4" xfId="10923"/>
    <cellStyle name="Percent 7 3 4 2" xfId="22219"/>
    <cellStyle name="Percent 7 3 5" xfId="19434"/>
    <cellStyle name="Percent 7 4" xfId="10924"/>
    <cellStyle name="Percent 7 4 2" xfId="10925"/>
    <cellStyle name="Percent 7 4 2 2" xfId="22220"/>
    <cellStyle name="Percent 7 4 3" xfId="19436"/>
    <cellStyle name="Percent 7 5" xfId="10926"/>
    <cellStyle name="Percent 7 5 2" xfId="10927"/>
    <cellStyle name="Percent 7 5 2 2" xfId="22221"/>
    <cellStyle name="Percent 7 5 3" xfId="19437"/>
    <cellStyle name="Percent 7 6" xfId="10928"/>
    <cellStyle name="Percent 7 6 2" xfId="19438"/>
    <cellStyle name="Percent 7 7" xfId="10929"/>
    <cellStyle name="Percent 7 7 2" xfId="22222"/>
    <cellStyle name="Percent 7 8" xfId="10930"/>
    <cellStyle name="Percent 7 8 2" xfId="22223"/>
    <cellStyle name="Percent 7 9" xfId="17680"/>
    <cellStyle name="Percent 70" xfId="10931"/>
    <cellStyle name="Percent 70 2" xfId="22224"/>
    <cellStyle name="Percent 70 2 2" xfId="37263"/>
    <cellStyle name="Percent 70 3" xfId="37264"/>
    <cellStyle name="Percent 71" xfId="10932"/>
    <cellStyle name="Percent 71 2" xfId="22225"/>
    <cellStyle name="Percent 71 2 2" xfId="37265"/>
    <cellStyle name="Percent 71 3" xfId="37266"/>
    <cellStyle name="Percent 72" xfId="10933"/>
    <cellStyle name="Percent 72 2" xfId="22226"/>
    <cellStyle name="Percent 72 2 2" xfId="37267"/>
    <cellStyle name="Percent 72 3" xfId="37268"/>
    <cellStyle name="Percent 73" xfId="10934"/>
    <cellStyle name="Percent 73 2" xfId="22227"/>
    <cellStyle name="Percent 73 2 2" xfId="37269"/>
    <cellStyle name="Percent 73 3" xfId="37270"/>
    <cellStyle name="Percent 74" xfId="10935"/>
    <cellStyle name="Percent 74 2" xfId="22228"/>
    <cellStyle name="Percent 74 2 2" xfId="37271"/>
    <cellStyle name="Percent 74 3" xfId="37272"/>
    <cellStyle name="Percent 75" xfId="10936"/>
    <cellStyle name="Percent 75 2" xfId="22229"/>
    <cellStyle name="Percent 75 2 2" xfId="37273"/>
    <cellStyle name="Percent 75 3" xfId="37274"/>
    <cellStyle name="Percent 76" xfId="10937"/>
    <cellStyle name="Percent 76 2" xfId="22230"/>
    <cellStyle name="Percent 76 2 2" xfId="37275"/>
    <cellStyle name="Percent 76 3" xfId="37276"/>
    <cellStyle name="Percent 77" xfId="10938"/>
    <cellStyle name="Percent 77 2" xfId="22231"/>
    <cellStyle name="Percent 78" xfId="10939"/>
    <cellStyle name="Percent 78 2" xfId="22232"/>
    <cellStyle name="Percent 79" xfId="10940"/>
    <cellStyle name="Percent 79 2" xfId="22233"/>
    <cellStyle name="Percent 79 3" xfId="37277"/>
    <cellStyle name="Percent 79 4" xfId="37278"/>
    <cellStyle name="Percent 8" xfId="3149"/>
    <cellStyle name="Percent 8 2" xfId="3150"/>
    <cellStyle name="Percent 8 2 2" xfId="3151"/>
    <cellStyle name="Percent 8 2 2 2" xfId="6114"/>
    <cellStyle name="Percent 8 2 2 2 2" xfId="37279"/>
    <cellStyle name="Percent 8 2 2 2 3" xfId="37280"/>
    <cellStyle name="Percent 8 2 2 2 4" xfId="15634"/>
    <cellStyle name="Percent 8 2 2 3" xfId="37281"/>
    <cellStyle name="Percent 8 2 2 4" xfId="37282"/>
    <cellStyle name="Percent 8 2 2 5" xfId="13780"/>
    <cellStyle name="Percent 8 2 3" xfId="17682"/>
    <cellStyle name="Percent 8 2 3 2" xfId="37283"/>
    <cellStyle name="Percent 8 2 3 2 2" xfId="37284"/>
    <cellStyle name="Percent 8 2 3 3" xfId="37285"/>
    <cellStyle name="Percent 8 2 4" xfId="37286"/>
    <cellStyle name="Percent 8 2 4 2" xfId="37287"/>
    <cellStyle name="Percent 8 2 5" xfId="37288"/>
    <cellStyle name="Percent 8 2 6" xfId="10942"/>
    <cellStyle name="Percent 8 3" xfId="3152"/>
    <cellStyle name="Percent 8 3 2" xfId="6115"/>
    <cellStyle name="Percent 8 3 2 2" xfId="37289"/>
    <cellStyle name="Percent 8 3 2 3" xfId="13781"/>
    <cellStyle name="Percent 8 3 3" xfId="17939"/>
    <cellStyle name="Percent 8 3 4" xfId="10943"/>
    <cellStyle name="Percent 8 4" xfId="13782"/>
    <cellStyle name="Percent 8 4 2" xfId="37290"/>
    <cellStyle name="Percent 8 4 2 2" xfId="37291"/>
    <cellStyle name="Percent 8 4 3" xfId="37292"/>
    <cellStyle name="Percent 8 4 4" xfId="37293"/>
    <cellStyle name="Percent 8 5" xfId="17681"/>
    <cellStyle name="Percent 8 5 2" xfId="37294"/>
    <cellStyle name="Percent 8 5 2 2" xfId="37295"/>
    <cellStyle name="Percent 8 5 3" xfId="37296"/>
    <cellStyle name="Percent 8 6" xfId="37297"/>
    <cellStyle name="Percent 8 6 2" xfId="37298"/>
    <cellStyle name="Percent 8 7" xfId="37299"/>
    <cellStyle name="Percent 8 8" xfId="10941"/>
    <cellStyle name="Percent 80" xfId="10944"/>
    <cellStyle name="Percent 80 2" xfId="22234"/>
    <cellStyle name="Percent 80 3" xfId="37300"/>
    <cellStyle name="Percent 80 4" xfId="37301"/>
    <cellStyle name="Percent 81" xfId="10945"/>
    <cellStyle name="Percent 81 2" xfId="22235"/>
    <cellStyle name="Percent 81 3" xfId="37302"/>
    <cellStyle name="Percent 81 4" xfId="37303"/>
    <cellStyle name="Percent 82" xfId="10946"/>
    <cellStyle name="Percent 82 2" xfId="22236"/>
    <cellStyle name="Percent 82 3" xfId="37304"/>
    <cellStyle name="Percent 82 4" xfId="37305"/>
    <cellStyle name="Percent 83" xfId="10947"/>
    <cellStyle name="Percent 83 2" xfId="37306"/>
    <cellStyle name="Percent 83 3" xfId="37307"/>
    <cellStyle name="Percent 83 4" xfId="37308"/>
    <cellStyle name="Percent 84" xfId="10948"/>
    <cellStyle name="Percent 84 2" xfId="37309"/>
    <cellStyle name="Percent 84 3" xfId="37310"/>
    <cellStyle name="Percent 84 4" xfId="37311"/>
    <cellStyle name="Percent 85" xfId="10949"/>
    <cellStyle name="Percent 85 2" xfId="37312"/>
    <cellStyle name="Percent 85 3" xfId="37313"/>
    <cellStyle name="Percent 85 4" xfId="37314"/>
    <cellStyle name="Percent 86" xfId="10950"/>
    <cellStyle name="Percent 86 2" xfId="37315"/>
    <cellStyle name="Percent 87" xfId="10951"/>
    <cellStyle name="Percent 87 2" xfId="37316"/>
    <cellStyle name="Percent 87 3" xfId="37317"/>
    <cellStyle name="Percent 88" xfId="10952"/>
    <cellStyle name="Percent 88 2" xfId="37318"/>
    <cellStyle name="Percent 88 3" xfId="37319"/>
    <cellStyle name="Percent 89" xfId="10953"/>
    <cellStyle name="Percent 89 2" xfId="37320"/>
    <cellStyle name="Percent 89 3" xfId="37321"/>
    <cellStyle name="Percent 9" xfId="3153"/>
    <cellStyle name="Percent 9 2" xfId="3154"/>
    <cellStyle name="Percent 9 2 2" xfId="6117"/>
    <cellStyle name="Percent 9 2 2 2" xfId="15635"/>
    <cellStyle name="Percent 9 2 2 2 2" xfId="37322"/>
    <cellStyle name="Percent 9 2 2 2 3" xfId="37323"/>
    <cellStyle name="Percent 9 2 2 3" xfId="37324"/>
    <cellStyle name="Percent 9 2 2 4" xfId="10956"/>
    <cellStyle name="Percent 9 2 3" xfId="37325"/>
    <cellStyle name="Percent 9 2 3 2" xfId="37326"/>
    <cellStyle name="Percent 9 2 3 2 2" xfId="37327"/>
    <cellStyle name="Percent 9 2 3 3" xfId="37328"/>
    <cellStyle name="Percent 9 2 4" xfId="37329"/>
    <cellStyle name="Percent 9 2 4 2" xfId="37330"/>
    <cellStyle name="Percent 9 2 5" xfId="37331"/>
    <cellStyle name="Percent 9 2 6" xfId="10955"/>
    <cellStyle name="Percent 9 3" xfId="6116"/>
    <cellStyle name="Percent 9 3 2" xfId="15636"/>
    <cellStyle name="Percent 9 3 2 2" xfId="37332"/>
    <cellStyle name="Percent 9 3 2 3" xfId="37333"/>
    <cellStyle name="Percent 9 3 3" xfId="22237"/>
    <cellStyle name="Percent 9 3 4" xfId="10957"/>
    <cellStyle name="Percent 9 4" xfId="37334"/>
    <cellStyle name="Percent 9 4 2" xfId="37335"/>
    <cellStyle name="Percent 9 4 2 2" xfId="37336"/>
    <cellStyle name="Percent 9 4 3" xfId="37337"/>
    <cellStyle name="Percent 9 5" xfId="37338"/>
    <cellStyle name="Percent 9 5 2" xfId="37339"/>
    <cellStyle name="Percent 9 5 2 2" xfId="37340"/>
    <cellStyle name="Percent 9 5 3" xfId="37341"/>
    <cellStyle name="Percent 9 6" xfId="37342"/>
    <cellStyle name="Percent 9 6 2" xfId="37343"/>
    <cellStyle name="Percent 9 7" xfId="37344"/>
    <cellStyle name="Percent 9 8" xfId="10954"/>
    <cellStyle name="Percent 90" xfId="10958"/>
    <cellStyle name="Percent 90 2" xfId="37345"/>
    <cellStyle name="Percent 91" xfId="10959"/>
    <cellStyle name="Percent 91 2" xfId="37346"/>
    <cellStyle name="Percent 92" xfId="13997"/>
    <cellStyle name="Percent 92 2" xfId="37347"/>
    <cellStyle name="Percent 93" xfId="14230"/>
    <cellStyle name="Percent 93 2" xfId="37348"/>
    <cellStyle name="Percent 94" xfId="14317"/>
    <cellStyle name="Percent 94 2" xfId="37349"/>
    <cellStyle name="Percent 95" xfId="17641"/>
    <cellStyle name="Percent 95 2" xfId="37350"/>
    <cellStyle name="Percent 96" xfId="22357"/>
    <cellStyle name="Percent 96 2" xfId="37351"/>
    <cellStyle name="Percent 97" xfId="37352"/>
    <cellStyle name="Percent 97 2" xfId="37353"/>
    <cellStyle name="Percent 98" xfId="37354"/>
    <cellStyle name="Percent 99" xfId="37355"/>
    <cellStyle name="Processing" xfId="3155"/>
    <cellStyle name="Processing 2" xfId="3156"/>
    <cellStyle name="Processing 2 2" xfId="3157"/>
    <cellStyle name="Processing 2 2 2" xfId="6120"/>
    <cellStyle name="Processing 2 2 2 2" xfId="37356"/>
    <cellStyle name="Processing 2 2 2 2 2" xfId="37357"/>
    <cellStyle name="Processing 2 2 2 3" xfId="37358"/>
    <cellStyle name="Processing 2 2 2 4" xfId="15637"/>
    <cellStyle name="Processing 2 2 3" xfId="17685"/>
    <cellStyle name="Processing 2 2 3 2" xfId="37359"/>
    <cellStyle name="Processing 2 2 4" xfId="37360"/>
    <cellStyle name="Processing 2 2 4 2" xfId="37361"/>
    <cellStyle name="Processing 2 2 5" xfId="10962"/>
    <cellStyle name="Processing 2 3" xfId="6119"/>
    <cellStyle name="Processing 2 3 2" xfId="37362"/>
    <cellStyle name="Processing 2 3 2 2" xfId="37363"/>
    <cellStyle name="Processing 2 3 3" xfId="37364"/>
    <cellStyle name="Processing 2 3 4" xfId="13783"/>
    <cellStyle name="Processing 2 4" xfId="17684"/>
    <cellStyle name="Processing 2 4 2" xfId="37365"/>
    <cellStyle name="Processing 2 4 2 2" xfId="37366"/>
    <cellStyle name="Processing 2 4 3" xfId="37367"/>
    <cellStyle name="Processing 2 5" xfId="37368"/>
    <cellStyle name="Processing 2 5 2" xfId="37369"/>
    <cellStyle name="Processing 2 6" xfId="37370"/>
    <cellStyle name="Processing 2 6 2" xfId="37371"/>
    <cellStyle name="Processing 2 7" xfId="10961"/>
    <cellStyle name="Processing 3" xfId="3158"/>
    <cellStyle name="Processing 3 2" xfId="6121"/>
    <cellStyle name="Processing 3 2 2" xfId="37372"/>
    <cellStyle name="Processing 3 2 2 2" xfId="37373"/>
    <cellStyle name="Processing 3 2 3" xfId="37374"/>
    <cellStyle name="Processing 3 2 4" xfId="15638"/>
    <cellStyle name="Processing 3 3" xfId="17686"/>
    <cellStyle name="Processing 3 3 2" xfId="37375"/>
    <cellStyle name="Processing 3 4" xfId="37376"/>
    <cellStyle name="Processing 3 4 2" xfId="37377"/>
    <cellStyle name="Processing 3 5" xfId="10963"/>
    <cellStyle name="Processing 4" xfId="6118"/>
    <cellStyle name="Processing 4 2" xfId="13785"/>
    <cellStyle name="Processing 4 2 2" xfId="37378"/>
    <cellStyle name="Processing 4 3" xfId="42320"/>
    <cellStyle name="Processing 4 4" xfId="13784"/>
    <cellStyle name="Processing 5" xfId="13786"/>
    <cellStyle name="Processing 5 2" xfId="37379"/>
    <cellStyle name="Processing 5 2 2" xfId="37380"/>
    <cellStyle name="Processing 5 3" xfId="37381"/>
    <cellStyle name="Processing 5 4" xfId="37382"/>
    <cellStyle name="Processing 6" xfId="17683"/>
    <cellStyle name="Processing 6 2" xfId="37383"/>
    <cellStyle name="Processing 7" xfId="37384"/>
    <cellStyle name="Processing 7 2" xfId="37385"/>
    <cellStyle name="Processing 8" xfId="10960"/>
    <cellStyle name="Processing_AURORA Total New" xfId="3159"/>
    <cellStyle name="Protected" xfId="37386"/>
    <cellStyle name="ProtectedDates" xfId="37387"/>
    <cellStyle name="PSChar" xfId="3160"/>
    <cellStyle name="PSChar 2" xfId="3161"/>
    <cellStyle name="PSChar 2 2" xfId="3162"/>
    <cellStyle name="PSChar 2 2 2" xfId="18077"/>
    <cellStyle name="PSChar 2 2 3" xfId="10966"/>
    <cellStyle name="PSChar 2 3" xfId="15639"/>
    <cellStyle name="PSChar 2 3 2" xfId="37388"/>
    <cellStyle name="PSChar 2 4" xfId="17688"/>
    <cellStyle name="PSChar 2 5" xfId="10965"/>
    <cellStyle name="PSChar 3" xfId="10967"/>
    <cellStyle name="PSChar 3 2" xfId="17864"/>
    <cellStyle name="PSChar 3 3" xfId="37389"/>
    <cellStyle name="PSChar 4" xfId="10968"/>
    <cellStyle name="PSChar 4 2" xfId="37390"/>
    <cellStyle name="PSChar 5" xfId="17687"/>
    <cellStyle name="PSChar 6" xfId="10964"/>
    <cellStyle name="PSDate" xfId="3163"/>
    <cellStyle name="PSDate 2" xfId="3164"/>
    <cellStyle name="PSDate 2 2" xfId="3165"/>
    <cellStyle name="PSDate 2 2 2" xfId="18078"/>
    <cellStyle name="PSDate 2 2 3" xfId="10971"/>
    <cellStyle name="PSDate 2 3" xfId="15640"/>
    <cellStyle name="PSDate 2 3 2" xfId="37391"/>
    <cellStyle name="PSDate 2 4" xfId="17690"/>
    <cellStyle name="PSDate 2 5" xfId="10970"/>
    <cellStyle name="PSDate 3" xfId="10972"/>
    <cellStyle name="PSDate 3 2" xfId="17865"/>
    <cellStyle name="PSDate 3 3" xfId="37392"/>
    <cellStyle name="PSDate 4" xfId="10973"/>
    <cellStyle name="PSDate 4 2" xfId="37393"/>
    <cellStyle name="PSDate 5" xfId="17689"/>
    <cellStyle name="PSDate 6" xfId="10969"/>
    <cellStyle name="PSDec" xfId="3166"/>
    <cellStyle name="PSDec 2" xfId="3167"/>
    <cellStyle name="PSDec 2 2" xfId="3168"/>
    <cellStyle name="PSDec 2 2 2" xfId="18079"/>
    <cellStyle name="PSDec 2 2 3" xfId="10976"/>
    <cellStyle name="PSDec 2 3" xfId="15641"/>
    <cellStyle name="PSDec 2 3 2" xfId="37394"/>
    <cellStyle name="PSDec 2 4" xfId="17692"/>
    <cellStyle name="PSDec 2 5" xfId="10975"/>
    <cellStyle name="PSDec 3" xfId="10977"/>
    <cellStyle name="PSDec 3 2" xfId="17866"/>
    <cellStyle name="PSDec 3 3" xfId="37395"/>
    <cellStyle name="PSDec 4" xfId="10978"/>
    <cellStyle name="PSDec 4 2" xfId="37396"/>
    <cellStyle name="PSDec 5" xfId="17691"/>
    <cellStyle name="PSDec 6" xfId="10974"/>
    <cellStyle name="PSHeading" xfId="3169"/>
    <cellStyle name="PSHeading 2" xfId="3170"/>
    <cellStyle name="PSHeading 2 2" xfId="3171"/>
    <cellStyle name="PSHeading 2 2 2" xfId="18080"/>
    <cellStyle name="PSHeading 2 2 3" xfId="37397"/>
    <cellStyle name="PSHeading 2 2 4" xfId="10981"/>
    <cellStyle name="PSHeading 2 3" xfId="15642"/>
    <cellStyle name="PSHeading 2 3 2" xfId="37398"/>
    <cellStyle name="PSHeading 2 4" xfId="17694"/>
    <cellStyle name="PSHeading 2 5" xfId="10980"/>
    <cellStyle name="PSHeading 3" xfId="10982"/>
    <cellStyle name="PSHeading 3 2" xfId="17867"/>
    <cellStyle name="PSHeading 3 3" xfId="37399"/>
    <cellStyle name="PSHeading 4" xfId="10983"/>
    <cellStyle name="PSHeading 4 2" xfId="37400"/>
    <cellStyle name="PSHeading 5" xfId="17693"/>
    <cellStyle name="PSHeading 6" xfId="10979"/>
    <cellStyle name="PSInt" xfId="3172"/>
    <cellStyle name="PSInt 2" xfId="3173"/>
    <cellStyle name="PSInt 2 2" xfId="3174"/>
    <cellStyle name="PSInt 2 2 2" xfId="18081"/>
    <cellStyle name="PSInt 2 2 3" xfId="10986"/>
    <cellStyle name="PSInt 2 3" xfId="15643"/>
    <cellStyle name="PSInt 2 3 2" xfId="37401"/>
    <cellStyle name="PSInt 2 4" xfId="17696"/>
    <cellStyle name="PSInt 2 5" xfId="10985"/>
    <cellStyle name="PSInt 3" xfId="10987"/>
    <cellStyle name="PSInt 3 2" xfId="17868"/>
    <cellStyle name="PSInt 3 3" xfId="37402"/>
    <cellStyle name="PSInt 4" xfId="10988"/>
    <cellStyle name="PSInt 4 2" xfId="37403"/>
    <cellStyle name="PSInt 5" xfId="17695"/>
    <cellStyle name="PSInt 6" xfId="10984"/>
    <cellStyle name="PSSpacer" xfId="3175"/>
    <cellStyle name="PSSpacer 2" xfId="3176"/>
    <cellStyle name="PSSpacer 2 2" xfId="3177"/>
    <cellStyle name="PSSpacer 2 2 2" xfId="18082"/>
    <cellStyle name="PSSpacer 2 2 3" xfId="10991"/>
    <cellStyle name="PSSpacer 2 3" xfId="15644"/>
    <cellStyle name="PSSpacer 2 3 2" xfId="37404"/>
    <cellStyle name="PSSpacer 2 4" xfId="17698"/>
    <cellStyle name="PSSpacer 2 5" xfId="10990"/>
    <cellStyle name="PSSpacer 3" xfId="10992"/>
    <cellStyle name="PSSpacer 3 2" xfId="17869"/>
    <cellStyle name="PSSpacer 3 3" xfId="37405"/>
    <cellStyle name="PSSpacer 4" xfId="10993"/>
    <cellStyle name="PSSpacer 4 2" xfId="37406"/>
    <cellStyle name="PSSpacer 5" xfId="17697"/>
    <cellStyle name="PSSpacer 6" xfId="10989"/>
    <cellStyle name="purple - Style8" xfId="3178"/>
    <cellStyle name="purple - Style8 2" xfId="3179"/>
    <cellStyle name="purple - Style8 2 2" xfId="13787"/>
    <cellStyle name="purple - Style8 2 2 2" xfId="37407"/>
    <cellStyle name="purple - Style8 2 3" xfId="17870"/>
    <cellStyle name="purple - Style8 2 4" xfId="10995"/>
    <cellStyle name="purple - Style8 3" xfId="13788"/>
    <cellStyle name="purple - Style8 3 2" xfId="37408"/>
    <cellStyle name="purple - Style8 3 2 2" xfId="37409"/>
    <cellStyle name="purple - Style8 3 3" xfId="37410"/>
    <cellStyle name="purple - Style8 3 4" xfId="37411"/>
    <cellStyle name="purple - Style8 4" xfId="17699"/>
    <cellStyle name="purple - Style8 4 2" xfId="37412"/>
    <cellStyle name="purple - Style8 5" xfId="37413"/>
    <cellStyle name="purple - Style8 6" xfId="10994"/>
    <cellStyle name="purple - Style8_Electric Rev Req Model (2009 GRC) Rebuttal" xfId="10996"/>
    <cellStyle name="RED" xfId="3180"/>
    <cellStyle name="Red - Style7" xfId="3181"/>
    <cellStyle name="Red - Style7 2" xfId="3182"/>
    <cellStyle name="Red - Style7 2 2" xfId="13789"/>
    <cellStyle name="Red - Style7 2 2 2" xfId="37414"/>
    <cellStyle name="Red - Style7 2 3" xfId="17871"/>
    <cellStyle name="Red - Style7 2 4" xfId="10999"/>
    <cellStyle name="Red - Style7 3" xfId="13790"/>
    <cellStyle name="Red - Style7 3 2" xfId="37415"/>
    <cellStyle name="Red - Style7 3 2 2" xfId="37416"/>
    <cellStyle name="Red - Style7 3 3" xfId="37417"/>
    <cellStyle name="Red - Style7 3 4" xfId="37418"/>
    <cellStyle name="Red - Style7 4" xfId="17701"/>
    <cellStyle name="Red - Style7 4 2" xfId="37419"/>
    <cellStyle name="Red - Style7 5" xfId="37420"/>
    <cellStyle name="Red - Style7 6" xfId="10998"/>
    <cellStyle name="Red - Style7_Electric Rev Req Model (2009 GRC) Rebuttal" xfId="11000"/>
    <cellStyle name="RED 10" xfId="37421"/>
    <cellStyle name="RED 10 2" xfId="37422"/>
    <cellStyle name="RED 10 2 2" xfId="37423"/>
    <cellStyle name="RED 10 3" xfId="37424"/>
    <cellStyle name="RED 11" xfId="37425"/>
    <cellStyle name="RED 11 2" xfId="37426"/>
    <cellStyle name="RED 11 2 2" xfId="37427"/>
    <cellStyle name="RED 11 3" xfId="37428"/>
    <cellStyle name="RED 12" xfId="37429"/>
    <cellStyle name="RED 12 2" xfId="37430"/>
    <cellStyle name="RED 12 2 2" xfId="37431"/>
    <cellStyle name="RED 12 3" xfId="37432"/>
    <cellStyle name="RED 13" xfId="37433"/>
    <cellStyle name="RED 13 2" xfId="37434"/>
    <cellStyle name="RED 13 2 2" xfId="37435"/>
    <cellStyle name="RED 13 3" xfId="37436"/>
    <cellStyle name="RED 14" xfId="37437"/>
    <cellStyle name="RED 14 2" xfId="37438"/>
    <cellStyle name="RED 15" xfId="37439"/>
    <cellStyle name="RED 15 2" xfId="37440"/>
    <cellStyle name="RED 16" xfId="37441"/>
    <cellStyle name="RED 16 2" xfId="37442"/>
    <cellStyle name="RED 17" xfId="37443"/>
    <cellStyle name="RED 17 2" xfId="37444"/>
    <cellStyle name="RED 18" xfId="37445"/>
    <cellStyle name="RED 18 2" xfId="37446"/>
    <cellStyle name="RED 19" xfId="37447"/>
    <cellStyle name="RED 19 2" xfId="37448"/>
    <cellStyle name="RED 2" xfId="3183"/>
    <cellStyle name="RED 2 2" xfId="3184"/>
    <cellStyle name="RED 2 2 2" xfId="18083"/>
    <cellStyle name="RED 2 2 3" xfId="11002"/>
    <cellStyle name="RED 2 3" xfId="15645"/>
    <cellStyle name="RED 2 3 2" xfId="42321"/>
    <cellStyle name="RED 2 4" xfId="17702"/>
    <cellStyle name="RED 2 5" xfId="11001"/>
    <cellStyle name="RED 20" xfId="37449"/>
    <cellStyle name="RED 20 2" xfId="37450"/>
    <cellStyle name="RED 21" xfId="37451"/>
    <cellStyle name="RED 21 2" xfId="37452"/>
    <cellStyle name="RED 22" xfId="37453"/>
    <cellStyle name="RED 22 2" xfId="37454"/>
    <cellStyle name="RED 23" xfId="37455"/>
    <cellStyle name="RED 23 2" xfId="37456"/>
    <cellStyle name="RED 24" xfId="37457"/>
    <cellStyle name="RED 24 2" xfId="37458"/>
    <cellStyle name="RED 25" xfId="37459"/>
    <cellStyle name="RED 25 2" xfId="37460"/>
    <cellStyle name="RED 26" xfId="37461"/>
    <cellStyle name="RED 26 2" xfId="37462"/>
    <cellStyle name="RED 27" xfId="37463"/>
    <cellStyle name="RED 28" xfId="37464"/>
    <cellStyle name="RED 29" xfId="37465"/>
    <cellStyle name="RED 3" xfId="13791"/>
    <cellStyle name="RED 3 2" xfId="13792"/>
    <cellStyle name="RED 3 2 2" xfId="37466"/>
    <cellStyle name="RED 3 3" xfId="37467"/>
    <cellStyle name="RED 30" xfId="37468"/>
    <cellStyle name="RED 31" xfId="10997"/>
    <cellStyle name="RED 4" xfId="13793"/>
    <cellStyle name="RED 4 2" xfId="13794"/>
    <cellStyle name="RED 4 2 2" xfId="37469"/>
    <cellStyle name="RED 4 3" xfId="37470"/>
    <cellStyle name="RED 5" xfId="13795"/>
    <cellStyle name="RED 5 2" xfId="13796"/>
    <cellStyle name="RED 5 2 2" xfId="37471"/>
    <cellStyle name="RED 5 3" xfId="37472"/>
    <cellStyle name="RED 6" xfId="13797"/>
    <cellStyle name="RED 6 2" xfId="13798"/>
    <cellStyle name="RED 6 2 2" xfId="37473"/>
    <cellStyle name="RED 6 3" xfId="37474"/>
    <cellStyle name="RED 7" xfId="13799"/>
    <cellStyle name="RED 7 2" xfId="37475"/>
    <cellStyle name="RED 7 2 2" xfId="37476"/>
    <cellStyle name="RED 7 3" xfId="37477"/>
    <cellStyle name="RED 7 4" xfId="37478"/>
    <cellStyle name="RED 8" xfId="17700"/>
    <cellStyle name="RED 8 2" xfId="37479"/>
    <cellStyle name="RED 8 2 2" xfId="37480"/>
    <cellStyle name="RED 8 3" xfId="37481"/>
    <cellStyle name="RED 9" xfId="22358"/>
    <cellStyle name="RED 9 2" xfId="37482"/>
    <cellStyle name="RED 9 2 2" xfId="37483"/>
    <cellStyle name="RED 9 3" xfId="37484"/>
    <cellStyle name="RED_04 07E Wild Horse Wind Expansion (C) (2)" xfId="3185"/>
    <cellStyle name="Report" xfId="3186"/>
    <cellStyle name="Report - Style5" xfId="11004"/>
    <cellStyle name="Report - Style5 2" xfId="17872"/>
    <cellStyle name="Report - Style6" xfId="11005"/>
    <cellStyle name="Report - Style6 2" xfId="17873"/>
    <cellStyle name="Report - Style7" xfId="11006"/>
    <cellStyle name="Report - Style7 2" xfId="11007"/>
    <cellStyle name="Report - Style7 3" xfId="11008"/>
    <cellStyle name="Report - Style7 4" xfId="11009"/>
    <cellStyle name="Report - Style7 5" xfId="11010"/>
    <cellStyle name="Report - Style7 6" xfId="17874"/>
    <cellStyle name="Report - Style7 7" xfId="22370"/>
    <cellStyle name="Report - Style8" xfId="11011"/>
    <cellStyle name="Report - Style8 2" xfId="11012"/>
    <cellStyle name="Report - Style8 3" xfId="11013"/>
    <cellStyle name="Report - Style8 4" xfId="11014"/>
    <cellStyle name="Report - Style8 5" xfId="11015"/>
    <cellStyle name="Report - Style8 6" xfId="17875"/>
    <cellStyle name="Report - Style8 7" xfId="22371"/>
    <cellStyle name="Report 2" xfId="3187"/>
    <cellStyle name="Report 2 2" xfId="3188"/>
    <cellStyle name="Report 2 2 2" xfId="6124"/>
    <cellStyle name="Report 2 2 2 2" xfId="37485"/>
    <cellStyle name="Report 2 2 2 2 2" xfId="37486"/>
    <cellStyle name="Report 2 2 2 3" xfId="37487"/>
    <cellStyle name="Report 2 2 2 4" xfId="15646"/>
    <cellStyle name="Report 2 2 3" xfId="17705"/>
    <cellStyle name="Report 2 2 3 2" xfId="37488"/>
    <cellStyle name="Report 2 2 4" xfId="37489"/>
    <cellStyle name="Report 2 2 4 2" xfId="37490"/>
    <cellStyle name="Report 2 2 5" xfId="11017"/>
    <cellStyle name="Report 2 3" xfId="6123"/>
    <cellStyle name="Report 2 3 2" xfId="37491"/>
    <cellStyle name="Report 2 3 2 2" xfId="37492"/>
    <cellStyle name="Report 2 3 3" xfId="37493"/>
    <cellStyle name="Report 2 3 4" xfId="13800"/>
    <cellStyle name="Report 2 4" xfId="17704"/>
    <cellStyle name="Report 2 4 2" xfId="37494"/>
    <cellStyle name="Report 2 4 2 2" xfId="37495"/>
    <cellStyle name="Report 2 4 3" xfId="37496"/>
    <cellStyle name="Report 2 5" xfId="37497"/>
    <cellStyle name="Report 2 5 2" xfId="37498"/>
    <cellStyle name="Report 2 6" xfId="37499"/>
    <cellStyle name="Report 2 6 2" xfId="37500"/>
    <cellStyle name="Report 2 7" xfId="11016"/>
    <cellStyle name="Report 3" xfId="3189"/>
    <cellStyle name="Report 3 2" xfId="6125"/>
    <cellStyle name="Report 3 2 2" xfId="37501"/>
    <cellStyle name="Report 3 2 2 2" xfId="37502"/>
    <cellStyle name="Report 3 2 3" xfId="37503"/>
    <cellStyle name="Report 3 2 4" xfId="15647"/>
    <cellStyle name="Report 3 3" xfId="17706"/>
    <cellStyle name="Report 3 3 2" xfId="37504"/>
    <cellStyle name="Report 3 4" xfId="37505"/>
    <cellStyle name="Report 3 4 2" xfId="37506"/>
    <cellStyle name="Report 3 5" xfId="11018"/>
    <cellStyle name="Report 4" xfId="6122"/>
    <cellStyle name="Report 4 2" xfId="13801"/>
    <cellStyle name="Report 4 2 2" xfId="37507"/>
    <cellStyle name="Report 4 3" xfId="17940"/>
    <cellStyle name="Report 4 4" xfId="11019"/>
    <cellStyle name="Report 5" xfId="13802"/>
    <cellStyle name="Report 5 2" xfId="37508"/>
    <cellStyle name="Report 5 2 2" xfId="37509"/>
    <cellStyle name="Report 5 3" xfId="37510"/>
    <cellStyle name="Report 5 4" xfId="37511"/>
    <cellStyle name="Report 6" xfId="17703"/>
    <cellStyle name="Report 6 2" xfId="37512"/>
    <cellStyle name="Report 7" xfId="22359"/>
    <cellStyle name="Report 7 2" xfId="37513"/>
    <cellStyle name="Report 8" xfId="11003"/>
    <cellStyle name="Report Bar" xfId="3190"/>
    <cellStyle name="Report Bar 2" xfId="3191"/>
    <cellStyle name="Report Bar 2 2" xfId="3192"/>
    <cellStyle name="Report Bar 2 2 2" xfId="6128"/>
    <cellStyle name="Report Bar 2 2 2 2" xfId="37514"/>
    <cellStyle name="Report Bar 2 2 2 2 2" xfId="37515"/>
    <cellStyle name="Report Bar 2 2 2 3" xfId="37516"/>
    <cellStyle name="Report Bar 2 2 2 4" xfId="11023"/>
    <cellStyle name="Report Bar 2 2 3" xfId="11024"/>
    <cellStyle name="Report Bar 2 2 3 2" xfId="37517"/>
    <cellStyle name="Report Bar 2 2 4" xfId="11025"/>
    <cellStyle name="Report Bar 2 2 4 2" xfId="37518"/>
    <cellStyle name="Report Bar 2 2 5" xfId="17709"/>
    <cellStyle name="Report Bar 2 2 6" xfId="22361"/>
    <cellStyle name="Report Bar 2 2 7" xfId="11022"/>
    <cellStyle name="Report Bar 2 3" xfId="6127"/>
    <cellStyle name="Report Bar 2 3 2" xfId="37519"/>
    <cellStyle name="Report Bar 2 3 2 2" xfId="37520"/>
    <cellStyle name="Report Bar 2 3 3" xfId="37521"/>
    <cellStyle name="Report Bar 2 3 4" xfId="11026"/>
    <cellStyle name="Report Bar 2 4" xfId="11027"/>
    <cellStyle name="Report Bar 2 4 2" xfId="37522"/>
    <cellStyle name="Report Bar 2 4 2 2" xfId="37523"/>
    <cellStyle name="Report Bar 2 4 3" xfId="37524"/>
    <cellStyle name="Report Bar 2 5" xfId="11028"/>
    <cellStyle name="Report Bar 2 5 2" xfId="37525"/>
    <cellStyle name="Report Bar 2 6" xfId="17708"/>
    <cellStyle name="Report Bar 2 6 2" xfId="37526"/>
    <cellStyle name="Report Bar 2 7" xfId="22360"/>
    <cellStyle name="Report Bar 2 8" xfId="11021"/>
    <cellStyle name="Report Bar 3" xfId="3193"/>
    <cellStyle name="Report Bar 3 2" xfId="6129"/>
    <cellStyle name="Report Bar 3 2 2" xfId="37527"/>
    <cellStyle name="Report Bar 3 2 2 2" xfId="37528"/>
    <cellStyle name="Report Bar 3 2 3" xfId="37529"/>
    <cellStyle name="Report Bar 3 2 4" xfId="11030"/>
    <cellStyle name="Report Bar 3 3" xfId="11031"/>
    <cellStyle name="Report Bar 3 3 2" xfId="37530"/>
    <cellStyle name="Report Bar 3 4" xfId="11032"/>
    <cellStyle name="Report Bar 3 4 2" xfId="37531"/>
    <cellStyle name="Report Bar 3 5" xfId="17710"/>
    <cellStyle name="Report Bar 3 6" xfId="22362"/>
    <cellStyle name="Report Bar 3 7" xfId="11029"/>
    <cellStyle name="Report Bar 4" xfId="6126"/>
    <cellStyle name="Report Bar 4 2" xfId="11034"/>
    <cellStyle name="Report Bar 4 2 2" xfId="37532"/>
    <cellStyle name="Report Bar 4 3" xfId="11035"/>
    <cellStyle name="Report Bar 4 4" xfId="11036"/>
    <cellStyle name="Report Bar 4 5" xfId="11037"/>
    <cellStyle name="Report Bar 4 6" xfId="17941"/>
    <cellStyle name="Report Bar 4 7" xfId="22391"/>
    <cellStyle name="Report Bar 4 8" xfId="11033"/>
    <cellStyle name="Report Bar 5" xfId="13803"/>
    <cellStyle name="Report Bar 5 2" xfId="37533"/>
    <cellStyle name="Report Bar 5 2 2" xfId="37534"/>
    <cellStyle name="Report Bar 5 3" xfId="37535"/>
    <cellStyle name="Report Bar 5 4" xfId="37536"/>
    <cellStyle name="Report Bar 6" xfId="17707"/>
    <cellStyle name="Report Bar 6 2" xfId="37537"/>
    <cellStyle name="Report Bar 7" xfId="37538"/>
    <cellStyle name="Report Bar 7 2" xfId="37539"/>
    <cellStyle name="Report Bar 8" xfId="11020"/>
    <cellStyle name="Report Bar_AURORA Total New" xfId="3194"/>
    <cellStyle name="Report Heading" xfId="3195"/>
    <cellStyle name="Report Heading 2" xfId="3196"/>
    <cellStyle name="Report Heading 2 2" xfId="13804"/>
    <cellStyle name="Report Heading 2 2 2" xfId="37540"/>
    <cellStyle name="Report Heading 2 2 2 2" xfId="37541"/>
    <cellStyle name="Report Heading 2 2 3" xfId="37542"/>
    <cellStyle name="Report Heading 2 3" xfId="17712"/>
    <cellStyle name="Report Heading 2 3 2" xfId="37543"/>
    <cellStyle name="Report Heading 2 4" xfId="11039"/>
    <cellStyle name="Report Heading 3" xfId="13805"/>
    <cellStyle name="Report Heading 3 2" xfId="37544"/>
    <cellStyle name="Report Heading 3 2 2" xfId="37545"/>
    <cellStyle name="Report Heading 3 3" xfId="37546"/>
    <cellStyle name="Report Heading 3 4" xfId="37547"/>
    <cellStyle name="Report Heading 4" xfId="17711"/>
    <cellStyle name="Report Heading 4 2" xfId="37548"/>
    <cellStyle name="Report Heading 5" xfId="37549"/>
    <cellStyle name="Report Heading 5 2" xfId="37550"/>
    <cellStyle name="Report Heading 6" xfId="11038"/>
    <cellStyle name="Report Heading_Electric Rev Req Model (2009 GRC) Rebuttal" xfId="11040"/>
    <cellStyle name="Report Percent" xfId="3197"/>
    <cellStyle name="Report Percent 10" xfId="37551"/>
    <cellStyle name="Report Percent 10 2" xfId="37552"/>
    <cellStyle name="Report Percent 11" xfId="37553"/>
    <cellStyle name="Report Percent 11 2" xfId="37554"/>
    <cellStyle name="Report Percent 11 3" xfId="37555"/>
    <cellStyle name="Report Percent 12" xfId="11041"/>
    <cellStyle name="Report Percent 2" xfId="3198"/>
    <cellStyle name="Report Percent 2 2" xfId="3199"/>
    <cellStyle name="Report Percent 2 2 2" xfId="6132"/>
    <cellStyle name="Report Percent 2 2 2 2" xfId="22238"/>
    <cellStyle name="Report Percent 2 2 2 2 2" xfId="37556"/>
    <cellStyle name="Report Percent 2 2 2 3" xfId="37557"/>
    <cellStyle name="Report Percent 2 2 2 4" xfId="11044"/>
    <cellStyle name="Report Percent 2 2 3" xfId="17713"/>
    <cellStyle name="Report Percent 2 2 3 2" xfId="37558"/>
    <cellStyle name="Report Percent 2 2 4" xfId="37559"/>
    <cellStyle name="Report Percent 2 2 4 2" xfId="37560"/>
    <cellStyle name="Report Percent 2 2 5" xfId="11043"/>
    <cellStyle name="Report Percent 2 3" xfId="6131"/>
    <cellStyle name="Report Percent 2 3 2" xfId="15648"/>
    <cellStyle name="Report Percent 2 3 2 2" xfId="37561"/>
    <cellStyle name="Report Percent 2 3 2 3" xfId="37562"/>
    <cellStyle name="Report Percent 2 3 3" xfId="37563"/>
    <cellStyle name="Report Percent 2 3 4" xfId="11045"/>
    <cellStyle name="Report Percent 2 4" xfId="37564"/>
    <cellStyle name="Report Percent 2 4 2" xfId="37565"/>
    <cellStyle name="Report Percent 2 4 2 2" xfId="37566"/>
    <cellStyle name="Report Percent 2 4 3" xfId="37567"/>
    <cellStyle name="Report Percent 2 5" xfId="37568"/>
    <cellStyle name="Report Percent 2 5 2" xfId="37569"/>
    <cellStyle name="Report Percent 2 6" xfId="37570"/>
    <cellStyle name="Report Percent 2 6 2" xfId="37571"/>
    <cellStyle name="Report Percent 2 7" xfId="11042"/>
    <cellStyle name="Report Percent 3" xfId="3200"/>
    <cellStyle name="Report Percent 3 2" xfId="6133"/>
    <cellStyle name="Report Percent 3 2 2" xfId="11048"/>
    <cellStyle name="Report Percent 3 2 2 2" xfId="22239"/>
    <cellStyle name="Report Percent 3 2 3" xfId="19439"/>
    <cellStyle name="Report Percent 3 2 4" xfId="37572"/>
    <cellStyle name="Report Percent 3 2 5" xfId="11047"/>
    <cellStyle name="Report Percent 3 3" xfId="11049"/>
    <cellStyle name="Report Percent 3 3 2" xfId="11050"/>
    <cellStyle name="Report Percent 3 3 2 2" xfId="22240"/>
    <cellStyle name="Report Percent 3 3 3" xfId="19440"/>
    <cellStyle name="Report Percent 3 4" xfId="11051"/>
    <cellStyle name="Report Percent 3 4 2" xfId="11052"/>
    <cellStyle name="Report Percent 3 4 2 2" xfId="22241"/>
    <cellStyle name="Report Percent 3 4 3" xfId="19441"/>
    <cellStyle name="Report Percent 3 5" xfId="17714"/>
    <cellStyle name="Report Percent 3 5 2" xfId="37573"/>
    <cellStyle name="Report Percent 3 6" xfId="11046"/>
    <cellStyle name="Report Percent 4" xfId="3201"/>
    <cellStyle name="Report Percent 4 2" xfId="3202"/>
    <cellStyle name="Report Percent 4 2 2" xfId="6135"/>
    <cellStyle name="Report Percent 4 2 2 2" xfId="37574"/>
    <cellStyle name="Report Percent 4 2 2 2 2" xfId="37575"/>
    <cellStyle name="Report Percent 4 2 2 3" xfId="37576"/>
    <cellStyle name="Report Percent 4 2 2 4" xfId="15649"/>
    <cellStyle name="Report Percent 4 2 3" xfId="18084"/>
    <cellStyle name="Report Percent 4 2 3 2" xfId="37577"/>
    <cellStyle name="Report Percent 4 2 4" xfId="37578"/>
    <cellStyle name="Report Percent 4 2 4 2" xfId="37579"/>
    <cellStyle name="Report Percent 4 2 5" xfId="11054"/>
    <cellStyle name="Report Percent 4 3" xfId="6134"/>
    <cellStyle name="Report Percent 4 3 2" xfId="37580"/>
    <cellStyle name="Report Percent 4 3 2 2" xfId="37581"/>
    <cellStyle name="Report Percent 4 3 3" xfId="37582"/>
    <cellStyle name="Report Percent 4 3 4" xfId="37583"/>
    <cellStyle name="Report Percent 4 3 5" xfId="15650"/>
    <cellStyle name="Report Percent 4 4" xfId="17715"/>
    <cellStyle name="Report Percent 4 4 2" xfId="37584"/>
    <cellStyle name="Report Percent 4 4 2 2" xfId="37585"/>
    <cellStyle name="Report Percent 4 4 3" xfId="37586"/>
    <cellStyle name="Report Percent 4 5" xfId="37587"/>
    <cellStyle name="Report Percent 4 5 2" xfId="37588"/>
    <cellStyle name="Report Percent 4 6" xfId="37589"/>
    <cellStyle name="Report Percent 4 6 2" xfId="37590"/>
    <cellStyle name="Report Percent 4 7" xfId="11053"/>
    <cellStyle name="Report Percent 5" xfId="6130"/>
    <cellStyle name="Report Percent 5 2" xfId="22242"/>
    <cellStyle name="Report Percent 5 2 2" xfId="37591"/>
    <cellStyle name="Report Percent 5 2 2 2" xfId="37592"/>
    <cellStyle name="Report Percent 5 2 2 2 2" xfId="37593"/>
    <cellStyle name="Report Percent 5 2 3" xfId="37594"/>
    <cellStyle name="Report Percent 5 2 3 2" xfId="37595"/>
    <cellStyle name="Report Percent 5 2 4" xfId="37596"/>
    <cellStyle name="Report Percent 5 2 4 2" xfId="37597"/>
    <cellStyle name="Report Percent 5 2 5" xfId="37598"/>
    <cellStyle name="Report Percent 5 3" xfId="37599"/>
    <cellStyle name="Report Percent 5 3 2" xfId="37600"/>
    <cellStyle name="Report Percent 5 3 2 2" xfId="37601"/>
    <cellStyle name="Report Percent 5 4" xfId="37602"/>
    <cellStyle name="Report Percent 5 4 2" xfId="37603"/>
    <cellStyle name="Report Percent 5 5" xfId="37604"/>
    <cellStyle name="Report Percent 5 5 2" xfId="37605"/>
    <cellStyle name="Report Percent 5 6" xfId="11055"/>
    <cellStyle name="Report Percent 6" xfId="13806"/>
    <cellStyle name="Report Percent 6 2" xfId="13807"/>
    <cellStyle name="Report Percent 6 2 2" xfId="37606"/>
    <cellStyle name="Report Percent 6 2 2 2" xfId="37607"/>
    <cellStyle name="Report Percent 6 3" xfId="37608"/>
    <cellStyle name="Report Percent 6 3 2" xfId="37609"/>
    <cellStyle name="Report Percent 6 4" xfId="37610"/>
    <cellStyle name="Report Percent 6 4 2" xfId="37611"/>
    <cellStyle name="Report Percent 7" xfId="13808"/>
    <cellStyle name="Report Percent 7 2" xfId="13809"/>
    <cellStyle name="Report Percent 7 2 2" xfId="37612"/>
    <cellStyle name="Report Percent 7 3" xfId="42322"/>
    <cellStyle name="Report Percent 8" xfId="13810"/>
    <cellStyle name="Report Percent 8 2" xfId="37613"/>
    <cellStyle name="Report Percent 8 2 2" xfId="37614"/>
    <cellStyle name="Report Percent 8 3" xfId="37615"/>
    <cellStyle name="Report Percent 8 4" xfId="37616"/>
    <cellStyle name="Report Percent 9" xfId="37617"/>
    <cellStyle name="Report Percent 9 2" xfId="37618"/>
    <cellStyle name="Report Percent 9 2 2" xfId="37619"/>
    <cellStyle name="Report Percent 9 2 2 2" xfId="37620"/>
    <cellStyle name="Report Percent 9 2 3" xfId="37621"/>
    <cellStyle name="Report Percent 9 3" xfId="37622"/>
    <cellStyle name="Report Percent 9 3 2" xfId="37623"/>
    <cellStyle name="Report Percent 9 4" xfId="37624"/>
    <cellStyle name="Report Percent_AURORA Total New" xfId="3203"/>
    <cellStyle name="Report Unit Cost" xfId="3204"/>
    <cellStyle name="Report Unit Cost 10" xfId="37625"/>
    <cellStyle name="Report Unit Cost 10 2" xfId="37626"/>
    <cellStyle name="Report Unit Cost 10 2 2" xfId="37627"/>
    <cellStyle name="Report Unit Cost 10 2 2 2" xfId="37628"/>
    <cellStyle name="Report Unit Cost 10 2 3" xfId="37629"/>
    <cellStyle name="Report Unit Cost 10 3" xfId="37630"/>
    <cellStyle name="Report Unit Cost 10 3 2" xfId="37631"/>
    <cellStyle name="Report Unit Cost 10 4" xfId="37632"/>
    <cellStyle name="Report Unit Cost 11" xfId="37633"/>
    <cellStyle name="Report Unit Cost 11 2" xfId="37634"/>
    <cellStyle name="Report Unit Cost 12" xfId="37635"/>
    <cellStyle name="Report Unit Cost 12 2" xfId="37636"/>
    <cellStyle name="Report Unit Cost 12 3" xfId="37637"/>
    <cellStyle name="Report Unit Cost 13" xfId="11056"/>
    <cellStyle name="Report Unit Cost 2" xfId="3205"/>
    <cellStyle name="Report Unit Cost 2 2" xfId="3206"/>
    <cellStyle name="Report Unit Cost 2 2 2" xfId="6138"/>
    <cellStyle name="Report Unit Cost 2 2 2 2" xfId="22243"/>
    <cellStyle name="Report Unit Cost 2 2 2 2 2" xfId="37638"/>
    <cellStyle name="Report Unit Cost 2 2 2 3" xfId="37639"/>
    <cellStyle name="Report Unit Cost 2 2 2 4" xfId="11059"/>
    <cellStyle name="Report Unit Cost 2 2 3" xfId="17716"/>
    <cellStyle name="Report Unit Cost 2 2 3 2" xfId="37640"/>
    <cellStyle name="Report Unit Cost 2 2 4" xfId="37641"/>
    <cellStyle name="Report Unit Cost 2 2 4 2" xfId="37642"/>
    <cellStyle name="Report Unit Cost 2 2 5" xfId="11058"/>
    <cellStyle name="Report Unit Cost 2 3" xfId="6137"/>
    <cellStyle name="Report Unit Cost 2 3 2" xfId="15651"/>
    <cellStyle name="Report Unit Cost 2 3 2 2" xfId="37643"/>
    <cellStyle name="Report Unit Cost 2 3 2 3" xfId="37644"/>
    <cellStyle name="Report Unit Cost 2 3 3" xfId="37645"/>
    <cellStyle name="Report Unit Cost 2 3 4" xfId="11060"/>
    <cellStyle name="Report Unit Cost 2 4" xfId="37646"/>
    <cellStyle name="Report Unit Cost 2 4 2" xfId="37647"/>
    <cellStyle name="Report Unit Cost 2 4 2 2" xfId="37648"/>
    <cellStyle name="Report Unit Cost 2 4 3" xfId="37649"/>
    <cellStyle name="Report Unit Cost 2 5" xfId="37650"/>
    <cellStyle name="Report Unit Cost 2 5 2" xfId="37651"/>
    <cellStyle name="Report Unit Cost 2 6" xfId="37652"/>
    <cellStyle name="Report Unit Cost 2 6 2" xfId="37653"/>
    <cellStyle name="Report Unit Cost 2 7" xfId="11057"/>
    <cellStyle name="Report Unit Cost 3" xfId="3207"/>
    <cellStyle name="Report Unit Cost 3 2" xfId="6139"/>
    <cellStyle name="Report Unit Cost 3 2 2" xfId="11063"/>
    <cellStyle name="Report Unit Cost 3 2 2 2" xfId="22244"/>
    <cellStyle name="Report Unit Cost 3 2 3" xfId="19442"/>
    <cellStyle name="Report Unit Cost 3 2 4" xfId="37654"/>
    <cellStyle name="Report Unit Cost 3 2 5" xfId="11062"/>
    <cellStyle name="Report Unit Cost 3 3" xfId="11064"/>
    <cellStyle name="Report Unit Cost 3 3 2" xfId="11065"/>
    <cellStyle name="Report Unit Cost 3 3 2 2" xfId="22245"/>
    <cellStyle name="Report Unit Cost 3 3 3" xfId="19443"/>
    <cellStyle name="Report Unit Cost 3 4" xfId="11066"/>
    <cellStyle name="Report Unit Cost 3 4 2" xfId="11067"/>
    <cellStyle name="Report Unit Cost 3 4 2 2" xfId="22246"/>
    <cellStyle name="Report Unit Cost 3 4 3" xfId="19444"/>
    <cellStyle name="Report Unit Cost 3 5" xfId="17717"/>
    <cellStyle name="Report Unit Cost 3 5 2" xfId="37655"/>
    <cellStyle name="Report Unit Cost 3 6" xfId="11061"/>
    <cellStyle name="Report Unit Cost 4" xfId="3208"/>
    <cellStyle name="Report Unit Cost 4 2" xfId="3209"/>
    <cellStyle name="Report Unit Cost 4 2 2" xfId="6141"/>
    <cellStyle name="Report Unit Cost 4 2 2 2" xfId="37656"/>
    <cellStyle name="Report Unit Cost 4 2 2 2 2" xfId="37657"/>
    <cellStyle name="Report Unit Cost 4 2 2 3" xfId="37658"/>
    <cellStyle name="Report Unit Cost 4 2 2 4" xfId="15652"/>
    <cellStyle name="Report Unit Cost 4 2 3" xfId="18085"/>
    <cellStyle name="Report Unit Cost 4 2 3 2" xfId="37659"/>
    <cellStyle name="Report Unit Cost 4 2 4" xfId="37660"/>
    <cellStyle name="Report Unit Cost 4 2 4 2" xfId="37661"/>
    <cellStyle name="Report Unit Cost 4 2 5" xfId="11069"/>
    <cellStyle name="Report Unit Cost 4 3" xfId="6140"/>
    <cellStyle name="Report Unit Cost 4 3 2" xfId="37662"/>
    <cellStyle name="Report Unit Cost 4 3 2 2" xfId="37663"/>
    <cellStyle name="Report Unit Cost 4 3 3" xfId="37664"/>
    <cellStyle name="Report Unit Cost 4 3 4" xfId="37665"/>
    <cellStyle name="Report Unit Cost 4 3 5" xfId="15653"/>
    <cellStyle name="Report Unit Cost 4 4" xfId="17718"/>
    <cellStyle name="Report Unit Cost 4 4 2" xfId="37666"/>
    <cellStyle name="Report Unit Cost 4 4 2 2" xfId="37667"/>
    <cellStyle name="Report Unit Cost 4 4 3" xfId="37668"/>
    <cellStyle name="Report Unit Cost 4 5" xfId="37669"/>
    <cellStyle name="Report Unit Cost 4 5 2" xfId="37670"/>
    <cellStyle name="Report Unit Cost 4 6" xfId="37671"/>
    <cellStyle name="Report Unit Cost 4 6 2" xfId="37672"/>
    <cellStyle name="Report Unit Cost 4 7" xfId="11068"/>
    <cellStyle name="Report Unit Cost 5" xfId="6136"/>
    <cellStyle name="Report Unit Cost 5 2" xfId="13811"/>
    <cellStyle name="Report Unit Cost 5 2 2" xfId="37673"/>
    <cellStyle name="Report Unit Cost 5 2 2 2" xfId="37674"/>
    <cellStyle name="Report Unit Cost 5 2 2 2 2" xfId="37675"/>
    <cellStyle name="Report Unit Cost 5 2 3" xfId="37676"/>
    <cellStyle name="Report Unit Cost 5 2 3 2" xfId="37677"/>
    <cellStyle name="Report Unit Cost 5 2 4" xfId="37678"/>
    <cellStyle name="Report Unit Cost 5 2 4 2" xfId="37679"/>
    <cellStyle name="Report Unit Cost 5 2 5" xfId="37680"/>
    <cellStyle name="Report Unit Cost 5 3" xfId="22247"/>
    <cellStyle name="Report Unit Cost 5 3 2" xfId="37681"/>
    <cellStyle name="Report Unit Cost 5 3 2 2" xfId="37682"/>
    <cellStyle name="Report Unit Cost 5 3 3" xfId="37683"/>
    <cellStyle name="Report Unit Cost 5 4" xfId="37684"/>
    <cellStyle name="Report Unit Cost 5 4 2" xfId="37685"/>
    <cellStyle name="Report Unit Cost 5 4 2 2" xfId="37686"/>
    <cellStyle name="Report Unit Cost 5 4 3" xfId="37687"/>
    <cellStyle name="Report Unit Cost 5 5" xfId="37688"/>
    <cellStyle name="Report Unit Cost 5 5 2" xfId="37689"/>
    <cellStyle name="Report Unit Cost 5 6" xfId="37690"/>
    <cellStyle name="Report Unit Cost 5 6 2" xfId="37691"/>
    <cellStyle name="Report Unit Cost 5 7" xfId="11070"/>
    <cellStyle name="Report Unit Cost 6" xfId="13812"/>
    <cellStyle name="Report Unit Cost 6 2" xfId="37692"/>
    <cellStyle name="Report Unit Cost 6 2 2" xfId="37693"/>
    <cellStyle name="Report Unit Cost 6 2 2 2" xfId="37694"/>
    <cellStyle name="Report Unit Cost 6 2 2 2 2" xfId="37695"/>
    <cellStyle name="Report Unit Cost 6 2 3" xfId="37696"/>
    <cellStyle name="Report Unit Cost 6 2 3 2" xfId="37697"/>
    <cellStyle name="Report Unit Cost 6 2 4" xfId="37698"/>
    <cellStyle name="Report Unit Cost 6 2 4 2" xfId="37699"/>
    <cellStyle name="Report Unit Cost 6 2 5" xfId="37700"/>
    <cellStyle name="Report Unit Cost 6 3" xfId="37701"/>
    <cellStyle name="Report Unit Cost 6 3 2" xfId="37702"/>
    <cellStyle name="Report Unit Cost 6 3 2 2" xfId="37703"/>
    <cellStyle name="Report Unit Cost 6 4" xfId="37704"/>
    <cellStyle name="Report Unit Cost 6 4 2" xfId="37705"/>
    <cellStyle name="Report Unit Cost 6 5" xfId="37706"/>
    <cellStyle name="Report Unit Cost 6 5 2" xfId="37707"/>
    <cellStyle name="Report Unit Cost 6 6" xfId="37708"/>
    <cellStyle name="Report Unit Cost 7" xfId="13813"/>
    <cellStyle name="Report Unit Cost 7 2" xfId="13814"/>
    <cellStyle name="Report Unit Cost 7 2 2" xfId="37709"/>
    <cellStyle name="Report Unit Cost 7 2 2 2" xfId="37710"/>
    <cellStyle name="Report Unit Cost 7 3" xfId="37711"/>
    <cellStyle name="Report Unit Cost 7 3 2" xfId="37712"/>
    <cellStyle name="Report Unit Cost 7 4" xfId="37713"/>
    <cellStyle name="Report Unit Cost 7 4 2" xfId="37714"/>
    <cellStyle name="Report Unit Cost 8" xfId="13815"/>
    <cellStyle name="Report Unit Cost 8 2" xfId="13816"/>
    <cellStyle name="Report Unit Cost 8 2 2" xfId="37715"/>
    <cellStyle name="Report Unit Cost 8 3" xfId="42323"/>
    <cellStyle name="Report Unit Cost 9" xfId="13817"/>
    <cellStyle name="Report Unit Cost 9 2" xfId="37716"/>
    <cellStyle name="Report Unit Cost 9 2 2" xfId="37717"/>
    <cellStyle name="Report Unit Cost 9 3" xfId="37718"/>
    <cellStyle name="Report Unit Cost 9 4" xfId="37719"/>
    <cellStyle name="Report Unit Cost_AURORA Total New" xfId="3210"/>
    <cellStyle name="Report_Adj Bench DR 3 for Initial Briefs (Electric)" xfId="3211"/>
    <cellStyle name="Reports" xfId="3212"/>
    <cellStyle name="Reports 2" xfId="6142"/>
    <cellStyle name="Reports 2 2" xfId="13818"/>
    <cellStyle name="Reports 2 2 2" xfId="37720"/>
    <cellStyle name="Reports 2 3" xfId="17942"/>
    <cellStyle name="Reports 2 4" xfId="11072"/>
    <cellStyle name="Reports 3" xfId="15654"/>
    <cellStyle name="Reports 3 2" xfId="37721"/>
    <cellStyle name="Reports 3 3" xfId="37722"/>
    <cellStyle name="Reports 4" xfId="17719"/>
    <cellStyle name="Reports 4 2" xfId="37723"/>
    <cellStyle name="Reports 5" xfId="11071"/>
    <cellStyle name="Reports Total" xfId="3213"/>
    <cellStyle name="Reports Total 2" xfId="3214"/>
    <cellStyle name="Reports Total 2 2" xfId="3215"/>
    <cellStyle name="Reports Total 2 2 2" xfId="6145"/>
    <cellStyle name="Reports Total 2 2 2 2" xfId="37724"/>
    <cellStyle name="Reports Total 2 2 2 2 2" xfId="37725"/>
    <cellStyle name="Reports Total 2 2 2 3" xfId="37726"/>
    <cellStyle name="Reports Total 2 2 2 4" xfId="11076"/>
    <cellStyle name="Reports Total 2 2 3" xfId="11077"/>
    <cellStyle name="Reports Total 2 2 3 2" xfId="37727"/>
    <cellStyle name="Reports Total 2 2 4" xfId="11078"/>
    <cellStyle name="Reports Total 2 2 4 2" xfId="37728"/>
    <cellStyle name="Reports Total 2 2 5" xfId="11079"/>
    <cellStyle name="Reports Total 2 2 6" xfId="17722"/>
    <cellStyle name="Reports Total 2 2 7" xfId="22364"/>
    <cellStyle name="Reports Total 2 2 8" xfId="11075"/>
    <cellStyle name="Reports Total 2 3" xfId="6144"/>
    <cellStyle name="Reports Total 2 3 2" xfId="37729"/>
    <cellStyle name="Reports Total 2 3 2 2" xfId="37730"/>
    <cellStyle name="Reports Total 2 3 3" xfId="37731"/>
    <cellStyle name="Reports Total 2 3 4" xfId="11080"/>
    <cellStyle name="Reports Total 2 4" xfId="11081"/>
    <cellStyle name="Reports Total 2 4 2" xfId="37732"/>
    <cellStyle name="Reports Total 2 4 2 2" xfId="37733"/>
    <cellStyle name="Reports Total 2 4 3" xfId="37734"/>
    <cellStyle name="Reports Total 2 5" xfId="11082"/>
    <cellStyle name="Reports Total 2 5 2" xfId="37735"/>
    <cellStyle name="Reports Total 2 6" xfId="11083"/>
    <cellStyle name="Reports Total 2 6 2" xfId="37736"/>
    <cellStyle name="Reports Total 2 7" xfId="17721"/>
    <cellStyle name="Reports Total 2 8" xfId="22363"/>
    <cellStyle name="Reports Total 2 9" xfId="11074"/>
    <cellStyle name="Reports Total 3" xfId="3216"/>
    <cellStyle name="Reports Total 3 2" xfId="6146"/>
    <cellStyle name="Reports Total 3 2 2" xfId="37737"/>
    <cellStyle name="Reports Total 3 2 2 2" xfId="37738"/>
    <cellStyle name="Reports Total 3 2 3" xfId="37739"/>
    <cellStyle name="Reports Total 3 2 4" xfId="11085"/>
    <cellStyle name="Reports Total 3 3" xfId="11086"/>
    <cellStyle name="Reports Total 3 3 2" xfId="37740"/>
    <cellStyle name="Reports Total 3 4" xfId="11087"/>
    <cellStyle name="Reports Total 3 4 2" xfId="37741"/>
    <cellStyle name="Reports Total 3 5" xfId="11088"/>
    <cellStyle name="Reports Total 3 6" xfId="17723"/>
    <cellStyle name="Reports Total 3 7" xfId="22365"/>
    <cellStyle name="Reports Total 3 8" xfId="11084"/>
    <cellStyle name="Reports Total 4" xfId="6143"/>
    <cellStyle name="Reports Total 4 2" xfId="11090"/>
    <cellStyle name="Reports Total 4 2 2" xfId="37742"/>
    <cellStyle name="Reports Total 4 3" xfId="11091"/>
    <cellStyle name="Reports Total 4 4" xfId="11092"/>
    <cellStyle name="Reports Total 4 5" xfId="11093"/>
    <cellStyle name="Reports Total 4 6" xfId="17943"/>
    <cellStyle name="Reports Total 4 7" xfId="22392"/>
    <cellStyle name="Reports Total 4 8" xfId="11089"/>
    <cellStyle name="Reports Total 5" xfId="13819"/>
    <cellStyle name="Reports Total 5 2" xfId="37743"/>
    <cellStyle name="Reports Total 5 2 2" xfId="37744"/>
    <cellStyle name="Reports Total 5 3" xfId="37745"/>
    <cellStyle name="Reports Total 5 4" xfId="37746"/>
    <cellStyle name="Reports Total 6" xfId="17720"/>
    <cellStyle name="Reports Total 6 2" xfId="37747"/>
    <cellStyle name="Reports Total 7" xfId="37748"/>
    <cellStyle name="Reports Total 7 2" xfId="37749"/>
    <cellStyle name="Reports Total 8" xfId="11073"/>
    <cellStyle name="Reports Total_AURORA Total New" xfId="3217"/>
    <cellStyle name="Reports Unit Cost Total" xfId="3218"/>
    <cellStyle name="Reports Unit Cost Total 2" xfId="11095"/>
    <cellStyle name="Reports Unit Cost Total 2 2" xfId="11096"/>
    <cellStyle name="Reports Unit Cost Total 2 2 2" xfId="37750"/>
    <cellStyle name="Reports Unit Cost Total 2 2 2 2" xfId="37751"/>
    <cellStyle name="Reports Unit Cost Total 2 2 3" xfId="37752"/>
    <cellStyle name="Reports Unit Cost Total 2 2 4" xfId="37753"/>
    <cellStyle name="Reports Unit Cost Total 2 3" xfId="11097"/>
    <cellStyle name="Reports Unit Cost Total 2 3 2" xfId="37754"/>
    <cellStyle name="Reports Unit Cost Total 2 4" xfId="11098"/>
    <cellStyle name="Reports Unit Cost Total 2 4 2" xfId="37755"/>
    <cellStyle name="Reports Unit Cost Total 2 5" xfId="11099"/>
    <cellStyle name="Reports Unit Cost Total 2 6" xfId="17944"/>
    <cellStyle name="Reports Unit Cost Total 2 7" xfId="22393"/>
    <cellStyle name="Reports Unit Cost Total 3" xfId="13820"/>
    <cellStyle name="Reports Unit Cost Total 3 2" xfId="13821"/>
    <cellStyle name="Reports Unit Cost Total 3 2 2" xfId="37756"/>
    <cellStyle name="Reports Unit Cost Total 3 3" xfId="37757"/>
    <cellStyle name="Reports Unit Cost Total 4" xfId="13822"/>
    <cellStyle name="Reports Unit Cost Total 4 2" xfId="37758"/>
    <cellStyle name="Reports Unit Cost Total 4 3" xfId="37759"/>
    <cellStyle name="Reports Unit Cost Total 5" xfId="17724"/>
    <cellStyle name="Reports Unit Cost Total 5 2" xfId="37760"/>
    <cellStyle name="Reports Unit Cost Total 6" xfId="11094"/>
    <cellStyle name="Reports_16.37E Wild Horse Expansion DeferralRevwrkingfile SF" xfId="3219"/>
    <cellStyle name="RevList" xfId="3220"/>
    <cellStyle name="RevList 2" xfId="13823"/>
    <cellStyle name="RevList 2 2" xfId="13824"/>
    <cellStyle name="RevList 2 2 2" xfId="37761"/>
    <cellStyle name="RevList 2 3" xfId="37762"/>
    <cellStyle name="RevList 3" xfId="13825"/>
    <cellStyle name="RevList 3 2" xfId="37763"/>
    <cellStyle name="RevList 3 3" xfId="37764"/>
    <cellStyle name="RevList 4" xfId="17725"/>
    <cellStyle name="RevList 4 2" xfId="37765"/>
    <cellStyle name="RevList 5" xfId="11100"/>
    <cellStyle name="round100" xfId="3221"/>
    <cellStyle name="round100 10" xfId="37766"/>
    <cellStyle name="round100 10 2" xfId="37767"/>
    <cellStyle name="round100 11" xfId="37768"/>
    <cellStyle name="round100 11 2" xfId="37769"/>
    <cellStyle name="round100 11 3" xfId="37770"/>
    <cellStyle name="round100 12" xfId="11101"/>
    <cellStyle name="round100 2" xfId="3222"/>
    <cellStyle name="round100 2 2" xfId="3223"/>
    <cellStyle name="round100 2 2 2" xfId="6150"/>
    <cellStyle name="round100 2 2 2 2" xfId="22248"/>
    <cellStyle name="round100 2 2 2 2 2" xfId="37771"/>
    <cellStyle name="round100 2 2 2 3" xfId="37772"/>
    <cellStyle name="round100 2 2 2 4" xfId="11104"/>
    <cellStyle name="round100 2 2 3" xfId="17726"/>
    <cellStyle name="round100 2 2 3 2" xfId="37773"/>
    <cellStyle name="round100 2 2 4" xfId="37774"/>
    <cellStyle name="round100 2 2 4 2" xfId="37775"/>
    <cellStyle name="round100 2 2 5" xfId="11103"/>
    <cellStyle name="round100 2 3" xfId="6149"/>
    <cellStyle name="round100 2 3 2" xfId="15655"/>
    <cellStyle name="round100 2 3 2 2" xfId="37776"/>
    <cellStyle name="round100 2 3 2 3" xfId="37777"/>
    <cellStyle name="round100 2 3 3" xfId="37778"/>
    <cellStyle name="round100 2 3 4" xfId="11105"/>
    <cellStyle name="round100 2 4" xfId="37779"/>
    <cellStyle name="round100 2 4 2" xfId="37780"/>
    <cellStyle name="round100 2 4 2 2" xfId="37781"/>
    <cellStyle name="round100 2 4 3" xfId="37782"/>
    <cellStyle name="round100 2 5" xfId="37783"/>
    <cellStyle name="round100 2 5 2" xfId="37784"/>
    <cellStyle name="round100 2 6" xfId="37785"/>
    <cellStyle name="round100 2 6 2" xfId="37786"/>
    <cellStyle name="round100 2 7" xfId="11102"/>
    <cellStyle name="round100 3" xfId="3224"/>
    <cellStyle name="round100 3 2" xfId="6151"/>
    <cellStyle name="round100 3 2 2" xfId="11108"/>
    <cellStyle name="round100 3 2 2 2" xfId="22249"/>
    <cellStyle name="round100 3 2 3" xfId="19445"/>
    <cellStyle name="round100 3 2 4" xfId="37787"/>
    <cellStyle name="round100 3 2 5" xfId="11107"/>
    <cellStyle name="round100 3 3" xfId="11109"/>
    <cellStyle name="round100 3 3 2" xfId="11110"/>
    <cellStyle name="round100 3 3 2 2" xfId="22250"/>
    <cellStyle name="round100 3 3 3" xfId="19446"/>
    <cellStyle name="round100 3 4" xfId="11111"/>
    <cellStyle name="round100 3 4 2" xfId="11112"/>
    <cellStyle name="round100 3 4 2 2" xfId="22251"/>
    <cellStyle name="round100 3 4 3" xfId="19447"/>
    <cellStyle name="round100 3 5" xfId="17727"/>
    <cellStyle name="round100 3 5 2" xfId="37788"/>
    <cellStyle name="round100 3 6" xfId="11106"/>
    <cellStyle name="round100 4" xfId="3225"/>
    <cellStyle name="round100 4 2" xfId="3226"/>
    <cellStyle name="round100 4 2 2" xfId="6153"/>
    <cellStyle name="round100 4 2 2 2" xfId="37789"/>
    <cellStyle name="round100 4 2 2 2 2" xfId="37790"/>
    <cellStyle name="round100 4 2 2 3" xfId="37791"/>
    <cellStyle name="round100 4 2 2 4" xfId="15656"/>
    <cellStyle name="round100 4 2 3" xfId="18086"/>
    <cellStyle name="round100 4 2 3 2" xfId="37792"/>
    <cellStyle name="round100 4 2 4" xfId="37793"/>
    <cellStyle name="round100 4 2 4 2" xfId="37794"/>
    <cellStyle name="round100 4 2 5" xfId="11114"/>
    <cellStyle name="round100 4 3" xfId="6152"/>
    <cellStyle name="round100 4 3 2" xfId="37795"/>
    <cellStyle name="round100 4 3 2 2" xfId="37796"/>
    <cellStyle name="round100 4 3 3" xfId="37797"/>
    <cellStyle name="round100 4 3 4" xfId="37798"/>
    <cellStyle name="round100 4 3 5" xfId="15657"/>
    <cellStyle name="round100 4 4" xfId="17728"/>
    <cellStyle name="round100 4 4 2" xfId="37799"/>
    <cellStyle name="round100 4 4 2 2" xfId="37800"/>
    <cellStyle name="round100 4 4 3" xfId="37801"/>
    <cellStyle name="round100 4 5" xfId="37802"/>
    <cellStyle name="round100 4 5 2" xfId="37803"/>
    <cellStyle name="round100 4 6" xfId="37804"/>
    <cellStyle name="round100 4 6 2" xfId="37805"/>
    <cellStyle name="round100 4 7" xfId="11113"/>
    <cellStyle name="round100 5" xfId="6148"/>
    <cellStyle name="round100 5 2" xfId="22252"/>
    <cellStyle name="round100 5 2 2" xfId="37806"/>
    <cellStyle name="round100 5 2 2 2" xfId="37807"/>
    <cellStyle name="round100 5 2 2 2 2" xfId="37808"/>
    <cellStyle name="round100 5 2 3" xfId="37809"/>
    <cellStyle name="round100 5 2 3 2" xfId="37810"/>
    <cellStyle name="round100 5 2 4" xfId="37811"/>
    <cellStyle name="round100 5 2 4 2" xfId="37812"/>
    <cellStyle name="round100 5 2 5" xfId="37813"/>
    <cellStyle name="round100 5 3" xfId="37814"/>
    <cellStyle name="round100 5 3 2" xfId="37815"/>
    <cellStyle name="round100 5 3 2 2" xfId="37816"/>
    <cellStyle name="round100 5 4" xfId="37817"/>
    <cellStyle name="round100 5 4 2" xfId="37818"/>
    <cellStyle name="round100 5 5" xfId="37819"/>
    <cellStyle name="round100 5 5 2" xfId="37820"/>
    <cellStyle name="round100 5 6" xfId="11115"/>
    <cellStyle name="round100 6" xfId="11116"/>
    <cellStyle name="round100 6 2" xfId="13826"/>
    <cellStyle name="round100 6 2 2" xfId="37821"/>
    <cellStyle name="round100 6 2 2 2" xfId="37822"/>
    <cellStyle name="round100 6 3" xfId="37823"/>
    <cellStyle name="round100 6 3 2" xfId="37824"/>
    <cellStyle name="round100 6 4" xfId="37825"/>
    <cellStyle name="round100 6 4 2" xfId="37826"/>
    <cellStyle name="round100 7" xfId="13827"/>
    <cellStyle name="round100 7 2" xfId="13828"/>
    <cellStyle name="round100 7 2 2" xfId="37827"/>
    <cellStyle name="round100 7 3" xfId="42324"/>
    <cellStyle name="round100 8" xfId="13829"/>
    <cellStyle name="round100 8 2" xfId="37828"/>
    <cellStyle name="round100 8 2 2" xfId="37829"/>
    <cellStyle name="round100 8 3" xfId="37830"/>
    <cellStyle name="round100 8 4" xfId="37831"/>
    <cellStyle name="round100 9" xfId="37832"/>
    <cellStyle name="round100 9 2" xfId="37833"/>
    <cellStyle name="round100 9 2 2" xfId="37834"/>
    <cellStyle name="round100 9 2 2 2" xfId="37835"/>
    <cellStyle name="round100 9 2 3" xfId="37836"/>
    <cellStyle name="round100 9 3" xfId="37837"/>
    <cellStyle name="round100 9 3 2" xfId="37838"/>
    <cellStyle name="round100 9 4" xfId="37839"/>
    <cellStyle name="RowHeading" xfId="37840"/>
    <cellStyle name="SAPBEXaggData" xfId="3227"/>
    <cellStyle name="SAPBEXaggData 2" xfId="11118"/>
    <cellStyle name="SAPBEXaggData 2 2" xfId="11119"/>
    <cellStyle name="SAPBEXaggData 2 2 2" xfId="37841"/>
    <cellStyle name="SAPBEXaggData 2 3" xfId="11120"/>
    <cellStyle name="SAPBEXaggData 2 4" xfId="11121"/>
    <cellStyle name="SAPBEXaggData 2 5" xfId="11122"/>
    <cellStyle name="SAPBEXaggData 2 6" xfId="17945"/>
    <cellStyle name="SAPBEXaggData 2 7" xfId="22394"/>
    <cellStyle name="SAPBEXaggData 3" xfId="17729"/>
    <cellStyle name="SAPBEXaggData 3 2" xfId="37842"/>
    <cellStyle name="SAPBEXaggData 4" xfId="37843"/>
    <cellStyle name="SAPBEXaggData 4 2" xfId="37844"/>
    <cellStyle name="SAPBEXaggData 5" xfId="11117"/>
    <cellStyle name="SAPBEXaggDataEmph" xfId="3228"/>
    <cellStyle name="SAPBEXaggDataEmph 2" xfId="11124"/>
    <cellStyle name="SAPBEXaggDataEmph 2 2" xfId="11125"/>
    <cellStyle name="SAPBEXaggDataEmph 2 2 2" xfId="37845"/>
    <cellStyle name="SAPBEXaggDataEmph 2 3" xfId="11126"/>
    <cellStyle name="SAPBEXaggDataEmph 2 4" xfId="11127"/>
    <cellStyle name="SAPBEXaggDataEmph 2 5" xfId="11128"/>
    <cellStyle name="SAPBEXaggDataEmph 2 6" xfId="17946"/>
    <cellStyle name="SAPBEXaggDataEmph 2 7" xfId="22395"/>
    <cellStyle name="SAPBEXaggDataEmph 3" xfId="17730"/>
    <cellStyle name="SAPBEXaggDataEmph 3 2" xfId="37846"/>
    <cellStyle name="SAPBEXaggDataEmph 4" xfId="37847"/>
    <cellStyle name="SAPBEXaggDataEmph 4 2" xfId="37848"/>
    <cellStyle name="SAPBEXaggDataEmph 5" xfId="11123"/>
    <cellStyle name="SAPBEXaggItem" xfId="3229"/>
    <cellStyle name="SAPBEXaggItem 2" xfId="11130"/>
    <cellStyle name="SAPBEXaggItem 2 2" xfId="11131"/>
    <cellStyle name="SAPBEXaggItem 2 2 2" xfId="37849"/>
    <cellStyle name="SAPBEXaggItem 2 3" xfId="11132"/>
    <cellStyle name="SAPBEXaggItem 2 4" xfId="11133"/>
    <cellStyle name="SAPBEXaggItem 2 5" xfId="11134"/>
    <cellStyle name="SAPBEXaggItem 2 6" xfId="17947"/>
    <cellStyle name="SAPBEXaggItem 2 7" xfId="22396"/>
    <cellStyle name="SAPBEXaggItem 3" xfId="17731"/>
    <cellStyle name="SAPBEXaggItem 3 2" xfId="37850"/>
    <cellStyle name="SAPBEXaggItem 4" xfId="37851"/>
    <cellStyle name="SAPBEXaggItem 4 2" xfId="37852"/>
    <cellStyle name="SAPBEXaggItem 5" xfId="11129"/>
    <cellStyle name="SAPBEXaggItemX" xfId="3230"/>
    <cellStyle name="SAPBEXaggItemX 2" xfId="11136"/>
    <cellStyle name="SAPBEXaggItemX 2 2" xfId="11137"/>
    <cellStyle name="SAPBEXaggItemX 2 2 2" xfId="37853"/>
    <cellStyle name="SAPBEXaggItemX 2 3" xfId="11138"/>
    <cellStyle name="SAPBEXaggItemX 2 4" xfId="11139"/>
    <cellStyle name="SAPBEXaggItemX 2 5" xfId="11140"/>
    <cellStyle name="SAPBEXaggItemX 2 6" xfId="17948"/>
    <cellStyle name="SAPBEXaggItemX 2 7" xfId="22397"/>
    <cellStyle name="SAPBEXaggItemX 3" xfId="17732"/>
    <cellStyle name="SAPBEXaggItemX 3 2" xfId="37854"/>
    <cellStyle name="SAPBEXaggItemX 4" xfId="37855"/>
    <cellStyle name="SAPBEXaggItemX 4 2" xfId="37856"/>
    <cellStyle name="SAPBEXaggItemX 5" xfId="11135"/>
    <cellStyle name="SAPBEXchaText" xfId="3231"/>
    <cellStyle name="SAPBEXchaText 2" xfId="6154"/>
    <cellStyle name="SAPBEXchaText 2 10" xfId="11142"/>
    <cellStyle name="SAPBEXchaText 2 2" xfId="11143"/>
    <cellStyle name="SAPBEXchaText 2 2 2" xfId="11144"/>
    <cellStyle name="SAPBEXchaText 2 2 2 2" xfId="11145"/>
    <cellStyle name="SAPBEXchaText 2 2 2 3" xfId="11146"/>
    <cellStyle name="SAPBEXchaText 2 2 2 4" xfId="11147"/>
    <cellStyle name="SAPBEXchaText 2 2 2 5" xfId="11148"/>
    <cellStyle name="SAPBEXchaText 2 2 2 6" xfId="22253"/>
    <cellStyle name="SAPBEXchaText 2 2 2 7" xfId="22530"/>
    <cellStyle name="SAPBEXchaText 2 2 3" xfId="11149"/>
    <cellStyle name="SAPBEXchaText 2 2 4" xfId="11150"/>
    <cellStyle name="SAPBEXchaText 2 2 5" xfId="11151"/>
    <cellStyle name="SAPBEXchaText 2 2 6" xfId="11152"/>
    <cellStyle name="SAPBEXchaText 2 2 7" xfId="19448"/>
    <cellStyle name="SAPBEXchaText 2 2 8" xfId="22469"/>
    <cellStyle name="SAPBEXchaText 2 3" xfId="11153"/>
    <cellStyle name="SAPBEXchaText 2 3 2" xfId="11154"/>
    <cellStyle name="SAPBEXchaText 2 3 3" xfId="11155"/>
    <cellStyle name="SAPBEXchaText 2 3 4" xfId="11156"/>
    <cellStyle name="SAPBEXchaText 2 3 5" xfId="11157"/>
    <cellStyle name="SAPBEXchaText 2 3 6" xfId="22254"/>
    <cellStyle name="SAPBEXchaText 2 3 7" xfId="22531"/>
    <cellStyle name="SAPBEXchaText 2 4" xfId="11158"/>
    <cellStyle name="SAPBEXchaText 2 5" xfId="11159"/>
    <cellStyle name="SAPBEXchaText 2 6" xfId="11160"/>
    <cellStyle name="SAPBEXchaText 2 7" xfId="11161"/>
    <cellStyle name="SAPBEXchaText 2 8" xfId="17949"/>
    <cellStyle name="SAPBEXchaText 2 9" xfId="22398"/>
    <cellStyle name="SAPBEXchaText 3" xfId="11162"/>
    <cellStyle name="SAPBEXchaText 3 10" xfId="22470"/>
    <cellStyle name="SAPBEXchaText 3 2" xfId="11163"/>
    <cellStyle name="SAPBEXchaText 3 2 2" xfId="11164"/>
    <cellStyle name="SAPBEXchaText 3 2 2 2" xfId="11165"/>
    <cellStyle name="SAPBEXchaText 3 2 2 3" xfId="11166"/>
    <cellStyle name="SAPBEXchaText 3 2 2 4" xfId="11167"/>
    <cellStyle name="SAPBEXchaText 3 2 2 5" xfId="11168"/>
    <cellStyle name="SAPBEXchaText 3 2 2 6" xfId="22255"/>
    <cellStyle name="SAPBEXchaText 3 2 2 7" xfId="22532"/>
    <cellStyle name="SAPBEXchaText 3 2 3" xfId="11169"/>
    <cellStyle name="SAPBEXchaText 3 2 4" xfId="11170"/>
    <cellStyle name="SAPBEXchaText 3 2 5" xfId="11171"/>
    <cellStyle name="SAPBEXchaText 3 2 6" xfId="11172"/>
    <cellStyle name="SAPBEXchaText 3 2 7" xfId="19450"/>
    <cellStyle name="SAPBEXchaText 3 2 8" xfId="22471"/>
    <cellStyle name="SAPBEXchaText 3 3" xfId="11173"/>
    <cellStyle name="SAPBEXchaText 3 3 2" xfId="11174"/>
    <cellStyle name="SAPBEXchaText 3 3 2 2" xfId="11175"/>
    <cellStyle name="SAPBEXchaText 3 3 2 3" xfId="11176"/>
    <cellStyle name="SAPBEXchaText 3 3 2 4" xfId="11177"/>
    <cellStyle name="SAPBEXchaText 3 3 2 5" xfId="11178"/>
    <cellStyle name="SAPBEXchaText 3 3 2 6" xfId="22256"/>
    <cellStyle name="SAPBEXchaText 3 3 2 7" xfId="22533"/>
    <cellStyle name="SAPBEXchaText 3 3 3" xfId="11179"/>
    <cellStyle name="SAPBEXchaText 3 3 4" xfId="11180"/>
    <cellStyle name="SAPBEXchaText 3 3 5" xfId="11181"/>
    <cellStyle name="SAPBEXchaText 3 3 6" xfId="11182"/>
    <cellStyle name="SAPBEXchaText 3 3 7" xfId="19451"/>
    <cellStyle name="SAPBEXchaText 3 3 8" xfId="22472"/>
    <cellStyle name="SAPBEXchaText 3 4" xfId="11183"/>
    <cellStyle name="SAPBEXchaText 3 4 2" xfId="11184"/>
    <cellStyle name="SAPBEXchaText 3 4 2 2" xfId="11185"/>
    <cellStyle name="SAPBEXchaText 3 4 2 3" xfId="11186"/>
    <cellStyle name="SAPBEXchaText 3 4 2 4" xfId="11187"/>
    <cellStyle name="SAPBEXchaText 3 4 2 5" xfId="11188"/>
    <cellStyle name="SAPBEXchaText 3 4 2 6" xfId="22257"/>
    <cellStyle name="SAPBEXchaText 3 4 2 7" xfId="22534"/>
    <cellStyle name="SAPBEXchaText 3 4 3" xfId="11189"/>
    <cellStyle name="SAPBEXchaText 3 4 4" xfId="11190"/>
    <cellStyle name="SAPBEXchaText 3 4 5" xfId="11191"/>
    <cellStyle name="SAPBEXchaText 3 4 6" xfId="11192"/>
    <cellStyle name="SAPBEXchaText 3 4 7" xfId="19452"/>
    <cellStyle name="SAPBEXchaText 3 4 8" xfId="22473"/>
    <cellStyle name="SAPBEXchaText 3 5" xfId="11193"/>
    <cellStyle name="SAPBEXchaText 3 6" xfId="11194"/>
    <cellStyle name="SAPBEXchaText 3 7" xfId="11195"/>
    <cellStyle name="SAPBEXchaText 3 8" xfId="11196"/>
    <cellStyle name="SAPBEXchaText 3 9" xfId="19449"/>
    <cellStyle name="SAPBEXchaText 4" xfId="11197"/>
    <cellStyle name="SAPBEXchaText 4 2" xfId="11198"/>
    <cellStyle name="SAPBEXchaText 4 2 2" xfId="11199"/>
    <cellStyle name="SAPBEXchaText 4 2 3" xfId="11200"/>
    <cellStyle name="SAPBEXchaText 4 2 4" xfId="11201"/>
    <cellStyle name="SAPBEXchaText 4 2 5" xfId="11202"/>
    <cellStyle name="SAPBEXchaText 4 2 6" xfId="22258"/>
    <cellStyle name="SAPBEXchaText 4 2 7" xfId="22535"/>
    <cellStyle name="SAPBEXchaText 4 3" xfId="11203"/>
    <cellStyle name="SAPBEXchaText 4 4" xfId="11204"/>
    <cellStyle name="SAPBEXchaText 4 5" xfId="11205"/>
    <cellStyle name="SAPBEXchaText 4 6" xfId="11206"/>
    <cellStyle name="SAPBEXchaText 4 7" xfId="19453"/>
    <cellStyle name="SAPBEXchaText 4 8" xfId="22474"/>
    <cellStyle name="SAPBEXchaText 5" xfId="11207"/>
    <cellStyle name="SAPBEXchaText 5 2" xfId="11208"/>
    <cellStyle name="SAPBEXchaText 5 3" xfId="11209"/>
    <cellStyle name="SAPBEXchaText 5 4" xfId="11210"/>
    <cellStyle name="SAPBEXchaText 5 5" xfId="11211"/>
    <cellStyle name="SAPBEXchaText 5 6" xfId="22259"/>
    <cellStyle name="SAPBEXchaText 5 7" xfId="22536"/>
    <cellStyle name="SAPBEXchaText 6" xfId="17733"/>
    <cellStyle name="SAPBEXchaText 7" xfId="11141"/>
    <cellStyle name="SAPBEXexcBad7" xfId="3232"/>
    <cellStyle name="SAPBEXexcBad7 2" xfId="11213"/>
    <cellStyle name="SAPBEXexcBad7 2 2" xfId="11214"/>
    <cellStyle name="SAPBEXexcBad7 2 2 2" xfId="37857"/>
    <cellStyle name="SAPBEXexcBad7 2 3" xfId="11215"/>
    <cellStyle name="SAPBEXexcBad7 2 4" xfId="11216"/>
    <cellStyle name="SAPBEXexcBad7 2 5" xfId="11217"/>
    <cellStyle name="SAPBEXexcBad7 2 6" xfId="17950"/>
    <cellStyle name="SAPBEXexcBad7 2 7" xfId="22399"/>
    <cellStyle name="SAPBEXexcBad7 3" xfId="17734"/>
    <cellStyle name="SAPBEXexcBad7 3 2" xfId="37858"/>
    <cellStyle name="SAPBEXexcBad7 4" xfId="37859"/>
    <cellStyle name="SAPBEXexcBad7 4 2" xfId="37860"/>
    <cellStyle name="SAPBEXexcBad7 5" xfId="11212"/>
    <cellStyle name="SAPBEXexcBad8" xfId="3233"/>
    <cellStyle name="SAPBEXexcBad8 2" xfId="11219"/>
    <cellStyle name="SAPBEXexcBad8 2 2" xfId="11220"/>
    <cellStyle name="SAPBEXexcBad8 2 2 2" xfId="37861"/>
    <cellStyle name="SAPBEXexcBad8 2 3" xfId="11221"/>
    <cellStyle name="SAPBEXexcBad8 2 4" xfId="11222"/>
    <cellStyle name="SAPBEXexcBad8 2 5" xfId="11223"/>
    <cellStyle name="SAPBEXexcBad8 2 6" xfId="17951"/>
    <cellStyle name="SAPBEXexcBad8 2 7" xfId="22400"/>
    <cellStyle name="SAPBEXexcBad8 3" xfId="17735"/>
    <cellStyle name="SAPBEXexcBad8 3 2" xfId="37862"/>
    <cellStyle name="SAPBEXexcBad8 4" xfId="37863"/>
    <cellStyle name="SAPBEXexcBad8 4 2" xfId="37864"/>
    <cellStyle name="SAPBEXexcBad8 5" xfId="11218"/>
    <cellStyle name="SAPBEXexcBad9" xfId="3234"/>
    <cellStyle name="SAPBEXexcBad9 2" xfId="11225"/>
    <cellStyle name="SAPBEXexcBad9 2 2" xfId="11226"/>
    <cellStyle name="SAPBEXexcBad9 2 2 2" xfId="37865"/>
    <cellStyle name="SAPBEXexcBad9 2 3" xfId="11227"/>
    <cellStyle name="SAPBEXexcBad9 2 4" xfId="11228"/>
    <cellStyle name="SAPBEXexcBad9 2 5" xfId="11229"/>
    <cellStyle name="SAPBEXexcBad9 2 6" xfId="17952"/>
    <cellStyle name="SAPBEXexcBad9 2 7" xfId="22401"/>
    <cellStyle name="SAPBEXexcBad9 3" xfId="17736"/>
    <cellStyle name="SAPBEXexcBad9 3 2" xfId="37866"/>
    <cellStyle name="SAPBEXexcBad9 4" xfId="37867"/>
    <cellStyle name="SAPBEXexcBad9 4 2" xfId="37868"/>
    <cellStyle name="SAPBEXexcBad9 5" xfId="11224"/>
    <cellStyle name="SAPBEXexcCritical4" xfId="3235"/>
    <cellStyle name="SAPBEXexcCritical4 2" xfId="11231"/>
    <cellStyle name="SAPBEXexcCritical4 2 2" xfId="11232"/>
    <cellStyle name="SAPBEXexcCritical4 2 2 2" xfId="37869"/>
    <cellStyle name="SAPBEXexcCritical4 2 3" xfId="11233"/>
    <cellStyle name="SAPBEXexcCritical4 2 4" xfId="11234"/>
    <cellStyle name="SAPBEXexcCritical4 2 5" xfId="11235"/>
    <cellStyle name="SAPBEXexcCritical4 2 6" xfId="17953"/>
    <cellStyle name="SAPBEXexcCritical4 2 7" xfId="22402"/>
    <cellStyle name="SAPBEXexcCritical4 3" xfId="17737"/>
    <cellStyle name="SAPBEXexcCritical4 3 2" xfId="37870"/>
    <cellStyle name="SAPBEXexcCritical4 4" xfId="37871"/>
    <cellStyle name="SAPBEXexcCritical4 4 2" xfId="37872"/>
    <cellStyle name="SAPBEXexcCritical4 5" xfId="11230"/>
    <cellStyle name="SAPBEXexcCritical5" xfId="3236"/>
    <cellStyle name="SAPBEXexcCritical5 2" xfId="11237"/>
    <cellStyle name="SAPBEXexcCritical5 2 2" xfId="11238"/>
    <cellStyle name="SAPBEXexcCritical5 2 2 2" xfId="37873"/>
    <cellStyle name="SAPBEXexcCritical5 2 3" xfId="11239"/>
    <cellStyle name="SAPBEXexcCritical5 2 4" xfId="11240"/>
    <cellStyle name="SAPBEXexcCritical5 2 5" xfId="11241"/>
    <cellStyle name="SAPBEXexcCritical5 2 6" xfId="17954"/>
    <cellStyle name="SAPBEXexcCritical5 2 7" xfId="22403"/>
    <cellStyle name="SAPBEXexcCritical5 3" xfId="17738"/>
    <cellStyle name="SAPBEXexcCritical5 3 2" xfId="37874"/>
    <cellStyle name="SAPBEXexcCritical5 4" xfId="37875"/>
    <cellStyle name="SAPBEXexcCritical5 4 2" xfId="37876"/>
    <cellStyle name="SAPBEXexcCritical5 5" xfId="11236"/>
    <cellStyle name="SAPBEXexcCritical6" xfId="3237"/>
    <cellStyle name="SAPBEXexcCritical6 2" xfId="11243"/>
    <cellStyle name="SAPBEXexcCritical6 2 2" xfId="11244"/>
    <cellStyle name="SAPBEXexcCritical6 2 2 2" xfId="37877"/>
    <cellStyle name="SAPBEXexcCritical6 2 3" xfId="11245"/>
    <cellStyle name="SAPBEXexcCritical6 2 4" xfId="11246"/>
    <cellStyle name="SAPBEXexcCritical6 2 5" xfId="11247"/>
    <cellStyle name="SAPBEXexcCritical6 2 6" xfId="17955"/>
    <cellStyle name="SAPBEXexcCritical6 2 7" xfId="22404"/>
    <cellStyle name="SAPBEXexcCritical6 3" xfId="17739"/>
    <cellStyle name="SAPBEXexcCritical6 3 2" xfId="37878"/>
    <cellStyle name="SAPBEXexcCritical6 4" xfId="37879"/>
    <cellStyle name="SAPBEXexcCritical6 4 2" xfId="37880"/>
    <cellStyle name="SAPBEXexcCritical6 5" xfId="11242"/>
    <cellStyle name="SAPBEXexcGood1" xfId="3238"/>
    <cellStyle name="SAPBEXexcGood1 2" xfId="11249"/>
    <cellStyle name="SAPBEXexcGood1 2 2" xfId="11250"/>
    <cellStyle name="SAPBEXexcGood1 2 2 2" xfId="37881"/>
    <cellStyle name="SAPBEXexcGood1 2 3" xfId="11251"/>
    <cellStyle name="SAPBEXexcGood1 2 4" xfId="11252"/>
    <cellStyle name="SAPBEXexcGood1 2 5" xfId="11253"/>
    <cellStyle name="SAPBEXexcGood1 2 6" xfId="17956"/>
    <cellStyle name="SAPBEXexcGood1 2 7" xfId="22405"/>
    <cellStyle name="SAPBEXexcGood1 3" xfId="17740"/>
    <cellStyle name="SAPBEXexcGood1 3 2" xfId="37882"/>
    <cellStyle name="SAPBEXexcGood1 4" xfId="37883"/>
    <cellStyle name="SAPBEXexcGood1 4 2" xfId="37884"/>
    <cellStyle name="SAPBEXexcGood1 5" xfId="11248"/>
    <cellStyle name="SAPBEXexcGood2" xfId="3239"/>
    <cellStyle name="SAPBEXexcGood2 2" xfId="11255"/>
    <cellStyle name="SAPBEXexcGood2 2 2" xfId="11256"/>
    <cellStyle name="SAPBEXexcGood2 2 2 2" xfId="37885"/>
    <cellStyle name="SAPBEXexcGood2 2 3" xfId="11257"/>
    <cellStyle name="SAPBEXexcGood2 2 4" xfId="11258"/>
    <cellStyle name="SAPBEXexcGood2 2 5" xfId="11259"/>
    <cellStyle name="SAPBEXexcGood2 2 6" xfId="17957"/>
    <cellStyle name="SAPBEXexcGood2 2 7" xfId="22406"/>
    <cellStyle name="SAPBEXexcGood2 3" xfId="17741"/>
    <cellStyle name="SAPBEXexcGood2 3 2" xfId="37886"/>
    <cellStyle name="SAPBEXexcGood2 4" xfId="37887"/>
    <cellStyle name="SAPBEXexcGood2 4 2" xfId="37888"/>
    <cellStyle name="SAPBEXexcGood2 5" xfId="11254"/>
    <cellStyle name="SAPBEXexcGood3" xfId="3240"/>
    <cellStyle name="SAPBEXexcGood3 2" xfId="11261"/>
    <cellStyle name="SAPBEXexcGood3 2 2" xfId="11262"/>
    <cellStyle name="SAPBEXexcGood3 2 2 2" xfId="37889"/>
    <cellStyle name="SAPBEXexcGood3 2 3" xfId="11263"/>
    <cellStyle name="SAPBEXexcGood3 2 4" xfId="11264"/>
    <cellStyle name="SAPBEXexcGood3 2 5" xfId="11265"/>
    <cellStyle name="SAPBEXexcGood3 2 6" xfId="17958"/>
    <cellStyle name="SAPBEXexcGood3 2 7" xfId="22407"/>
    <cellStyle name="SAPBEXexcGood3 3" xfId="17742"/>
    <cellStyle name="SAPBEXexcGood3 3 2" xfId="37890"/>
    <cellStyle name="SAPBEXexcGood3 4" xfId="37891"/>
    <cellStyle name="SAPBEXexcGood3 4 2" xfId="37892"/>
    <cellStyle name="SAPBEXexcGood3 5" xfId="11260"/>
    <cellStyle name="SAPBEXfilterDrill" xfId="3241"/>
    <cellStyle name="SAPBEXfilterDrill 2" xfId="11267"/>
    <cellStyle name="SAPBEXfilterDrill 2 2" xfId="11268"/>
    <cellStyle name="SAPBEXfilterDrill 2 2 2" xfId="37893"/>
    <cellStyle name="SAPBEXfilterDrill 2 3" xfId="11269"/>
    <cellStyle name="SAPBEXfilterDrill 2 4" xfId="11270"/>
    <cellStyle name="SAPBEXfilterDrill 2 5" xfId="11271"/>
    <cellStyle name="SAPBEXfilterDrill 2 6" xfId="17959"/>
    <cellStyle name="SAPBEXfilterDrill 2 7" xfId="22408"/>
    <cellStyle name="SAPBEXfilterDrill 3" xfId="17743"/>
    <cellStyle name="SAPBEXfilterDrill 3 2" xfId="37894"/>
    <cellStyle name="SAPBEXfilterDrill 4" xfId="37895"/>
    <cellStyle name="SAPBEXfilterDrill 4 2" xfId="37896"/>
    <cellStyle name="SAPBEXfilterDrill 5" xfId="11266"/>
    <cellStyle name="SAPBEXfilterItem" xfId="3242"/>
    <cellStyle name="SAPBEXfilterItem 2" xfId="11273"/>
    <cellStyle name="SAPBEXfilterItem 2 2" xfId="11274"/>
    <cellStyle name="SAPBEXfilterItem 2 2 2" xfId="37897"/>
    <cellStyle name="SAPBEXfilterItem 2 3" xfId="11275"/>
    <cellStyle name="SAPBEXfilterItem 2 4" xfId="11276"/>
    <cellStyle name="SAPBEXfilterItem 2 5" xfId="11277"/>
    <cellStyle name="SAPBEXfilterItem 2 6" xfId="17960"/>
    <cellStyle name="SAPBEXfilterItem 2 7" xfId="22409"/>
    <cellStyle name="SAPBEXfilterItem 3" xfId="17744"/>
    <cellStyle name="SAPBEXfilterItem 3 2" xfId="37898"/>
    <cellStyle name="SAPBEXfilterItem 4" xfId="37899"/>
    <cellStyle name="SAPBEXfilterItem 4 2" xfId="37900"/>
    <cellStyle name="SAPBEXfilterItem 5" xfId="11272"/>
    <cellStyle name="SAPBEXfilterText" xfId="3243"/>
    <cellStyle name="SAPBEXfilterText 2" xfId="13830"/>
    <cellStyle name="SAPBEXfilterText 2 2" xfId="13831"/>
    <cellStyle name="SAPBEXfilterText 2 2 2" xfId="37901"/>
    <cellStyle name="SAPBEXfilterText 2 3" xfId="37902"/>
    <cellStyle name="SAPBEXfilterText 3" xfId="17745"/>
    <cellStyle name="SAPBEXfilterText 3 2" xfId="37903"/>
    <cellStyle name="SAPBEXfilterText 4" xfId="37904"/>
    <cellStyle name="SAPBEXfilterText 4 2" xfId="37905"/>
    <cellStyle name="SAPBEXfilterText 5" xfId="11278"/>
    <cellStyle name="SAPBEXformats" xfId="3244"/>
    <cellStyle name="SAPBEXformats 2" xfId="6156"/>
    <cellStyle name="SAPBEXformats 2 2" xfId="11281"/>
    <cellStyle name="SAPBEXformats 2 2 2" xfId="11282"/>
    <cellStyle name="SAPBEXformats 2 2 3" xfId="11283"/>
    <cellStyle name="SAPBEXformats 2 2 4" xfId="11284"/>
    <cellStyle name="SAPBEXformats 2 2 5" xfId="11285"/>
    <cellStyle name="SAPBEXformats 2 2 6" xfId="22260"/>
    <cellStyle name="SAPBEXformats 2 2 7" xfId="22537"/>
    <cellStyle name="SAPBEXformats 2 3" xfId="11286"/>
    <cellStyle name="SAPBEXformats 2 4" xfId="11287"/>
    <cellStyle name="SAPBEXformats 2 5" xfId="11288"/>
    <cellStyle name="SAPBEXformats 2 6" xfId="11289"/>
    <cellStyle name="SAPBEXformats 2 7" xfId="17961"/>
    <cellStyle name="SAPBEXformats 2 8" xfId="22410"/>
    <cellStyle name="SAPBEXformats 2 9" xfId="11280"/>
    <cellStyle name="SAPBEXformats 3" xfId="11290"/>
    <cellStyle name="SAPBEXformats 3 2" xfId="11291"/>
    <cellStyle name="SAPBEXformats 3 2 2" xfId="37906"/>
    <cellStyle name="SAPBEXformats 3 3" xfId="11292"/>
    <cellStyle name="SAPBEXformats 3 4" xfId="11293"/>
    <cellStyle name="SAPBEXformats 3 5" xfId="11294"/>
    <cellStyle name="SAPBEXformats 3 6" xfId="22261"/>
    <cellStyle name="SAPBEXformats 3 7" xfId="22538"/>
    <cellStyle name="SAPBEXformats 4" xfId="17746"/>
    <cellStyle name="SAPBEXformats 4 2" xfId="37907"/>
    <cellStyle name="SAPBEXformats 5" xfId="37908"/>
    <cellStyle name="SAPBEXformats 5 2" xfId="37909"/>
    <cellStyle name="SAPBEXformats 6" xfId="11279"/>
    <cellStyle name="SAPBEXheaderItem" xfId="3245"/>
    <cellStyle name="SAPBEXheaderItem 2" xfId="11296"/>
    <cellStyle name="SAPBEXheaderItem 2 2" xfId="11297"/>
    <cellStyle name="SAPBEXheaderItem 2 2 2" xfId="37910"/>
    <cellStyle name="SAPBEXheaderItem 2 3" xfId="11298"/>
    <cellStyle name="SAPBEXheaderItem 2 4" xfId="11299"/>
    <cellStyle name="SAPBEXheaderItem 2 5" xfId="11300"/>
    <cellStyle name="SAPBEXheaderItem 2 6" xfId="17962"/>
    <cellStyle name="SAPBEXheaderItem 2 7" xfId="22411"/>
    <cellStyle name="SAPBEXheaderItem 3" xfId="17747"/>
    <cellStyle name="SAPBEXheaderItem 3 2" xfId="37911"/>
    <cellStyle name="SAPBEXheaderItem 4" xfId="37912"/>
    <cellStyle name="SAPBEXheaderItem 4 2" xfId="37913"/>
    <cellStyle name="SAPBEXheaderItem 5" xfId="11295"/>
    <cellStyle name="SAPBEXheaderText" xfId="3246"/>
    <cellStyle name="SAPBEXheaderText 2" xfId="11302"/>
    <cellStyle name="SAPBEXheaderText 2 2" xfId="11303"/>
    <cellStyle name="SAPBEXheaderText 2 2 2" xfId="37914"/>
    <cellStyle name="SAPBEXheaderText 2 3" xfId="11304"/>
    <cellStyle name="SAPBEXheaderText 2 4" xfId="11305"/>
    <cellStyle name="SAPBEXheaderText 2 5" xfId="11306"/>
    <cellStyle name="SAPBEXheaderText 2 6" xfId="17963"/>
    <cellStyle name="SAPBEXheaderText 2 7" xfId="22412"/>
    <cellStyle name="SAPBEXheaderText 3" xfId="17748"/>
    <cellStyle name="SAPBEXheaderText 3 2" xfId="37915"/>
    <cellStyle name="SAPBEXheaderText 4" xfId="37916"/>
    <cellStyle name="SAPBEXheaderText 4 2" xfId="37917"/>
    <cellStyle name="SAPBEXheaderText 5" xfId="11301"/>
    <cellStyle name="SAPBEXHLevel0" xfId="3247"/>
    <cellStyle name="SAPBEXHLevel0 2" xfId="3362"/>
    <cellStyle name="SAPBEXHLevel0 2 2" xfId="11309"/>
    <cellStyle name="SAPBEXHLevel0 2 2 2" xfId="11310"/>
    <cellStyle name="SAPBEXHLevel0 2 2 3" xfId="11311"/>
    <cellStyle name="SAPBEXHLevel0 2 2 4" xfId="11312"/>
    <cellStyle name="SAPBEXHLevel0 2 2 5" xfId="11313"/>
    <cellStyle name="SAPBEXHLevel0 2 2 6" xfId="22262"/>
    <cellStyle name="SAPBEXHLevel0 2 2 7" xfId="22539"/>
    <cellStyle name="SAPBEXHLevel0 2 3" xfId="11314"/>
    <cellStyle name="SAPBEXHLevel0 2 4" xfId="11315"/>
    <cellStyle name="SAPBEXHLevel0 2 5" xfId="11316"/>
    <cellStyle name="SAPBEXHLevel0 2 6" xfId="11317"/>
    <cellStyle name="SAPBEXHLevel0 2 7" xfId="17964"/>
    <cellStyle name="SAPBEXHLevel0 2 8" xfId="22413"/>
    <cellStyle name="SAPBEXHLevel0 2 9" xfId="11308"/>
    <cellStyle name="SAPBEXHLevel0 3" xfId="6157"/>
    <cellStyle name="SAPBEXHLevel0 3 2" xfId="11319"/>
    <cellStyle name="SAPBEXHLevel0 3 2 2" xfId="37918"/>
    <cellStyle name="SAPBEXHLevel0 3 3" xfId="11320"/>
    <cellStyle name="SAPBEXHLevel0 3 4" xfId="11321"/>
    <cellStyle name="SAPBEXHLevel0 3 5" xfId="11322"/>
    <cellStyle name="SAPBEXHLevel0 3 6" xfId="22263"/>
    <cellStyle name="SAPBEXHLevel0 3 7" xfId="22540"/>
    <cellStyle name="SAPBEXHLevel0 3 8" xfId="11318"/>
    <cellStyle name="SAPBEXHLevel0 4" xfId="17749"/>
    <cellStyle name="SAPBEXHLevel0 4 2" xfId="37919"/>
    <cellStyle name="SAPBEXHLevel0 5" xfId="37920"/>
    <cellStyle name="SAPBEXHLevel0 5 2" xfId="37921"/>
    <cellStyle name="SAPBEXHLevel0 6" xfId="11307"/>
    <cellStyle name="SAPBEXHLevel0_2012-04-19 PROJECTIONS-Costs Thru Mar 2012" xfId="42360"/>
    <cellStyle name="SAPBEXHLevel0X" xfId="3248"/>
    <cellStyle name="SAPBEXHLevel0X 2" xfId="3363"/>
    <cellStyle name="SAPBEXHLevel0X 2 10" xfId="11324"/>
    <cellStyle name="SAPBEXHLevel0X 2 2" xfId="11325"/>
    <cellStyle name="SAPBEXHLevel0X 2 2 2" xfId="11326"/>
    <cellStyle name="SAPBEXHLevel0X 2 2 2 2" xfId="11327"/>
    <cellStyle name="SAPBEXHLevel0X 2 2 2 3" xfId="11328"/>
    <cellStyle name="SAPBEXHLevel0X 2 2 2 4" xfId="11329"/>
    <cellStyle name="SAPBEXHLevel0X 2 2 2 5" xfId="11330"/>
    <cellStyle name="SAPBEXHLevel0X 2 2 2 6" xfId="22264"/>
    <cellStyle name="SAPBEXHLevel0X 2 2 2 7" xfId="22541"/>
    <cellStyle name="SAPBEXHLevel0X 2 2 3" xfId="11331"/>
    <cellStyle name="SAPBEXHLevel0X 2 2 4" xfId="11332"/>
    <cellStyle name="SAPBEXHLevel0X 2 2 5" xfId="11333"/>
    <cellStyle name="SAPBEXHLevel0X 2 2 6" xfId="11334"/>
    <cellStyle name="SAPBEXHLevel0X 2 2 7" xfId="19454"/>
    <cellStyle name="SAPBEXHLevel0X 2 2 8" xfId="22475"/>
    <cellStyle name="SAPBEXHLevel0X 2 3" xfId="11335"/>
    <cellStyle name="SAPBEXHLevel0X 2 3 2" xfId="11336"/>
    <cellStyle name="SAPBEXHLevel0X 2 3 3" xfId="11337"/>
    <cellStyle name="SAPBEXHLevel0X 2 3 4" xfId="11338"/>
    <cellStyle name="SAPBEXHLevel0X 2 3 5" xfId="11339"/>
    <cellStyle name="SAPBEXHLevel0X 2 3 6" xfId="22265"/>
    <cellStyle name="SAPBEXHLevel0X 2 3 7" xfId="22542"/>
    <cellStyle name="SAPBEXHLevel0X 2 4" xfId="11340"/>
    <cellStyle name="SAPBEXHLevel0X 2 5" xfId="11341"/>
    <cellStyle name="SAPBEXHLevel0X 2 6" xfId="11342"/>
    <cellStyle name="SAPBEXHLevel0X 2 7" xfId="11343"/>
    <cellStyle name="SAPBEXHLevel0X 2 8" xfId="17965"/>
    <cellStyle name="SAPBEXHLevel0X 2 9" xfId="22414"/>
    <cellStyle name="SAPBEXHLevel0X 3" xfId="6158"/>
    <cellStyle name="SAPBEXHLevel0X 3 10" xfId="22476"/>
    <cellStyle name="SAPBEXHLevel0X 3 11" xfId="11344"/>
    <cellStyle name="SAPBEXHLevel0X 3 2" xfId="11345"/>
    <cellStyle name="SAPBEXHLevel0X 3 2 2" xfId="11346"/>
    <cellStyle name="SAPBEXHLevel0X 3 2 2 2" xfId="11347"/>
    <cellStyle name="SAPBEXHLevel0X 3 2 2 3" xfId="11348"/>
    <cellStyle name="SAPBEXHLevel0X 3 2 2 4" xfId="11349"/>
    <cellStyle name="SAPBEXHLevel0X 3 2 2 5" xfId="11350"/>
    <cellStyle name="SAPBEXHLevel0X 3 2 2 6" xfId="22266"/>
    <cellStyle name="SAPBEXHLevel0X 3 2 2 7" xfId="22543"/>
    <cellStyle name="SAPBEXHLevel0X 3 2 3" xfId="11351"/>
    <cellStyle name="SAPBEXHLevel0X 3 2 4" xfId="11352"/>
    <cellStyle name="SAPBEXHLevel0X 3 2 5" xfId="11353"/>
    <cellStyle name="SAPBEXHLevel0X 3 2 6" xfId="11354"/>
    <cellStyle name="SAPBEXHLevel0X 3 2 7" xfId="19456"/>
    <cellStyle name="SAPBEXHLevel0X 3 2 8" xfId="22477"/>
    <cellStyle name="SAPBEXHLevel0X 3 3" xfId="11355"/>
    <cellStyle name="SAPBEXHLevel0X 3 3 2" xfId="11356"/>
    <cellStyle name="SAPBEXHLevel0X 3 3 2 2" xfId="11357"/>
    <cellStyle name="SAPBEXHLevel0X 3 3 2 3" xfId="11358"/>
    <cellStyle name="SAPBEXHLevel0X 3 3 2 4" xfId="11359"/>
    <cellStyle name="SAPBEXHLevel0X 3 3 2 5" xfId="11360"/>
    <cellStyle name="SAPBEXHLevel0X 3 3 2 6" xfId="22267"/>
    <cellStyle name="SAPBEXHLevel0X 3 3 2 7" xfId="22544"/>
    <cellStyle name="SAPBEXHLevel0X 3 3 3" xfId="11361"/>
    <cellStyle name="SAPBEXHLevel0X 3 3 4" xfId="11362"/>
    <cellStyle name="SAPBEXHLevel0X 3 3 5" xfId="11363"/>
    <cellStyle name="SAPBEXHLevel0X 3 3 6" xfId="11364"/>
    <cellStyle name="SAPBEXHLevel0X 3 3 7" xfId="19457"/>
    <cellStyle name="SAPBEXHLevel0X 3 3 8" xfId="22478"/>
    <cellStyle name="SAPBEXHLevel0X 3 4" xfId="11365"/>
    <cellStyle name="SAPBEXHLevel0X 3 4 2" xfId="11366"/>
    <cellStyle name="SAPBEXHLevel0X 3 4 2 2" xfId="11367"/>
    <cellStyle name="SAPBEXHLevel0X 3 4 2 3" xfId="11368"/>
    <cellStyle name="SAPBEXHLevel0X 3 4 2 4" xfId="11369"/>
    <cellStyle name="SAPBEXHLevel0X 3 4 2 5" xfId="11370"/>
    <cellStyle name="SAPBEXHLevel0X 3 4 2 6" xfId="22268"/>
    <cellStyle name="SAPBEXHLevel0X 3 4 2 7" xfId="22545"/>
    <cellStyle name="SAPBEXHLevel0X 3 4 3" xfId="11371"/>
    <cellStyle name="SAPBEXHLevel0X 3 4 4" xfId="11372"/>
    <cellStyle name="SAPBEXHLevel0X 3 4 5" xfId="11373"/>
    <cellStyle name="SAPBEXHLevel0X 3 4 6" xfId="11374"/>
    <cellStyle name="SAPBEXHLevel0X 3 4 7" xfId="19458"/>
    <cellStyle name="SAPBEXHLevel0X 3 4 8" xfId="22479"/>
    <cellStyle name="SAPBEXHLevel0X 3 5" xfId="11375"/>
    <cellStyle name="SAPBEXHLevel0X 3 6" xfId="11376"/>
    <cellStyle name="SAPBEXHLevel0X 3 7" xfId="11377"/>
    <cellStyle name="SAPBEXHLevel0X 3 8" xfId="11378"/>
    <cellStyle name="SAPBEXHLevel0X 3 9" xfId="19455"/>
    <cellStyle name="SAPBEXHLevel0X 4" xfId="11379"/>
    <cellStyle name="SAPBEXHLevel0X 4 2" xfId="11380"/>
    <cellStyle name="SAPBEXHLevel0X 4 2 2" xfId="11381"/>
    <cellStyle name="SAPBEXHLevel0X 4 2 3" xfId="11382"/>
    <cellStyle name="SAPBEXHLevel0X 4 2 4" xfId="11383"/>
    <cellStyle name="SAPBEXHLevel0X 4 2 5" xfId="11384"/>
    <cellStyle name="SAPBEXHLevel0X 4 2 6" xfId="22269"/>
    <cellStyle name="SAPBEXHLevel0X 4 2 7" xfId="22546"/>
    <cellStyle name="SAPBEXHLevel0X 4 3" xfId="11385"/>
    <cellStyle name="SAPBEXHLevel0X 4 4" xfId="11386"/>
    <cellStyle name="SAPBEXHLevel0X 4 5" xfId="11387"/>
    <cellStyle name="SAPBEXHLevel0X 4 6" xfId="11388"/>
    <cellStyle name="SAPBEXHLevel0X 4 7" xfId="19459"/>
    <cellStyle name="SAPBEXHLevel0X 4 8" xfId="22480"/>
    <cellStyle name="SAPBEXHLevel0X 5" xfId="11389"/>
    <cellStyle name="SAPBEXHLevel0X 5 2" xfId="11390"/>
    <cellStyle name="SAPBEXHLevel0X 5 3" xfId="11391"/>
    <cellStyle name="SAPBEXHLevel0X 5 4" xfId="11392"/>
    <cellStyle name="SAPBEXHLevel0X 5 5" xfId="11393"/>
    <cellStyle name="SAPBEXHLevel0X 5 6" xfId="22270"/>
    <cellStyle name="SAPBEXHLevel0X 5 7" xfId="22547"/>
    <cellStyle name="SAPBEXHLevel0X 6" xfId="17750"/>
    <cellStyle name="SAPBEXHLevel0X 7" xfId="11323"/>
    <cellStyle name="SAPBEXHLevel0X_2012-04-19 PROJECTIONS-Costs Thru Mar 2012" xfId="42361"/>
    <cellStyle name="SAPBEXHLevel1" xfId="3249"/>
    <cellStyle name="SAPBEXHLevel1 2" xfId="3364"/>
    <cellStyle name="SAPBEXHLevel1 2 2" xfId="11396"/>
    <cellStyle name="SAPBEXHLevel1 2 2 2" xfId="11397"/>
    <cellStyle name="SAPBEXHLevel1 2 2 3" xfId="11398"/>
    <cellStyle name="SAPBEXHLevel1 2 2 4" xfId="11399"/>
    <cellStyle name="SAPBEXHLevel1 2 2 5" xfId="11400"/>
    <cellStyle name="SAPBEXHLevel1 2 2 6" xfId="22271"/>
    <cellStyle name="SAPBEXHLevel1 2 2 7" xfId="22548"/>
    <cellStyle name="SAPBEXHLevel1 2 3" xfId="11401"/>
    <cellStyle name="SAPBEXHLevel1 2 4" xfId="11402"/>
    <cellStyle name="SAPBEXHLevel1 2 5" xfId="11403"/>
    <cellStyle name="SAPBEXHLevel1 2 6" xfId="11404"/>
    <cellStyle name="SAPBEXHLevel1 2 7" xfId="17966"/>
    <cellStyle name="SAPBEXHLevel1 2 8" xfId="22415"/>
    <cellStyle name="SAPBEXHLevel1 2 9" xfId="11395"/>
    <cellStyle name="SAPBEXHLevel1 3" xfId="6159"/>
    <cellStyle name="SAPBEXHLevel1 3 2" xfId="11406"/>
    <cellStyle name="SAPBEXHLevel1 3 2 2" xfId="37922"/>
    <cellStyle name="SAPBEXHLevel1 3 3" xfId="11407"/>
    <cellStyle name="SAPBEXHLevel1 3 4" xfId="11408"/>
    <cellStyle name="SAPBEXHLevel1 3 5" xfId="11409"/>
    <cellStyle name="SAPBEXHLevel1 3 6" xfId="22272"/>
    <cellStyle name="SAPBEXHLevel1 3 7" xfId="22549"/>
    <cellStyle name="SAPBEXHLevel1 3 8" xfId="11405"/>
    <cellStyle name="SAPBEXHLevel1 4" xfId="17751"/>
    <cellStyle name="SAPBEXHLevel1 4 2" xfId="37923"/>
    <cellStyle name="SAPBEXHLevel1 5" xfId="37924"/>
    <cellStyle name="SAPBEXHLevel1 5 2" xfId="37925"/>
    <cellStyle name="SAPBEXHLevel1 6" xfId="11394"/>
    <cellStyle name="SAPBEXHLevel1_2012-04-19 PROJECTIONS-Costs Thru Mar 2012" xfId="42362"/>
    <cellStyle name="SAPBEXHLevel1X" xfId="3250"/>
    <cellStyle name="SAPBEXHLevel1X 2" xfId="3365"/>
    <cellStyle name="SAPBEXHLevel1X 2 2" xfId="11412"/>
    <cellStyle name="SAPBEXHLevel1X 2 2 2" xfId="11413"/>
    <cellStyle name="SAPBEXHLevel1X 2 2 3" xfId="11414"/>
    <cellStyle name="SAPBEXHLevel1X 2 2 4" xfId="11415"/>
    <cellStyle name="SAPBEXHLevel1X 2 2 5" xfId="11416"/>
    <cellStyle name="SAPBEXHLevel1X 2 2 6" xfId="22273"/>
    <cellStyle name="SAPBEXHLevel1X 2 2 7" xfId="22550"/>
    <cellStyle name="SAPBEXHLevel1X 2 3" xfId="11417"/>
    <cellStyle name="SAPBEXHLevel1X 2 4" xfId="11418"/>
    <cellStyle name="SAPBEXHLevel1X 2 5" xfId="11419"/>
    <cellStyle name="SAPBEXHLevel1X 2 6" xfId="11420"/>
    <cellStyle name="SAPBEXHLevel1X 2 7" xfId="17967"/>
    <cellStyle name="SAPBEXHLevel1X 2 8" xfId="22416"/>
    <cellStyle name="SAPBEXHLevel1X 2 9" xfId="11411"/>
    <cellStyle name="SAPBEXHLevel1X 3" xfId="6160"/>
    <cellStyle name="SAPBEXHLevel1X 3 2" xfId="11422"/>
    <cellStyle name="SAPBEXHLevel1X 3 2 2" xfId="37926"/>
    <cellStyle name="SAPBEXHLevel1X 3 3" xfId="11423"/>
    <cellStyle name="SAPBEXHLevel1X 3 4" xfId="11424"/>
    <cellStyle name="SAPBEXHLevel1X 3 5" xfId="11425"/>
    <cellStyle name="SAPBEXHLevel1X 3 6" xfId="22274"/>
    <cellStyle name="SAPBEXHLevel1X 3 7" xfId="22551"/>
    <cellStyle name="SAPBEXHLevel1X 3 8" xfId="11421"/>
    <cellStyle name="SAPBEXHLevel1X 4" xfId="17752"/>
    <cellStyle name="SAPBEXHLevel1X 4 2" xfId="37927"/>
    <cellStyle name="SAPBEXHLevel1X 5" xfId="37928"/>
    <cellStyle name="SAPBEXHLevel1X 5 2" xfId="37929"/>
    <cellStyle name="SAPBEXHLevel1X 6" xfId="11410"/>
    <cellStyle name="SAPBEXHLevel1X_2012-04-19 PROJECTIONS-Costs Thru Mar 2012" xfId="42363"/>
    <cellStyle name="SAPBEXHLevel2" xfId="3251"/>
    <cellStyle name="SAPBEXHLevel2 2" xfId="3366"/>
    <cellStyle name="SAPBEXHLevel2 2 2" xfId="11428"/>
    <cellStyle name="SAPBEXHLevel2 2 2 2" xfId="11429"/>
    <cellStyle name="SAPBEXHLevel2 2 2 3" xfId="11430"/>
    <cellStyle name="SAPBEXHLevel2 2 2 4" xfId="11431"/>
    <cellStyle name="SAPBEXHLevel2 2 2 5" xfId="11432"/>
    <cellStyle name="SAPBEXHLevel2 2 2 6" xfId="22275"/>
    <cellStyle name="SAPBEXHLevel2 2 2 7" xfId="22552"/>
    <cellStyle name="SAPBEXHLevel2 2 3" xfId="11433"/>
    <cellStyle name="SAPBEXHLevel2 2 4" xfId="11434"/>
    <cellStyle name="SAPBEXHLevel2 2 5" xfId="11435"/>
    <cellStyle name="SAPBEXHLevel2 2 6" xfId="11436"/>
    <cellStyle name="SAPBEXHLevel2 2 7" xfId="17968"/>
    <cellStyle name="SAPBEXHLevel2 2 8" xfId="22417"/>
    <cellStyle name="SAPBEXHLevel2 2 9" xfId="11427"/>
    <cellStyle name="SAPBEXHLevel2 3" xfId="6161"/>
    <cellStyle name="SAPBEXHLevel2 3 2" xfId="11438"/>
    <cellStyle name="SAPBEXHLevel2 3 2 2" xfId="37930"/>
    <cellStyle name="SAPBEXHLevel2 3 3" xfId="11439"/>
    <cellStyle name="SAPBEXHLevel2 3 4" xfId="11440"/>
    <cellStyle name="SAPBEXHLevel2 3 5" xfId="11441"/>
    <cellStyle name="SAPBEXHLevel2 3 6" xfId="22276"/>
    <cellStyle name="SAPBEXHLevel2 3 7" xfId="22553"/>
    <cellStyle name="SAPBEXHLevel2 3 8" xfId="11437"/>
    <cellStyle name="SAPBEXHLevel2 4" xfId="17753"/>
    <cellStyle name="SAPBEXHLevel2 4 2" xfId="37931"/>
    <cellStyle name="SAPBEXHLevel2 5" xfId="37932"/>
    <cellStyle name="SAPBEXHLevel2 5 2" xfId="37933"/>
    <cellStyle name="SAPBEXHLevel2 6" xfId="11426"/>
    <cellStyle name="SAPBEXHLevel2_2012-04-19 PROJECTIONS-Costs Thru Mar 2012" xfId="42364"/>
    <cellStyle name="SAPBEXHLevel2X" xfId="3252"/>
    <cellStyle name="SAPBEXHLevel2X 2" xfId="3367"/>
    <cellStyle name="SAPBEXHLevel2X 2 2" xfId="11444"/>
    <cellStyle name="SAPBEXHLevel2X 2 2 2" xfId="11445"/>
    <cellStyle name="SAPBEXHLevel2X 2 2 3" xfId="11446"/>
    <cellStyle name="SAPBEXHLevel2X 2 2 4" xfId="11447"/>
    <cellStyle name="SAPBEXHLevel2X 2 2 5" xfId="11448"/>
    <cellStyle name="SAPBEXHLevel2X 2 2 6" xfId="22277"/>
    <cellStyle name="SAPBEXHLevel2X 2 2 7" xfId="22554"/>
    <cellStyle name="SAPBEXHLevel2X 2 3" xfId="11449"/>
    <cellStyle name="SAPBEXHLevel2X 2 4" xfId="11450"/>
    <cellStyle name="SAPBEXHLevel2X 2 5" xfId="11451"/>
    <cellStyle name="SAPBEXHLevel2X 2 6" xfId="11452"/>
    <cellStyle name="SAPBEXHLevel2X 2 7" xfId="17969"/>
    <cellStyle name="SAPBEXHLevel2X 2 8" xfId="22418"/>
    <cellStyle name="SAPBEXHLevel2X 2 9" xfId="11443"/>
    <cellStyle name="SAPBEXHLevel2X 3" xfId="6162"/>
    <cellStyle name="SAPBEXHLevel2X 3 2" xfId="11454"/>
    <cellStyle name="SAPBEXHLevel2X 3 2 2" xfId="37934"/>
    <cellStyle name="SAPBEXHLevel2X 3 3" xfId="11455"/>
    <cellStyle name="SAPBEXHLevel2X 3 4" xfId="11456"/>
    <cellStyle name="SAPBEXHLevel2X 3 5" xfId="11457"/>
    <cellStyle name="SAPBEXHLevel2X 3 6" xfId="22278"/>
    <cellStyle name="SAPBEXHLevel2X 3 7" xfId="22555"/>
    <cellStyle name="SAPBEXHLevel2X 3 8" xfId="11453"/>
    <cellStyle name="SAPBEXHLevel2X 4" xfId="17754"/>
    <cellStyle name="SAPBEXHLevel2X 4 2" xfId="37935"/>
    <cellStyle name="SAPBEXHLevel2X 5" xfId="37936"/>
    <cellStyle name="SAPBEXHLevel2X 5 2" xfId="37937"/>
    <cellStyle name="SAPBEXHLevel2X 6" xfId="11442"/>
    <cellStyle name="SAPBEXHLevel2X_2012-04-19 PROJECTIONS-Costs Thru Mar 2012" xfId="42365"/>
    <cellStyle name="SAPBEXHLevel3" xfId="3253"/>
    <cellStyle name="SAPBEXHLevel3 2" xfId="3368"/>
    <cellStyle name="SAPBEXHLevel3 2 2" xfId="11460"/>
    <cellStyle name="SAPBEXHLevel3 2 2 2" xfId="11461"/>
    <cellStyle name="SAPBEXHLevel3 2 2 3" xfId="11462"/>
    <cellStyle name="SAPBEXHLevel3 2 2 4" xfId="11463"/>
    <cellStyle name="SAPBEXHLevel3 2 2 5" xfId="11464"/>
    <cellStyle name="SAPBEXHLevel3 2 2 6" xfId="22279"/>
    <cellStyle name="SAPBEXHLevel3 2 2 7" xfId="22556"/>
    <cellStyle name="SAPBEXHLevel3 2 3" xfId="11465"/>
    <cellStyle name="SAPBEXHLevel3 2 4" xfId="11466"/>
    <cellStyle name="SAPBEXHLevel3 2 5" xfId="11467"/>
    <cellStyle name="SAPBEXHLevel3 2 6" xfId="11468"/>
    <cellStyle name="SAPBEXHLevel3 2 7" xfId="17970"/>
    <cellStyle name="SAPBEXHLevel3 2 8" xfId="22419"/>
    <cellStyle name="SAPBEXHLevel3 2 9" xfId="11459"/>
    <cellStyle name="SAPBEXHLevel3 3" xfId="6163"/>
    <cellStyle name="SAPBEXHLevel3 3 2" xfId="11470"/>
    <cellStyle name="SAPBEXHLevel3 3 2 2" xfId="37938"/>
    <cellStyle name="SAPBEXHLevel3 3 3" xfId="11471"/>
    <cellStyle name="SAPBEXHLevel3 3 4" xfId="11472"/>
    <cellStyle name="SAPBEXHLevel3 3 5" xfId="11473"/>
    <cellStyle name="SAPBEXHLevel3 3 6" xfId="22280"/>
    <cellStyle name="SAPBEXHLevel3 3 7" xfId="22557"/>
    <cellStyle name="SAPBEXHLevel3 3 8" xfId="11469"/>
    <cellStyle name="SAPBEXHLevel3 4" xfId="17755"/>
    <cellStyle name="SAPBEXHLevel3 4 2" xfId="37939"/>
    <cellStyle name="SAPBEXHLevel3 5" xfId="37940"/>
    <cellStyle name="SAPBEXHLevel3 5 2" xfId="37941"/>
    <cellStyle name="SAPBEXHLevel3 6" xfId="11458"/>
    <cellStyle name="SAPBEXHLevel3_2012-04-19 PROJECTIONS-Costs Thru Mar 2012" xfId="42366"/>
    <cellStyle name="SAPBEXHLevel3X" xfId="3254"/>
    <cellStyle name="SAPBEXHLevel3X 2" xfId="3369"/>
    <cellStyle name="SAPBEXHLevel3X 2 2" xfId="11476"/>
    <cellStyle name="SAPBEXHLevel3X 2 2 2" xfId="11477"/>
    <cellStyle name="SAPBEXHLevel3X 2 2 3" xfId="11478"/>
    <cellStyle name="SAPBEXHLevel3X 2 2 4" xfId="11479"/>
    <cellStyle name="SAPBEXHLevel3X 2 2 5" xfId="11480"/>
    <cellStyle name="SAPBEXHLevel3X 2 2 6" xfId="22281"/>
    <cellStyle name="SAPBEXHLevel3X 2 2 7" xfId="22558"/>
    <cellStyle name="SAPBEXHLevel3X 2 3" xfId="11481"/>
    <cellStyle name="SAPBEXHLevel3X 2 4" xfId="11482"/>
    <cellStyle name="SAPBEXHLevel3X 2 5" xfId="11483"/>
    <cellStyle name="SAPBEXHLevel3X 2 6" xfId="11484"/>
    <cellStyle name="SAPBEXHLevel3X 2 7" xfId="17971"/>
    <cellStyle name="SAPBEXHLevel3X 2 8" xfId="22420"/>
    <cellStyle name="SAPBEXHLevel3X 2 9" xfId="11475"/>
    <cellStyle name="SAPBEXHLevel3X 3" xfId="6164"/>
    <cellStyle name="SAPBEXHLevel3X 3 2" xfId="11486"/>
    <cellStyle name="SAPBEXHLevel3X 3 2 2" xfId="37942"/>
    <cellStyle name="SAPBEXHLevel3X 3 3" xfId="11487"/>
    <cellStyle name="SAPBEXHLevel3X 3 4" xfId="11488"/>
    <cellStyle name="SAPBEXHLevel3X 3 5" xfId="11489"/>
    <cellStyle name="SAPBEXHLevel3X 3 6" xfId="22282"/>
    <cellStyle name="SAPBEXHLevel3X 3 7" xfId="22559"/>
    <cellStyle name="SAPBEXHLevel3X 3 8" xfId="11485"/>
    <cellStyle name="SAPBEXHLevel3X 4" xfId="17756"/>
    <cellStyle name="SAPBEXHLevel3X 4 2" xfId="37943"/>
    <cellStyle name="SAPBEXHLevel3X 5" xfId="37944"/>
    <cellStyle name="SAPBEXHLevel3X 5 2" xfId="37945"/>
    <cellStyle name="SAPBEXHLevel3X 6" xfId="11474"/>
    <cellStyle name="SAPBEXHLevel3X_2012-04-19 PROJECTIONS-Costs Thru Mar 2012" xfId="42367"/>
    <cellStyle name="SAPBEXinputData" xfId="3255"/>
    <cellStyle name="SAPBEXinputData 2" xfId="3370"/>
    <cellStyle name="SAPBEXinputData 2 2" xfId="11492"/>
    <cellStyle name="SAPBEXinputData 2 2 2" xfId="11493"/>
    <cellStyle name="SAPBEXinputData 2 2 3" xfId="11494"/>
    <cellStyle name="SAPBEXinputData 2 2 4" xfId="11495"/>
    <cellStyle name="SAPBEXinputData 2 2 5" xfId="11496"/>
    <cellStyle name="SAPBEXinputData 2 2 6" xfId="22283"/>
    <cellStyle name="SAPBEXinputData 2 2 7" xfId="22560"/>
    <cellStyle name="SAPBEXinputData 2 3" xfId="11497"/>
    <cellStyle name="SAPBEXinputData 2 4" xfId="11498"/>
    <cellStyle name="SAPBEXinputData 2 5" xfId="11499"/>
    <cellStyle name="SAPBEXinputData 2 6" xfId="11500"/>
    <cellStyle name="SAPBEXinputData 2 7" xfId="17972"/>
    <cellStyle name="SAPBEXinputData 2 8" xfId="22421"/>
    <cellStyle name="SAPBEXinputData 2 9" xfId="11491"/>
    <cellStyle name="SAPBEXinputData 3" xfId="11501"/>
    <cellStyle name="SAPBEXinputData 3 2" xfId="11502"/>
    <cellStyle name="SAPBEXinputData 3 3" xfId="11503"/>
    <cellStyle name="SAPBEXinputData 3 4" xfId="11504"/>
    <cellStyle name="SAPBEXinputData 3 5" xfId="11505"/>
    <cellStyle name="SAPBEXinputData 3 6" xfId="22284"/>
    <cellStyle name="SAPBEXinputData 3 7" xfId="22561"/>
    <cellStyle name="SAPBEXinputData 4" xfId="17757"/>
    <cellStyle name="SAPBEXinputData 5" xfId="11490"/>
    <cellStyle name="SAPBEXItemHeader" xfId="3256"/>
    <cellStyle name="SAPBEXItemHeader 2" xfId="37946"/>
    <cellStyle name="SAPBEXresData" xfId="3257"/>
    <cellStyle name="SAPBEXresData 2" xfId="11507"/>
    <cellStyle name="SAPBEXresData 2 2" xfId="11508"/>
    <cellStyle name="SAPBEXresData 2 2 2" xfId="37947"/>
    <cellStyle name="SAPBEXresData 2 3" xfId="11509"/>
    <cellStyle name="SAPBEXresData 2 4" xfId="11510"/>
    <cellStyle name="SAPBEXresData 2 5" xfId="11511"/>
    <cellStyle name="SAPBEXresData 2 6" xfId="17973"/>
    <cellStyle name="SAPBEXresData 2 7" xfId="22422"/>
    <cellStyle name="SAPBEXresData 3" xfId="17758"/>
    <cellStyle name="SAPBEXresData 3 2" xfId="37948"/>
    <cellStyle name="SAPBEXresData 4" xfId="37949"/>
    <cellStyle name="SAPBEXresData 4 2" xfId="37950"/>
    <cellStyle name="SAPBEXresData 5" xfId="11506"/>
    <cellStyle name="SAPBEXresDataEmph" xfId="3258"/>
    <cellStyle name="SAPBEXresDataEmph 2" xfId="11513"/>
    <cellStyle name="SAPBEXresDataEmph 2 2" xfId="11514"/>
    <cellStyle name="SAPBEXresDataEmph 2 2 2" xfId="37951"/>
    <cellStyle name="SAPBEXresDataEmph 2 3" xfId="11515"/>
    <cellStyle name="SAPBEXresDataEmph 2 4" xfId="11516"/>
    <cellStyle name="SAPBEXresDataEmph 2 5" xfId="11517"/>
    <cellStyle name="SAPBEXresDataEmph 2 6" xfId="17974"/>
    <cellStyle name="SAPBEXresDataEmph 2 7" xfId="22423"/>
    <cellStyle name="SAPBEXresDataEmph 3" xfId="17759"/>
    <cellStyle name="SAPBEXresDataEmph 3 2" xfId="37952"/>
    <cellStyle name="SAPBEXresDataEmph 4" xfId="37953"/>
    <cellStyle name="SAPBEXresDataEmph 4 2" xfId="37954"/>
    <cellStyle name="SAPBEXresDataEmph 5" xfId="11512"/>
    <cellStyle name="SAPBEXresItem" xfId="3259"/>
    <cellStyle name="SAPBEXresItem 2" xfId="11519"/>
    <cellStyle name="SAPBEXresItem 2 2" xfId="11520"/>
    <cellStyle name="SAPBEXresItem 2 2 2" xfId="37955"/>
    <cellStyle name="SAPBEXresItem 2 3" xfId="11521"/>
    <cellStyle name="SAPBEXresItem 2 4" xfId="11522"/>
    <cellStyle name="SAPBEXresItem 2 5" xfId="11523"/>
    <cellStyle name="SAPBEXresItem 2 6" xfId="17975"/>
    <cellStyle name="SAPBEXresItem 2 7" xfId="22424"/>
    <cellStyle name="SAPBEXresItem 3" xfId="17760"/>
    <cellStyle name="SAPBEXresItem 3 2" xfId="37956"/>
    <cellStyle name="SAPBEXresItem 4" xfId="37957"/>
    <cellStyle name="SAPBEXresItem 4 2" xfId="37958"/>
    <cellStyle name="SAPBEXresItem 5" xfId="11518"/>
    <cellStyle name="SAPBEXresItemX" xfId="3260"/>
    <cellStyle name="SAPBEXresItemX 2" xfId="11525"/>
    <cellStyle name="SAPBEXresItemX 2 2" xfId="11526"/>
    <cellStyle name="SAPBEXresItemX 2 2 2" xfId="37959"/>
    <cellStyle name="SAPBEXresItemX 2 3" xfId="11527"/>
    <cellStyle name="SAPBEXresItemX 2 4" xfId="11528"/>
    <cellStyle name="SAPBEXresItemX 2 5" xfId="11529"/>
    <cellStyle name="SAPBEXresItemX 2 6" xfId="17976"/>
    <cellStyle name="SAPBEXresItemX 2 7" xfId="22425"/>
    <cellStyle name="SAPBEXresItemX 3" xfId="17761"/>
    <cellStyle name="SAPBEXresItemX 3 2" xfId="37960"/>
    <cellStyle name="SAPBEXresItemX 4" xfId="37961"/>
    <cellStyle name="SAPBEXresItemX 4 2" xfId="37962"/>
    <cellStyle name="SAPBEXresItemX 5" xfId="11524"/>
    <cellStyle name="SAPBEXstdData" xfId="3261"/>
    <cellStyle name="SAPBEXstdData 2" xfId="3262"/>
    <cellStyle name="SAPBEXstdData 2 2" xfId="11532"/>
    <cellStyle name="SAPBEXstdData 2 2 2" xfId="37963"/>
    <cellStyle name="SAPBEXstdData 2 2 3" xfId="37964"/>
    <cellStyle name="SAPBEXstdData 2 3" xfId="11533"/>
    <cellStyle name="SAPBEXstdData 2 3 2" xfId="37965"/>
    <cellStyle name="SAPBEXstdData 2 4" xfId="11534"/>
    <cellStyle name="SAPBEXstdData 2 5" xfId="11535"/>
    <cellStyle name="SAPBEXstdData 2 6" xfId="17763"/>
    <cellStyle name="SAPBEXstdData 2 7" xfId="22366"/>
    <cellStyle name="SAPBEXstdData 2 8" xfId="11531"/>
    <cellStyle name="SAPBEXstdData 3" xfId="11536"/>
    <cellStyle name="SAPBEXstdData 3 2" xfId="11537"/>
    <cellStyle name="SAPBEXstdData 3 2 2" xfId="37966"/>
    <cellStyle name="SAPBEXstdData 3 3" xfId="11538"/>
    <cellStyle name="SAPBEXstdData 3 4" xfId="11539"/>
    <cellStyle name="SAPBEXstdData 3 5" xfId="11540"/>
    <cellStyle name="SAPBEXstdData 3 6" xfId="17977"/>
    <cellStyle name="SAPBEXstdData 3 7" xfId="22426"/>
    <cellStyle name="SAPBEXstdData 4" xfId="15658"/>
    <cellStyle name="SAPBEXstdData 4 2" xfId="37967"/>
    <cellStyle name="SAPBEXstdData 4 3" xfId="37968"/>
    <cellStyle name="SAPBEXstdData 5" xfId="17762"/>
    <cellStyle name="SAPBEXstdData 5 2" xfId="37969"/>
    <cellStyle name="SAPBEXstdData 6" xfId="11530"/>
    <cellStyle name="SAPBEXstdDataEmph" xfId="3263"/>
    <cellStyle name="SAPBEXstdDataEmph 2" xfId="11542"/>
    <cellStyle name="SAPBEXstdDataEmph 2 2" xfId="11543"/>
    <cellStyle name="SAPBEXstdDataEmph 2 2 2" xfId="37970"/>
    <cellStyle name="SAPBEXstdDataEmph 2 3" xfId="11544"/>
    <cellStyle name="SAPBEXstdDataEmph 2 4" xfId="11545"/>
    <cellStyle name="SAPBEXstdDataEmph 2 5" xfId="11546"/>
    <cellStyle name="SAPBEXstdDataEmph 2 6" xfId="17978"/>
    <cellStyle name="SAPBEXstdDataEmph 2 7" xfId="22427"/>
    <cellStyle name="SAPBEXstdDataEmph 3" xfId="17764"/>
    <cellStyle name="SAPBEXstdDataEmph 3 2" xfId="37971"/>
    <cellStyle name="SAPBEXstdDataEmph 4" xfId="37972"/>
    <cellStyle name="SAPBEXstdDataEmph 4 2" xfId="37973"/>
    <cellStyle name="SAPBEXstdDataEmph 5" xfId="11541"/>
    <cellStyle name="SAPBEXstdItem" xfId="3264"/>
    <cellStyle name="SAPBEXstdItem 2" xfId="6165"/>
    <cellStyle name="SAPBEXstdItem 2 10" xfId="11548"/>
    <cellStyle name="SAPBEXstdItem 2 2" xfId="11549"/>
    <cellStyle name="SAPBEXstdItem 2 2 2" xfId="11550"/>
    <cellStyle name="SAPBEXstdItem 2 2 2 2" xfId="11551"/>
    <cellStyle name="SAPBEXstdItem 2 2 2 3" xfId="11552"/>
    <cellStyle name="SAPBEXstdItem 2 2 2 4" xfId="11553"/>
    <cellStyle name="SAPBEXstdItem 2 2 2 5" xfId="11554"/>
    <cellStyle name="SAPBEXstdItem 2 2 2 6" xfId="22285"/>
    <cellStyle name="SAPBEXstdItem 2 2 2 7" xfId="22562"/>
    <cellStyle name="SAPBEXstdItem 2 2 3" xfId="11555"/>
    <cellStyle name="SAPBEXstdItem 2 2 4" xfId="11556"/>
    <cellStyle name="SAPBEXstdItem 2 2 5" xfId="11557"/>
    <cellStyle name="SAPBEXstdItem 2 2 6" xfId="11558"/>
    <cellStyle name="SAPBEXstdItem 2 2 7" xfId="19460"/>
    <cellStyle name="SAPBEXstdItem 2 2 8" xfId="22481"/>
    <cellStyle name="SAPBEXstdItem 2 3" xfId="11559"/>
    <cellStyle name="SAPBEXstdItem 2 3 2" xfId="11560"/>
    <cellStyle name="SAPBEXstdItem 2 3 3" xfId="11561"/>
    <cellStyle name="SAPBEXstdItem 2 3 4" xfId="11562"/>
    <cellStyle name="SAPBEXstdItem 2 3 5" xfId="11563"/>
    <cellStyle name="SAPBEXstdItem 2 3 6" xfId="22286"/>
    <cellStyle name="SAPBEXstdItem 2 3 7" xfId="22563"/>
    <cellStyle name="SAPBEXstdItem 2 4" xfId="11564"/>
    <cellStyle name="SAPBEXstdItem 2 5" xfId="11565"/>
    <cellStyle name="SAPBEXstdItem 2 6" xfId="11566"/>
    <cellStyle name="SAPBEXstdItem 2 7" xfId="11567"/>
    <cellStyle name="SAPBEXstdItem 2 8" xfId="17979"/>
    <cellStyle name="SAPBEXstdItem 2 9" xfId="22428"/>
    <cellStyle name="SAPBEXstdItem 3" xfId="11568"/>
    <cellStyle name="SAPBEXstdItem 3 10" xfId="22482"/>
    <cellStyle name="SAPBEXstdItem 3 2" xfId="11569"/>
    <cellStyle name="SAPBEXstdItem 3 2 2" xfId="11570"/>
    <cellStyle name="SAPBEXstdItem 3 2 2 2" xfId="11571"/>
    <cellStyle name="SAPBEXstdItem 3 2 2 3" xfId="11572"/>
    <cellStyle name="SAPBEXstdItem 3 2 2 4" xfId="11573"/>
    <cellStyle name="SAPBEXstdItem 3 2 2 5" xfId="11574"/>
    <cellStyle name="SAPBEXstdItem 3 2 2 6" xfId="22287"/>
    <cellStyle name="SAPBEXstdItem 3 2 2 7" xfId="22564"/>
    <cellStyle name="SAPBEXstdItem 3 2 3" xfId="11575"/>
    <cellStyle name="SAPBEXstdItem 3 2 4" xfId="11576"/>
    <cellStyle name="SAPBEXstdItem 3 2 5" xfId="11577"/>
    <cellStyle name="SAPBEXstdItem 3 2 6" xfId="11578"/>
    <cellStyle name="SAPBEXstdItem 3 2 7" xfId="19462"/>
    <cellStyle name="SAPBEXstdItem 3 2 8" xfId="22483"/>
    <cellStyle name="SAPBEXstdItem 3 3" xfId="11579"/>
    <cellStyle name="SAPBEXstdItem 3 3 2" xfId="11580"/>
    <cellStyle name="SAPBEXstdItem 3 3 2 2" xfId="11581"/>
    <cellStyle name="SAPBEXstdItem 3 3 2 3" xfId="11582"/>
    <cellStyle name="SAPBEXstdItem 3 3 2 4" xfId="11583"/>
    <cellStyle name="SAPBEXstdItem 3 3 2 5" xfId="11584"/>
    <cellStyle name="SAPBEXstdItem 3 3 2 6" xfId="22288"/>
    <cellStyle name="SAPBEXstdItem 3 3 2 7" xfId="22565"/>
    <cellStyle name="SAPBEXstdItem 3 3 3" xfId="11585"/>
    <cellStyle name="SAPBEXstdItem 3 3 4" xfId="11586"/>
    <cellStyle name="SAPBEXstdItem 3 3 5" xfId="11587"/>
    <cellStyle name="SAPBEXstdItem 3 3 6" xfId="11588"/>
    <cellStyle name="SAPBEXstdItem 3 3 7" xfId="19463"/>
    <cellStyle name="SAPBEXstdItem 3 3 8" xfId="22484"/>
    <cellStyle name="SAPBEXstdItem 3 4" xfId="11589"/>
    <cellStyle name="SAPBEXstdItem 3 4 2" xfId="11590"/>
    <cellStyle name="SAPBEXstdItem 3 4 2 2" xfId="11591"/>
    <cellStyle name="SAPBEXstdItem 3 4 2 3" xfId="11592"/>
    <cellStyle name="SAPBEXstdItem 3 4 2 4" xfId="11593"/>
    <cellStyle name="SAPBEXstdItem 3 4 2 5" xfId="11594"/>
    <cellStyle name="SAPBEXstdItem 3 4 2 6" xfId="22289"/>
    <cellStyle name="SAPBEXstdItem 3 4 2 7" xfId="22566"/>
    <cellStyle name="SAPBEXstdItem 3 4 3" xfId="11595"/>
    <cellStyle name="SAPBEXstdItem 3 4 4" xfId="11596"/>
    <cellStyle name="SAPBEXstdItem 3 4 5" xfId="11597"/>
    <cellStyle name="SAPBEXstdItem 3 4 6" xfId="11598"/>
    <cellStyle name="SAPBEXstdItem 3 4 7" xfId="19464"/>
    <cellStyle name="SAPBEXstdItem 3 4 8" xfId="22485"/>
    <cellStyle name="SAPBEXstdItem 3 5" xfId="11599"/>
    <cellStyle name="SAPBEXstdItem 3 6" xfId="11600"/>
    <cellStyle name="SAPBEXstdItem 3 7" xfId="11601"/>
    <cellStyle name="SAPBEXstdItem 3 8" xfId="11602"/>
    <cellStyle name="SAPBEXstdItem 3 9" xfId="19461"/>
    <cellStyle name="SAPBEXstdItem 4" xfId="11603"/>
    <cellStyle name="SAPBEXstdItem 4 2" xfId="11604"/>
    <cellStyle name="SAPBEXstdItem 4 2 2" xfId="11605"/>
    <cellStyle name="SAPBEXstdItem 4 2 3" xfId="11606"/>
    <cellStyle name="SAPBEXstdItem 4 2 4" xfId="11607"/>
    <cellStyle name="SAPBEXstdItem 4 2 5" xfId="11608"/>
    <cellStyle name="SAPBEXstdItem 4 2 6" xfId="22290"/>
    <cellStyle name="SAPBEXstdItem 4 2 7" xfId="22567"/>
    <cellStyle name="SAPBEXstdItem 4 3" xfId="11609"/>
    <cellStyle name="SAPBEXstdItem 4 4" xfId="11610"/>
    <cellStyle name="SAPBEXstdItem 4 5" xfId="11611"/>
    <cellStyle name="SAPBEXstdItem 4 6" xfId="11612"/>
    <cellStyle name="SAPBEXstdItem 4 7" xfId="19465"/>
    <cellStyle name="SAPBEXstdItem 4 8" xfId="22486"/>
    <cellStyle name="SAPBEXstdItem 5" xfId="11613"/>
    <cellStyle name="SAPBEXstdItem 5 2" xfId="11614"/>
    <cellStyle name="SAPBEXstdItem 5 3" xfId="11615"/>
    <cellStyle name="SAPBEXstdItem 5 4" xfId="11616"/>
    <cellStyle name="SAPBEXstdItem 5 5" xfId="11617"/>
    <cellStyle name="SAPBEXstdItem 5 6" xfId="22291"/>
    <cellStyle name="SAPBEXstdItem 5 7" xfId="22568"/>
    <cellStyle name="SAPBEXstdItem 6" xfId="17765"/>
    <cellStyle name="SAPBEXstdItem 7" xfId="11547"/>
    <cellStyle name="SAPBEXstdItemX" xfId="3265"/>
    <cellStyle name="SAPBEXstdItemX 2" xfId="6166"/>
    <cellStyle name="SAPBEXstdItemX 2 10" xfId="11619"/>
    <cellStyle name="SAPBEXstdItemX 2 2" xfId="11620"/>
    <cellStyle name="SAPBEXstdItemX 2 2 2" xfId="11621"/>
    <cellStyle name="SAPBEXstdItemX 2 2 2 2" xfId="11622"/>
    <cellStyle name="SAPBEXstdItemX 2 2 2 3" xfId="11623"/>
    <cellStyle name="SAPBEXstdItemX 2 2 2 4" xfId="11624"/>
    <cellStyle name="SAPBEXstdItemX 2 2 2 5" xfId="11625"/>
    <cellStyle name="SAPBEXstdItemX 2 2 2 6" xfId="22292"/>
    <cellStyle name="SAPBEXstdItemX 2 2 2 7" xfId="22569"/>
    <cellStyle name="SAPBEXstdItemX 2 2 3" xfId="11626"/>
    <cellStyle name="SAPBEXstdItemX 2 2 4" xfId="11627"/>
    <cellStyle name="SAPBEXstdItemX 2 2 5" xfId="11628"/>
    <cellStyle name="SAPBEXstdItemX 2 2 6" xfId="11629"/>
    <cellStyle name="SAPBEXstdItemX 2 2 7" xfId="19466"/>
    <cellStyle name="SAPBEXstdItemX 2 2 8" xfId="22487"/>
    <cellStyle name="SAPBEXstdItemX 2 3" xfId="11630"/>
    <cellStyle name="SAPBEXstdItemX 2 3 2" xfId="11631"/>
    <cellStyle name="SAPBEXstdItemX 2 3 3" xfId="11632"/>
    <cellStyle name="SAPBEXstdItemX 2 3 4" xfId="11633"/>
    <cellStyle name="SAPBEXstdItemX 2 3 5" xfId="11634"/>
    <cellStyle name="SAPBEXstdItemX 2 3 6" xfId="22293"/>
    <cellStyle name="SAPBEXstdItemX 2 3 7" xfId="22570"/>
    <cellStyle name="SAPBEXstdItemX 2 4" xfId="11635"/>
    <cellStyle name="SAPBEXstdItemX 2 5" xfId="11636"/>
    <cellStyle name="SAPBEXstdItemX 2 6" xfId="11637"/>
    <cellStyle name="SAPBEXstdItemX 2 7" xfId="11638"/>
    <cellStyle name="SAPBEXstdItemX 2 8" xfId="17980"/>
    <cellStyle name="SAPBEXstdItemX 2 9" xfId="22429"/>
    <cellStyle name="SAPBEXstdItemX 3" xfId="11639"/>
    <cellStyle name="SAPBEXstdItemX 3 10" xfId="22488"/>
    <cellStyle name="SAPBEXstdItemX 3 2" xfId="11640"/>
    <cellStyle name="SAPBEXstdItemX 3 2 2" xfId="11641"/>
    <cellStyle name="SAPBEXstdItemX 3 2 2 2" xfId="11642"/>
    <cellStyle name="SAPBEXstdItemX 3 2 2 3" xfId="11643"/>
    <cellStyle name="SAPBEXstdItemX 3 2 2 4" xfId="11644"/>
    <cellStyle name="SAPBEXstdItemX 3 2 2 5" xfId="11645"/>
    <cellStyle name="SAPBEXstdItemX 3 2 2 6" xfId="22294"/>
    <cellStyle name="SAPBEXstdItemX 3 2 2 7" xfId="22571"/>
    <cellStyle name="SAPBEXstdItemX 3 2 3" xfId="11646"/>
    <cellStyle name="SAPBEXstdItemX 3 2 4" xfId="11647"/>
    <cellStyle name="SAPBEXstdItemX 3 2 5" xfId="11648"/>
    <cellStyle name="SAPBEXstdItemX 3 2 6" xfId="11649"/>
    <cellStyle name="SAPBEXstdItemX 3 2 7" xfId="19468"/>
    <cellStyle name="SAPBEXstdItemX 3 2 8" xfId="22489"/>
    <cellStyle name="SAPBEXstdItemX 3 3" xfId="11650"/>
    <cellStyle name="SAPBEXstdItemX 3 3 2" xfId="11651"/>
    <cellStyle name="SAPBEXstdItemX 3 3 2 2" xfId="11652"/>
    <cellStyle name="SAPBEXstdItemX 3 3 2 3" xfId="11653"/>
    <cellStyle name="SAPBEXstdItemX 3 3 2 4" xfId="11654"/>
    <cellStyle name="SAPBEXstdItemX 3 3 2 5" xfId="11655"/>
    <cellStyle name="SAPBEXstdItemX 3 3 2 6" xfId="22295"/>
    <cellStyle name="SAPBEXstdItemX 3 3 2 7" xfId="22572"/>
    <cellStyle name="SAPBEXstdItemX 3 3 3" xfId="11656"/>
    <cellStyle name="SAPBEXstdItemX 3 3 4" xfId="11657"/>
    <cellStyle name="SAPBEXstdItemX 3 3 5" xfId="11658"/>
    <cellStyle name="SAPBEXstdItemX 3 3 6" xfId="11659"/>
    <cellStyle name="SAPBEXstdItemX 3 3 7" xfId="19469"/>
    <cellStyle name="SAPBEXstdItemX 3 3 8" xfId="22490"/>
    <cellStyle name="SAPBEXstdItemX 3 4" xfId="11660"/>
    <cellStyle name="SAPBEXstdItemX 3 4 2" xfId="11661"/>
    <cellStyle name="SAPBEXstdItemX 3 4 2 2" xfId="11662"/>
    <cellStyle name="SAPBEXstdItemX 3 4 2 3" xfId="11663"/>
    <cellStyle name="SAPBEXstdItemX 3 4 2 4" xfId="11664"/>
    <cellStyle name="SAPBEXstdItemX 3 4 2 5" xfId="11665"/>
    <cellStyle name="SAPBEXstdItemX 3 4 2 6" xfId="22296"/>
    <cellStyle name="SAPBEXstdItemX 3 4 2 7" xfId="22573"/>
    <cellStyle name="SAPBEXstdItemX 3 4 3" xfId="11666"/>
    <cellStyle name="SAPBEXstdItemX 3 4 4" xfId="11667"/>
    <cellStyle name="SAPBEXstdItemX 3 4 5" xfId="11668"/>
    <cellStyle name="SAPBEXstdItemX 3 4 6" xfId="11669"/>
    <cellStyle name="SAPBEXstdItemX 3 4 7" xfId="19470"/>
    <cellStyle name="SAPBEXstdItemX 3 4 8" xfId="22491"/>
    <cellStyle name="SAPBEXstdItemX 3 5" xfId="11670"/>
    <cellStyle name="SAPBEXstdItemX 3 6" xfId="11671"/>
    <cellStyle name="SAPBEXstdItemX 3 7" xfId="11672"/>
    <cellStyle name="SAPBEXstdItemX 3 8" xfId="11673"/>
    <cellStyle name="SAPBEXstdItemX 3 9" xfId="19467"/>
    <cellStyle name="SAPBEXstdItemX 4" xfId="11674"/>
    <cellStyle name="SAPBEXstdItemX 4 2" xfId="11675"/>
    <cellStyle name="SAPBEXstdItemX 4 2 2" xfId="11676"/>
    <cellStyle name="SAPBEXstdItemX 4 2 3" xfId="11677"/>
    <cellStyle name="SAPBEXstdItemX 4 2 4" xfId="11678"/>
    <cellStyle name="SAPBEXstdItemX 4 2 5" xfId="11679"/>
    <cellStyle name="SAPBEXstdItemX 4 2 6" xfId="22297"/>
    <cellStyle name="SAPBEXstdItemX 4 2 7" xfId="22574"/>
    <cellStyle name="SAPBEXstdItemX 4 3" xfId="11680"/>
    <cellStyle name="SAPBEXstdItemX 4 4" xfId="11681"/>
    <cellStyle name="SAPBEXstdItemX 4 5" xfId="11682"/>
    <cellStyle name="SAPBEXstdItemX 4 6" xfId="11683"/>
    <cellStyle name="SAPBEXstdItemX 4 7" xfId="19471"/>
    <cellStyle name="SAPBEXstdItemX 4 8" xfId="22492"/>
    <cellStyle name="SAPBEXstdItemX 5" xfId="11684"/>
    <cellStyle name="SAPBEXstdItemX 5 2" xfId="11685"/>
    <cellStyle name="SAPBEXstdItemX 5 3" xfId="11686"/>
    <cellStyle name="SAPBEXstdItemX 5 4" xfId="11687"/>
    <cellStyle name="SAPBEXstdItemX 5 5" xfId="11688"/>
    <cellStyle name="SAPBEXstdItemX 5 6" xfId="22298"/>
    <cellStyle name="SAPBEXstdItemX 5 7" xfId="22575"/>
    <cellStyle name="SAPBEXstdItemX 6" xfId="17766"/>
    <cellStyle name="SAPBEXstdItemX 7" xfId="11618"/>
    <cellStyle name="SAPBEXtitle" xfId="3266"/>
    <cellStyle name="SAPBEXtitle 2" xfId="13832"/>
    <cellStyle name="SAPBEXtitle 2 2" xfId="13833"/>
    <cellStyle name="SAPBEXtitle 2 2 2" xfId="37974"/>
    <cellStyle name="SAPBEXtitle 2 3" xfId="37975"/>
    <cellStyle name="SAPBEXtitle 3" xfId="17767"/>
    <cellStyle name="SAPBEXtitle 3 2" xfId="37976"/>
    <cellStyle name="SAPBEXtitle 4" xfId="37977"/>
    <cellStyle name="SAPBEXtitle 4 2" xfId="37978"/>
    <cellStyle name="SAPBEXtitle 5" xfId="11689"/>
    <cellStyle name="SAPBEXunassignedItem" xfId="3267"/>
    <cellStyle name="SAPBEXunassignedItem 2" xfId="37979"/>
    <cellStyle name="SAPBEXundefined" xfId="3268"/>
    <cellStyle name="SAPBEXundefined 2" xfId="11691"/>
    <cellStyle name="SAPBEXundefined 2 2" xfId="11692"/>
    <cellStyle name="SAPBEXundefined 2 2 2" xfId="37980"/>
    <cellStyle name="SAPBEXundefined 2 3" xfId="11693"/>
    <cellStyle name="SAPBEXundefined 2 4" xfId="11694"/>
    <cellStyle name="SAPBEXundefined 2 5" xfId="11695"/>
    <cellStyle name="SAPBEXundefined 2 6" xfId="17981"/>
    <cellStyle name="SAPBEXundefined 2 7" xfId="22430"/>
    <cellStyle name="SAPBEXundefined 3" xfId="17768"/>
    <cellStyle name="SAPBEXundefined 3 2" xfId="37981"/>
    <cellStyle name="SAPBEXundefined 4" xfId="37982"/>
    <cellStyle name="SAPBEXundefined 4 2" xfId="37983"/>
    <cellStyle name="SAPBEXundefined 5" xfId="11690"/>
    <cellStyle name="shade" xfId="3269"/>
    <cellStyle name="shade 10" xfId="37984"/>
    <cellStyle name="shade 10 2" xfId="37985"/>
    <cellStyle name="shade 11" xfId="37986"/>
    <cellStyle name="shade 11 2" xfId="37987"/>
    <cellStyle name="shade 12" xfId="37988"/>
    <cellStyle name="shade 12 2" xfId="37989"/>
    <cellStyle name="shade 12 3" xfId="37990"/>
    <cellStyle name="shade 13" xfId="11696"/>
    <cellStyle name="shade 2" xfId="3270"/>
    <cellStyle name="shade 2 2" xfId="3271"/>
    <cellStyle name="shade 2 2 2" xfId="6168"/>
    <cellStyle name="shade 2 2 2 2" xfId="22299"/>
    <cellStyle name="shade 2 2 2 2 2" xfId="37991"/>
    <cellStyle name="shade 2 2 2 3" xfId="37992"/>
    <cellStyle name="shade 2 2 2 4" xfId="11699"/>
    <cellStyle name="shade 2 2 3" xfId="17769"/>
    <cellStyle name="shade 2 2 3 2" xfId="37993"/>
    <cellStyle name="shade 2 2 4" xfId="37994"/>
    <cellStyle name="shade 2 2 4 2" xfId="37995"/>
    <cellStyle name="shade 2 2 5" xfId="11698"/>
    <cellStyle name="shade 2 3" xfId="6167"/>
    <cellStyle name="shade 2 3 2" xfId="15659"/>
    <cellStyle name="shade 2 3 2 2" xfId="37996"/>
    <cellStyle name="shade 2 3 2 3" xfId="37997"/>
    <cellStyle name="shade 2 3 3" xfId="37998"/>
    <cellStyle name="shade 2 3 4" xfId="11700"/>
    <cellStyle name="shade 2 4" xfId="37999"/>
    <cellStyle name="shade 2 4 2" xfId="38000"/>
    <cellStyle name="shade 2 4 2 2" xfId="38001"/>
    <cellStyle name="shade 2 4 3" xfId="38002"/>
    <cellStyle name="shade 2 5" xfId="38003"/>
    <cellStyle name="shade 2 5 2" xfId="38004"/>
    <cellStyle name="shade 2 6" xfId="38005"/>
    <cellStyle name="shade 2 6 2" xfId="38006"/>
    <cellStyle name="shade 2 7" xfId="11697"/>
    <cellStyle name="shade 3" xfId="3272"/>
    <cellStyle name="shade 3 2" xfId="6169"/>
    <cellStyle name="shade 3 2 2" xfId="11703"/>
    <cellStyle name="shade 3 2 2 2" xfId="22300"/>
    <cellStyle name="shade 3 2 3" xfId="19472"/>
    <cellStyle name="shade 3 2 4" xfId="38007"/>
    <cellStyle name="shade 3 2 5" xfId="11702"/>
    <cellStyle name="shade 3 3" xfId="11704"/>
    <cellStyle name="shade 3 3 2" xfId="11705"/>
    <cellStyle name="shade 3 3 2 2" xfId="22301"/>
    <cellStyle name="shade 3 3 3" xfId="19473"/>
    <cellStyle name="shade 3 4" xfId="11706"/>
    <cellStyle name="shade 3 4 2" xfId="11707"/>
    <cellStyle name="shade 3 4 2 2" xfId="22302"/>
    <cellStyle name="shade 3 4 3" xfId="19474"/>
    <cellStyle name="shade 3 5" xfId="17770"/>
    <cellStyle name="shade 3 5 2" xfId="38008"/>
    <cellStyle name="shade 3 6" xfId="11701"/>
    <cellStyle name="shade 4" xfId="3273"/>
    <cellStyle name="shade 4 2" xfId="3274"/>
    <cellStyle name="shade 4 2 2" xfId="6171"/>
    <cellStyle name="shade 4 2 2 2" xfId="38009"/>
    <cellStyle name="shade 4 2 2 2 2" xfId="38010"/>
    <cellStyle name="shade 4 2 2 3" xfId="38011"/>
    <cellStyle name="shade 4 2 2 4" xfId="15660"/>
    <cellStyle name="shade 4 2 3" xfId="18087"/>
    <cellStyle name="shade 4 2 3 2" xfId="38012"/>
    <cellStyle name="shade 4 2 4" xfId="38013"/>
    <cellStyle name="shade 4 2 4 2" xfId="38014"/>
    <cellStyle name="shade 4 2 5" xfId="11709"/>
    <cellStyle name="shade 4 3" xfId="6170"/>
    <cellStyle name="shade 4 3 2" xfId="38015"/>
    <cellStyle name="shade 4 3 2 2" xfId="38016"/>
    <cellStyle name="shade 4 3 3" xfId="38017"/>
    <cellStyle name="shade 4 3 4" xfId="38018"/>
    <cellStyle name="shade 4 3 5" xfId="15661"/>
    <cellStyle name="shade 4 4" xfId="17771"/>
    <cellStyle name="shade 4 4 2" xfId="38019"/>
    <cellStyle name="shade 4 4 2 2" xfId="38020"/>
    <cellStyle name="shade 4 4 3" xfId="38021"/>
    <cellStyle name="shade 4 5" xfId="38022"/>
    <cellStyle name="shade 4 5 2" xfId="38023"/>
    <cellStyle name="shade 4 6" xfId="38024"/>
    <cellStyle name="shade 4 6 2" xfId="38025"/>
    <cellStyle name="shade 4 7" xfId="11708"/>
    <cellStyle name="shade 5" xfId="11710"/>
    <cellStyle name="shade 5 2" xfId="22303"/>
    <cellStyle name="shade 5 2 2" xfId="38026"/>
    <cellStyle name="shade 5 2 2 2" xfId="38027"/>
    <cellStyle name="shade 5 2 2 2 2" xfId="38028"/>
    <cellStyle name="shade 5 2 3" xfId="38029"/>
    <cellStyle name="shade 5 2 3 2" xfId="38030"/>
    <cellStyle name="shade 5 2 4" xfId="38031"/>
    <cellStyle name="shade 5 2 4 2" xfId="38032"/>
    <cellStyle name="shade 5 2 5" xfId="38033"/>
    <cellStyle name="shade 5 3" xfId="38034"/>
    <cellStyle name="shade 5 3 2" xfId="38035"/>
    <cellStyle name="shade 5 3 2 2" xfId="38036"/>
    <cellStyle name="shade 5 4" xfId="38037"/>
    <cellStyle name="shade 5 4 2" xfId="38038"/>
    <cellStyle name="shade 5 5" xfId="38039"/>
    <cellStyle name="shade 5 5 2" xfId="38040"/>
    <cellStyle name="shade 6" xfId="11711"/>
    <cellStyle name="shade 6 2" xfId="13834"/>
    <cellStyle name="shade 6 2 2" xfId="38041"/>
    <cellStyle name="shade 6 2 2 2" xfId="38042"/>
    <cellStyle name="shade 6 3" xfId="38043"/>
    <cellStyle name="shade 6 3 2" xfId="38044"/>
    <cellStyle name="shade 6 4" xfId="38045"/>
    <cellStyle name="shade 6 4 2" xfId="38046"/>
    <cellStyle name="shade 7" xfId="13835"/>
    <cellStyle name="shade 7 2" xfId="13836"/>
    <cellStyle name="shade 7 2 2" xfId="38047"/>
    <cellStyle name="shade 7 3" xfId="42325"/>
    <cellStyle name="shade 8" xfId="13837"/>
    <cellStyle name="shade 8 2" xfId="38048"/>
    <cellStyle name="shade 8 2 2" xfId="38049"/>
    <cellStyle name="shade 8 3" xfId="38050"/>
    <cellStyle name="shade 8 4" xfId="38051"/>
    <cellStyle name="shade 9" xfId="38052"/>
    <cellStyle name="shade 9 2" xfId="38053"/>
    <cellStyle name="shade 9 2 2" xfId="38054"/>
    <cellStyle name="shade 9 2 2 2" xfId="38055"/>
    <cellStyle name="shade 9 2 3" xfId="38056"/>
    <cellStyle name="shade 9 3" xfId="38057"/>
    <cellStyle name="shade 9 3 2" xfId="38058"/>
    <cellStyle name="shade 9 4" xfId="38059"/>
    <cellStyle name="shade_AURORA Total New" xfId="3275"/>
    <cellStyle name="Sheet Title" xfId="3276"/>
    <cellStyle name="Sheet Title 2" xfId="17772"/>
    <cellStyle name="Sheet Title 3" xfId="11712"/>
    <cellStyle name="StmtTtl1" xfId="3277"/>
    <cellStyle name="StmtTtl1 2" xfId="3278"/>
    <cellStyle name="StmtTtl1 2 2" xfId="11715"/>
    <cellStyle name="StmtTtl1 2 2 2" xfId="13838"/>
    <cellStyle name="StmtTtl1 2 2 2 2" xfId="38060"/>
    <cellStyle name="StmtTtl1 2 2 3" xfId="19475"/>
    <cellStyle name="StmtTtl1 2 3" xfId="11716"/>
    <cellStyle name="StmtTtl1 2 3 2" xfId="19476"/>
    <cellStyle name="StmtTtl1 2 3 3" xfId="38061"/>
    <cellStyle name="StmtTtl1 2 4" xfId="17774"/>
    <cellStyle name="StmtTtl1 2 4 2" xfId="38062"/>
    <cellStyle name="StmtTtl1 2 5" xfId="11714"/>
    <cellStyle name="StmtTtl1 3" xfId="3279"/>
    <cellStyle name="StmtTtl1 3 2" xfId="11718"/>
    <cellStyle name="StmtTtl1 3 2 2" xfId="13839"/>
    <cellStyle name="StmtTtl1 3 2 2 2" xfId="38063"/>
    <cellStyle name="StmtTtl1 3 2 3" xfId="19477"/>
    <cellStyle name="StmtTtl1 3 3" xfId="11719"/>
    <cellStyle name="StmtTtl1 3 3 2" xfId="19478"/>
    <cellStyle name="StmtTtl1 3 3 3" xfId="38064"/>
    <cellStyle name="StmtTtl1 3 4" xfId="17775"/>
    <cellStyle name="StmtTtl1 3 4 2" xfId="38065"/>
    <cellStyle name="StmtTtl1 3 5" xfId="11717"/>
    <cellStyle name="StmtTtl1 4" xfId="3280"/>
    <cellStyle name="StmtTtl1 4 2" xfId="11721"/>
    <cellStyle name="StmtTtl1 4 2 2" xfId="13840"/>
    <cellStyle name="StmtTtl1 4 2 2 2" xfId="38066"/>
    <cellStyle name="StmtTtl1 4 2 3" xfId="19479"/>
    <cellStyle name="StmtTtl1 4 3" xfId="11722"/>
    <cellStyle name="StmtTtl1 4 3 2" xfId="19480"/>
    <cellStyle name="StmtTtl1 4 3 3" xfId="38067"/>
    <cellStyle name="StmtTtl1 4 4" xfId="17776"/>
    <cellStyle name="StmtTtl1 4 4 2" xfId="38068"/>
    <cellStyle name="StmtTtl1 4 5" xfId="11720"/>
    <cellStyle name="StmtTtl1 5" xfId="3281"/>
    <cellStyle name="StmtTtl1 5 2" xfId="3282"/>
    <cellStyle name="StmtTtl1 5 2 2" xfId="18088"/>
    <cellStyle name="StmtTtl1 5 2 3" xfId="11724"/>
    <cellStyle name="StmtTtl1 5 3" xfId="15662"/>
    <cellStyle name="StmtTtl1 5 3 2" xfId="42326"/>
    <cellStyle name="StmtTtl1 5 4" xfId="17777"/>
    <cellStyle name="StmtTtl1 5 5" xfId="11723"/>
    <cellStyle name="StmtTtl1 6" xfId="11725"/>
    <cellStyle name="StmtTtl1 6 2" xfId="38069"/>
    <cellStyle name="StmtTtl1 6 3" xfId="38070"/>
    <cellStyle name="StmtTtl1 7" xfId="17773"/>
    <cellStyle name="StmtTtl1 7 2" xfId="38071"/>
    <cellStyle name="StmtTtl1 8" xfId="38072"/>
    <cellStyle name="StmtTtl1 8 2" xfId="38073"/>
    <cellStyle name="StmtTtl1 9" xfId="11713"/>
    <cellStyle name="StmtTtl1_(C) WHE Proforma with ITC cash grant 10 Yr Amort_for deferral_102809" xfId="3283"/>
    <cellStyle name="StmtTtl2" xfId="3284"/>
    <cellStyle name="StmtTtl2 2" xfId="3285"/>
    <cellStyle name="StmtTtl2 2 2" xfId="11728"/>
    <cellStyle name="StmtTtl2 2 2 2" xfId="38074"/>
    <cellStyle name="StmtTtl2 2 2 3" xfId="38075"/>
    <cellStyle name="StmtTtl2 2 3" xfId="11729"/>
    <cellStyle name="StmtTtl2 2 3 2" xfId="38076"/>
    <cellStyle name="StmtTtl2 2 4" xfId="11730"/>
    <cellStyle name="StmtTtl2 2 5" xfId="11731"/>
    <cellStyle name="StmtTtl2 2 6" xfId="17779"/>
    <cellStyle name="StmtTtl2 2 7" xfId="22367"/>
    <cellStyle name="StmtTtl2 2 8" xfId="11727"/>
    <cellStyle name="StmtTtl2 3" xfId="3286"/>
    <cellStyle name="StmtTtl2 3 2" xfId="3287"/>
    <cellStyle name="StmtTtl2 3 2 2" xfId="11734"/>
    <cellStyle name="StmtTtl2 3 2 3" xfId="11735"/>
    <cellStyle name="StmtTtl2 3 2 4" xfId="11736"/>
    <cellStyle name="StmtTtl2 3 2 5" xfId="11737"/>
    <cellStyle name="StmtTtl2 3 2 6" xfId="18089"/>
    <cellStyle name="StmtTtl2 3 2 7" xfId="22444"/>
    <cellStyle name="StmtTtl2 3 2 8" xfId="11733"/>
    <cellStyle name="StmtTtl2 3 3" xfId="15663"/>
    <cellStyle name="StmtTtl2 3 3 2" xfId="42327"/>
    <cellStyle name="StmtTtl2 3 4" xfId="17780"/>
    <cellStyle name="StmtTtl2 3 5" xfId="11732"/>
    <cellStyle name="StmtTtl2 4" xfId="11738"/>
    <cellStyle name="StmtTtl2 4 2" xfId="11739"/>
    <cellStyle name="StmtTtl2 4 3" xfId="11740"/>
    <cellStyle name="StmtTtl2 4 4" xfId="11741"/>
    <cellStyle name="StmtTtl2 4 5" xfId="11742"/>
    <cellStyle name="StmtTtl2 4 6" xfId="17982"/>
    <cellStyle name="StmtTtl2 4 7" xfId="22431"/>
    <cellStyle name="StmtTtl2 5" xfId="11743"/>
    <cellStyle name="StmtTtl2 5 2" xfId="38077"/>
    <cellStyle name="StmtTtl2 6" xfId="17778"/>
    <cellStyle name="StmtTtl2 6 2" xfId="38078"/>
    <cellStyle name="StmtTtl2 7" xfId="11726"/>
    <cellStyle name="STYL1 - Style1" xfId="3288"/>
    <cellStyle name="STYL1 - Style1 2" xfId="13841"/>
    <cellStyle name="STYL1 - Style1 2 2" xfId="13842"/>
    <cellStyle name="STYL1 - Style1 2 2 2" xfId="38079"/>
    <cellStyle name="STYL1 - Style1 2 3" xfId="38080"/>
    <cellStyle name="STYL1 - Style1 2 4" xfId="38081"/>
    <cellStyle name="STYL1 - Style1 3" xfId="13843"/>
    <cellStyle name="STYL1 - Style1 3 2" xfId="38082"/>
    <cellStyle name="STYL1 - Style1 3 3" xfId="38083"/>
    <cellStyle name="STYL1 - Style1 4" xfId="17781"/>
    <cellStyle name="STYL1 - Style1 4 2" xfId="38084"/>
    <cellStyle name="STYL1 - Style1 5" xfId="38085"/>
    <cellStyle name="STYL1 - Style1 5 2" xfId="38086"/>
    <cellStyle name="STYL1 - Style1 6" xfId="11744"/>
    <cellStyle name="Style 1" xfId="3289"/>
    <cellStyle name="Style 1 10" xfId="13844"/>
    <cellStyle name="Style 1 10 2" xfId="13845"/>
    <cellStyle name="Style 1 10 2 2" xfId="38087"/>
    <cellStyle name="Style 1 10 2 2 2" xfId="38088"/>
    <cellStyle name="Style 1 10 2 2 2 2" xfId="38089"/>
    <cellStyle name="Style 1 10 2 3" xfId="38090"/>
    <cellStyle name="Style 1 10 2 3 2" xfId="38091"/>
    <cellStyle name="Style 1 10 2 4" xfId="38092"/>
    <cellStyle name="Style 1 10 2 4 2" xfId="38093"/>
    <cellStyle name="Style 1 10 3" xfId="38094"/>
    <cellStyle name="Style 1 10 3 2" xfId="38095"/>
    <cellStyle name="Style 1 10 3 2 2" xfId="38096"/>
    <cellStyle name="Style 1 10 3 3" xfId="38097"/>
    <cellStyle name="Style 1 10 4" xfId="38098"/>
    <cellStyle name="Style 1 10 4 2" xfId="38099"/>
    <cellStyle name="Style 1 10 4 2 2" xfId="38100"/>
    <cellStyle name="Style 1 10 4 3" xfId="38101"/>
    <cellStyle name="Style 1 10 5" xfId="38102"/>
    <cellStyle name="Style 1 10 5 2" xfId="38103"/>
    <cellStyle name="Style 1 10 6" xfId="38104"/>
    <cellStyle name="Style 1 10 6 2" xfId="38105"/>
    <cellStyle name="Style 1 10 7" xfId="38106"/>
    <cellStyle name="Style 1 11" xfId="13846"/>
    <cellStyle name="Style 1 11 2" xfId="38107"/>
    <cellStyle name="Style 1 11 2 2" xfId="38108"/>
    <cellStyle name="Style 1 11 2 2 2" xfId="38109"/>
    <cellStyle name="Style 1 11 2 2 2 2" xfId="38110"/>
    <cellStyle name="Style 1 11 2 3" xfId="38111"/>
    <cellStyle name="Style 1 11 2 3 2" xfId="38112"/>
    <cellStyle name="Style 1 11 2 4" xfId="38113"/>
    <cellStyle name="Style 1 11 2 4 2" xfId="38114"/>
    <cellStyle name="Style 1 11 2 5" xfId="38115"/>
    <cellStyle name="Style 1 11 2 6" xfId="38116"/>
    <cellStyle name="Style 1 11 3" xfId="38117"/>
    <cellStyle name="Style 1 11 3 2" xfId="38118"/>
    <cellStyle name="Style 1 11 3 2 2" xfId="38119"/>
    <cellStyle name="Style 1 11 4" xfId="38120"/>
    <cellStyle name="Style 1 11 4 2" xfId="38121"/>
    <cellStyle name="Style 1 11 5" xfId="38122"/>
    <cellStyle name="Style 1 11 5 2" xfId="38123"/>
    <cellStyle name="Style 1 11 6" xfId="38124"/>
    <cellStyle name="Style 1 12" xfId="13847"/>
    <cellStyle name="Style 1 12 2" xfId="13848"/>
    <cellStyle name="Style 1 12 2 2" xfId="38125"/>
    <cellStyle name="Style 1 12 2 2 2" xfId="38126"/>
    <cellStyle name="Style 1 12 2 3" xfId="38127"/>
    <cellStyle name="Style 1 12 3" xfId="38128"/>
    <cellStyle name="Style 1 12 3 2" xfId="38129"/>
    <cellStyle name="Style 1 12 3 3" xfId="38130"/>
    <cellStyle name="Style 1 12 4" xfId="38131"/>
    <cellStyle name="Style 1 12 4 2" xfId="38132"/>
    <cellStyle name="Style 1 12 5" xfId="38133"/>
    <cellStyle name="Style 1 13" xfId="13849"/>
    <cellStyle name="Style 1 13 2" xfId="38134"/>
    <cellStyle name="Style 1 13 2 2" xfId="38135"/>
    <cellStyle name="Style 1 13 3" xfId="38136"/>
    <cellStyle name="Style 1 14" xfId="13850"/>
    <cellStyle name="Style 1 14 2" xfId="38137"/>
    <cellStyle name="Style 1 14 2 2" xfId="38138"/>
    <cellStyle name="Style 1 14 3" xfId="38139"/>
    <cellStyle name="Style 1 15" xfId="14309"/>
    <cellStyle name="Style 1 15 2" xfId="38140"/>
    <cellStyle name="Style 1 15 2 2" xfId="38141"/>
    <cellStyle name="Style 1 15 2 2 2" xfId="38142"/>
    <cellStyle name="Style 1 15 2 3" xfId="38143"/>
    <cellStyle name="Style 1 15 3" xfId="38144"/>
    <cellStyle name="Style 1 15 3 2" xfId="38145"/>
    <cellStyle name="Style 1 15 4" xfId="38146"/>
    <cellStyle name="Style 1 16" xfId="17782"/>
    <cellStyle name="Style 1 16 2" xfId="38147"/>
    <cellStyle name="Style 1 17" xfId="38148"/>
    <cellStyle name="Style 1 17 2" xfId="38149"/>
    <cellStyle name="Style 1 18" xfId="38150"/>
    <cellStyle name="Style 1 18 2" xfId="38151"/>
    <cellStyle name="Style 1 19" xfId="38152"/>
    <cellStyle name="Style 1 2" xfId="3290"/>
    <cellStyle name="Style 1 2 10" xfId="11746"/>
    <cellStyle name="Style 1 2 2" xfId="3291"/>
    <cellStyle name="Style 1 2 2 2" xfId="6174"/>
    <cellStyle name="Style 1 2 2 2 2" xfId="13851"/>
    <cellStyle name="Style 1 2 2 2 2 2" xfId="38153"/>
    <cellStyle name="Style 1 2 2 2 3" xfId="22304"/>
    <cellStyle name="Style 1 2 2 2 4" xfId="11748"/>
    <cellStyle name="Style 1 2 2 3" xfId="13852"/>
    <cellStyle name="Style 1 2 2 3 2" xfId="38154"/>
    <cellStyle name="Style 1 2 2 3 2 2" xfId="38155"/>
    <cellStyle name="Style 1 2 2 3 3" xfId="38156"/>
    <cellStyle name="Style 1 2 2 3 4" xfId="38157"/>
    <cellStyle name="Style 1 2 2 3 5" xfId="38158"/>
    <cellStyle name="Style 1 2 2 4" xfId="14329"/>
    <cellStyle name="Style 1 2 2 4 2" xfId="38159"/>
    <cellStyle name="Style 1 2 2 4 3" xfId="38160"/>
    <cellStyle name="Style 1 2 2 5" xfId="17783"/>
    <cellStyle name="Style 1 2 2 5 2" xfId="38161"/>
    <cellStyle name="Style 1 2 2 6" xfId="11747"/>
    <cellStyle name="Style 1 2 3" xfId="3292"/>
    <cellStyle name="Style 1 2 3 2" xfId="6175"/>
    <cellStyle name="Style 1 2 3 2 2" xfId="38162"/>
    <cellStyle name="Style 1 2 3 2 2 2" xfId="38163"/>
    <cellStyle name="Style 1 2 3 2 3" xfId="38164"/>
    <cellStyle name="Style 1 2 3 2 4" xfId="38165"/>
    <cellStyle name="Style 1 2 3 2 5" xfId="13853"/>
    <cellStyle name="Style 1 2 3 3" xfId="15664"/>
    <cellStyle name="Style 1 2 3 3 2" xfId="38166"/>
    <cellStyle name="Style 1 2 3 3 2 2" xfId="38167"/>
    <cellStyle name="Style 1 2 3 3 3" xfId="38168"/>
    <cellStyle name="Style 1 2 3 3 4" xfId="38169"/>
    <cellStyle name="Style 1 2 3 3 5" xfId="38170"/>
    <cellStyle name="Style 1 2 3 4" xfId="18090"/>
    <cellStyle name="Style 1 2 3 4 2" xfId="38171"/>
    <cellStyle name="Style 1 2 3 5" xfId="38172"/>
    <cellStyle name="Style 1 2 3 5 2" xfId="38173"/>
    <cellStyle name="Style 1 2 3 6" xfId="38174"/>
    <cellStyle name="Style 1 2 3 7" xfId="11749"/>
    <cellStyle name="Style 1 2 4" xfId="6173"/>
    <cellStyle name="Style 1 2 4 2" xfId="13855"/>
    <cellStyle name="Style 1 2 4 2 2" xfId="38175"/>
    <cellStyle name="Style 1 2 4 2 3" xfId="38176"/>
    <cellStyle name="Style 1 2 4 3" xfId="13856"/>
    <cellStyle name="Style 1 2 4 4" xfId="13854"/>
    <cellStyle name="Style 1 2 5" xfId="13857"/>
    <cellStyle name="Style 1 2 5 2" xfId="13858"/>
    <cellStyle name="Style 1 2 5 2 2" xfId="38177"/>
    <cellStyle name="Style 1 2 5 2 3" xfId="38178"/>
    <cellStyle name="Style 1 2 5 3" xfId="38179"/>
    <cellStyle name="Style 1 2 5 4" xfId="38180"/>
    <cellStyle name="Style 1 2 6" xfId="13859"/>
    <cellStyle name="Style 1 2 6 2" xfId="38181"/>
    <cellStyle name="Style 1 2 6 3" xfId="38182"/>
    <cellStyle name="Style 1 2 6 4" xfId="38183"/>
    <cellStyle name="Style 1 2 7" xfId="13860"/>
    <cellStyle name="Style 1 2 7 2" xfId="38184"/>
    <cellStyle name="Style 1 2 7 2 2" xfId="38185"/>
    <cellStyle name="Style 1 2 7 3" xfId="38186"/>
    <cellStyle name="Style 1 2 8" xfId="38187"/>
    <cellStyle name="Style 1 2 8 2" xfId="38188"/>
    <cellStyle name="Style 1 2 9" xfId="38189"/>
    <cellStyle name="Style 1 2_4 31E Reg Asset  Liab and EXH D" xfId="13861"/>
    <cellStyle name="Style 1 20" xfId="11745"/>
    <cellStyle name="Style 1 3" xfId="3293"/>
    <cellStyle name="Style 1 3 2" xfId="3294"/>
    <cellStyle name="Style 1 3 2 2" xfId="3295"/>
    <cellStyle name="Style 1 3 2 2 2" xfId="6178"/>
    <cellStyle name="Style 1 3 2 2 2 2" xfId="38190"/>
    <cellStyle name="Style 1 3 2 2 2 3" xfId="13862"/>
    <cellStyle name="Style 1 3 2 2 3" xfId="15665"/>
    <cellStyle name="Style 1 3 2 2 3 2" xfId="38191"/>
    <cellStyle name="Style 1 3 2 2 3 3" xfId="38192"/>
    <cellStyle name="Style 1 3 2 2 4" xfId="22305"/>
    <cellStyle name="Style 1 3 2 2 5" xfId="11752"/>
    <cellStyle name="Style 1 3 2 3" xfId="3296"/>
    <cellStyle name="Style 1 3 2 3 2" xfId="6179"/>
    <cellStyle name="Style 1 3 2 3 2 2" xfId="38193"/>
    <cellStyle name="Style 1 3 2 3 2 3" xfId="38194"/>
    <cellStyle name="Style 1 3 2 3 2 4" xfId="15667"/>
    <cellStyle name="Style 1 3 2 3 3" xfId="38195"/>
    <cellStyle name="Style 1 3 2 3 4" xfId="38196"/>
    <cellStyle name="Style 1 3 2 3 5" xfId="15666"/>
    <cellStyle name="Style 1 3 2 4" xfId="6177"/>
    <cellStyle name="Style 1 3 2 4 2" xfId="38197"/>
    <cellStyle name="Style 1 3 2 4 3" xfId="17784"/>
    <cellStyle name="Style 1 3 2 5" xfId="38198"/>
    <cellStyle name="Style 1 3 2 5 2" xfId="38199"/>
    <cellStyle name="Style 1 3 2 6" xfId="11751"/>
    <cellStyle name="Style 1 3 3" xfId="3297"/>
    <cellStyle name="Style 1 3 3 2" xfId="6180"/>
    <cellStyle name="Style 1 3 3 2 2" xfId="13864"/>
    <cellStyle name="Style 1 3 3 2 2 2" xfId="38200"/>
    <cellStyle name="Style 1 3 3 2 3" xfId="42328"/>
    <cellStyle name="Style 1 3 3 2 4" xfId="13863"/>
    <cellStyle name="Style 1 3 3 3" xfId="15668"/>
    <cellStyle name="Style 1 3 3 3 2" xfId="38201"/>
    <cellStyle name="Style 1 3 3 3 2 2" xfId="38202"/>
    <cellStyle name="Style 1 3 3 3 3" xfId="38203"/>
    <cellStyle name="Style 1 3 3 3 4" xfId="38204"/>
    <cellStyle name="Style 1 3 3 4" xfId="17785"/>
    <cellStyle name="Style 1 3 3 4 2" xfId="38205"/>
    <cellStyle name="Style 1 3 3 5" xfId="38206"/>
    <cellStyle name="Style 1 3 3 5 2" xfId="38207"/>
    <cellStyle name="Style 1 3 3 6" xfId="11753"/>
    <cellStyle name="Style 1 3 4" xfId="3298"/>
    <cellStyle name="Style 1 3 4 2" xfId="6181"/>
    <cellStyle name="Style 1 3 4 2 2" xfId="38208"/>
    <cellStyle name="Style 1 3 4 2 3" xfId="13866"/>
    <cellStyle name="Style 1 3 4 3" xfId="15669"/>
    <cellStyle name="Style 1 3 4 3 2" xfId="38209"/>
    <cellStyle name="Style 1 3 4 3 3" xfId="38210"/>
    <cellStyle name="Style 1 3 4 4" xfId="38211"/>
    <cellStyle name="Style 1 3 4 5" xfId="13865"/>
    <cellStyle name="Style 1 3 5" xfId="3299"/>
    <cellStyle name="Style 1 3 5 2" xfId="6182"/>
    <cellStyle name="Style 1 3 5 2 2" xfId="38212"/>
    <cellStyle name="Style 1 3 5 2 3" xfId="38213"/>
    <cellStyle name="Style 1 3 5 3" xfId="38214"/>
    <cellStyle name="Style 1 3 5 4" xfId="38215"/>
    <cellStyle name="Style 1 3 5 5" xfId="15670"/>
    <cellStyle name="Style 1 3 6" xfId="6176"/>
    <cellStyle name="Style 1 3 6 2" xfId="38217"/>
    <cellStyle name="Style 1 3 6 3" xfId="38216"/>
    <cellStyle name="Style 1 3 7" xfId="38218"/>
    <cellStyle name="Style 1 3 7 2" xfId="38219"/>
    <cellStyle name="Style 1 3 8" xfId="11750"/>
    <cellStyle name="Style 1 4" xfId="3300"/>
    <cellStyle name="Style 1 4 2" xfId="3301"/>
    <cellStyle name="Style 1 4 2 2" xfId="6184"/>
    <cellStyle name="Style 1 4 2 2 2" xfId="22306"/>
    <cellStyle name="Style 1 4 2 2 2 2" xfId="38220"/>
    <cellStyle name="Style 1 4 2 2 3" xfId="38221"/>
    <cellStyle name="Style 1 4 2 2 4" xfId="11756"/>
    <cellStyle name="Style 1 4 2 3" xfId="17787"/>
    <cellStyle name="Style 1 4 2 3 2" xfId="38222"/>
    <cellStyle name="Style 1 4 2 4" xfId="38223"/>
    <cellStyle name="Style 1 4 2 4 2" xfId="38224"/>
    <cellStyle name="Style 1 4 2 5" xfId="11755"/>
    <cellStyle name="Style 1 4 3" xfId="6183"/>
    <cellStyle name="Style 1 4 3 2" xfId="13867"/>
    <cellStyle name="Style 1 4 3 2 2" xfId="38225"/>
    <cellStyle name="Style 1 4 3 3" xfId="22307"/>
    <cellStyle name="Style 1 4 3 4" xfId="11757"/>
    <cellStyle name="Style 1 4 4" xfId="15671"/>
    <cellStyle name="Style 1 4 4 2" xfId="38226"/>
    <cellStyle name="Style 1 4 4 2 2" xfId="38227"/>
    <cellStyle name="Style 1 4 4 3" xfId="38228"/>
    <cellStyle name="Style 1 4 4 4" xfId="38229"/>
    <cellStyle name="Style 1 4 5" xfId="17786"/>
    <cellStyle name="Style 1 4 5 2" xfId="38230"/>
    <cellStyle name="Style 1 4 5 3" xfId="38231"/>
    <cellStyle name="Style 1 4 6" xfId="38232"/>
    <cellStyle name="Style 1 4 6 2" xfId="38233"/>
    <cellStyle name="Style 1 4 7" xfId="11754"/>
    <cellStyle name="Style 1 5" xfId="3302"/>
    <cellStyle name="Style 1 5 2" xfId="3303"/>
    <cellStyle name="Style 1 5 2 2" xfId="6186"/>
    <cellStyle name="Style 1 5 2 2 2" xfId="22308"/>
    <cellStyle name="Style 1 5 2 2 2 2" xfId="38234"/>
    <cellStyle name="Style 1 5 2 2 3" xfId="38235"/>
    <cellStyle name="Style 1 5 2 2 4" xfId="11760"/>
    <cellStyle name="Style 1 5 2 3" xfId="17788"/>
    <cellStyle name="Style 1 5 2 3 2" xfId="38236"/>
    <cellStyle name="Style 1 5 2 4" xfId="38237"/>
    <cellStyle name="Style 1 5 2 4 2" xfId="38238"/>
    <cellStyle name="Style 1 5 2 5" xfId="11759"/>
    <cellStyle name="Style 1 5 3" xfId="6185"/>
    <cellStyle name="Style 1 5 3 2" xfId="13868"/>
    <cellStyle name="Style 1 5 3 2 2" xfId="38239"/>
    <cellStyle name="Style 1 5 3 3" xfId="15672"/>
    <cellStyle name="Style 1 5 3 3 2" xfId="42329"/>
    <cellStyle name="Style 1 5 3 4" xfId="42330"/>
    <cellStyle name="Style 1 5 3 5" xfId="11761"/>
    <cellStyle name="Style 1 5 4" xfId="13869"/>
    <cellStyle name="Style 1 5 4 2" xfId="13870"/>
    <cellStyle name="Style 1 5 4 2 2" xfId="38240"/>
    <cellStyle name="Style 1 5 4 3" xfId="38241"/>
    <cellStyle name="Style 1 5 5" xfId="15673"/>
    <cellStyle name="Style 1 5 5 2" xfId="38242"/>
    <cellStyle name="Style 1 5 5 2 2" xfId="38243"/>
    <cellStyle name="Style 1 5 5 3" xfId="38244"/>
    <cellStyle name="Style 1 5 5 4" xfId="38245"/>
    <cellStyle name="Style 1 5 6" xfId="38246"/>
    <cellStyle name="Style 1 5 6 2" xfId="38247"/>
    <cellStyle name="Style 1 5 7" xfId="11758"/>
    <cellStyle name="Style 1 6" xfId="3304"/>
    <cellStyle name="Style 1 6 10" xfId="38248"/>
    <cellStyle name="Style 1 6 11" xfId="11762"/>
    <cellStyle name="Style 1 6 2" xfId="3305"/>
    <cellStyle name="Style 1 6 2 2" xfId="6188"/>
    <cellStyle name="Style 1 6 2 2 2" xfId="13871"/>
    <cellStyle name="Style 1 6 2 2 2 2" xfId="38249"/>
    <cellStyle name="Style 1 6 2 2 3" xfId="22309"/>
    <cellStyle name="Style 1 6 2 2 4" xfId="11764"/>
    <cellStyle name="Style 1 6 2 3" xfId="15674"/>
    <cellStyle name="Style 1 6 2 3 2" xfId="38250"/>
    <cellStyle name="Style 1 6 2 3 2 2" xfId="38251"/>
    <cellStyle name="Style 1 6 2 3 3" xfId="38252"/>
    <cellStyle name="Style 1 6 2 3 4" xfId="38253"/>
    <cellStyle name="Style 1 6 2 4" xfId="17790"/>
    <cellStyle name="Style 1 6 2 4 2" xfId="38254"/>
    <cellStyle name="Style 1 6 2 5" xfId="38255"/>
    <cellStyle name="Style 1 6 2 5 2" xfId="38256"/>
    <cellStyle name="Style 1 6 2 6" xfId="38257"/>
    <cellStyle name="Style 1 6 2 7" xfId="11763"/>
    <cellStyle name="Style 1 6 3" xfId="3306"/>
    <cellStyle name="Style 1 6 3 2" xfId="6189"/>
    <cellStyle name="Style 1 6 3 2 2" xfId="13873"/>
    <cellStyle name="Style 1 6 3 2 2 2" xfId="38258"/>
    <cellStyle name="Style 1 6 3 2 3" xfId="42331"/>
    <cellStyle name="Style 1 6 3 2 4" xfId="13872"/>
    <cellStyle name="Style 1 6 3 3" xfId="17791"/>
    <cellStyle name="Style 1 6 3 3 2" xfId="38259"/>
    <cellStyle name="Style 1 6 3 3 2 2" xfId="38260"/>
    <cellStyle name="Style 1 6 3 3 3" xfId="38261"/>
    <cellStyle name="Style 1 6 3 4" xfId="38262"/>
    <cellStyle name="Style 1 6 3 4 2" xfId="38263"/>
    <cellStyle name="Style 1 6 3 5" xfId="38264"/>
    <cellStyle name="Style 1 6 3 5 2" xfId="38265"/>
    <cellStyle name="Style 1 6 3 6" xfId="38266"/>
    <cellStyle name="Style 1 6 3 7" xfId="11765"/>
    <cellStyle name="Style 1 6 4" xfId="3307"/>
    <cellStyle name="Style 1 6 4 2" xfId="6190"/>
    <cellStyle name="Style 1 6 4 2 2" xfId="13875"/>
    <cellStyle name="Style 1 6 4 2 2 2" xfId="38267"/>
    <cellStyle name="Style 1 6 4 2 3" xfId="42332"/>
    <cellStyle name="Style 1 6 4 2 4" xfId="13874"/>
    <cellStyle name="Style 1 6 4 3" xfId="17792"/>
    <cellStyle name="Style 1 6 4 3 2" xfId="38268"/>
    <cellStyle name="Style 1 6 4 3 2 2" xfId="38269"/>
    <cellStyle name="Style 1 6 4 3 3" xfId="38270"/>
    <cellStyle name="Style 1 6 4 4" xfId="38271"/>
    <cellStyle name="Style 1 6 4 4 2" xfId="38272"/>
    <cellStyle name="Style 1 6 4 5" xfId="38273"/>
    <cellStyle name="Style 1 6 4 5 2" xfId="38274"/>
    <cellStyle name="Style 1 6 4 6" xfId="38275"/>
    <cellStyle name="Style 1 6 4 7" xfId="11766"/>
    <cellStyle name="Style 1 6 5" xfId="3308"/>
    <cellStyle name="Style 1 6 5 2" xfId="6191"/>
    <cellStyle name="Style 1 6 5 2 2" xfId="13877"/>
    <cellStyle name="Style 1 6 5 2 2 2" xfId="38276"/>
    <cellStyle name="Style 1 6 5 2 3" xfId="42333"/>
    <cellStyle name="Style 1 6 5 2 4" xfId="13876"/>
    <cellStyle name="Style 1 6 5 3" xfId="17793"/>
    <cellStyle name="Style 1 6 5 3 2" xfId="38277"/>
    <cellStyle name="Style 1 6 5 3 2 2" xfId="38278"/>
    <cellStyle name="Style 1 6 5 3 3" xfId="38279"/>
    <cellStyle name="Style 1 6 5 4" xfId="38280"/>
    <cellStyle name="Style 1 6 5 4 2" xfId="38281"/>
    <cellStyle name="Style 1 6 5 5" xfId="38282"/>
    <cellStyle name="Style 1 6 5 5 2" xfId="38283"/>
    <cellStyle name="Style 1 6 5 6" xfId="11767"/>
    <cellStyle name="Style 1 6 6" xfId="6187"/>
    <cellStyle name="Style 1 6 6 2" xfId="13879"/>
    <cellStyle name="Style 1 6 6 2 2" xfId="38284"/>
    <cellStyle name="Style 1 6 6 3" xfId="42334"/>
    <cellStyle name="Style 1 6 6 4" xfId="13878"/>
    <cellStyle name="Style 1 6 7" xfId="13880"/>
    <cellStyle name="Style 1 6 7 2" xfId="38285"/>
    <cellStyle name="Style 1 6 7 2 2" xfId="38286"/>
    <cellStyle name="Style 1 6 7 3" xfId="38287"/>
    <cellStyle name="Style 1 6 7 4" xfId="38288"/>
    <cellStyle name="Style 1 6 8" xfId="17789"/>
    <cellStyle name="Style 1 6 8 2" xfId="38289"/>
    <cellStyle name="Style 1 6 9" xfId="38290"/>
    <cellStyle name="Style 1 6 9 2" xfId="38291"/>
    <cellStyle name="Style 1 7" xfId="3309"/>
    <cellStyle name="Style 1 7 2" xfId="6192"/>
    <cellStyle name="Style 1 7 2 2" xfId="38292"/>
    <cellStyle name="Style 1 7 2 2 2" xfId="38293"/>
    <cellStyle name="Style 1 7 2 2 2 2" xfId="38294"/>
    <cellStyle name="Style 1 7 2 3" xfId="38295"/>
    <cellStyle name="Style 1 7 2 3 2" xfId="38296"/>
    <cellStyle name="Style 1 7 2 4" xfId="38297"/>
    <cellStyle name="Style 1 7 2 4 2" xfId="38298"/>
    <cellStyle name="Style 1 7 2 5" xfId="38299"/>
    <cellStyle name="Style 1 7 2 6" xfId="13881"/>
    <cellStyle name="Style 1 7 3" xfId="13882"/>
    <cellStyle name="Style 1 7 3 2" xfId="38300"/>
    <cellStyle name="Style 1 7 3 2 2" xfId="38301"/>
    <cellStyle name="Style 1 7 3 3" xfId="38302"/>
    <cellStyle name="Style 1 7 4" xfId="17983"/>
    <cellStyle name="Style 1 7 4 2" xfId="38303"/>
    <cellStyle name="Style 1 7 4 2 2" xfId="38304"/>
    <cellStyle name="Style 1 7 4 3" xfId="38305"/>
    <cellStyle name="Style 1 7 5" xfId="38306"/>
    <cellStyle name="Style 1 7 5 2" xfId="38307"/>
    <cellStyle name="Style 1 7 6" xfId="38308"/>
    <cellStyle name="Style 1 7 6 2" xfId="38309"/>
    <cellStyle name="Style 1 7 7" xfId="38310"/>
    <cellStyle name="Style 1 7 8" xfId="11768"/>
    <cellStyle name="Style 1 8" xfId="6172"/>
    <cellStyle name="Style 1 8 2" xfId="13883"/>
    <cellStyle name="Style 1 8 2 2" xfId="38311"/>
    <cellStyle name="Style 1 8 2 2 2" xfId="38312"/>
    <cellStyle name="Style 1 8 2 2 2 2" xfId="38313"/>
    <cellStyle name="Style 1 8 2 3" xfId="38314"/>
    <cellStyle name="Style 1 8 2 3 2" xfId="38315"/>
    <cellStyle name="Style 1 8 2 4" xfId="38316"/>
    <cellStyle name="Style 1 8 2 4 2" xfId="38317"/>
    <cellStyle name="Style 1 8 2 5" xfId="38318"/>
    <cellStyle name="Style 1 8 3" xfId="38319"/>
    <cellStyle name="Style 1 8 3 2" xfId="38320"/>
    <cellStyle name="Style 1 8 3 2 2" xfId="38321"/>
    <cellStyle name="Style 1 8 3 3" xfId="38322"/>
    <cellStyle name="Style 1 8 4" xfId="38323"/>
    <cellStyle name="Style 1 8 4 2" xfId="38324"/>
    <cellStyle name="Style 1 8 4 2 2" xfId="38325"/>
    <cellStyle name="Style 1 8 4 3" xfId="38326"/>
    <cellStyle name="Style 1 8 5" xfId="38327"/>
    <cellStyle name="Style 1 8 5 2" xfId="38328"/>
    <cellStyle name="Style 1 8 6" xfId="38329"/>
    <cellStyle name="Style 1 8 6 2" xfId="38330"/>
    <cellStyle name="Style 1 8 7" xfId="38331"/>
    <cellStyle name="Style 1 8 8" xfId="11769"/>
    <cellStyle name="Style 1 9" xfId="13884"/>
    <cellStyle name="Style 1 9 2" xfId="13885"/>
    <cellStyle name="Style 1 9 2 2" xfId="38332"/>
    <cellStyle name="Style 1 9 2 2 2" xfId="38333"/>
    <cellStyle name="Style 1 9 2 2 2 2" xfId="38334"/>
    <cellStyle name="Style 1 9 2 3" xfId="38335"/>
    <cellStyle name="Style 1 9 2 3 2" xfId="38336"/>
    <cellStyle name="Style 1 9 2 4" xfId="38337"/>
    <cellStyle name="Style 1 9 2 4 2" xfId="38338"/>
    <cellStyle name="Style 1 9 3" xfId="38339"/>
    <cellStyle name="Style 1 9 3 2" xfId="38340"/>
    <cellStyle name="Style 1 9 3 2 2" xfId="38341"/>
    <cellStyle name="Style 1 9 3 3" xfId="38342"/>
    <cellStyle name="Style 1 9 4" xfId="38343"/>
    <cellStyle name="Style 1 9 4 2" xfId="38344"/>
    <cellStyle name="Style 1 9 4 2 2" xfId="38345"/>
    <cellStyle name="Style 1 9 4 3" xfId="38346"/>
    <cellStyle name="Style 1 9 5" xfId="38347"/>
    <cellStyle name="Style 1 9 5 2" xfId="38348"/>
    <cellStyle name="Style 1 9 6" xfId="38349"/>
    <cellStyle name="Style 1 9 6 2" xfId="38350"/>
    <cellStyle name="Style 1 9 7" xfId="38351"/>
    <cellStyle name="Style 1_ Price Inputs" xfId="13886"/>
    <cellStyle name="Style 21" xfId="13887"/>
    <cellStyle name="Style 21 2" xfId="38352"/>
    <cellStyle name="Style 21 2 2" xfId="38353"/>
    <cellStyle name="Style 21 2 2 2" xfId="38354"/>
    <cellStyle name="Style 21 2 3" xfId="38355"/>
    <cellStyle name="Style 21 2 4" xfId="38356"/>
    <cellStyle name="Style 21 3" xfId="38357"/>
    <cellStyle name="Style 21 3 2" xfId="38358"/>
    <cellStyle name="Style 21 4" xfId="38359"/>
    <cellStyle name="Style 21 4 2" xfId="38360"/>
    <cellStyle name="Style 21 5" xfId="38361"/>
    <cellStyle name="Style 22" xfId="13888"/>
    <cellStyle name="Style 22 2" xfId="38362"/>
    <cellStyle name="Style 22 2 2" xfId="38363"/>
    <cellStyle name="Style 22 2 2 2" xfId="38364"/>
    <cellStyle name="Style 22 2 3" xfId="38365"/>
    <cellStyle name="Style 22 2 4" xfId="38366"/>
    <cellStyle name="Style 22 3" xfId="38367"/>
    <cellStyle name="Style 22 3 2" xfId="38368"/>
    <cellStyle name="Style 22 4" xfId="38369"/>
    <cellStyle name="Style 22 4 2" xfId="38370"/>
    <cellStyle name="Style 22 5" xfId="38371"/>
    <cellStyle name="Style 23" xfId="13889"/>
    <cellStyle name="Style 23 2" xfId="38372"/>
    <cellStyle name="Style 23 2 2" xfId="38373"/>
    <cellStyle name="Style 23 2 2 2" xfId="38374"/>
    <cellStyle name="Style 23 2 3" xfId="38375"/>
    <cellStyle name="Style 23 2 4" xfId="38376"/>
    <cellStyle name="Style 23 2 5" xfId="38377"/>
    <cellStyle name="Style 23 3" xfId="38378"/>
    <cellStyle name="Style 23 3 2" xfId="38379"/>
    <cellStyle name="Style 23 4" xfId="38380"/>
    <cellStyle name="Style 23 4 2" xfId="38381"/>
    <cellStyle name="Style 23 5" xfId="38382"/>
    <cellStyle name="Style 24" xfId="13890"/>
    <cellStyle name="Style 24 2" xfId="38383"/>
    <cellStyle name="Style 24 2 2" xfId="38384"/>
    <cellStyle name="Style 24 2 2 2" xfId="38385"/>
    <cellStyle name="Style 24 2 3" xfId="38386"/>
    <cellStyle name="Style 24 2 4" xfId="38387"/>
    <cellStyle name="Style 24 2 5" xfId="38388"/>
    <cellStyle name="Style 24 3" xfId="38389"/>
    <cellStyle name="Style 24 3 2" xfId="38390"/>
    <cellStyle name="Style 24 4" xfId="38391"/>
    <cellStyle name="Style 24 4 2" xfId="38392"/>
    <cellStyle name="Style 24 5" xfId="38393"/>
    <cellStyle name="Style 25" xfId="13891"/>
    <cellStyle name="Style 25 2" xfId="38394"/>
    <cellStyle name="Style 25 2 2" xfId="38395"/>
    <cellStyle name="Style 25 2 2 2" xfId="38396"/>
    <cellStyle name="Style 25 2 3" xfId="38397"/>
    <cellStyle name="Style 25 2 4" xfId="38398"/>
    <cellStyle name="Style 25 2 5" xfId="38399"/>
    <cellStyle name="Style 25 3" xfId="38400"/>
    <cellStyle name="Style 25 3 2" xfId="38401"/>
    <cellStyle name="Style 25 4" xfId="38402"/>
    <cellStyle name="Style 25 4 2" xfId="38403"/>
    <cellStyle name="Style 25 5" xfId="38404"/>
    <cellStyle name="Style 26" xfId="13892"/>
    <cellStyle name="Style 26 2" xfId="38405"/>
    <cellStyle name="Style 26 2 2" xfId="38406"/>
    <cellStyle name="Style 26 2 2 2" xfId="38407"/>
    <cellStyle name="Style 26 2 3" xfId="38408"/>
    <cellStyle name="Style 26 2 4" xfId="38409"/>
    <cellStyle name="Style 26 2 5" xfId="38410"/>
    <cellStyle name="Style 26 3" xfId="38411"/>
    <cellStyle name="Style 26 3 2" xfId="38412"/>
    <cellStyle name="Style 26 4" xfId="38413"/>
    <cellStyle name="Style 26 4 2" xfId="38414"/>
    <cellStyle name="Style 26 5" xfId="38415"/>
    <cellStyle name="Style 27" xfId="13893"/>
    <cellStyle name="Style 27 2" xfId="38416"/>
    <cellStyle name="Style 27 2 2" xfId="38417"/>
    <cellStyle name="Style 27 2 2 2" xfId="38418"/>
    <cellStyle name="Style 27 2 3" xfId="38419"/>
    <cellStyle name="Style 27 2 4" xfId="38420"/>
    <cellStyle name="Style 27 2 5" xfId="38421"/>
    <cellStyle name="Style 27 3" xfId="38422"/>
    <cellStyle name="Style 27 3 2" xfId="38423"/>
    <cellStyle name="Style 27 4" xfId="38424"/>
    <cellStyle name="Style 27 4 2" xfId="38425"/>
    <cellStyle name="Style 27 5" xfId="38426"/>
    <cellStyle name="Style 28" xfId="13894"/>
    <cellStyle name="Style 28 2" xfId="38427"/>
    <cellStyle name="Style 28 2 2" xfId="38428"/>
    <cellStyle name="Style 28 2 2 2" xfId="38429"/>
    <cellStyle name="Style 28 2 3" xfId="38430"/>
    <cellStyle name="Style 28 2 4" xfId="38431"/>
    <cellStyle name="Style 28 2 5" xfId="38432"/>
    <cellStyle name="Style 28 3" xfId="38433"/>
    <cellStyle name="Style 28 3 2" xfId="38434"/>
    <cellStyle name="Style 28 4" xfId="38435"/>
    <cellStyle name="Style 28 4 2" xfId="38436"/>
    <cellStyle name="Style 28 5" xfId="38437"/>
    <cellStyle name="Style 29" xfId="13895"/>
    <cellStyle name="Style 29 2" xfId="13896"/>
    <cellStyle name="Style 29 2 2" xfId="38438"/>
    <cellStyle name="Style 29 2 2 2" xfId="38439"/>
    <cellStyle name="Style 29 2 2 2 2" xfId="38440"/>
    <cellStyle name="Style 29 2 3" xfId="38441"/>
    <cellStyle name="Style 29 2 3 2" xfId="38442"/>
    <cellStyle name="Style 29 2 4" xfId="38443"/>
    <cellStyle name="Style 29 2 4 2" xfId="38444"/>
    <cellStyle name="Style 29 2 5" xfId="38445"/>
    <cellStyle name="Style 29 3" xfId="38446"/>
    <cellStyle name="Style 29 3 2" xfId="38447"/>
    <cellStyle name="Style 29 3 2 2" xfId="38448"/>
    <cellStyle name="Style 29 3 3" xfId="38449"/>
    <cellStyle name="Style 29 4" xfId="38450"/>
    <cellStyle name="Style 29 4 2" xfId="38451"/>
    <cellStyle name="Style 29 4 2 2" xfId="38452"/>
    <cellStyle name="Style 29 4 3" xfId="38453"/>
    <cellStyle name="Style 29 5" xfId="38454"/>
    <cellStyle name="Style 29 5 2" xfId="38455"/>
    <cellStyle name="Style 29 6" xfId="38456"/>
    <cellStyle name="Style 29 6 2" xfId="38457"/>
    <cellStyle name="Style 29 7" xfId="38458"/>
    <cellStyle name="Style 30" xfId="13897"/>
    <cellStyle name="Style 30 2" xfId="13898"/>
    <cellStyle name="Style 30 2 2" xfId="38459"/>
    <cellStyle name="Style 30 2 2 2" xfId="38460"/>
    <cellStyle name="Style 30 2 2 2 2" xfId="38461"/>
    <cellStyle name="Style 30 2 3" xfId="38462"/>
    <cellStyle name="Style 30 2 3 2" xfId="38463"/>
    <cellStyle name="Style 30 2 4" xfId="38464"/>
    <cellStyle name="Style 30 2 4 2" xfId="38465"/>
    <cellStyle name="Style 30 2 5" xfId="38466"/>
    <cellStyle name="Style 30 3" xfId="38467"/>
    <cellStyle name="Style 30 3 2" xfId="38468"/>
    <cellStyle name="Style 30 3 2 2" xfId="38469"/>
    <cellStyle name="Style 30 3 3" xfId="38470"/>
    <cellStyle name="Style 30 4" xfId="38471"/>
    <cellStyle name="Style 30 4 2" xfId="38472"/>
    <cellStyle name="Style 30 4 2 2" xfId="38473"/>
    <cellStyle name="Style 30 4 3" xfId="38474"/>
    <cellStyle name="Style 30 5" xfId="38475"/>
    <cellStyle name="Style 30 5 2" xfId="38476"/>
    <cellStyle name="Style 30 6" xfId="38477"/>
    <cellStyle name="Style 30 6 2" xfId="38478"/>
    <cellStyle name="Style 30 7" xfId="38479"/>
    <cellStyle name="Style 31" xfId="13899"/>
    <cellStyle name="Style 31 2" xfId="38480"/>
    <cellStyle name="Style 31 2 2" xfId="38481"/>
    <cellStyle name="Style 31 2 2 2" xfId="38482"/>
    <cellStyle name="Style 31 2 3" xfId="38483"/>
    <cellStyle name="Style 31 2 4" xfId="38484"/>
    <cellStyle name="Style 31 2 5" xfId="38485"/>
    <cellStyle name="Style 31 3" xfId="38486"/>
    <cellStyle name="Style 31 3 2" xfId="38487"/>
    <cellStyle name="Style 31 4" xfId="38488"/>
    <cellStyle name="Style 31 4 2" xfId="38489"/>
    <cellStyle name="Style 31 5" xfId="38490"/>
    <cellStyle name="Style 32" xfId="13900"/>
    <cellStyle name="Style 32 2" xfId="38491"/>
    <cellStyle name="Style 32 2 2" xfId="38492"/>
    <cellStyle name="Style 32 2 2 2" xfId="38493"/>
    <cellStyle name="Style 32 2 3" xfId="38494"/>
    <cellStyle name="Style 32 2 4" xfId="38495"/>
    <cellStyle name="Style 32 2 5" xfId="38496"/>
    <cellStyle name="Style 32 3" xfId="38497"/>
    <cellStyle name="Style 32 3 2" xfId="38498"/>
    <cellStyle name="Style 32 4" xfId="38499"/>
    <cellStyle name="Style 32 4 2" xfId="38500"/>
    <cellStyle name="Style 32 5" xfId="38501"/>
    <cellStyle name="Style 33" xfId="13901"/>
    <cellStyle name="Style 33 2" xfId="13902"/>
    <cellStyle name="Style 33 2 2" xfId="38502"/>
    <cellStyle name="Style 33 2 2 2" xfId="38503"/>
    <cellStyle name="Style 33 2 2 2 2" xfId="38504"/>
    <cellStyle name="Style 33 2 3" xfId="38505"/>
    <cellStyle name="Style 33 2 3 2" xfId="38506"/>
    <cellStyle name="Style 33 2 4" xfId="38507"/>
    <cellStyle name="Style 33 2 4 2" xfId="38508"/>
    <cellStyle name="Style 33 2 5" xfId="38509"/>
    <cellStyle name="Style 33 3" xfId="38510"/>
    <cellStyle name="Style 33 3 2" xfId="38511"/>
    <cellStyle name="Style 33 3 2 2" xfId="38512"/>
    <cellStyle name="Style 33 3 3" xfId="38513"/>
    <cellStyle name="Style 33 4" xfId="38514"/>
    <cellStyle name="Style 33 4 2" xfId="38515"/>
    <cellStyle name="Style 33 4 2 2" xfId="38516"/>
    <cellStyle name="Style 33 4 3" xfId="38517"/>
    <cellStyle name="Style 33 5" xfId="38518"/>
    <cellStyle name="Style 33 5 2" xfId="38519"/>
    <cellStyle name="Style 33 6" xfId="38520"/>
    <cellStyle name="Style 33 6 2" xfId="38521"/>
    <cellStyle name="Style 33 7" xfId="38522"/>
    <cellStyle name="Style 34" xfId="13903"/>
    <cellStyle name="Style 34 2" xfId="13904"/>
    <cellStyle name="Style 34 2 2" xfId="38523"/>
    <cellStyle name="Style 34 2 2 2" xfId="38524"/>
    <cellStyle name="Style 34 2 2 2 2" xfId="38525"/>
    <cellStyle name="Style 34 2 3" xfId="38526"/>
    <cellStyle name="Style 34 2 3 2" xfId="38527"/>
    <cellStyle name="Style 34 2 4" xfId="38528"/>
    <cellStyle name="Style 34 2 4 2" xfId="38529"/>
    <cellStyle name="Style 34 3" xfId="38530"/>
    <cellStyle name="Style 34 3 2" xfId="38531"/>
    <cellStyle name="Style 34 3 2 2" xfId="38532"/>
    <cellStyle name="Style 34 3 3" xfId="38533"/>
    <cellStyle name="Style 34 4" xfId="38534"/>
    <cellStyle name="Style 34 4 2" xfId="38535"/>
    <cellStyle name="Style 34 4 2 2" xfId="38536"/>
    <cellStyle name="Style 34 4 3" xfId="38537"/>
    <cellStyle name="Style 34 5" xfId="38538"/>
    <cellStyle name="Style 34 5 2" xfId="38539"/>
    <cellStyle name="Style 34 6" xfId="38540"/>
    <cellStyle name="Style 34 6 2" xfId="38541"/>
    <cellStyle name="Style 34 7" xfId="38542"/>
    <cellStyle name="Style 35" xfId="13905"/>
    <cellStyle name="Style 35 2" xfId="13906"/>
    <cellStyle name="Style 35 2 2" xfId="38543"/>
    <cellStyle name="Style 35 2 2 2" xfId="38544"/>
    <cellStyle name="Style 35 2 2 2 2" xfId="38545"/>
    <cellStyle name="Style 35 2 3" xfId="38546"/>
    <cellStyle name="Style 35 2 3 2" xfId="38547"/>
    <cellStyle name="Style 35 2 4" xfId="38548"/>
    <cellStyle name="Style 35 2 4 2" xfId="38549"/>
    <cellStyle name="Style 35 3" xfId="38550"/>
    <cellStyle name="Style 35 3 2" xfId="38551"/>
    <cellStyle name="Style 35 3 2 2" xfId="38552"/>
    <cellStyle name="Style 35 3 3" xfId="38553"/>
    <cellStyle name="Style 35 4" xfId="38554"/>
    <cellStyle name="Style 35 4 2" xfId="38555"/>
    <cellStyle name="Style 35 4 2 2" xfId="38556"/>
    <cellStyle name="Style 35 4 3" xfId="38557"/>
    <cellStyle name="Style 35 5" xfId="38558"/>
    <cellStyle name="Style 35 5 2" xfId="38559"/>
    <cellStyle name="Style 35 6" xfId="38560"/>
    <cellStyle name="Style 35 6 2" xfId="38561"/>
    <cellStyle name="Style 35 7" xfId="38562"/>
    <cellStyle name="Style 36" xfId="13907"/>
    <cellStyle name="Style 36 2" xfId="13908"/>
    <cellStyle name="Style 36 2 2" xfId="38563"/>
    <cellStyle name="Style 36 2 2 2" xfId="38564"/>
    <cellStyle name="Style 36 2 2 2 2" xfId="38565"/>
    <cellStyle name="Style 36 2 3" xfId="38566"/>
    <cellStyle name="Style 36 2 3 2" xfId="38567"/>
    <cellStyle name="Style 36 2 4" xfId="38568"/>
    <cellStyle name="Style 36 2 4 2" xfId="38569"/>
    <cellStyle name="Style 36 3" xfId="38570"/>
    <cellStyle name="Style 36 3 2" xfId="38571"/>
    <cellStyle name="Style 36 3 2 2" xfId="38572"/>
    <cellStyle name="Style 36 3 3" xfId="38573"/>
    <cellStyle name="Style 36 4" xfId="38574"/>
    <cellStyle name="Style 36 4 2" xfId="38575"/>
    <cellStyle name="Style 36 4 2 2" xfId="38576"/>
    <cellStyle name="Style 36 4 3" xfId="38577"/>
    <cellStyle name="Style 36 5" xfId="38578"/>
    <cellStyle name="Style 36 5 2" xfId="38579"/>
    <cellStyle name="Style 36 6" xfId="38580"/>
    <cellStyle name="Style 36 6 2" xfId="38581"/>
    <cellStyle name="Style 36 7" xfId="38582"/>
    <cellStyle name="Style 39" xfId="13909"/>
    <cellStyle name="Style 39 2" xfId="13910"/>
    <cellStyle name="Style 39 2 2" xfId="38583"/>
    <cellStyle name="Style 39 2 2 2" xfId="38584"/>
    <cellStyle name="Style 39 2 2 2 2" xfId="38585"/>
    <cellStyle name="Style 39 2 3" xfId="38586"/>
    <cellStyle name="Style 39 2 3 2" xfId="38587"/>
    <cellStyle name="Style 39 2 4" xfId="38588"/>
    <cellStyle name="Style 39 2 4 2" xfId="38589"/>
    <cellStyle name="Style 39 3" xfId="38590"/>
    <cellStyle name="Style 39 3 2" xfId="38591"/>
    <cellStyle name="Style 39 3 2 2" xfId="38592"/>
    <cellStyle name="Style 39 3 3" xfId="38593"/>
    <cellStyle name="Style 39 4" xfId="38594"/>
    <cellStyle name="Style 39 4 2" xfId="38595"/>
    <cellStyle name="Style 39 4 2 2" xfId="38596"/>
    <cellStyle name="Style 39 4 3" xfId="38597"/>
    <cellStyle name="Style 39 5" xfId="38598"/>
    <cellStyle name="Style 39 5 2" xfId="38599"/>
    <cellStyle name="Style 39 6" xfId="38600"/>
    <cellStyle name="Style 39 6 2" xfId="38601"/>
    <cellStyle name="STYLE1" xfId="13911"/>
    <cellStyle name="STYLE1 2" xfId="38602"/>
    <cellStyle name="STYLE2" xfId="13912"/>
    <cellStyle name="STYLE2 2" xfId="38603"/>
    <cellStyle name="STYLE3" xfId="13913"/>
    <cellStyle name="STYLE3 2" xfId="38604"/>
    <cellStyle name="SubHeading" xfId="38605"/>
    <cellStyle name="SubsidTitle" xfId="38606"/>
    <cellStyle name="sub-tl - Style3" xfId="13914"/>
    <cellStyle name="subtot - Style5" xfId="13915"/>
    <cellStyle name="Subtotal" xfId="3310"/>
    <cellStyle name="Sub-total" xfId="3311"/>
    <cellStyle name="Subtotal 10" xfId="38607"/>
    <cellStyle name="Sub-total 10" xfId="38608"/>
    <cellStyle name="Subtotal 10 10" xfId="38609"/>
    <cellStyle name="Sub-total 10 10" xfId="38610"/>
    <cellStyle name="Subtotal 10 10 2" xfId="38611"/>
    <cellStyle name="Sub-total 10 10 2" xfId="38612"/>
    <cellStyle name="Subtotal 10 10 3" xfId="38613"/>
    <cellStyle name="Sub-total 10 10 3" xfId="38614"/>
    <cellStyle name="Subtotal 10 10 4" xfId="38615"/>
    <cellStyle name="Sub-total 10 10 4" xfId="38616"/>
    <cellStyle name="Subtotal 10 10 5" xfId="38617"/>
    <cellStyle name="Sub-total 10 10 5" xfId="38618"/>
    <cellStyle name="Subtotal 10 10 6" xfId="38619"/>
    <cellStyle name="Sub-total 10 10 6" xfId="38620"/>
    <cellStyle name="Subtotal 10 11" xfId="38621"/>
    <cellStyle name="Sub-total 10 11" xfId="38622"/>
    <cellStyle name="Subtotal 10 11 2" xfId="38623"/>
    <cellStyle name="Sub-total 10 11 2" xfId="38624"/>
    <cellStyle name="Subtotal 10 11 3" xfId="38625"/>
    <cellStyle name="Sub-total 10 11 3" xfId="38626"/>
    <cellStyle name="Subtotal 10 11 4" xfId="38627"/>
    <cellStyle name="Sub-total 10 11 4" xfId="38628"/>
    <cellStyle name="Subtotal 10 11 5" xfId="38629"/>
    <cellStyle name="Sub-total 10 11 5" xfId="38630"/>
    <cellStyle name="Subtotal 10 11 6" xfId="38631"/>
    <cellStyle name="Sub-total 10 11 6" xfId="38632"/>
    <cellStyle name="Subtotal 10 12" xfId="38633"/>
    <cellStyle name="Sub-total 10 12" xfId="38634"/>
    <cellStyle name="Subtotal 10 12 2" xfId="38635"/>
    <cellStyle name="Sub-total 10 12 2" xfId="38636"/>
    <cellStyle name="Subtotal 10 12 3" xfId="38637"/>
    <cellStyle name="Sub-total 10 12 3" xfId="38638"/>
    <cellStyle name="Subtotal 10 12 4" xfId="38639"/>
    <cellStyle name="Sub-total 10 12 4" xfId="38640"/>
    <cellStyle name="Subtotal 10 12 5" xfId="38641"/>
    <cellStyle name="Sub-total 10 12 5" xfId="38642"/>
    <cellStyle name="Subtotal 10 12 6" xfId="38643"/>
    <cellStyle name="Sub-total 10 12 6" xfId="38644"/>
    <cellStyle name="Subtotal 10 13" xfId="38645"/>
    <cellStyle name="Sub-total 10 13" xfId="38646"/>
    <cellStyle name="Subtotal 10 13 2" xfId="38647"/>
    <cellStyle name="Sub-total 10 13 2" xfId="38648"/>
    <cellStyle name="Subtotal 10 13 3" xfId="38649"/>
    <cellStyle name="Sub-total 10 13 3" xfId="38650"/>
    <cellStyle name="Subtotal 10 13 4" xfId="38651"/>
    <cellStyle name="Sub-total 10 13 4" xfId="38652"/>
    <cellStyle name="Subtotal 10 13 5" xfId="38653"/>
    <cellStyle name="Sub-total 10 13 5" xfId="38654"/>
    <cellStyle name="Subtotal 10 13 6" xfId="38655"/>
    <cellStyle name="Sub-total 10 13 6" xfId="38656"/>
    <cellStyle name="Subtotal 10 14" xfId="38657"/>
    <cellStyle name="Sub-total 10 14" xfId="38658"/>
    <cellStyle name="Subtotal 10 15" xfId="38659"/>
    <cellStyle name="Sub-total 10 15" xfId="38660"/>
    <cellStyle name="Subtotal 10 16" xfId="38661"/>
    <cellStyle name="Sub-total 10 16" xfId="38662"/>
    <cellStyle name="Subtotal 10 17" xfId="38663"/>
    <cellStyle name="Sub-total 10 17" xfId="38664"/>
    <cellStyle name="Subtotal 10 18" xfId="38665"/>
    <cellStyle name="Sub-total 10 18" xfId="38666"/>
    <cellStyle name="Subtotal 10 2" xfId="38667"/>
    <cellStyle name="Sub-total 10 2" xfId="38668"/>
    <cellStyle name="Subtotal 10 2 2" xfId="38669"/>
    <cellStyle name="Sub-total 10 2 2" xfId="38670"/>
    <cellStyle name="Subtotal 10 2 3" xfId="38671"/>
    <cellStyle name="Sub-total 10 2 3" xfId="38672"/>
    <cellStyle name="Subtotal 10 2 4" xfId="38673"/>
    <cellStyle name="Sub-total 10 2 4" xfId="38674"/>
    <cellStyle name="Subtotal 10 2 5" xfId="38675"/>
    <cellStyle name="Sub-total 10 2 5" xfId="38676"/>
    <cellStyle name="Subtotal 10 2 6" xfId="38677"/>
    <cellStyle name="Sub-total 10 2 6" xfId="38678"/>
    <cellStyle name="Subtotal 10 3" xfId="38679"/>
    <cellStyle name="Sub-total 10 3" xfId="38680"/>
    <cellStyle name="Subtotal 10 3 2" xfId="38681"/>
    <cellStyle name="Sub-total 10 3 2" xfId="38682"/>
    <cellStyle name="Subtotal 10 3 3" xfId="38683"/>
    <cellStyle name="Sub-total 10 3 3" xfId="38684"/>
    <cellStyle name="Subtotal 10 3 4" xfId="38685"/>
    <cellStyle name="Sub-total 10 3 4" xfId="38686"/>
    <cellStyle name="Subtotal 10 3 5" xfId="38687"/>
    <cellStyle name="Sub-total 10 3 5" xfId="38688"/>
    <cellStyle name="Subtotal 10 3 6" xfId="38689"/>
    <cellStyle name="Sub-total 10 3 6" xfId="38690"/>
    <cellStyle name="Subtotal 10 4" xfId="38691"/>
    <cellStyle name="Sub-total 10 4" xfId="38692"/>
    <cellStyle name="Subtotal 10 4 2" xfId="38693"/>
    <cellStyle name="Sub-total 10 4 2" xfId="38694"/>
    <cellStyle name="Subtotal 10 4 3" xfId="38695"/>
    <cellStyle name="Sub-total 10 4 3" xfId="38696"/>
    <cellStyle name="Subtotal 10 4 4" xfId="38697"/>
    <cellStyle name="Sub-total 10 4 4" xfId="38698"/>
    <cellStyle name="Subtotal 10 4 5" xfId="38699"/>
    <cellStyle name="Sub-total 10 4 5" xfId="38700"/>
    <cellStyle name="Subtotal 10 4 6" xfId="38701"/>
    <cellStyle name="Sub-total 10 4 6" xfId="38702"/>
    <cellStyle name="Subtotal 10 5" xfId="38703"/>
    <cellStyle name="Sub-total 10 5" xfId="38704"/>
    <cellStyle name="Subtotal 10 5 2" xfId="38705"/>
    <cellStyle name="Sub-total 10 5 2" xfId="38706"/>
    <cellStyle name="Subtotal 10 5 3" xfId="38707"/>
    <cellStyle name="Sub-total 10 5 3" xfId="38708"/>
    <cellStyle name="Subtotal 10 5 4" xfId="38709"/>
    <cellStyle name="Sub-total 10 5 4" xfId="38710"/>
    <cellStyle name="Subtotal 10 5 5" xfId="38711"/>
    <cellStyle name="Sub-total 10 5 5" xfId="38712"/>
    <cellStyle name="Subtotal 10 5 6" xfId="38713"/>
    <cellStyle name="Sub-total 10 5 6" xfId="38714"/>
    <cellStyle name="Subtotal 10 6" xfId="38715"/>
    <cellStyle name="Sub-total 10 6" xfId="38716"/>
    <cellStyle name="Subtotal 10 6 2" xfId="38717"/>
    <cellStyle name="Sub-total 10 6 2" xfId="38718"/>
    <cellStyle name="Subtotal 10 6 3" xfId="38719"/>
    <cellStyle name="Sub-total 10 6 3" xfId="38720"/>
    <cellStyle name="Subtotal 10 6 4" xfId="38721"/>
    <cellStyle name="Sub-total 10 6 4" xfId="38722"/>
    <cellStyle name="Subtotal 10 6 5" xfId="38723"/>
    <cellStyle name="Sub-total 10 6 5" xfId="38724"/>
    <cellStyle name="Subtotal 10 6 6" xfId="38725"/>
    <cellStyle name="Sub-total 10 6 6" xfId="38726"/>
    <cellStyle name="Subtotal 10 7" xfId="38727"/>
    <cellStyle name="Sub-total 10 7" xfId="38728"/>
    <cellStyle name="Subtotal 10 7 2" xfId="38729"/>
    <cellStyle name="Sub-total 10 7 2" xfId="38730"/>
    <cellStyle name="Subtotal 10 7 3" xfId="38731"/>
    <cellStyle name="Sub-total 10 7 3" xfId="38732"/>
    <cellStyle name="Subtotal 10 7 4" xfId="38733"/>
    <cellStyle name="Sub-total 10 7 4" xfId="38734"/>
    <cellStyle name="Subtotal 10 7 5" xfId="38735"/>
    <cellStyle name="Sub-total 10 7 5" xfId="38736"/>
    <cellStyle name="Subtotal 10 7 6" xfId="38737"/>
    <cellStyle name="Sub-total 10 7 6" xfId="38738"/>
    <cellStyle name="Subtotal 10 8" xfId="38739"/>
    <cellStyle name="Sub-total 10 8" xfId="38740"/>
    <cellStyle name="Subtotal 10 8 2" xfId="38741"/>
    <cellStyle name="Sub-total 10 8 2" xfId="38742"/>
    <cellStyle name="Subtotal 10 8 3" xfId="38743"/>
    <cellStyle name="Sub-total 10 8 3" xfId="38744"/>
    <cellStyle name="Subtotal 10 8 4" xfId="38745"/>
    <cellStyle name="Sub-total 10 8 4" xfId="38746"/>
    <cellStyle name="Subtotal 10 8 5" xfId="38747"/>
    <cellStyle name="Sub-total 10 8 5" xfId="38748"/>
    <cellStyle name="Subtotal 10 8 6" xfId="38749"/>
    <cellStyle name="Sub-total 10 8 6" xfId="38750"/>
    <cellStyle name="Subtotal 10 9" xfId="38751"/>
    <cellStyle name="Sub-total 10 9" xfId="38752"/>
    <cellStyle name="Subtotal 10 9 2" xfId="38753"/>
    <cellStyle name="Sub-total 10 9 2" xfId="38754"/>
    <cellStyle name="Subtotal 10 9 3" xfId="38755"/>
    <cellStyle name="Sub-total 10 9 3" xfId="38756"/>
    <cellStyle name="Subtotal 10 9 4" xfId="38757"/>
    <cellStyle name="Sub-total 10 9 4" xfId="38758"/>
    <cellStyle name="Subtotal 10 9 5" xfId="38759"/>
    <cellStyle name="Sub-total 10 9 5" xfId="38760"/>
    <cellStyle name="Subtotal 10 9 6" xfId="38761"/>
    <cellStyle name="Sub-total 10 9 6" xfId="38762"/>
    <cellStyle name="Subtotal 11" xfId="38763"/>
    <cellStyle name="Sub-total 11" xfId="38764"/>
    <cellStyle name="Subtotal 11 10" xfId="38765"/>
    <cellStyle name="Sub-total 11 10" xfId="38766"/>
    <cellStyle name="Subtotal 11 10 2" xfId="38767"/>
    <cellStyle name="Sub-total 11 10 2" xfId="38768"/>
    <cellStyle name="Subtotal 11 10 3" xfId="38769"/>
    <cellStyle name="Sub-total 11 10 3" xfId="38770"/>
    <cellStyle name="Subtotal 11 10 4" xfId="38771"/>
    <cellStyle name="Sub-total 11 10 4" xfId="38772"/>
    <cellStyle name="Subtotal 11 10 5" xfId="38773"/>
    <cellStyle name="Sub-total 11 10 5" xfId="38774"/>
    <cellStyle name="Subtotal 11 10 6" xfId="38775"/>
    <cellStyle name="Sub-total 11 10 6" xfId="38776"/>
    <cellStyle name="Subtotal 11 11" xfId="38777"/>
    <cellStyle name="Sub-total 11 11" xfId="38778"/>
    <cellStyle name="Subtotal 11 11 2" xfId="38779"/>
    <cellStyle name="Sub-total 11 11 2" xfId="38780"/>
    <cellStyle name="Subtotal 11 11 3" xfId="38781"/>
    <cellStyle name="Sub-total 11 11 3" xfId="38782"/>
    <cellStyle name="Subtotal 11 11 4" xfId="38783"/>
    <cellStyle name="Sub-total 11 11 4" xfId="38784"/>
    <cellStyle name="Subtotal 11 11 5" xfId="38785"/>
    <cellStyle name="Sub-total 11 11 5" xfId="38786"/>
    <cellStyle name="Subtotal 11 11 6" xfId="38787"/>
    <cellStyle name="Sub-total 11 11 6" xfId="38788"/>
    <cellStyle name="Subtotal 11 12" xfId="38789"/>
    <cellStyle name="Sub-total 11 12" xfId="38790"/>
    <cellStyle name="Subtotal 11 12 2" xfId="38791"/>
    <cellStyle name="Sub-total 11 12 2" xfId="38792"/>
    <cellStyle name="Subtotal 11 12 3" xfId="38793"/>
    <cellStyle name="Sub-total 11 12 3" xfId="38794"/>
    <cellStyle name="Subtotal 11 12 4" xfId="38795"/>
    <cellStyle name="Sub-total 11 12 4" xfId="38796"/>
    <cellStyle name="Subtotal 11 12 5" xfId="38797"/>
    <cellStyle name="Sub-total 11 12 5" xfId="38798"/>
    <cellStyle name="Subtotal 11 12 6" xfId="38799"/>
    <cellStyle name="Sub-total 11 12 6" xfId="38800"/>
    <cellStyle name="Subtotal 11 13" xfId="38801"/>
    <cellStyle name="Sub-total 11 13" xfId="38802"/>
    <cellStyle name="Subtotal 11 13 2" xfId="38803"/>
    <cellStyle name="Sub-total 11 13 2" xfId="38804"/>
    <cellStyle name="Subtotal 11 13 3" xfId="38805"/>
    <cellStyle name="Sub-total 11 13 3" xfId="38806"/>
    <cellStyle name="Subtotal 11 13 4" xfId="38807"/>
    <cellStyle name="Sub-total 11 13 4" xfId="38808"/>
    <cellStyle name="Subtotal 11 13 5" xfId="38809"/>
    <cellStyle name="Sub-total 11 13 5" xfId="38810"/>
    <cellStyle name="Subtotal 11 13 6" xfId="38811"/>
    <cellStyle name="Sub-total 11 13 6" xfId="38812"/>
    <cellStyle name="Subtotal 11 14" xfId="38813"/>
    <cellStyle name="Sub-total 11 14" xfId="38814"/>
    <cellStyle name="Subtotal 11 15" xfId="38815"/>
    <cellStyle name="Sub-total 11 15" xfId="38816"/>
    <cellStyle name="Subtotal 11 16" xfId="38817"/>
    <cellStyle name="Sub-total 11 16" xfId="38818"/>
    <cellStyle name="Subtotal 11 17" xfId="38819"/>
    <cellStyle name="Sub-total 11 17" xfId="38820"/>
    <cellStyle name="Subtotal 11 18" xfId="38821"/>
    <cellStyle name="Sub-total 11 18" xfId="38822"/>
    <cellStyle name="Subtotal 11 2" xfId="38823"/>
    <cellStyle name="Sub-total 11 2" xfId="38824"/>
    <cellStyle name="Subtotal 11 2 2" xfId="38825"/>
    <cellStyle name="Sub-total 11 2 2" xfId="38826"/>
    <cellStyle name="Subtotal 11 2 3" xfId="38827"/>
    <cellStyle name="Sub-total 11 2 3" xfId="38828"/>
    <cellStyle name="Subtotal 11 2 4" xfId="38829"/>
    <cellStyle name="Sub-total 11 2 4" xfId="38830"/>
    <cellStyle name="Subtotal 11 2 5" xfId="38831"/>
    <cellStyle name="Sub-total 11 2 5" xfId="38832"/>
    <cellStyle name="Subtotal 11 2 6" xfId="38833"/>
    <cellStyle name="Sub-total 11 2 6" xfId="38834"/>
    <cellStyle name="Subtotal 11 3" xfId="38835"/>
    <cellStyle name="Sub-total 11 3" xfId="38836"/>
    <cellStyle name="Subtotal 11 3 2" xfId="38837"/>
    <cellStyle name="Sub-total 11 3 2" xfId="38838"/>
    <cellStyle name="Subtotal 11 3 3" xfId="38839"/>
    <cellStyle name="Sub-total 11 3 3" xfId="38840"/>
    <cellStyle name="Subtotal 11 3 4" xfId="38841"/>
    <cellStyle name="Sub-total 11 3 4" xfId="38842"/>
    <cellStyle name="Subtotal 11 3 5" xfId="38843"/>
    <cellStyle name="Sub-total 11 3 5" xfId="38844"/>
    <cellStyle name="Subtotal 11 3 6" xfId="38845"/>
    <cellStyle name="Sub-total 11 3 6" xfId="38846"/>
    <cellStyle name="Subtotal 11 4" xfId="38847"/>
    <cellStyle name="Sub-total 11 4" xfId="38848"/>
    <cellStyle name="Subtotal 11 4 2" xfId="38849"/>
    <cellStyle name="Sub-total 11 4 2" xfId="38850"/>
    <cellStyle name="Subtotal 11 4 3" xfId="38851"/>
    <cellStyle name="Sub-total 11 4 3" xfId="38852"/>
    <cellStyle name="Subtotal 11 4 4" xfId="38853"/>
    <cellStyle name="Sub-total 11 4 4" xfId="38854"/>
    <cellStyle name="Subtotal 11 4 5" xfId="38855"/>
    <cellStyle name="Sub-total 11 4 5" xfId="38856"/>
    <cellStyle name="Subtotal 11 4 6" xfId="38857"/>
    <cellStyle name="Sub-total 11 4 6" xfId="38858"/>
    <cellStyle name="Subtotal 11 5" xfId="38859"/>
    <cellStyle name="Sub-total 11 5" xfId="38860"/>
    <cellStyle name="Subtotal 11 5 2" xfId="38861"/>
    <cellStyle name="Sub-total 11 5 2" xfId="38862"/>
    <cellStyle name="Subtotal 11 5 3" xfId="38863"/>
    <cellStyle name="Sub-total 11 5 3" xfId="38864"/>
    <cellStyle name="Subtotal 11 5 4" xfId="38865"/>
    <cellStyle name="Sub-total 11 5 4" xfId="38866"/>
    <cellStyle name="Subtotal 11 5 5" xfId="38867"/>
    <cellStyle name="Sub-total 11 5 5" xfId="38868"/>
    <cellStyle name="Subtotal 11 5 6" xfId="38869"/>
    <cellStyle name="Sub-total 11 5 6" xfId="38870"/>
    <cellStyle name="Subtotal 11 6" xfId="38871"/>
    <cellStyle name="Sub-total 11 6" xfId="38872"/>
    <cellStyle name="Subtotal 11 6 2" xfId="38873"/>
    <cellStyle name="Sub-total 11 6 2" xfId="38874"/>
    <cellStyle name="Subtotal 11 6 3" xfId="38875"/>
    <cellStyle name="Sub-total 11 6 3" xfId="38876"/>
    <cellStyle name="Subtotal 11 6 4" xfId="38877"/>
    <cellStyle name="Sub-total 11 6 4" xfId="38878"/>
    <cellStyle name="Subtotal 11 6 5" xfId="38879"/>
    <cellStyle name="Sub-total 11 6 5" xfId="38880"/>
    <cellStyle name="Subtotal 11 6 6" xfId="38881"/>
    <cellStyle name="Sub-total 11 6 6" xfId="38882"/>
    <cellStyle name="Subtotal 11 7" xfId="38883"/>
    <cellStyle name="Sub-total 11 7" xfId="38884"/>
    <cellStyle name="Subtotal 11 7 2" xfId="38885"/>
    <cellStyle name="Sub-total 11 7 2" xfId="38886"/>
    <cellStyle name="Subtotal 11 7 3" xfId="38887"/>
    <cellStyle name="Sub-total 11 7 3" xfId="38888"/>
    <cellStyle name="Subtotal 11 7 4" xfId="38889"/>
    <cellStyle name="Sub-total 11 7 4" xfId="38890"/>
    <cellStyle name="Subtotal 11 7 5" xfId="38891"/>
    <cellStyle name="Sub-total 11 7 5" xfId="38892"/>
    <cellStyle name="Subtotal 11 7 6" xfId="38893"/>
    <cellStyle name="Sub-total 11 7 6" xfId="38894"/>
    <cellStyle name="Subtotal 11 8" xfId="38895"/>
    <cellStyle name="Sub-total 11 8" xfId="38896"/>
    <cellStyle name="Subtotal 11 8 2" xfId="38897"/>
    <cellStyle name="Sub-total 11 8 2" xfId="38898"/>
    <cellStyle name="Subtotal 11 8 3" xfId="38899"/>
    <cellStyle name="Sub-total 11 8 3" xfId="38900"/>
    <cellStyle name="Subtotal 11 8 4" xfId="38901"/>
    <cellStyle name="Sub-total 11 8 4" xfId="38902"/>
    <cellStyle name="Subtotal 11 8 5" xfId="38903"/>
    <cellStyle name="Sub-total 11 8 5" xfId="38904"/>
    <cellStyle name="Subtotal 11 8 6" xfId="38905"/>
    <cellStyle name="Sub-total 11 8 6" xfId="38906"/>
    <cellStyle name="Subtotal 11 9" xfId="38907"/>
    <cellStyle name="Sub-total 11 9" xfId="38908"/>
    <cellStyle name="Subtotal 11 9 2" xfId="38909"/>
    <cellStyle name="Sub-total 11 9 2" xfId="38910"/>
    <cellStyle name="Subtotal 11 9 3" xfId="38911"/>
    <cellStyle name="Sub-total 11 9 3" xfId="38912"/>
    <cellStyle name="Subtotal 11 9 4" xfId="38913"/>
    <cellStyle name="Sub-total 11 9 4" xfId="38914"/>
    <cellStyle name="Subtotal 11 9 5" xfId="38915"/>
    <cellStyle name="Sub-total 11 9 5" xfId="38916"/>
    <cellStyle name="Subtotal 11 9 6" xfId="38917"/>
    <cellStyle name="Sub-total 11 9 6" xfId="38918"/>
    <cellStyle name="Subtotal 12" xfId="38919"/>
    <cellStyle name="Sub-total 12" xfId="38920"/>
    <cellStyle name="Subtotal 12 10" xfId="38921"/>
    <cellStyle name="Sub-total 12 10" xfId="38922"/>
    <cellStyle name="Subtotal 12 10 2" xfId="38923"/>
    <cellStyle name="Sub-total 12 10 2" xfId="38924"/>
    <cellStyle name="Subtotal 12 10 3" xfId="38925"/>
    <cellStyle name="Sub-total 12 10 3" xfId="38926"/>
    <cellStyle name="Subtotal 12 10 4" xfId="38927"/>
    <cellStyle name="Sub-total 12 10 4" xfId="38928"/>
    <cellStyle name="Subtotal 12 10 5" xfId="38929"/>
    <cellStyle name="Sub-total 12 10 5" xfId="38930"/>
    <cellStyle name="Subtotal 12 10 6" xfId="38931"/>
    <cellStyle name="Sub-total 12 10 6" xfId="38932"/>
    <cellStyle name="Subtotal 12 11" xfId="38933"/>
    <cellStyle name="Sub-total 12 11" xfId="38934"/>
    <cellStyle name="Subtotal 12 11 2" xfId="38935"/>
    <cellStyle name="Sub-total 12 11 2" xfId="38936"/>
    <cellStyle name="Subtotal 12 11 3" xfId="38937"/>
    <cellStyle name="Sub-total 12 11 3" xfId="38938"/>
    <cellStyle name="Subtotal 12 11 4" xfId="38939"/>
    <cellStyle name="Sub-total 12 11 4" xfId="38940"/>
    <cellStyle name="Subtotal 12 11 5" xfId="38941"/>
    <cellStyle name="Sub-total 12 11 5" xfId="38942"/>
    <cellStyle name="Subtotal 12 11 6" xfId="38943"/>
    <cellStyle name="Sub-total 12 11 6" xfId="38944"/>
    <cellStyle name="Subtotal 12 12" xfId="38945"/>
    <cellStyle name="Sub-total 12 12" xfId="38946"/>
    <cellStyle name="Subtotal 12 12 2" xfId="38947"/>
    <cellStyle name="Sub-total 12 12 2" xfId="38948"/>
    <cellStyle name="Subtotal 12 12 3" xfId="38949"/>
    <cellStyle name="Sub-total 12 12 3" xfId="38950"/>
    <cellStyle name="Subtotal 12 12 4" xfId="38951"/>
    <cellStyle name="Sub-total 12 12 4" xfId="38952"/>
    <cellStyle name="Subtotal 12 12 5" xfId="38953"/>
    <cellStyle name="Sub-total 12 12 5" xfId="38954"/>
    <cellStyle name="Subtotal 12 12 6" xfId="38955"/>
    <cellStyle name="Sub-total 12 12 6" xfId="38956"/>
    <cellStyle name="Subtotal 12 13" xfId="38957"/>
    <cellStyle name="Sub-total 12 13" xfId="38958"/>
    <cellStyle name="Subtotal 12 13 2" xfId="38959"/>
    <cellStyle name="Sub-total 12 13 2" xfId="38960"/>
    <cellStyle name="Subtotal 12 13 3" xfId="38961"/>
    <cellStyle name="Sub-total 12 13 3" xfId="38962"/>
    <cellStyle name="Subtotal 12 13 4" xfId="38963"/>
    <cellStyle name="Sub-total 12 13 4" xfId="38964"/>
    <cellStyle name="Subtotal 12 13 5" xfId="38965"/>
    <cellStyle name="Sub-total 12 13 5" xfId="38966"/>
    <cellStyle name="Subtotal 12 13 6" xfId="38967"/>
    <cellStyle name="Sub-total 12 13 6" xfId="38968"/>
    <cellStyle name="Subtotal 12 14" xfId="38969"/>
    <cellStyle name="Sub-total 12 14" xfId="38970"/>
    <cellStyle name="Subtotal 12 15" xfId="38971"/>
    <cellStyle name="Sub-total 12 15" xfId="38972"/>
    <cellStyle name="Subtotal 12 16" xfId="38973"/>
    <cellStyle name="Sub-total 12 16" xfId="38974"/>
    <cellStyle name="Subtotal 12 17" xfId="38975"/>
    <cellStyle name="Sub-total 12 17" xfId="38976"/>
    <cellStyle name="Subtotal 12 18" xfId="38977"/>
    <cellStyle name="Sub-total 12 18" xfId="38978"/>
    <cellStyle name="Subtotal 12 2" xfId="38979"/>
    <cellStyle name="Sub-total 12 2" xfId="38980"/>
    <cellStyle name="Subtotal 12 2 2" xfId="38981"/>
    <cellStyle name="Sub-total 12 2 2" xfId="38982"/>
    <cellStyle name="Subtotal 12 2 3" xfId="38983"/>
    <cellStyle name="Sub-total 12 2 3" xfId="38984"/>
    <cellStyle name="Subtotal 12 2 4" xfId="38985"/>
    <cellStyle name="Sub-total 12 2 4" xfId="38986"/>
    <cellStyle name="Subtotal 12 2 5" xfId="38987"/>
    <cellStyle name="Sub-total 12 2 5" xfId="38988"/>
    <cellStyle name="Subtotal 12 2 6" xfId="38989"/>
    <cellStyle name="Sub-total 12 2 6" xfId="38990"/>
    <cellStyle name="Subtotal 12 3" xfId="38991"/>
    <cellStyle name="Sub-total 12 3" xfId="38992"/>
    <cellStyle name="Subtotal 12 3 2" xfId="38993"/>
    <cellStyle name="Sub-total 12 3 2" xfId="38994"/>
    <cellStyle name="Subtotal 12 3 3" xfId="38995"/>
    <cellStyle name="Sub-total 12 3 3" xfId="38996"/>
    <cellStyle name="Subtotal 12 3 4" xfId="38997"/>
    <cellStyle name="Sub-total 12 3 4" xfId="38998"/>
    <cellStyle name="Subtotal 12 3 5" xfId="38999"/>
    <cellStyle name="Sub-total 12 3 5" xfId="39000"/>
    <cellStyle name="Subtotal 12 3 6" xfId="39001"/>
    <cellStyle name="Sub-total 12 3 6" xfId="39002"/>
    <cellStyle name="Subtotal 12 4" xfId="39003"/>
    <cellStyle name="Sub-total 12 4" xfId="39004"/>
    <cellStyle name="Subtotal 12 4 2" xfId="39005"/>
    <cellStyle name="Sub-total 12 4 2" xfId="39006"/>
    <cellStyle name="Subtotal 12 4 3" xfId="39007"/>
    <cellStyle name="Sub-total 12 4 3" xfId="39008"/>
    <cellStyle name="Subtotal 12 4 4" xfId="39009"/>
    <cellStyle name="Sub-total 12 4 4" xfId="39010"/>
    <cellStyle name="Subtotal 12 4 5" xfId="39011"/>
    <cellStyle name="Sub-total 12 4 5" xfId="39012"/>
    <cellStyle name="Subtotal 12 4 6" xfId="39013"/>
    <cellStyle name="Sub-total 12 4 6" xfId="39014"/>
    <cellStyle name="Subtotal 12 5" xfId="39015"/>
    <cellStyle name="Sub-total 12 5" xfId="39016"/>
    <cellStyle name="Subtotal 12 5 2" xfId="39017"/>
    <cellStyle name="Sub-total 12 5 2" xfId="39018"/>
    <cellStyle name="Subtotal 12 5 3" xfId="39019"/>
    <cellStyle name="Sub-total 12 5 3" xfId="39020"/>
    <cellStyle name="Subtotal 12 5 4" xfId="39021"/>
    <cellStyle name="Sub-total 12 5 4" xfId="39022"/>
    <cellStyle name="Subtotal 12 5 5" xfId="39023"/>
    <cellStyle name="Sub-total 12 5 5" xfId="39024"/>
    <cellStyle name="Subtotal 12 5 6" xfId="39025"/>
    <cellStyle name="Sub-total 12 5 6" xfId="39026"/>
    <cellStyle name="Subtotal 12 6" xfId="39027"/>
    <cellStyle name="Sub-total 12 6" xfId="39028"/>
    <cellStyle name="Subtotal 12 6 2" xfId="39029"/>
    <cellStyle name="Sub-total 12 6 2" xfId="39030"/>
    <cellStyle name="Subtotal 12 6 3" xfId="39031"/>
    <cellStyle name="Sub-total 12 6 3" xfId="39032"/>
    <cellStyle name="Subtotal 12 6 4" xfId="39033"/>
    <cellStyle name="Sub-total 12 6 4" xfId="39034"/>
    <cellStyle name="Subtotal 12 6 5" xfId="39035"/>
    <cellStyle name="Sub-total 12 6 5" xfId="39036"/>
    <cellStyle name="Subtotal 12 6 6" xfId="39037"/>
    <cellStyle name="Sub-total 12 6 6" xfId="39038"/>
    <cellStyle name="Subtotal 12 7" xfId="39039"/>
    <cellStyle name="Sub-total 12 7" xfId="39040"/>
    <cellStyle name="Subtotal 12 7 2" xfId="39041"/>
    <cellStyle name="Sub-total 12 7 2" xfId="39042"/>
    <cellStyle name="Subtotal 12 7 3" xfId="39043"/>
    <cellStyle name="Sub-total 12 7 3" xfId="39044"/>
    <cellStyle name="Subtotal 12 7 4" xfId="39045"/>
    <cellStyle name="Sub-total 12 7 4" xfId="39046"/>
    <cellStyle name="Subtotal 12 7 5" xfId="39047"/>
    <cellStyle name="Sub-total 12 7 5" xfId="39048"/>
    <cellStyle name="Subtotal 12 7 6" xfId="39049"/>
    <cellStyle name="Sub-total 12 7 6" xfId="39050"/>
    <cellStyle name="Subtotal 12 8" xfId="39051"/>
    <cellStyle name="Sub-total 12 8" xfId="39052"/>
    <cellStyle name="Subtotal 12 8 2" xfId="39053"/>
    <cellStyle name="Sub-total 12 8 2" xfId="39054"/>
    <cellStyle name="Subtotal 12 8 3" xfId="39055"/>
    <cellStyle name="Sub-total 12 8 3" xfId="39056"/>
    <cellStyle name="Subtotal 12 8 4" xfId="39057"/>
    <cellStyle name="Sub-total 12 8 4" xfId="39058"/>
    <cellStyle name="Subtotal 12 8 5" xfId="39059"/>
    <cellStyle name="Sub-total 12 8 5" xfId="39060"/>
    <cellStyle name="Subtotal 12 8 6" xfId="39061"/>
    <cellStyle name="Sub-total 12 8 6" xfId="39062"/>
    <cellStyle name="Subtotal 12 9" xfId="39063"/>
    <cellStyle name="Sub-total 12 9" xfId="39064"/>
    <cellStyle name="Subtotal 12 9 2" xfId="39065"/>
    <cellStyle name="Sub-total 12 9 2" xfId="39066"/>
    <cellStyle name="Subtotal 12 9 3" xfId="39067"/>
    <cellStyle name="Sub-total 12 9 3" xfId="39068"/>
    <cellStyle name="Subtotal 12 9 4" xfId="39069"/>
    <cellStyle name="Sub-total 12 9 4" xfId="39070"/>
    <cellStyle name="Subtotal 12 9 5" xfId="39071"/>
    <cellStyle name="Sub-total 12 9 5" xfId="39072"/>
    <cellStyle name="Subtotal 12 9 6" xfId="39073"/>
    <cellStyle name="Sub-total 12 9 6" xfId="39074"/>
    <cellStyle name="Subtotal 13" xfId="39075"/>
    <cellStyle name="Sub-total 13" xfId="39076"/>
    <cellStyle name="Subtotal 13 10" xfId="39077"/>
    <cellStyle name="Sub-total 13 10" xfId="39078"/>
    <cellStyle name="Subtotal 13 10 2" xfId="39079"/>
    <cellStyle name="Sub-total 13 10 2" xfId="39080"/>
    <cellStyle name="Subtotal 13 10 3" xfId="39081"/>
    <cellStyle name="Sub-total 13 10 3" xfId="39082"/>
    <cellStyle name="Subtotal 13 10 4" xfId="39083"/>
    <cellStyle name="Sub-total 13 10 4" xfId="39084"/>
    <cellStyle name="Subtotal 13 10 5" xfId="39085"/>
    <cellStyle name="Sub-total 13 10 5" xfId="39086"/>
    <cellStyle name="Subtotal 13 10 6" xfId="39087"/>
    <cellStyle name="Sub-total 13 10 6" xfId="39088"/>
    <cellStyle name="Subtotal 13 11" xfId="39089"/>
    <cellStyle name="Sub-total 13 11" xfId="39090"/>
    <cellStyle name="Subtotal 13 11 2" xfId="39091"/>
    <cellStyle name="Sub-total 13 11 2" xfId="39092"/>
    <cellStyle name="Subtotal 13 11 3" xfId="39093"/>
    <cellStyle name="Sub-total 13 11 3" xfId="39094"/>
    <cellStyle name="Subtotal 13 11 4" xfId="39095"/>
    <cellStyle name="Sub-total 13 11 4" xfId="39096"/>
    <cellStyle name="Subtotal 13 11 5" xfId="39097"/>
    <cellStyle name="Sub-total 13 11 5" xfId="39098"/>
    <cellStyle name="Subtotal 13 11 6" xfId="39099"/>
    <cellStyle name="Sub-total 13 11 6" xfId="39100"/>
    <cellStyle name="Subtotal 13 12" xfId="39101"/>
    <cellStyle name="Sub-total 13 12" xfId="39102"/>
    <cellStyle name="Subtotal 13 12 2" xfId="39103"/>
    <cellStyle name="Sub-total 13 12 2" xfId="39104"/>
    <cellStyle name="Subtotal 13 12 3" xfId="39105"/>
    <cellStyle name="Sub-total 13 12 3" xfId="39106"/>
    <cellStyle name="Subtotal 13 12 4" xfId="39107"/>
    <cellStyle name="Sub-total 13 12 4" xfId="39108"/>
    <cellStyle name="Subtotal 13 12 5" xfId="39109"/>
    <cellStyle name="Sub-total 13 12 5" xfId="39110"/>
    <cellStyle name="Subtotal 13 12 6" xfId="39111"/>
    <cellStyle name="Sub-total 13 12 6" xfId="39112"/>
    <cellStyle name="Subtotal 13 13" xfId="39113"/>
    <cellStyle name="Sub-total 13 13" xfId="39114"/>
    <cellStyle name="Subtotal 13 13 2" xfId="39115"/>
    <cellStyle name="Sub-total 13 13 2" xfId="39116"/>
    <cellStyle name="Subtotal 13 13 3" xfId="39117"/>
    <cellStyle name="Sub-total 13 13 3" xfId="39118"/>
    <cellStyle name="Subtotal 13 13 4" xfId="39119"/>
    <cellStyle name="Sub-total 13 13 4" xfId="39120"/>
    <cellStyle name="Subtotal 13 13 5" xfId="39121"/>
    <cellStyle name="Sub-total 13 13 5" xfId="39122"/>
    <cellStyle name="Subtotal 13 13 6" xfId="39123"/>
    <cellStyle name="Sub-total 13 13 6" xfId="39124"/>
    <cellStyle name="Subtotal 13 14" xfId="39125"/>
    <cellStyle name="Sub-total 13 14" xfId="39126"/>
    <cellStyle name="Subtotal 13 15" xfId="39127"/>
    <cellStyle name="Sub-total 13 15" xfId="39128"/>
    <cellStyle name="Subtotal 13 16" xfId="39129"/>
    <cellStyle name="Sub-total 13 16" xfId="39130"/>
    <cellStyle name="Subtotal 13 17" xfId="39131"/>
    <cellStyle name="Sub-total 13 17" xfId="39132"/>
    <cellStyle name="Subtotal 13 18" xfId="39133"/>
    <cellStyle name="Sub-total 13 18" xfId="39134"/>
    <cellStyle name="Subtotal 13 2" xfId="39135"/>
    <cellStyle name="Sub-total 13 2" xfId="39136"/>
    <cellStyle name="Subtotal 13 2 2" xfId="39137"/>
    <cellStyle name="Sub-total 13 2 2" xfId="39138"/>
    <cellStyle name="Subtotal 13 2 3" xfId="39139"/>
    <cellStyle name="Sub-total 13 2 3" xfId="39140"/>
    <cellStyle name="Subtotal 13 2 4" xfId="39141"/>
    <cellStyle name="Sub-total 13 2 4" xfId="39142"/>
    <cellStyle name="Subtotal 13 2 5" xfId="39143"/>
    <cellStyle name="Sub-total 13 2 5" xfId="39144"/>
    <cellStyle name="Subtotal 13 2 6" xfId="39145"/>
    <cellStyle name="Sub-total 13 2 6" xfId="39146"/>
    <cellStyle name="Subtotal 13 3" xfId="39147"/>
    <cellStyle name="Sub-total 13 3" xfId="39148"/>
    <cellStyle name="Subtotal 13 3 2" xfId="39149"/>
    <cellStyle name="Sub-total 13 3 2" xfId="39150"/>
    <cellStyle name="Subtotal 13 3 3" xfId="39151"/>
    <cellStyle name="Sub-total 13 3 3" xfId="39152"/>
    <cellStyle name="Subtotal 13 3 4" xfId="39153"/>
    <cellStyle name="Sub-total 13 3 4" xfId="39154"/>
    <cellStyle name="Subtotal 13 3 5" xfId="39155"/>
    <cellStyle name="Sub-total 13 3 5" xfId="39156"/>
    <cellStyle name="Subtotal 13 3 6" xfId="39157"/>
    <cellStyle name="Sub-total 13 3 6" xfId="39158"/>
    <cellStyle name="Subtotal 13 4" xfId="39159"/>
    <cellStyle name="Sub-total 13 4" xfId="39160"/>
    <cellStyle name="Subtotal 13 4 2" xfId="39161"/>
    <cellStyle name="Sub-total 13 4 2" xfId="39162"/>
    <cellStyle name="Subtotal 13 4 3" xfId="39163"/>
    <cellStyle name="Sub-total 13 4 3" xfId="39164"/>
    <cellStyle name="Subtotal 13 4 4" xfId="39165"/>
    <cellStyle name="Sub-total 13 4 4" xfId="39166"/>
    <cellStyle name="Subtotal 13 4 5" xfId="39167"/>
    <cellStyle name="Sub-total 13 4 5" xfId="39168"/>
    <cellStyle name="Subtotal 13 4 6" xfId="39169"/>
    <cellStyle name="Sub-total 13 4 6" xfId="39170"/>
    <cellStyle name="Subtotal 13 5" xfId="39171"/>
    <cellStyle name="Sub-total 13 5" xfId="39172"/>
    <cellStyle name="Subtotal 13 5 2" xfId="39173"/>
    <cellStyle name="Sub-total 13 5 2" xfId="39174"/>
    <cellStyle name="Subtotal 13 5 3" xfId="39175"/>
    <cellStyle name="Sub-total 13 5 3" xfId="39176"/>
    <cellStyle name="Subtotal 13 5 4" xfId="39177"/>
    <cellStyle name="Sub-total 13 5 4" xfId="39178"/>
    <cellStyle name="Subtotal 13 5 5" xfId="39179"/>
    <cellStyle name="Sub-total 13 5 5" xfId="39180"/>
    <cellStyle name="Subtotal 13 5 6" xfId="39181"/>
    <cellStyle name="Sub-total 13 5 6" xfId="39182"/>
    <cellStyle name="Subtotal 13 6" xfId="39183"/>
    <cellStyle name="Sub-total 13 6" xfId="39184"/>
    <cellStyle name="Subtotal 13 6 2" xfId="39185"/>
    <cellStyle name="Sub-total 13 6 2" xfId="39186"/>
    <cellStyle name="Subtotal 13 6 3" xfId="39187"/>
    <cellStyle name="Sub-total 13 6 3" xfId="39188"/>
    <cellStyle name="Subtotal 13 6 4" xfId="39189"/>
    <cellStyle name="Sub-total 13 6 4" xfId="39190"/>
    <cellStyle name="Subtotal 13 6 5" xfId="39191"/>
    <cellStyle name="Sub-total 13 6 5" xfId="39192"/>
    <cellStyle name="Subtotal 13 6 6" xfId="39193"/>
    <cellStyle name="Sub-total 13 6 6" xfId="39194"/>
    <cellStyle name="Subtotal 13 7" xfId="39195"/>
    <cellStyle name="Sub-total 13 7" xfId="39196"/>
    <cellStyle name="Subtotal 13 7 2" xfId="39197"/>
    <cellStyle name="Sub-total 13 7 2" xfId="39198"/>
    <cellStyle name="Subtotal 13 7 3" xfId="39199"/>
    <cellStyle name="Sub-total 13 7 3" xfId="39200"/>
    <cellStyle name="Subtotal 13 7 4" xfId="39201"/>
    <cellStyle name="Sub-total 13 7 4" xfId="39202"/>
    <cellStyle name="Subtotal 13 7 5" xfId="39203"/>
    <cellStyle name="Sub-total 13 7 5" xfId="39204"/>
    <cellStyle name="Subtotal 13 7 6" xfId="39205"/>
    <cellStyle name="Sub-total 13 7 6" xfId="39206"/>
    <cellStyle name="Subtotal 13 8" xfId="39207"/>
    <cellStyle name="Sub-total 13 8" xfId="39208"/>
    <cellStyle name="Subtotal 13 8 2" xfId="39209"/>
    <cellStyle name="Sub-total 13 8 2" xfId="39210"/>
    <cellStyle name="Subtotal 13 8 3" xfId="39211"/>
    <cellStyle name="Sub-total 13 8 3" xfId="39212"/>
    <cellStyle name="Subtotal 13 8 4" xfId="39213"/>
    <cellStyle name="Sub-total 13 8 4" xfId="39214"/>
    <cellStyle name="Subtotal 13 8 5" xfId="39215"/>
    <cellStyle name="Sub-total 13 8 5" xfId="39216"/>
    <cellStyle name="Subtotal 13 8 6" xfId="39217"/>
    <cellStyle name="Sub-total 13 8 6" xfId="39218"/>
    <cellStyle name="Subtotal 13 9" xfId="39219"/>
    <cellStyle name="Sub-total 13 9" xfId="39220"/>
    <cellStyle name="Subtotal 13 9 2" xfId="39221"/>
    <cellStyle name="Sub-total 13 9 2" xfId="39222"/>
    <cellStyle name="Subtotal 13 9 3" xfId="39223"/>
    <cellStyle name="Sub-total 13 9 3" xfId="39224"/>
    <cellStyle name="Subtotal 13 9 4" xfId="39225"/>
    <cellStyle name="Sub-total 13 9 4" xfId="39226"/>
    <cellStyle name="Subtotal 13 9 5" xfId="39227"/>
    <cellStyle name="Sub-total 13 9 5" xfId="39228"/>
    <cellStyle name="Subtotal 13 9 6" xfId="39229"/>
    <cellStyle name="Sub-total 13 9 6" xfId="39230"/>
    <cellStyle name="Subtotal 14" xfId="39231"/>
    <cellStyle name="Sub-total 14" xfId="39232"/>
    <cellStyle name="Subtotal 14 2" xfId="39233"/>
    <cellStyle name="Sub-total 14 2" xfId="39234"/>
    <cellStyle name="Subtotal 14 3" xfId="39235"/>
    <cellStyle name="Sub-total 14 3" xfId="39236"/>
    <cellStyle name="Subtotal 14 4" xfId="39237"/>
    <cellStyle name="Sub-total 14 4" xfId="39238"/>
    <cellStyle name="Subtotal 14 5" xfId="39239"/>
    <cellStyle name="Sub-total 14 5" xfId="39240"/>
    <cellStyle name="Subtotal 14 6" xfId="39241"/>
    <cellStyle name="Sub-total 14 6" xfId="39242"/>
    <cellStyle name="Subtotal 15" xfId="39243"/>
    <cellStyle name="Sub-total 15" xfId="39244"/>
    <cellStyle name="Subtotal 15 2" xfId="39245"/>
    <cellStyle name="Sub-total 15 2" xfId="39246"/>
    <cellStyle name="Subtotal 15 3" xfId="39247"/>
    <cellStyle name="Sub-total 15 3" xfId="39248"/>
    <cellStyle name="Subtotal 15 4" xfId="39249"/>
    <cellStyle name="Sub-total 15 4" xfId="39250"/>
    <cellStyle name="Subtotal 15 5" xfId="39251"/>
    <cellStyle name="Sub-total 15 5" xfId="39252"/>
    <cellStyle name="Subtotal 15 6" xfId="39253"/>
    <cellStyle name="Sub-total 15 6" xfId="39254"/>
    <cellStyle name="Subtotal 16" xfId="39255"/>
    <cellStyle name="Sub-total 16" xfId="39256"/>
    <cellStyle name="Subtotal 16 2" xfId="39257"/>
    <cellStyle name="Sub-total 16 2" xfId="39258"/>
    <cellStyle name="Subtotal 16 3" xfId="39259"/>
    <cellStyle name="Sub-total 16 3" xfId="39260"/>
    <cellStyle name="Subtotal 16 4" xfId="39261"/>
    <cellStyle name="Sub-total 16 4" xfId="39262"/>
    <cellStyle name="Subtotal 16 5" xfId="39263"/>
    <cellStyle name="Sub-total 16 5" xfId="39264"/>
    <cellStyle name="Subtotal 16 6" xfId="39265"/>
    <cellStyle name="Sub-total 16 6" xfId="39266"/>
    <cellStyle name="Subtotal 17" xfId="39267"/>
    <cellStyle name="Sub-total 17" xfId="39268"/>
    <cellStyle name="Subtotal 17 2" xfId="39269"/>
    <cellStyle name="Sub-total 17 2" xfId="39270"/>
    <cellStyle name="Subtotal 17 3" xfId="39271"/>
    <cellStyle name="Sub-total 17 3" xfId="39272"/>
    <cellStyle name="Subtotal 17 4" xfId="39273"/>
    <cellStyle name="Sub-total 17 4" xfId="39274"/>
    <cellStyle name="Subtotal 17 5" xfId="39275"/>
    <cellStyle name="Sub-total 17 5" xfId="39276"/>
    <cellStyle name="Subtotal 17 6" xfId="39277"/>
    <cellStyle name="Sub-total 17 6" xfId="39278"/>
    <cellStyle name="Subtotal 18" xfId="39279"/>
    <cellStyle name="Sub-total 18" xfId="39280"/>
    <cellStyle name="Subtotal 18 2" xfId="39281"/>
    <cellStyle name="Sub-total 18 2" xfId="39282"/>
    <cellStyle name="Subtotal 18 3" xfId="39283"/>
    <cellStyle name="Sub-total 18 3" xfId="39284"/>
    <cellStyle name="Subtotal 18 4" xfId="39285"/>
    <cellStyle name="Sub-total 18 4" xfId="39286"/>
    <cellStyle name="Subtotal 18 5" xfId="39287"/>
    <cellStyle name="Sub-total 18 5" xfId="39288"/>
    <cellStyle name="Subtotal 18 6" xfId="39289"/>
    <cellStyle name="Sub-total 18 6" xfId="39290"/>
    <cellStyle name="Subtotal 19" xfId="39291"/>
    <cellStyle name="Sub-total 19" xfId="39292"/>
    <cellStyle name="Subtotal 19 2" xfId="39293"/>
    <cellStyle name="Sub-total 19 2" xfId="39294"/>
    <cellStyle name="Subtotal 19 3" xfId="39295"/>
    <cellStyle name="Sub-total 19 3" xfId="39296"/>
    <cellStyle name="Subtotal 19 4" xfId="39297"/>
    <cellStyle name="Sub-total 19 4" xfId="39298"/>
    <cellStyle name="Subtotal 19 5" xfId="39299"/>
    <cellStyle name="Sub-total 19 5" xfId="39300"/>
    <cellStyle name="Subtotal 19 6" xfId="39301"/>
    <cellStyle name="Sub-total 19 6" xfId="39302"/>
    <cellStyle name="Subtotal 2" xfId="13916"/>
    <cellStyle name="Sub-total 2" xfId="13917"/>
    <cellStyle name="Subtotal 2 10" xfId="39303"/>
    <cellStyle name="Sub-total 2 10" xfId="39304"/>
    <cellStyle name="Subtotal 2 10 2" xfId="39305"/>
    <cellStyle name="Sub-total 2 10 2" xfId="39306"/>
    <cellStyle name="Subtotal 2 10 3" xfId="39307"/>
    <cellStyle name="Sub-total 2 10 3" xfId="39308"/>
    <cellStyle name="Subtotal 2 10 4" xfId="39309"/>
    <cellStyle name="Sub-total 2 10 4" xfId="39310"/>
    <cellStyle name="Subtotal 2 10 5" xfId="39311"/>
    <cellStyle name="Sub-total 2 10 5" xfId="39312"/>
    <cellStyle name="Subtotal 2 10 6" xfId="39313"/>
    <cellStyle name="Sub-total 2 10 6" xfId="39314"/>
    <cellStyle name="Subtotal 2 11" xfId="39315"/>
    <cellStyle name="Sub-total 2 11" xfId="39316"/>
    <cellStyle name="Subtotal 2 11 2" xfId="39317"/>
    <cellStyle name="Sub-total 2 11 2" xfId="39318"/>
    <cellStyle name="Subtotal 2 11 3" xfId="39319"/>
    <cellStyle name="Sub-total 2 11 3" xfId="39320"/>
    <cellStyle name="Subtotal 2 11 4" xfId="39321"/>
    <cellStyle name="Sub-total 2 11 4" xfId="39322"/>
    <cellStyle name="Subtotal 2 11 5" xfId="39323"/>
    <cellStyle name="Sub-total 2 11 5" xfId="39324"/>
    <cellStyle name="Subtotal 2 11 6" xfId="39325"/>
    <cellStyle name="Sub-total 2 11 6" xfId="39326"/>
    <cellStyle name="Subtotal 2 12" xfId="39327"/>
    <cellStyle name="Sub-total 2 12" xfId="39328"/>
    <cellStyle name="Subtotal 2 12 2" xfId="39329"/>
    <cellStyle name="Sub-total 2 12 2" xfId="39330"/>
    <cellStyle name="Subtotal 2 12 3" xfId="39331"/>
    <cellStyle name="Sub-total 2 12 3" xfId="39332"/>
    <cellStyle name="Subtotal 2 12 4" xfId="39333"/>
    <cellStyle name="Sub-total 2 12 4" xfId="39334"/>
    <cellStyle name="Subtotal 2 12 5" xfId="39335"/>
    <cellStyle name="Sub-total 2 12 5" xfId="39336"/>
    <cellStyle name="Subtotal 2 12 6" xfId="39337"/>
    <cellStyle name="Sub-total 2 12 6" xfId="39338"/>
    <cellStyle name="Subtotal 2 13" xfId="39339"/>
    <cellStyle name="Sub-total 2 13" xfId="39340"/>
    <cellStyle name="Subtotal 2 13 2" xfId="39341"/>
    <cellStyle name="Sub-total 2 13 2" xfId="39342"/>
    <cellStyle name="Subtotal 2 13 3" xfId="39343"/>
    <cellStyle name="Sub-total 2 13 3" xfId="39344"/>
    <cellStyle name="Subtotal 2 13 4" xfId="39345"/>
    <cellStyle name="Sub-total 2 13 4" xfId="39346"/>
    <cellStyle name="Subtotal 2 13 5" xfId="39347"/>
    <cellStyle name="Sub-total 2 13 5" xfId="39348"/>
    <cellStyle name="Subtotal 2 13 6" xfId="39349"/>
    <cellStyle name="Sub-total 2 13 6" xfId="39350"/>
    <cellStyle name="Subtotal 2 14" xfId="39351"/>
    <cellStyle name="Sub-total 2 14" xfId="39352"/>
    <cellStyle name="Subtotal 2 15" xfId="39353"/>
    <cellStyle name="Sub-total 2 15" xfId="39354"/>
    <cellStyle name="Subtotal 2 16" xfId="39355"/>
    <cellStyle name="Sub-total 2 16" xfId="39356"/>
    <cellStyle name="Subtotal 2 17" xfId="39357"/>
    <cellStyle name="Sub-total 2 17" xfId="39358"/>
    <cellStyle name="Subtotal 2 18" xfId="39359"/>
    <cellStyle name="Sub-total 2 18" xfId="39360"/>
    <cellStyle name="Subtotal 2 2" xfId="13918"/>
    <cellStyle name="Sub-total 2 2" xfId="13919"/>
    <cellStyle name="Subtotal 2 2 10" xfId="39361"/>
    <cellStyle name="Sub-total 2 2 10" xfId="39362"/>
    <cellStyle name="Subtotal 2 2 11" xfId="39363"/>
    <cellStyle name="Sub-total 2 2 11" xfId="39364"/>
    <cellStyle name="Subtotal 2 2 12" xfId="39365"/>
    <cellStyle name="Sub-total 2 2 12" xfId="39366"/>
    <cellStyle name="Subtotal 2 2 13" xfId="39367"/>
    <cellStyle name="Sub-total 2 2 13" xfId="39368"/>
    <cellStyle name="Subtotal 2 2 14" xfId="39369"/>
    <cellStyle name="Sub-total 2 2 14" xfId="39370"/>
    <cellStyle name="Subtotal 2 2 15" xfId="39371"/>
    <cellStyle name="Sub-total 2 2 15" xfId="39372"/>
    <cellStyle name="Subtotal 2 2 16" xfId="39373"/>
    <cellStyle name="Sub-total 2 2 16" xfId="39374"/>
    <cellStyle name="Subtotal 2 2 17" xfId="39375"/>
    <cellStyle name="Sub-total 2 2 17" xfId="39376"/>
    <cellStyle name="Subtotal 2 2 18" xfId="39377"/>
    <cellStyle name="Sub-total 2 2 18" xfId="39378"/>
    <cellStyle name="Subtotal 2 2 19" xfId="39379"/>
    <cellStyle name="Sub-total 2 2 19" xfId="39380"/>
    <cellStyle name="Subtotal 2 2 2" xfId="39381"/>
    <cellStyle name="Sub-total 2 2 2" xfId="39382"/>
    <cellStyle name="Subtotal 2 2 20" xfId="39383"/>
    <cellStyle name="Sub-total 2 2 20" xfId="39384"/>
    <cellStyle name="Subtotal 2 2 21" xfId="39385"/>
    <cellStyle name="Sub-total 2 2 21" xfId="39386"/>
    <cellStyle name="Subtotal 2 2 22" xfId="39387"/>
    <cellStyle name="Sub-total 2 2 22" xfId="39388"/>
    <cellStyle name="Subtotal 2 2 23" xfId="39389"/>
    <cellStyle name="Sub-total 2 2 23" xfId="39390"/>
    <cellStyle name="Subtotal 2 2 3" xfId="39391"/>
    <cellStyle name="Sub-total 2 2 3" xfId="39392"/>
    <cellStyle name="Subtotal 2 2 4" xfId="39393"/>
    <cellStyle name="Sub-total 2 2 4" xfId="39394"/>
    <cellStyle name="Subtotal 2 2 5" xfId="39395"/>
    <cellStyle name="Sub-total 2 2 5" xfId="39396"/>
    <cellStyle name="Subtotal 2 2 6" xfId="39397"/>
    <cellStyle name="Sub-total 2 2 6" xfId="39398"/>
    <cellStyle name="Subtotal 2 2 7" xfId="39399"/>
    <cellStyle name="Sub-total 2 2 7" xfId="39400"/>
    <cellStyle name="Subtotal 2 2 8" xfId="39401"/>
    <cellStyle name="Sub-total 2 2 8" xfId="39402"/>
    <cellStyle name="Subtotal 2 2 9" xfId="39403"/>
    <cellStyle name="Sub-total 2 2 9" xfId="39404"/>
    <cellStyle name="Subtotal 2 3" xfId="13920"/>
    <cellStyle name="Sub-total 2 3" xfId="13921"/>
    <cellStyle name="Subtotal 2 3 10" xfId="39405"/>
    <cellStyle name="Sub-total 2 3 10" xfId="39406"/>
    <cellStyle name="Subtotal 2 3 11" xfId="39407"/>
    <cellStyle name="Sub-total 2 3 11" xfId="39408"/>
    <cellStyle name="Subtotal 2 3 12" xfId="39409"/>
    <cellStyle name="Sub-total 2 3 12" xfId="39410"/>
    <cellStyle name="Subtotal 2 3 13" xfId="39411"/>
    <cellStyle name="Sub-total 2 3 13" xfId="39412"/>
    <cellStyle name="Subtotal 2 3 14" xfId="39413"/>
    <cellStyle name="Sub-total 2 3 14" xfId="39414"/>
    <cellStyle name="Subtotal 2 3 15" xfId="39415"/>
    <cellStyle name="Sub-total 2 3 15" xfId="39416"/>
    <cellStyle name="Subtotal 2 3 16" xfId="39417"/>
    <cellStyle name="Sub-total 2 3 16" xfId="39418"/>
    <cellStyle name="Subtotal 2 3 17" xfId="39419"/>
    <cellStyle name="Sub-total 2 3 17" xfId="39420"/>
    <cellStyle name="Subtotal 2 3 18" xfId="39421"/>
    <cellStyle name="Sub-total 2 3 18" xfId="39422"/>
    <cellStyle name="Subtotal 2 3 19" xfId="39423"/>
    <cellStyle name="Sub-total 2 3 19" xfId="39424"/>
    <cellStyle name="Subtotal 2 3 2" xfId="39425"/>
    <cellStyle name="Sub-total 2 3 2" xfId="39426"/>
    <cellStyle name="Subtotal 2 3 20" xfId="39427"/>
    <cellStyle name="Sub-total 2 3 20" xfId="39428"/>
    <cellStyle name="Subtotal 2 3 21" xfId="39429"/>
    <cellStyle name="Sub-total 2 3 21" xfId="39430"/>
    <cellStyle name="Subtotal 2 3 22" xfId="39431"/>
    <cellStyle name="Sub-total 2 3 22" xfId="39432"/>
    <cellStyle name="Subtotal 2 3 23" xfId="39433"/>
    <cellStyle name="Sub-total 2 3 23" xfId="39434"/>
    <cellStyle name="Subtotal 2 3 3" xfId="39435"/>
    <cellStyle name="Sub-total 2 3 3" xfId="39436"/>
    <cellStyle name="Subtotal 2 3 4" xfId="39437"/>
    <cellStyle name="Sub-total 2 3 4" xfId="39438"/>
    <cellStyle name="Subtotal 2 3 5" xfId="39439"/>
    <cellStyle name="Sub-total 2 3 5" xfId="39440"/>
    <cellStyle name="Subtotal 2 3 6" xfId="39441"/>
    <cellStyle name="Sub-total 2 3 6" xfId="39442"/>
    <cellStyle name="Subtotal 2 3 7" xfId="39443"/>
    <cellStyle name="Sub-total 2 3 7" xfId="39444"/>
    <cellStyle name="Subtotal 2 3 8" xfId="39445"/>
    <cellStyle name="Sub-total 2 3 8" xfId="39446"/>
    <cellStyle name="Subtotal 2 3 9" xfId="39447"/>
    <cellStyle name="Sub-total 2 3 9" xfId="39448"/>
    <cellStyle name="Subtotal 2 4" xfId="39449"/>
    <cellStyle name="Sub-total 2 4" xfId="39450"/>
    <cellStyle name="Subtotal 2 4 2" xfId="39451"/>
    <cellStyle name="Sub-total 2 4 2" xfId="39452"/>
    <cellStyle name="Subtotal 2 4 3" xfId="39453"/>
    <cellStyle name="Sub-total 2 4 3" xfId="39454"/>
    <cellStyle name="Subtotal 2 4 4" xfId="39455"/>
    <cellStyle name="Sub-total 2 4 4" xfId="39456"/>
    <cellStyle name="Subtotal 2 4 5" xfId="39457"/>
    <cellStyle name="Sub-total 2 4 5" xfId="39458"/>
    <cellStyle name="Subtotal 2 4 6" xfId="39459"/>
    <cellStyle name="Sub-total 2 4 6" xfId="39460"/>
    <cellStyle name="Subtotal 2 5" xfId="39461"/>
    <cellStyle name="Sub-total 2 5" xfId="39462"/>
    <cellStyle name="Subtotal 2 5 2" xfId="39463"/>
    <cellStyle name="Sub-total 2 5 2" xfId="39464"/>
    <cellStyle name="Subtotal 2 5 3" xfId="39465"/>
    <cellStyle name="Sub-total 2 5 3" xfId="39466"/>
    <cellStyle name="Subtotal 2 5 4" xfId="39467"/>
    <cellStyle name="Sub-total 2 5 4" xfId="39468"/>
    <cellStyle name="Subtotal 2 5 5" xfId="39469"/>
    <cellStyle name="Sub-total 2 5 5" xfId="39470"/>
    <cellStyle name="Subtotal 2 5 6" xfId="39471"/>
    <cellStyle name="Sub-total 2 5 6" xfId="39472"/>
    <cellStyle name="Subtotal 2 6" xfId="39473"/>
    <cellStyle name="Sub-total 2 6" xfId="39474"/>
    <cellStyle name="Subtotal 2 6 2" xfId="39475"/>
    <cellStyle name="Sub-total 2 6 2" xfId="39476"/>
    <cellStyle name="Subtotal 2 6 3" xfId="39477"/>
    <cellStyle name="Sub-total 2 6 3" xfId="39478"/>
    <cellStyle name="Subtotal 2 6 4" xfId="39479"/>
    <cellStyle name="Sub-total 2 6 4" xfId="39480"/>
    <cellStyle name="Subtotal 2 6 5" xfId="39481"/>
    <cellStyle name="Sub-total 2 6 5" xfId="39482"/>
    <cellStyle name="Subtotal 2 6 6" xfId="39483"/>
    <cellStyle name="Sub-total 2 6 6" xfId="39484"/>
    <cellStyle name="Subtotal 2 7" xfId="39485"/>
    <cellStyle name="Sub-total 2 7" xfId="39486"/>
    <cellStyle name="Subtotal 2 7 2" xfId="39487"/>
    <cellStyle name="Sub-total 2 7 2" xfId="39488"/>
    <cellStyle name="Subtotal 2 7 3" xfId="39489"/>
    <cellStyle name="Sub-total 2 7 3" xfId="39490"/>
    <cellStyle name="Subtotal 2 7 4" xfId="39491"/>
    <cellStyle name="Sub-total 2 7 4" xfId="39492"/>
    <cellStyle name="Subtotal 2 7 5" xfId="39493"/>
    <cellStyle name="Sub-total 2 7 5" xfId="39494"/>
    <cellStyle name="Subtotal 2 7 6" xfId="39495"/>
    <cellStyle name="Sub-total 2 7 6" xfId="39496"/>
    <cellStyle name="Subtotal 2 8" xfId="39497"/>
    <cellStyle name="Sub-total 2 8" xfId="39498"/>
    <cellStyle name="Subtotal 2 8 2" xfId="39499"/>
    <cellStyle name="Sub-total 2 8 2" xfId="39500"/>
    <cellStyle name="Subtotal 2 8 3" xfId="39501"/>
    <cellStyle name="Sub-total 2 8 3" xfId="39502"/>
    <cellStyle name="Subtotal 2 8 4" xfId="39503"/>
    <cellStyle name="Sub-total 2 8 4" xfId="39504"/>
    <cellStyle name="Subtotal 2 8 5" xfId="39505"/>
    <cellStyle name="Sub-total 2 8 5" xfId="39506"/>
    <cellStyle name="Subtotal 2 8 6" xfId="39507"/>
    <cellStyle name="Sub-total 2 8 6" xfId="39508"/>
    <cellStyle name="Subtotal 2 9" xfId="39509"/>
    <cellStyle name="Sub-total 2 9" xfId="39510"/>
    <cellStyle name="Subtotal 2 9 2" xfId="39511"/>
    <cellStyle name="Sub-total 2 9 2" xfId="39512"/>
    <cellStyle name="Subtotal 2 9 3" xfId="39513"/>
    <cellStyle name="Sub-total 2 9 3" xfId="39514"/>
    <cellStyle name="Subtotal 2 9 4" xfId="39515"/>
    <cellStyle name="Sub-total 2 9 4" xfId="39516"/>
    <cellStyle name="Subtotal 2 9 5" xfId="39517"/>
    <cellStyle name="Sub-total 2 9 5" xfId="39518"/>
    <cellStyle name="Subtotal 2 9 6" xfId="39519"/>
    <cellStyle name="Sub-total 2 9 6" xfId="39520"/>
    <cellStyle name="Subtotal 20" xfId="39521"/>
    <cellStyle name="Sub-total 20" xfId="39522"/>
    <cellStyle name="Subtotal 20 2" xfId="39523"/>
    <cellStyle name="Sub-total 20 2" xfId="39524"/>
    <cellStyle name="Subtotal 20 3" xfId="39525"/>
    <cellStyle name="Sub-total 20 3" xfId="39526"/>
    <cellStyle name="Subtotal 20 4" xfId="39527"/>
    <cellStyle name="Sub-total 20 4" xfId="39528"/>
    <cellStyle name="Subtotal 20 5" xfId="39529"/>
    <cellStyle name="Sub-total 20 5" xfId="39530"/>
    <cellStyle name="Subtotal 20 6" xfId="39531"/>
    <cellStyle name="Sub-total 20 6" xfId="39532"/>
    <cellStyle name="Subtotal 21" xfId="39533"/>
    <cellStyle name="Sub-total 21" xfId="39534"/>
    <cellStyle name="Subtotal 21 2" xfId="39535"/>
    <cellStyle name="Sub-total 21 2" xfId="39536"/>
    <cellStyle name="Subtotal 21 3" xfId="39537"/>
    <cellStyle name="Sub-total 21 3" xfId="39538"/>
    <cellStyle name="Subtotal 21 4" xfId="39539"/>
    <cellStyle name="Sub-total 21 4" xfId="39540"/>
    <cellStyle name="Subtotal 21 5" xfId="39541"/>
    <cellStyle name="Sub-total 21 5" xfId="39542"/>
    <cellStyle name="Subtotal 21 6" xfId="39543"/>
    <cellStyle name="Sub-total 21 6" xfId="39544"/>
    <cellStyle name="Subtotal 22" xfId="39545"/>
    <cellStyle name="Sub-total 22" xfId="39546"/>
    <cellStyle name="Subtotal 22 2" xfId="39547"/>
    <cellStyle name="Sub-total 22 2" xfId="39548"/>
    <cellStyle name="Subtotal 22 3" xfId="39549"/>
    <cellStyle name="Sub-total 22 3" xfId="39550"/>
    <cellStyle name="Subtotal 22 4" xfId="39551"/>
    <cellStyle name="Sub-total 22 4" xfId="39552"/>
    <cellStyle name="Subtotal 22 5" xfId="39553"/>
    <cellStyle name="Sub-total 22 5" xfId="39554"/>
    <cellStyle name="Subtotal 22 6" xfId="39555"/>
    <cellStyle name="Sub-total 22 6" xfId="39556"/>
    <cellStyle name="Subtotal 23" xfId="39557"/>
    <cellStyle name="Sub-total 23" xfId="39558"/>
    <cellStyle name="Subtotal 23 2" xfId="39559"/>
    <cellStyle name="Sub-total 23 2" xfId="39560"/>
    <cellStyle name="Subtotal 23 3" xfId="39561"/>
    <cellStyle name="Sub-total 23 3" xfId="39562"/>
    <cellStyle name="Subtotal 23 4" xfId="39563"/>
    <cellStyle name="Sub-total 23 4" xfId="39564"/>
    <cellStyle name="Subtotal 23 5" xfId="39565"/>
    <cellStyle name="Sub-total 23 5" xfId="39566"/>
    <cellStyle name="Subtotal 23 6" xfId="39567"/>
    <cellStyle name="Sub-total 23 6" xfId="39568"/>
    <cellStyle name="Subtotal 24" xfId="39569"/>
    <cellStyle name="Sub-total 24" xfId="39570"/>
    <cellStyle name="Subtotal 24 2" xfId="39571"/>
    <cellStyle name="Sub-total 24 2" xfId="39572"/>
    <cellStyle name="Subtotal 24 3" xfId="39573"/>
    <cellStyle name="Sub-total 24 3" xfId="39574"/>
    <cellStyle name="Subtotal 24 4" xfId="39575"/>
    <cellStyle name="Sub-total 24 4" xfId="39576"/>
    <cellStyle name="Subtotal 24 5" xfId="39577"/>
    <cellStyle name="Sub-total 24 5" xfId="39578"/>
    <cellStyle name="Subtotal 24 6" xfId="39579"/>
    <cellStyle name="Sub-total 24 6" xfId="39580"/>
    <cellStyle name="Subtotal 25" xfId="39581"/>
    <cellStyle name="Sub-total 25" xfId="39582"/>
    <cellStyle name="Subtotal 25 2" xfId="39583"/>
    <cellStyle name="Sub-total 25 2" xfId="39584"/>
    <cellStyle name="Subtotal 25 3" xfId="39585"/>
    <cellStyle name="Sub-total 25 3" xfId="39586"/>
    <cellStyle name="Subtotal 25 4" xfId="39587"/>
    <cellStyle name="Sub-total 25 4" xfId="39588"/>
    <cellStyle name="Subtotal 25 5" xfId="39589"/>
    <cellStyle name="Sub-total 25 5" xfId="39590"/>
    <cellStyle name="Subtotal 25 6" xfId="39591"/>
    <cellStyle name="Sub-total 25 6" xfId="39592"/>
    <cellStyle name="Subtotal 26" xfId="39593"/>
    <cellStyle name="Sub-total 26" xfId="39594"/>
    <cellStyle name="Subtotal 26 2" xfId="39595"/>
    <cellStyle name="Sub-total 26 2" xfId="39596"/>
    <cellStyle name="Subtotal 26 3" xfId="39597"/>
    <cellStyle name="Sub-total 26 3" xfId="39598"/>
    <cellStyle name="Subtotal 26 4" xfId="39599"/>
    <cellStyle name="Sub-total 26 4" xfId="39600"/>
    <cellStyle name="Subtotal 26 5" xfId="39601"/>
    <cellStyle name="Sub-total 26 5" xfId="39602"/>
    <cellStyle name="Subtotal 26 6" xfId="39603"/>
    <cellStyle name="Sub-total 26 6" xfId="39604"/>
    <cellStyle name="Subtotal 27" xfId="39605"/>
    <cellStyle name="Sub-total 27" xfId="39606"/>
    <cellStyle name="Subtotal 28" xfId="39607"/>
    <cellStyle name="Sub-total 28" xfId="39608"/>
    <cellStyle name="Subtotal 29" xfId="39609"/>
    <cellStyle name="Sub-total 29" xfId="39610"/>
    <cellStyle name="Subtotal 3" xfId="13922"/>
    <cellStyle name="Sub-total 3" xfId="13923"/>
    <cellStyle name="Subtotal 3 10" xfId="39611"/>
    <cellStyle name="Sub-total 3 10" xfId="39612"/>
    <cellStyle name="Subtotal 3 10 2" xfId="39613"/>
    <cellStyle name="Sub-total 3 10 2" xfId="39614"/>
    <cellStyle name="Subtotal 3 10 3" xfId="39615"/>
    <cellStyle name="Sub-total 3 10 3" xfId="39616"/>
    <cellStyle name="Subtotal 3 10 4" xfId="39617"/>
    <cellStyle name="Sub-total 3 10 4" xfId="39618"/>
    <cellStyle name="Subtotal 3 10 5" xfId="39619"/>
    <cellStyle name="Sub-total 3 10 5" xfId="39620"/>
    <cellStyle name="Subtotal 3 10 6" xfId="39621"/>
    <cellStyle name="Sub-total 3 10 6" xfId="39622"/>
    <cellStyle name="Subtotal 3 11" xfId="39623"/>
    <cellStyle name="Sub-total 3 11" xfId="39624"/>
    <cellStyle name="Subtotal 3 11 2" xfId="39625"/>
    <cellStyle name="Sub-total 3 11 2" xfId="39626"/>
    <cellStyle name="Subtotal 3 11 3" xfId="39627"/>
    <cellStyle name="Sub-total 3 11 3" xfId="39628"/>
    <cellStyle name="Subtotal 3 11 4" xfId="39629"/>
    <cellStyle name="Sub-total 3 11 4" xfId="39630"/>
    <cellStyle name="Subtotal 3 11 5" xfId="39631"/>
    <cellStyle name="Sub-total 3 11 5" xfId="39632"/>
    <cellStyle name="Subtotal 3 11 6" xfId="39633"/>
    <cellStyle name="Sub-total 3 11 6" xfId="39634"/>
    <cellStyle name="Subtotal 3 12" xfId="39635"/>
    <cellStyle name="Sub-total 3 12" xfId="39636"/>
    <cellStyle name="Subtotal 3 12 2" xfId="39637"/>
    <cellStyle name="Sub-total 3 12 2" xfId="39638"/>
    <cellStyle name="Subtotal 3 12 3" xfId="39639"/>
    <cellStyle name="Sub-total 3 12 3" xfId="39640"/>
    <cellStyle name="Subtotal 3 12 4" xfId="39641"/>
    <cellStyle name="Sub-total 3 12 4" xfId="39642"/>
    <cellStyle name="Subtotal 3 12 5" xfId="39643"/>
    <cellStyle name="Sub-total 3 12 5" xfId="39644"/>
    <cellStyle name="Subtotal 3 12 6" xfId="39645"/>
    <cellStyle name="Sub-total 3 12 6" xfId="39646"/>
    <cellStyle name="Subtotal 3 13" xfId="39647"/>
    <cellStyle name="Sub-total 3 13" xfId="39648"/>
    <cellStyle name="Subtotal 3 13 2" xfId="39649"/>
    <cellStyle name="Sub-total 3 13 2" xfId="39650"/>
    <cellStyle name="Subtotal 3 13 3" xfId="39651"/>
    <cellStyle name="Sub-total 3 13 3" xfId="39652"/>
    <cellStyle name="Subtotal 3 13 4" xfId="39653"/>
    <cellStyle name="Sub-total 3 13 4" xfId="39654"/>
    <cellStyle name="Subtotal 3 13 5" xfId="39655"/>
    <cellStyle name="Sub-total 3 13 5" xfId="39656"/>
    <cellStyle name="Subtotal 3 13 6" xfId="39657"/>
    <cellStyle name="Sub-total 3 13 6" xfId="39658"/>
    <cellStyle name="Subtotal 3 14" xfId="39659"/>
    <cellStyle name="Sub-total 3 14" xfId="39660"/>
    <cellStyle name="Subtotal 3 15" xfId="39661"/>
    <cellStyle name="Sub-total 3 15" xfId="39662"/>
    <cellStyle name="Subtotal 3 16" xfId="39663"/>
    <cellStyle name="Sub-total 3 16" xfId="39664"/>
    <cellStyle name="Subtotal 3 17" xfId="39665"/>
    <cellStyle name="Sub-total 3 17" xfId="39666"/>
    <cellStyle name="Subtotal 3 18" xfId="39667"/>
    <cellStyle name="Sub-total 3 18" xfId="39668"/>
    <cellStyle name="Subtotal 3 2" xfId="13924"/>
    <cellStyle name="Sub-total 3 2" xfId="13925"/>
    <cellStyle name="Subtotal 3 2 10" xfId="39669"/>
    <cellStyle name="Sub-total 3 2 10" xfId="39670"/>
    <cellStyle name="Subtotal 3 2 11" xfId="39671"/>
    <cellStyle name="Sub-total 3 2 11" xfId="39672"/>
    <cellStyle name="Subtotal 3 2 12" xfId="39673"/>
    <cellStyle name="Sub-total 3 2 12" xfId="39674"/>
    <cellStyle name="Subtotal 3 2 13" xfId="39675"/>
    <cellStyle name="Sub-total 3 2 13" xfId="39676"/>
    <cellStyle name="Subtotal 3 2 14" xfId="39677"/>
    <cellStyle name="Sub-total 3 2 14" xfId="39678"/>
    <cellStyle name="Subtotal 3 2 15" xfId="39679"/>
    <cellStyle name="Sub-total 3 2 15" xfId="39680"/>
    <cellStyle name="Subtotal 3 2 16" xfId="39681"/>
    <cellStyle name="Sub-total 3 2 16" xfId="39682"/>
    <cellStyle name="Subtotal 3 2 17" xfId="39683"/>
    <cellStyle name="Sub-total 3 2 17" xfId="39684"/>
    <cellStyle name="Subtotal 3 2 18" xfId="39685"/>
    <cellStyle name="Sub-total 3 2 18" xfId="39686"/>
    <cellStyle name="Subtotal 3 2 19" xfId="39687"/>
    <cellStyle name="Sub-total 3 2 19" xfId="39688"/>
    <cellStyle name="Subtotal 3 2 2" xfId="39689"/>
    <cellStyle name="Sub-total 3 2 2" xfId="39690"/>
    <cellStyle name="Subtotal 3 2 20" xfId="39691"/>
    <cellStyle name="Sub-total 3 2 20" xfId="39692"/>
    <cellStyle name="Subtotal 3 2 21" xfId="39693"/>
    <cellStyle name="Sub-total 3 2 21" xfId="39694"/>
    <cellStyle name="Subtotal 3 2 22" xfId="39695"/>
    <cellStyle name="Sub-total 3 2 22" xfId="39696"/>
    <cellStyle name="Subtotal 3 2 23" xfId="39697"/>
    <cellStyle name="Sub-total 3 2 23" xfId="39698"/>
    <cellStyle name="Subtotal 3 2 3" xfId="39699"/>
    <cellStyle name="Sub-total 3 2 3" xfId="39700"/>
    <cellStyle name="Subtotal 3 2 4" xfId="39701"/>
    <cellStyle name="Sub-total 3 2 4" xfId="39702"/>
    <cellStyle name="Subtotal 3 2 5" xfId="39703"/>
    <cellStyle name="Sub-total 3 2 5" xfId="39704"/>
    <cellStyle name="Subtotal 3 2 6" xfId="39705"/>
    <cellStyle name="Sub-total 3 2 6" xfId="39706"/>
    <cellStyle name="Subtotal 3 2 7" xfId="39707"/>
    <cellStyle name="Sub-total 3 2 7" xfId="39708"/>
    <cellStyle name="Subtotal 3 2 8" xfId="39709"/>
    <cellStyle name="Sub-total 3 2 8" xfId="39710"/>
    <cellStyle name="Subtotal 3 2 9" xfId="39711"/>
    <cellStyle name="Sub-total 3 2 9" xfId="39712"/>
    <cellStyle name="Subtotal 3 3" xfId="13926"/>
    <cellStyle name="Sub-total 3 3" xfId="13927"/>
    <cellStyle name="Subtotal 3 3 10" xfId="39713"/>
    <cellStyle name="Sub-total 3 3 10" xfId="39714"/>
    <cellStyle name="Subtotal 3 3 11" xfId="39715"/>
    <cellStyle name="Sub-total 3 3 11" xfId="39716"/>
    <cellStyle name="Subtotal 3 3 12" xfId="39717"/>
    <cellStyle name="Sub-total 3 3 12" xfId="39718"/>
    <cellStyle name="Subtotal 3 3 13" xfId="39719"/>
    <cellStyle name="Sub-total 3 3 13" xfId="39720"/>
    <cellStyle name="Subtotal 3 3 14" xfId="39721"/>
    <cellStyle name="Sub-total 3 3 14" xfId="39722"/>
    <cellStyle name="Subtotal 3 3 15" xfId="39723"/>
    <cellStyle name="Sub-total 3 3 15" xfId="39724"/>
    <cellStyle name="Subtotal 3 3 16" xfId="39725"/>
    <cellStyle name="Sub-total 3 3 16" xfId="39726"/>
    <cellStyle name="Subtotal 3 3 17" xfId="39727"/>
    <cellStyle name="Sub-total 3 3 17" xfId="39728"/>
    <cellStyle name="Subtotal 3 3 18" xfId="39729"/>
    <cellStyle name="Sub-total 3 3 18" xfId="39730"/>
    <cellStyle name="Subtotal 3 3 19" xfId="39731"/>
    <cellStyle name="Sub-total 3 3 19" xfId="39732"/>
    <cellStyle name="Subtotal 3 3 2" xfId="39733"/>
    <cellStyle name="Sub-total 3 3 2" xfId="39734"/>
    <cellStyle name="Subtotal 3 3 20" xfId="39735"/>
    <cellStyle name="Sub-total 3 3 20" xfId="39736"/>
    <cellStyle name="Subtotal 3 3 21" xfId="39737"/>
    <cellStyle name="Sub-total 3 3 21" xfId="39738"/>
    <cellStyle name="Subtotal 3 3 22" xfId="39739"/>
    <cellStyle name="Sub-total 3 3 22" xfId="39740"/>
    <cellStyle name="Subtotal 3 3 23" xfId="39741"/>
    <cellStyle name="Sub-total 3 3 23" xfId="39742"/>
    <cellStyle name="Subtotal 3 3 3" xfId="39743"/>
    <cellStyle name="Sub-total 3 3 3" xfId="39744"/>
    <cellStyle name="Subtotal 3 3 4" xfId="39745"/>
    <cellStyle name="Sub-total 3 3 4" xfId="39746"/>
    <cellStyle name="Subtotal 3 3 5" xfId="39747"/>
    <cellStyle name="Sub-total 3 3 5" xfId="39748"/>
    <cellStyle name="Subtotal 3 3 6" xfId="39749"/>
    <cellStyle name="Sub-total 3 3 6" xfId="39750"/>
    <cellStyle name="Subtotal 3 3 7" xfId="39751"/>
    <cellStyle name="Sub-total 3 3 7" xfId="39752"/>
    <cellStyle name="Subtotal 3 3 8" xfId="39753"/>
    <cellStyle name="Sub-total 3 3 8" xfId="39754"/>
    <cellStyle name="Subtotal 3 3 9" xfId="39755"/>
    <cellStyle name="Sub-total 3 3 9" xfId="39756"/>
    <cellStyle name="Subtotal 3 4" xfId="39757"/>
    <cellStyle name="Sub-total 3 4" xfId="39758"/>
    <cellStyle name="Subtotal 3 4 2" xfId="39759"/>
    <cellStyle name="Sub-total 3 4 2" xfId="39760"/>
    <cellStyle name="Subtotal 3 4 3" xfId="39761"/>
    <cellStyle name="Sub-total 3 4 3" xfId="39762"/>
    <cellStyle name="Subtotal 3 4 4" xfId="39763"/>
    <cellStyle name="Sub-total 3 4 4" xfId="39764"/>
    <cellStyle name="Subtotal 3 4 5" xfId="39765"/>
    <cellStyle name="Sub-total 3 4 5" xfId="39766"/>
    <cellStyle name="Subtotal 3 4 6" xfId="39767"/>
    <cellStyle name="Sub-total 3 4 6" xfId="39768"/>
    <cellStyle name="Subtotal 3 5" xfId="39769"/>
    <cellStyle name="Sub-total 3 5" xfId="39770"/>
    <cellStyle name="Subtotal 3 5 2" xfId="39771"/>
    <cellStyle name="Sub-total 3 5 2" xfId="39772"/>
    <cellStyle name="Subtotal 3 5 3" xfId="39773"/>
    <cellStyle name="Sub-total 3 5 3" xfId="39774"/>
    <cellStyle name="Subtotal 3 5 4" xfId="39775"/>
    <cellStyle name="Sub-total 3 5 4" xfId="39776"/>
    <cellStyle name="Subtotal 3 5 5" xfId="39777"/>
    <cellStyle name="Sub-total 3 5 5" xfId="39778"/>
    <cellStyle name="Subtotal 3 5 6" xfId="39779"/>
    <cellStyle name="Sub-total 3 5 6" xfId="39780"/>
    <cellStyle name="Subtotal 3 6" xfId="39781"/>
    <cellStyle name="Sub-total 3 6" xfId="39782"/>
    <cellStyle name="Subtotal 3 6 2" xfId="39783"/>
    <cellStyle name="Sub-total 3 6 2" xfId="39784"/>
    <cellStyle name="Subtotal 3 6 3" xfId="39785"/>
    <cellStyle name="Sub-total 3 6 3" xfId="39786"/>
    <cellStyle name="Subtotal 3 6 4" xfId="39787"/>
    <cellStyle name="Sub-total 3 6 4" xfId="39788"/>
    <cellStyle name="Subtotal 3 6 5" xfId="39789"/>
    <cellStyle name="Sub-total 3 6 5" xfId="39790"/>
    <cellStyle name="Subtotal 3 6 6" xfId="39791"/>
    <cellStyle name="Sub-total 3 6 6" xfId="39792"/>
    <cellStyle name="Subtotal 3 7" xfId="39793"/>
    <cellStyle name="Sub-total 3 7" xfId="39794"/>
    <cellStyle name="Subtotal 3 7 2" xfId="39795"/>
    <cellStyle name="Sub-total 3 7 2" xfId="39796"/>
    <cellStyle name="Subtotal 3 7 3" xfId="39797"/>
    <cellStyle name="Sub-total 3 7 3" xfId="39798"/>
    <cellStyle name="Subtotal 3 7 4" xfId="39799"/>
    <cellStyle name="Sub-total 3 7 4" xfId="39800"/>
    <cellStyle name="Subtotal 3 7 5" xfId="39801"/>
    <cellStyle name="Sub-total 3 7 5" xfId="39802"/>
    <cellStyle name="Subtotal 3 7 6" xfId="39803"/>
    <cellStyle name="Sub-total 3 7 6" xfId="39804"/>
    <cellStyle name="Subtotal 3 8" xfId="39805"/>
    <cellStyle name="Sub-total 3 8" xfId="39806"/>
    <cellStyle name="Subtotal 3 8 2" xfId="39807"/>
    <cellStyle name="Sub-total 3 8 2" xfId="39808"/>
    <cellStyle name="Subtotal 3 8 3" xfId="39809"/>
    <cellStyle name="Sub-total 3 8 3" xfId="39810"/>
    <cellStyle name="Subtotal 3 8 4" xfId="39811"/>
    <cellStyle name="Sub-total 3 8 4" xfId="39812"/>
    <cellStyle name="Subtotal 3 8 5" xfId="39813"/>
    <cellStyle name="Sub-total 3 8 5" xfId="39814"/>
    <cellStyle name="Subtotal 3 8 6" xfId="39815"/>
    <cellStyle name="Sub-total 3 8 6" xfId="39816"/>
    <cellStyle name="Subtotal 3 9" xfId="39817"/>
    <cellStyle name="Sub-total 3 9" xfId="39818"/>
    <cellStyle name="Subtotal 3 9 2" xfId="39819"/>
    <cellStyle name="Sub-total 3 9 2" xfId="39820"/>
    <cellStyle name="Subtotal 3 9 3" xfId="39821"/>
    <cellStyle name="Sub-total 3 9 3" xfId="39822"/>
    <cellStyle name="Subtotal 3 9 4" xfId="39823"/>
    <cellStyle name="Sub-total 3 9 4" xfId="39824"/>
    <cellStyle name="Subtotal 3 9 5" xfId="39825"/>
    <cellStyle name="Sub-total 3 9 5" xfId="39826"/>
    <cellStyle name="Subtotal 3 9 6" xfId="39827"/>
    <cellStyle name="Sub-total 3 9 6" xfId="39828"/>
    <cellStyle name="Subtotal 30" xfId="39829"/>
    <cellStyle name="Sub-total 30" xfId="39830"/>
    <cellStyle name="Subtotal 31" xfId="11770"/>
    <cellStyle name="Sub-total 31" xfId="11771"/>
    <cellStyle name="Subtotal 4" xfId="13928"/>
    <cellStyle name="Sub-total 4" xfId="13929"/>
    <cellStyle name="Subtotal 4 10" xfId="39831"/>
    <cellStyle name="Sub-total 4 10" xfId="39832"/>
    <cellStyle name="Subtotal 4 10 2" xfId="39833"/>
    <cellStyle name="Sub-total 4 10 2" xfId="39834"/>
    <cellStyle name="Subtotal 4 10 3" xfId="39835"/>
    <cellStyle name="Sub-total 4 10 3" xfId="39836"/>
    <cellStyle name="Subtotal 4 10 4" xfId="39837"/>
    <cellStyle name="Sub-total 4 10 4" xfId="39838"/>
    <cellStyle name="Subtotal 4 10 5" xfId="39839"/>
    <cellStyle name="Sub-total 4 10 5" xfId="39840"/>
    <cellStyle name="Subtotal 4 10 6" xfId="39841"/>
    <cellStyle name="Sub-total 4 10 6" xfId="39842"/>
    <cellStyle name="Subtotal 4 11" xfId="39843"/>
    <cellStyle name="Sub-total 4 11" xfId="39844"/>
    <cellStyle name="Subtotal 4 11 2" xfId="39845"/>
    <cellStyle name="Sub-total 4 11 2" xfId="39846"/>
    <cellStyle name="Subtotal 4 11 3" xfId="39847"/>
    <cellStyle name="Sub-total 4 11 3" xfId="39848"/>
    <cellStyle name="Subtotal 4 11 4" xfId="39849"/>
    <cellStyle name="Sub-total 4 11 4" xfId="39850"/>
    <cellStyle name="Subtotal 4 11 5" xfId="39851"/>
    <cellStyle name="Sub-total 4 11 5" xfId="39852"/>
    <cellStyle name="Subtotal 4 11 6" xfId="39853"/>
    <cellStyle name="Sub-total 4 11 6" xfId="39854"/>
    <cellStyle name="Subtotal 4 12" xfId="39855"/>
    <cellStyle name="Sub-total 4 12" xfId="39856"/>
    <cellStyle name="Subtotal 4 12 2" xfId="39857"/>
    <cellStyle name="Sub-total 4 12 2" xfId="39858"/>
    <cellStyle name="Subtotal 4 12 3" xfId="39859"/>
    <cellStyle name="Sub-total 4 12 3" xfId="39860"/>
    <cellStyle name="Subtotal 4 12 4" xfId="39861"/>
    <cellStyle name="Sub-total 4 12 4" xfId="39862"/>
    <cellStyle name="Subtotal 4 12 5" xfId="39863"/>
    <cellStyle name="Sub-total 4 12 5" xfId="39864"/>
    <cellStyle name="Subtotal 4 12 6" xfId="39865"/>
    <cellStyle name="Sub-total 4 12 6" xfId="39866"/>
    <cellStyle name="Subtotal 4 13" xfId="39867"/>
    <cellStyle name="Sub-total 4 13" xfId="39868"/>
    <cellStyle name="Subtotal 4 13 2" xfId="39869"/>
    <cellStyle name="Sub-total 4 13 2" xfId="39870"/>
    <cellStyle name="Subtotal 4 13 3" xfId="39871"/>
    <cellStyle name="Sub-total 4 13 3" xfId="39872"/>
    <cellStyle name="Subtotal 4 13 4" xfId="39873"/>
    <cellStyle name="Sub-total 4 13 4" xfId="39874"/>
    <cellStyle name="Subtotal 4 13 5" xfId="39875"/>
    <cellStyle name="Sub-total 4 13 5" xfId="39876"/>
    <cellStyle name="Subtotal 4 13 6" xfId="39877"/>
    <cellStyle name="Sub-total 4 13 6" xfId="39878"/>
    <cellStyle name="Subtotal 4 14" xfId="39879"/>
    <cellStyle name="Sub-total 4 14" xfId="39880"/>
    <cellStyle name="Subtotal 4 15" xfId="39881"/>
    <cellStyle name="Sub-total 4 15" xfId="39882"/>
    <cellStyle name="Subtotal 4 16" xfId="39883"/>
    <cellStyle name="Sub-total 4 16" xfId="39884"/>
    <cellStyle name="Subtotal 4 17" xfId="39885"/>
    <cellStyle name="Sub-total 4 17" xfId="39886"/>
    <cellStyle name="Subtotal 4 18" xfId="39887"/>
    <cellStyle name="Sub-total 4 18" xfId="39888"/>
    <cellStyle name="Subtotal 4 2" xfId="13930"/>
    <cellStyle name="Sub-total 4 2" xfId="13931"/>
    <cellStyle name="Subtotal 4 2 10" xfId="39889"/>
    <cellStyle name="Sub-total 4 2 10" xfId="39890"/>
    <cellStyle name="Subtotal 4 2 11" xfId="39891"/>
    <cellStyle name="Sub-total 4 2 11" xfId="39892"/>
    <cellStyle name="Subtotal 4 2 12" xfId="39893"/>
    <cellStyle name="Sub-total 4 2 12" xfId="39894"/>
    <cellStyle name="Subtotal 4 2 13" xfId="39895"/>
    <cellStyle name="Sub-total 4 2 13" xfId="39896"/>
    <cellStyle name="Subtotal 4 2 14" xfId="39897"/>
    <cellStyle name="Sub-total 4 2 14" xfId="39898"/>
    <cellStyle name="Subtotal 4 2 15" xfId="39899"/>
    <cellStyle name="Sub-total 4 2 15" xfId="39900"/>
    <cellStyle name="Subtotal 4 2 16" xfId="39901"/>
    <cellStyle name="Sub-total 4 2 16" xfId="39902"/>
    <cellStyle name="Subtotal 4 2 17" xfId="39903"/>
    <cellStyle name="Sub-total 4 2 17" xfId="39904"/>
    <cellStyle name="Subtotal 4 2 18" xfId="39905"/>
    <cellStyle name="Sub-total 4 2 18" xfId="39906"/>
    <cellStyle name="Subtotal 4 2 19" xfId="39907"/>
    <cellStyle name="Sub-total 4 2 19" xfId="39908"/>
    <cellStyle name="Subtotal 4 2 2" xfId="39909"/>
    <cellStyle name="Sub-total 4 2 2" xfId="39910"/>
    <cellStyle name="Subtotal 4 2 20" xfId="39911"/>
    <cellStyle name="Sub-total 4 2 20" xfId="39912"/>
    <cellStyle name="Subtotal 4 2 21" xfId="39913"/>
    <cellStyle name="Sub-total 4 2 21" xfId="39914"/>
    <cellStyle name="Subtotal 4 2 22" xfId="39915"/>
    <cellStyle name="Sub-total 4 2 22" xfId="39916"/>
    <cellStyle name="Subtotal 4 2 23" xfId="39917"/>
    <cellStyle name="Sub-total 4 2 23" xfId="39918"/>
    <cellStyle name="Subtotal 4 2 3" xfId="39919"/>
    <cellStyle name="Sub-total 4 2 3" xfId="39920"/>
    <cellStyle name="Subtotal 4 2 4" xfId="39921"/>
    <cellStyle name="Sub-total 4 2 4" xfId="39922"/>
    <cellStyle name="Subtotal 4 2 5" xfId="39923"/>
    <cellStyle name="Sub-total 4 2 5" xfId="39924"/>
    <cellStyle name="Subtotal 4 2 6" xfId="39925"/>
    <cellStyle name="Sub-total 4 2 6" xfId="39926"/>
    <cellStyle name="Subtotal 4 2 7" xfId="39927"/>
    <cellStyle name="Sub-total 4 2 7" xfId="39928"/>
    <cellStyle name="Subtotal 4 2 8" xfId="39929"/>
    <cellStyle name="Sub-total 4 2 8" xfId="39930"/>
    <cellStyle name="Subtotal 4 2 9" xfId="39931"/>
    <cellStyle name="Sub-total 4 2 9" xfId="39932"/>
    <cellStyle name="Subtotal 4 3" xfId="13932"/>
    <cellStyle name="Sub-total 4 3" xfId="13933"/>
    <cellStyle name="Subtotal 4 3 10" xfId="39933"/>
    <cellStyle name="Sub-total 4 3 10" xfId="39934"/>
    <cellStyle name="Subtotal 4 3 11" xfId="39935"/>
    <cellStyle name="Sub-total 4 3 11" xfId="39936"/>
    <cellStyle name="Subtotal 4 3 12" xfId="39937"/>
    <cellStyle name="Sub-total 4 3 12" xfId="39938"/>
    <cellStyle name="Subtotal 4 3 13" xfId="39939"/>
    <cellStyle name="Sub-total 4 3 13" xfId="39940"/>
    <cellStyle name="Subtotal 4 3 14" xfId="39941"/>
    <cellStyle name="Sub-total 4 3 14" xfId="39942"/>
    <cellStyle name="Subtotal 4 3 15" xfId="39943"/>
    <cellStyle name="Sub-total 4 3 15" xfId="39944"/>
    <cellStyle name="Subtotal 4 3 16" xfId="39945"/>
    <cellStyle name="Sub-total 4 3 16" xfId="39946"/>
    <cellStyle name="Subtotal 4 3 17" xfId="39947"/>
    <cellStyle name="Sub-total 4 3 17" xfId="39948"/>
    <cellStyle name="Subtotal 4 3 18" xfId="39949"/>
    <cellStyle name="Sub-total 4 3 18" xfId="39950"/>
    <cellStyle name="Subtotal 4 3 19" xfId="39951"/>
    <cellStyle name="Sub-total 4 3 19" xfId="39952"/>
    <cellStyle name="Subtotal 4 3 2" xfId="39953"/>
    <cellStyle name="Sub-total 4 3 2" xfId="39954"/>
    <cellStyle name="Subtotal 4 3 20" xfId="39955"/>
    <cellStyle name="Sub-total 4 3 20" xfId="39956"/>
    <cellStyle name="Subtotal 4 3 21" xfId="39957"/>
    <cellStyle name="Sub-total 4 3 21" xfId="39958"/>
    <cellStyle name="Subtotal 4 3 22" xfId="39959"/>
    <cellStyle name="Sub-total 4 3 22" xfId="39960"/>
    <cellStyle name="Subtotal 4 3 23" xfId="39961"/>
    <cellStyle name="Sub-total 4 3 23" xfId="39962"/>
    <cellStyle name="Subtotal 4 3 3" xfId="39963"/>
    <cellStyle name="Sub-total 4 3 3" xfId="39964"/>
    <cellStyle name="Subtotal 4 3 4" xfId="39965"/>
    <cellStyle name="Sub-total 4 3 4" xfId="39966"/>
    <cellStyle name="Subtotal 4 3 5" xfId="39967"/>
    <cellStyle name="Sub-total 4 3 5" xfId="39968"/>
    <cellStyle name="Subtotal 4 3 6" xfId="39969"/>
    <cellStyle name="Sub-total 4 3 6" xfId="39970"/>
    <cellStyle name="Subtotal 4 3 7" xfId="39971"/>
    <cellStyle name="Sub-total 4 3 7" xfId="39972"/>
    <cellStyle name="Subtotal 4 3 8" xfId="39973"/>
    <cellStyle name="Sub-total 4 3 8" xfId="39974"/>
    <cellStyle name="Subtotal 4 3 9" xfId="39975"/>
    <cellStyle name="Sub-total 4 3 9" xfId="39976"/>
    <cellStyle name="Subtotal 4 4" xfId="39977"/>
    <cellStyle name="Sub-total 4 4" xfId="39978"/>
    <cellStyle name="Subtotal 4 4 2" xfId="39979"/>
    <cellStyle name="Sub-total 4 4 2" xfId="39980"/>
    <cellStyle name="Subtotal 4 4 3" xfId="39981"/>
    <cellStyle name="Sub-total 4 4 3" xfId="39982"/>
    <cellStyle name="Subtotal 4 4 4" xfId="39983"/>
    <cellStyle name="Sub-total 4 4 4" xfId="39984"/>
    <cellStyle name="Subtotal 4 4 5" xfId="39985"/>
    <cellStyle name="Sub-total 4 4 5" xfId="39986"/>
    <cellStyle name="Subtotal 4 4 6" xfId="39987"/>
    <cellStyle name="Sub-total 4 4 6" xfId="39988"/>
    <cellStyle name="Subtotal 4 5" xfId="39989"/>
    <cellStyle name="Sub-total 4 5" xfId="39990"/>
    <cellStyle name="Subtotal 4 5 2" xfId="39991"/>
    <cellStyle name="Sub-total 4 5 2" xfId="39992"/>
    <cellStyle name="Subtotal 4 5 3" xfId="39993"/>
    <cellStyle name="Sub-total 4 5 3" xfId="39994"/>
    <cellStyle name="Subtotal 4 5 4" xfId="39995"/>
    <cellStyle name="Sub-total 4 5 4" xfId="39996"/>
    <cellStyle name="Subtotal 4 5 5" xfId="39997"/>
    <cellStyle name="Sub-total 4 5 5" xfId="39998"/>
    <cellStyle name="Subtotal 4 5 6" xfId="39999"/>
    <cellStyle name="Sub-total 4 5 6" xfId="40000"/>
    <cellStyle name="Subtotal 4 6" xfId="40001"/>
    <cellStyle name="Sub-total 4 6" xfId="40002"/>
    <cellStyle name="Subtotal 4 6 2" xfId="40003"/>
    <cellStyle name="Sub-total 4 6 2" xfId="40004"/>
    <cellStyle name="Subtotal 4 6 3" xfId="40005"/>
    <cellStyle name="Sub-total 4 6 3" xfId="40006"/>
    <cellStyle name="Subtotal 4 6 4" xfId="40007"/>
    <cellStyle name="Sub-total 4 6 4" xfId="40008"/>
    <cellStyle name="Subtotal 4 6 5" xfId="40009"/>
    <cellStyle name="Sub-total 4 6 5" xfId="40010"/>
    <cellStyle name="Subtotal 4 6 6" xfId="40011"/>
    <cellStyle name="Sub-total 4 6 6" xfId="40012"/>
    <cellStyle name="Subtotal 4 7" xfId="40013"/>
    <cellStyle name="Sub-total 4 7" xfId="40014"/>
    <cellStyle name="Subtotal 4 7 2" xfId="40015"/>
    <cellStyle name="Sub-total 4 7 2" xfId="40016"/>
    <cellStyle name="Subtotal 4 7 3" xfId="40017"/>
    <cellStyle name="Sub-total 4 7 3" xfId="40018"/>
    <cellStyle name="Subtotal 4 7 4" xfId="40019"/>
    <cellStyle name="Sub-total 4 7 4" xfId="40020"/>
    <cellStyle name="Subtotal 4 7 5" xfId="40021"/>
    <cellStyle name="Sub-total 4 7 5" xfId="40022"/>
    <cellStyle name="Subtotal 4 7 6" xfId="40023"/>
    <cellStyle name="Sub-total 4 7 6" xfId="40024"/>
    <cellStyle name="Subtotal 4 8" xfId="40025"/>
    <cellStyle name="Sub-total 4 8" xfId="40026"/>
    <cellStyle name="Subtotal 4 8 2" xfId="40027"/>
    <cellStyle name="Sub-total 4 8 2" xfId="40028"/>
    <cellStyle name="Subtotal 4 8 3" xfId="40029"/>
    <cellStyle name="Sub-total 4 8 3" xfId="40030"/>
    <cellStyle name="Subtotal 4 8 4" xfId="40031"/>
    <cellStyle name="Sub-total 4 8 4" xfId="40032"/>
    <cellStyle name="Subtotal 4 8 5" xfId="40033"/>
    <cellStyle name="Sub-total 4 8 5" xfId="40034"/>
    <cellStyle name="Subtotal 4 8 6" xfId="40035"/>
    <cellStyle name="Sub-total 4 8 6" xfId="40036"/>
    <cellStyle name="Subtotal 4 9" xfId="40037"/>
    <cellStyle name="Sub-total 4 9" xfId="40038"/>
    <cellStyle name="Subtotal 4 9 2" xfId="40039"/>
    <cellStyle name="Sub-total 4 9 2" xfId="40040"/>
    <cellStyle name="Subtotal 4 9 3" xfId="40041"/>
    <cellStyle name="Sub-total 4 9 3" xfId="40042"/>
    <cellStyle name="Subtotal 4 9 4" xfId="40043"/>
    <cellStyle name="Sub-total 4 9 4" xfId="40044"/>
    <cellStyle name="Subtotal 4 9 5" xfId="40045"/>
    <cellStyle name="Sub-total 4 9 5" xfId="40046"/>
    <cellStyle name="Subtotal 4 9 6" xfId="40047"/>
    <cellStyle name="Sub-total 4 9 6" xfId="40048"/>
    <cellStyle name="Subtotal 5" xfId="13934"/>
    <cellStyle name="Sub-total 5" xfId="13935"/>
    <cellStyle name="Subtotal 5 10" xfId="40049"/>
    <cellStyle name="Sub-total 5 10" xfId="40050"/>
    <cellStyle name="Subtotal 5 10 2" xfId="40051"/>
    <cellStyle name="Sub-total 5 10 2" xfId="40052"/>
    <cellStyle name="Subtotal 5 10 3" xfId="40053"/>
    <cellStyle name="Sub-total 5 10 3" xfId="40054"/>
    <cellStyle name="Subtotal 5 10 4" xfId="40055"/>
    <cellStyle name="Sub-total 5 10 4" xfId="40056"/>
    <cellStyle name="Subtotal 5 10 5" xfId="40057"/>
    <cellStyle name="Sub-total 5 10 5" xfId="40058"/>
    <cellStyle name="Subtotal 5 10 6" xfId="40059"/>
    <cellStyle name="Sub-total 5 10 6" xfId="40060"/>
    <cellStyle name="Subtotal 5 11" xfId="40061"/>
    <cellStyle name="Sub-total 5 11" xfId="40062"/>
    <cellStyle name="Subtotal 5 11 2" xfId="40063"/>
    <cellStyle name="Sub-total 5 11 2" xfId="40064"/>
    <cellStyle name="Subtotal 5 11 3" xfId="40065"/>
    <cellStyle name="Sub-total 5 11 3" xfId="40066"/>
    <cellStyle name="Subtotal 5 11 4" xfId="40067"/>
    <cellStyle name="Sub-total 5 11 4" xfId="40068"/>
    <cellStyle name="Subtotal 5 11 5" xfId="40069"/>
    <cellStyle name="Sub-total 5 11 5" xfId="40070"/>
    <cellStyle name="Subtotal 5 11 6" xfId="40071"/>
    <cellStyle name="Sub-total 5 11 6" xfId="40072"/>
    <cellStyle name="Subtotal 5 12" xfId="40073"/>
    <cellStyle name="Sub-total 5 12" xfId="40074"/>
    <cellStyle name="Subtotal 5 12 2" xfId="40075"/>
    <cellStyle name="Sub-total 5 12 2" xfId="40076"/>
    <cellStyle name="Subtotal 5 12 3" xfId="40077"/>
    <cellStyle name="Sub-total 5 12 3" xfId="40078"/>
    <cellStyle name="Subtotal 5 12 4" xfId="40079"/>
    <cellStyle name="Sub-total 5 12 4" xfId="40080"/>
    <cellStyle name="Subtotal 5 12 5" xfId="40081"/>
    <cellStyle name="Sub-total 5 12 5" xfId="40082"/>
    <cellStyle name="Subtotal 5 12 6" xfId="40083"/>
    <cellStyle name="Sub-total 5 12 6" xfId="40084"/>
    <cellStyle name="Subtotal 5 13" xfId="40085"/>
    <cellStyle name="Sub-total 5 13" xfId="40086"/>
    <cellStyle name="Subtotal 5 13 2" xfId="40087"/>
    <cellStyle name="Sub-total 5 13 2" xfId="40088"/>
    <cellStyle name="Subtotal 5 13 3" xfId="40089"/>
    <cellStyle name="Sub-total 5 13 3" xfId="40090"/>
    <cellStyle name="Subtotal 5 13 4" xfId="40091"/>
    <cellStyle name="Sub-total 5 13 4" xfId="40092"/>
    <cellStyle name="Subtotal 5 13 5" xfId="40093"/>
    <cellStyle name="Sub-total 5 13 5" xfId="40094"/>
    <cellStyle name="Subtotal 5 13 6" xfId="40095"/>
    <cellStyle name="Sub-total 5 13 6" xfId="40096"/>
    <cellStyle name="Subtotal 5 14" xfId="40097"/>
    <cellStyle name="Sub-total 5 14" xfId="40098"/>
    <cellStyle name="Subtotal 5 15" xfId="40099"/>
    <cellStyle name="Sub-total 5 15" xfId="40100"/>
    <cellStyle name="Subtotal 5 16" xfId="40101"/>
    <cellStyle name="Sub-total 5 16" xfId="40102"/>
    <cellStyle name="Subtotal 5 17" xfId="40103"/>
    <cellStyle name="Sub-total 5 17" xfId="40104"/>
    <cellStyle name="Subtotal 5 18" xfId="40105"/>
    <cellStyle name="Sub-total 5 18" xfId="40106"/>
    <cellStyle name="Subtotal 5 2" xfId="13936"/>
    <cellStyle name="Sub-total 5 2" xfId="13937"/>
    <cellStyle name="Subtotal 5 2 10" xfId="40107"/>
    <cellStyle name="Sub-total 5 2 10" xfId="40108"/>
    <cellStyle name="Subtotal 5 2 11" xfId="40109"/>
    <cellStyle name="Sub-total 5 2 11" xfId="40110"/>
    <cellStyle name="Subtotal 5 2 12" xfId="40111"/>
    <cellStyle name="Sub-total 5 2 12" xfId="40112"/>
    <cellStyle name="Subtotal 5 2 13" xfId="40113"/>
    <cellStyle name="Sub-total 5 2 13" xfId="40114"/>
    <cellStyle name="Subtotal 5 2 14" xfId="40115"/>
    <cellStyle name="Sub-total 5 2 14" xfId="40116"/>
    <cellStyle name="Subtotal 5 2 15" xfId="40117"/>
    <cellStyle name="Sub-total 5 2 15" xfId="40118"/>
    <cellStyle name="Subtotal 5 2 16" xfId="40119"/>
    <cellStyle name="Sub-total 5 2 16" xfId="40120"/>
    <cellStyle name="Subtotal 5 2 17" xfId="40121"/>
    <cellStyle name="Sub-total 5 2 17" xfId="40122"/>
    <cellStyle name="Subtotal 5 2 18" xfId="40123"/>
    <cellStyle name="Sub-total 5 2 18" xfId="40124"/>
    <cellStyle name="Subtotal 5 2 19" xfId="40125"/>
    <cellStyle name="Sub-total 5 2 19" xfId="40126"/>
    <cellStyle name="Subtotal 5 2 2" xfId="40127"/>
    <cellStyle name="Sub-total 5 2 2" xfId="40128"/>
    <cellStyle name="Subtotal 5 2 20" xfId="40129"/>
    <cellStyle name="Sub-total 5 2 20" xfId="40130"/>
    <cellStyle name="Subtotal 5 2 21" xfId="40131"/>
    <cellStyle name="Sub-total 5 2 21" xfId="40132"/>
    <cellStyle name="Subtotal 5 2 22" xfId="40133"/>
    <cellStyle name="Sub-total 5 2 22" xfId="40134"/>
    <cellStyle name="Subtotal 5 2 23" xfId="40135"/>
    <cellStyle name="Sub-total 5 2 23" xfId="40136"/>
    <cellStyle name="Subtotal 5 2 3" xfId="40137"/>
    <cellStyle name="Sub-total 5 2 3" xfId="40138"/>
    <cellStyle name="Subtotal 5 2 4" xfId="40139"/>
    <cellStyle name="Sub-total 5 2 4" xfId="40140"/>
    <cellStyle name="Subtotal 5 2 5" xfId="40141"/>
    <cellStyle name="Sub-total 5 2 5" xfId="40142"/>
    <cellStyle name="Subtotal 5 2 6" xfId="40143"/>
    <cellStyle name="Sub-total 5 2 6" xfId="40144"/>
    <cellStyle name="Subtotal 5 2 7" xfId="40145"/>
    <cellStyle name="Sub-total 5 2 7" xfId="40146"/>
    <cellStyle name="Subtotal 5 2 8" xfId="40147"/>
    <cellStyle name="Sub-total 5 2 8" xfId="40148"/>
    <cellStyle name="Subtotal 5 2 9" xfId="40149"/>
    <cellStyle name="Sub-total 5 2 9" xfId="40150"/>
    <cellStyle name="Subtotal 5 3" xfId="13938"/>
    <cellStyle name="Sub-total 5 3" xfId="13939"/>
    <cellStyle name="Subtotal 5 3 10" xfId="40151"/>
    <cellStyle name="Sub-total 5 3 10" xfId="40152"/>
    <cellStyle name="Subtotal 5 3 11" xfId="40153"/>
    <cellStyle name="Sub-total 5 3 11" xfId="40154"/>
    <cellStyle name="Subtotal 5 3 12" xfId="40155"/>
    <cellStyle name="Sub-total 5 3 12" xfId="40156"/>
    <cellStyle name="Subtotal 5 3 13" xfId="40157"/>
    <cellStyle name="Sub-total 5 3 13" xfId="40158"/>
    <cellStyle name="Subtotal 5 3 14" xfId="40159"/>
    <cellStyle name="Sub-total 5 3 14" xfId="40160"/>
    <cellStyle name="Subtotal 5 3 15" xfId="40161"/>
    <cellStyle name="Sub-total 5 3 15" xfId="40162"/>
    <cellStyle name="Subtotal 5 3 16" xfId="40163"/>
    <cellStyle name="Sub-total 5 3 16" xfId="40164"/>
    <cellStyle name="Subtotal 5 3 17" xfId="40165"/>
    <cellStyle name="Sub-total 5 3 17" xfId="40166"/>
    <cellStyle name="Subtotal 5 3 18" xfId="40167"/>
    <cellStyle name="Sub-total 5 3 18" xfId="40168"/>
    <cellStyle name="Subtotal 5 3 19" xfId="40169"/>
    <cellStyle name="Sub-total 5 3 19" xfId="40170"/>
    <cellStyle name="Subtotal 5 3 2" xfId="40171"/>
    <cellStyle name="Sub-total 5 3 2" xfId="40172"/>
    <cellStyle name="Subtotal 5 3 20" xfId="40173"/>
    <cellStyle name="Sub-total 5 3 20" xfId="40174"/>
    <cellStyle name="Subtotal 5 3 21" xfId="40175"/>
    <cellStyle name="Sub-total 5 3 21" xfId="40176"/>
    <cellStyle name="Subtotal 5 3 22" xfId="40177"/>
    <cellStyle name="Sub-total 5 3 22" xfId="40178"/>
    <cellStyle name="Subtotal 5 3 23" xfId="40179"/>
    <cellStyle name="Sub-total 5 3 23" xfId="40180"/>
    <cellStyle name="Subtotal 5 3 3" xfId="40181"/>
    <cellStyle name="Sub-total 5 3 3" xfId="40182"/>
    <cellStyle name="Subtotal 5 3 4" xfId="40183"/>
    <cellStyle name="Sub-total 5 3 4" xfId="40184"/>
    <cellStyle name="Subtotal 5 3 5" xfId="40185"/>
    <cellStyle name="Sub-total 5 3 5" xfId="40186"/>
    <cellStyle name="Subtotal 5 3 6" xfId="40187"/>
    <cellStyle name="Sub-total 5 3 6" xfId="40188"/>
    <cellStyle name="Subtotal 5 3 7" xfId="40189"/>
    <cellStyle name="Sub-total 5 3 7" xfId="40190"/>
    <cellStyle name="Subtotal 5 3 8" xfId="40191"/>
    <cellStyle name="Sub-total 5 3 8" xfId="40192"/>
    <cellStyle name="Subtotal 5 3 9" xfId="40193"/>
    <cellStyle name="Sub-total 5 3 9" xfId="40194"/>
    <cellStyle name="Subtotal 5 4" xfId="40195"/>
    <cellStyle name="Sub-total 5 4" xfId="40196"/>
    <cellStyle name="Subtotal 5 4 2" xfId="40197"/>
    <cellStyle name="Sub-total 5 4 2" xfId="40198"/>
    <cellStyle name="Subtotal 5 4 3" xfId="40199"/>
    <cellStyle name="Sub-total 5 4 3" xfId="40200"/>
    <cellStyle name="Subtotal 5 4 4" xfId="40201"/>
    <cellStyle name="Sub-total 5 4 4" xfId="40202"/>
    <cellStyle name="Subtotal 5 4 5" xfId="40203"/>
    <cellStyle name="Sub-total 5 4 5" xfId="40204"/>
    <cellStyle name="Subtotal 5 4 6" xfId="40205"/>
    <cellStyle name="Sub-total 5 4 6" xfId="40206"/>
    <cellStyle name="Subtotal 5 5" xfId="40207"/>
    <cellStyle name="Sub-total 5 5" xfId="40208"/>
    <cellStyle name="Subtotal 5 5 2" xfId="40209"/>
    <cellStyle name="Sub-total 5 5 2" xfId="40210"/>
    <cellStyle name="Subtotal 5 5 3" xfId="40211"/>
    <cellStyle name="Sub-total 5 5 3" xfId="40212"/>
    <cellStyle name="Subtotal 5 5 4" xfId="40213"/>
    <cellStyle name="Sub-total 5 5 4" xfId="40214"/>
    <cellStyle name="Subtotal 5 5 5" xfId="40215"/>
    <cellStyle name="Sub-total 5 5 5" xfId="40216"/>
    <cellStyle name="Subtotal 5 5 6" xfId="40217"/>
    <cellStyle name="Sub-total 5 5 6" xfId="40218"/>
    <cellStyle name="Subtotal 5 6" xfId="40219"/>
    <cellStyle name="Sub-total 5 6" xfId="40220"/>
    <cellStyle name="Subtotal 5 6 2" xfId="40221"/>
    <cellStyle name="Sub-total 5 6 2" xfId="40222"/>
    <cellStyle name="Subtotal 5 6 3" xfId="40223"/>
    <cellStyle name="Sub-total 5 6 3" xfId="40224"/>
    <cellStyle name="Subtotal 5 6 4" xfId="40225"/>
    <cellStyle name="Sub-total 5 6 4" xfId="40226"/>
    <cellStyle name="Subtotal 5 6 5" xfId="40227"/>
    <cellStyle name="Sub-total 5 6 5" xfId="40228"/>
    <cellStyle name="Subtotal 5 6 6" xfId="40229"/>
    <cellStyle name="Sub-total 5 6 6" xfId="40230"/>
    <cellStyle name="Subtotal 5 7" xfId="40231"/>
    <cellStyle name="Sub-total 5 7" xfId="40232"/>
    <cellStyle name="Subtotal 5 7 2" xfId="40233"/>
    <cellStyle name="Sub-total 5 7 2" xfId="40234"/>
    <cellStyle name="Subtotal 5 7 3" xfId="40235"/>
    <cellStyle name="Sub-total 5 7 3" xfId="40236"/>
    <cellStyle name="Subtotal 5 7 4" xfId="40237"/>
    <cellStyle name="Sub-total 5 7 4" xfId="40238"/>
    <cellStyle name="Subtotal 5 7 5" xfId="40239"/>
    <cellStyle name="Sub-total 5 7 5" xfId="40240"/>
    <cellStyle name="Subtotal 5 7 6" xfId="40241"/>
    <cellStyle name="Sub-total 5 7 6" xfId="40242"/>
    <cellStyle name="Subtotal 5 8" xfId="40243"/>
    <cellStyle name="Sub-total 5 8" xfId="40244"/>
    <cellStyle name="Subtotal 5 8 2" xfId="40245"/>
    <cellStyle name="Sub-total 5 8 2" xfId="40246"/>
    <cellStyle name="Subtotal 5 8 3" xfId="40247"/>
    <cellStyle name="Sub-total 5 8 3" xfId="40248"/>
    <cellStyle name="Subtotal 5 8 4" xfId="40249"/>
    <cellStyle name="Sub-total 5 8 4" xfId="40250"/>
    <cellStyle name="Subtotal 5 8 5" xfId="40251"/>
    <cellStyle name="Sub-total 5 8 5" xfId="40252"/>
    <cellStyle name="Subtotal 5 8 6" xfId="40253"/>
    <cellStyle name="Sub-total 5 8 6" xfId="40254"/>
    <cellStyle name="Subtotal 5 9" xfId="40255"/>
    <cellStyle name="Sub-total 5 9" xfId="40256"/>
    <cellStyle name="Subtotal 5 9 2" xfId="40257"/>
    <cellStyle name="Sub-total 5 9 2" xfId="40258"/>
    <cellStyle name="Subtotal 5 9 3" xfId="40259"/>
    <cellStyle name="Sub-total 5 9 3" xfId="40260"/>
    <cellStyle name="Subtotal 5 9 4" xfId="40261"/>
    <cellStyle name="Sub-total 5 9 4" xfId="40262"/>
    <cellStyle name="Subtotal 5 9 5" xfId="40263"/>
    <cellStyle name="Sub-total 5 9 5" xfId="40264"/>
    <cellStyle name="Subtotal 5 9 6" xfId="40265"/>
    <cellStyle name="Sub-total 5 9 6" xfId="40266"/>
    <cellStyle name="Subtotal 6" xfId="13940"/>
    <cellStyle name="Sub-total 6" xfId="13941"/>
    <cellStyle name="Subtotal 6 10" xfId="40267"/>
    <cellStyle name="Sub-total 6 10" xfId="40268"/>
    <cellStyle name="Subtotal 6 10 2" xfId="40269"/>
    <cellStyle name="Sub-total 6 10 2" xfId="40270"/>
    <cellStyle name="Subtotal 6 10 3" xfId="40271"/>
    <cellStyle name="Sub-total 6 10 3" xfId="40272"/>
    <cellStyle name="Subtotal 6 10 4" xfId="40273"/>
    <cellStyle name="Sub-total 6 10 4" xfId="40274"/>
    <cellStyle name="Subtotal 6 10 5" xfId="40275"/>
    <cellStyle name="Sub-total 6 10 5" xfId="40276"/>
    <cellStyle name="Subtotal 6 10 6" xfId="40277"/>
    <cellStyle name="Sub-total 6 10 6" xfId="40278"/>
    <cellStyle name="Subtotal 6 11" xfId="40279"/>
    <cellStyle name="Sub-total 6 11" xfId="40280"/>
    <cellStyle name="Subtotal 6 11 2" xfId="40281"/>
    <cellStyle name="Sub-total 6 11 2" xfId="40282"/>
    <cellStyle name="Subtotal 6 11 3" xfId="40283"/>
    <cellStyle name="Sub-total 6 11 3" xfId="40284"/>
    <cellStyle name="Subtotal 6 11 4" xfId="40285"/>
    <cellStyle name="Sub-total 6 11 4" xfId="40286"/>
    <cellStyle name="Subtotal 6 11 5" xfId="40287"/>
    <cellStyle name="Sub-total 6 11 5" xfId="40288"/>
    <cellStyle name="Subtotal 6 11 6" xfId="40289"/>
    <cellStyle name="Sub-total 6 11 6" xfId="40290"/>
    <cellStyle name="Subtotal 6 12" xfId="40291"/>
    <cellStyle name="Sub-total 6 12" xfId="40292"/>
    <cellStyle name="Subtotal 6 12 2" xfId="40293"/>
    <cellStyle name="Sub-total 6 12 2" xfId="40294"/>
    <cellStyle name="Subtotal 6 12 3" xfId="40295"/>
    <cellStyle name="Sub-total 6 12 3" xfId="40296"/>
    <cellStyle name="Subtotal 6 12 4" xfId="40297"/>
    <cellStyle name="Sub-total 6 12 4" xfId="40298"/>
    <cellStyle name="Subtotal 6 12 5" xfId="40299"/>
    <cellStyle name="Sub-total 6 12 5" xfId="40300"/>
    <cellStyle name="Subtotal 6 12 6" xfId="40301"/>
    <cellStyle name="Sub-total 6 12 6" xfId="40302"/>
    <cellStyle name="Subtotal 6 13" xfId="40303"/>
    <cellStyle name="Sub-total 6 13" xfId="40304"/>
    <cellStyle name="Subtotal 6 13 2" xfId="40305"/>
    <cellStyle name="Sub-total 6 13 2" xfId="40306"/>
    <cellStyle name="Subtotal 6 13 3" xfId="40307"/>
    <cellStyle name="Sub-total 6 13 3" xfId="40308"/>
    <cellStyle name="Subtotal 6 13 4" xfId="40309"/>
    <cellStyle name="Sub-total 6 13 4" xfId="40310"/>
    <cellStyle name="Subtotal 6 13 5" xfId="40311"/>
    <cellStyle name="Sub-total 6 13 5" xfId="40312"/>
    <cellStyle name="Subtotal 6 13 6" xfId="40313"/>
    <cellStyle name="Sub-total 6 13 6" xfId="40314"/>
    <cellStyle name="Subtotal 6 14" xfId="40315"/>
    <cellStyle name="Sub-total 6 14" xfId="40316"/>
    <cellStyle name="Subtotal 6 15" xfId="40317"/>
    <cellStyle name="Sub-total 6 15" xfId="40318"/>
    <cellStyle name="Subtotal 6 16" xfId="40319"/>
    <cellStyle name="Sub-total 6 16" xfId="40320"/>
    <cellStyle name="Subtotal 6 17" xfId="40321"/>
    <cellStyle name="Sub-total 6 17" xfId="40322"/>
    <cellStyle name="Subtotal 6 18" xfId="40323"/>
    <cellStyle name="Sub-total 6 18" xfId="40324"/>
    <cellStyle name="Subtotal 6 2" xfId="13942"/>
    <cellStyle name="Sub-total 6 2" xfId="13943"/>
    <cellStyle name="Subtotal 6 2 10" xfId="40325"/>
    <cellStyle name="Sub-total 6 2 10" xfId="40326"/>
    <cellStyle name="Subtotal 6 2 11" xfId="40327"/>
    <cellStyle name="Sub-total 6 2 11" xfId="40328"/>
    <cellStyle name="Subtotal 6 2 12" xfId="40329"/>
    <cellStyle name="Sub-total 6 2 12" xfId="40330"/>
    <cellStyle name="Subtotal 6 2 13" xfId="40331"/>
    <cellStyle name="Sub-total 6 2 13" xfId="40332"/>
    <cellStyle name="Subtotal 6 2 14" xfId="40333"/>
    <cellStyle name="Sub-total 6 2 14" xfId="40334"/>
    <cellStyle name="Subtotal 6 2 15" xfId="40335"/>
    <cellStyle name="Sub-total 6 2 15" xfId="40336"/>
    <cellStyle name="Subtotal 6 2 16" xfId="40337"/>
    <cellStyle name="Sub-total 6 2 16" xfId="40338"/>
    <cellStyle name="Subtotal 6 2 17" xfId="40339"/>
    <cellStyle name="Sub-total 6 2 17" xfId="40340"/>
    <cellStyle name="Subtotal 6 2 18" xfId="40341"/>
    <cellStyle name="Sub-total 6 2 18" xfId="40342"/>
    <cellStyle name="Subtotal 6 2 19" xfId="40343"/>
    <cellStyle name="Sub-total 6 2 19" xfId="40344"/>
    <cellStyle name="Subtotal 6 2 2" xfId="40345"/>
    <cellStyle name="Sub-total 6 2 2" xfId="40346"/>
    <cellStyle name="Subtotal 6 2 20" xfId="40347"/>
    <cellStyle name="Sub-total 6 2 20" xfId="40348"/>
    <cellStyle name="Subtotal 6 2 21" xfId="40349"/>
    <cellStyle name="Sub-total 6 2 21" xfId="40350"/>
    <cellStyle name="Subtotal 6 2 22" xfId="40351"/>
    <cellStyle name="Sub-total 6 2 22" xfId="40352"/>
    <cellStyle name="Subtotal 6 2 23" xfId="40353"/>
    <cellStyle name="Sub-total 6 2 23" xfId="40354"/>
    <cellStyle name="Subtotal 6 2 3" xfId="40355"/>
    <cellStyle name="Sub-total 6 2 3" xfId="40356"/>
    <cellStyle name="Subtotal 6 2 4" xfId="40357"/>
    <cellStyle name="Sub-total 6 2 4" xfId="40358"/>
    <cellStyle name="Subtotal 6 2 5" xfId="40359"/>
    <cellStyle name="Sub-total 6 2 5" xfId="40360"/>
    <cellStyle name="Subtotal 6 2 6" xfId="40361"/>
    <cellStyle name="Sub-total 6 2 6" xfId="40362"/>
    <cellStyle name="Subtotal 6 2 7" xfId="40363"/>
    <cellStyle name="Sub-total 6 2 7" xfId="40364"/>
    <cellStyle name="Subtotal 6 2 8" xfId="40365"/>
    <cellStyle name="Sub-total 6 2 8" xfId="40366"/>
    <cellStyle name="Subtotal 6 2 9" xfId="40367"/>
    <cellStyle name="Sub-total 6 2 9" xfId="40368"/>
    <cellStyle name="Subtotal 6 3" xfId="13944"/>
    <cellStyle name="Sub-total 6 3" xfId="13945"/>
    <cellStyle name="Subtotal 6 3 10" xfId="40369"/>
    <cellStyle name="Sub-total 6 3 10" xfId="40370"/>
    <cellStyle name="Subtotal 6 3 11" xfId="40371"/>
    <cellStyle name="Sub-total 6 3 11" xfId="40372"/>
    <cellStyle name="Subtotal 6 3 12" xfId="40373"/>
    <cellStyle name="Sub-total 6 3 12" xfId="40374"/>
    <cellStyle name="Subtotal 6 3 13" xfId="40375"/>
    <cellStyle name="Sub-total 6 3 13" xfId="40376"/>
    <cellStyle name="Subtotal 6 3 14" xfId="40377"/>
    <cellStyle name="Sub-total 6 3 14" xfId="40378"/>
    <cellStyle name="Subtotal 6 3 15" xfId="40379"/>
    <cellStyle name="Sub-total 6 3 15" xfId="40380"/>
    <cellStyle name="Subtotal 6 3 16" xfId="40381"/>
    <cellStyle name="Sub-total 6 3 16" xfId="40382"/>
    <cellStyle name="Subtotal 6 3 17" xfId="40383"/>
    <cellStyle name="Sub-total 6 3 17" xfId="40384"/>
    <cellStyle name="Subtotal 6 3 18" xfId="40385"/>
    <cellStyle name="Sub-total 6 3 18" xfId="40386"/>
    <cellStyle name="Subtotal 6 3 19" xfId="40387"/>
    <cellStyle name="Sub-total 6 3 19" xfId="40388"/>
    <cellStyle name="Subtotal 6 3 2" xfId="40389"/>
    <cellStyle name="Sub-total 6 3 2" xfId="40390"/>
    <cellStyle name="Subtotal 6 3 20" xfId="40391"/>
    <cellStyle name="Sub-total 6 3 20" xfId="40392"/>
    <cellStyle name="Subtotal 6 3 21" xfId="40393"/>
    <cellStyle name="Sub-total 6 3 21" xfId="40394"/>
    <cellStyle name="Subtotal 6 3 22" xfId="40395"/>
    <cellStyle name="Sub-total 6 3 22" xfId="40396"/>
    <cellStyle name="Subtotal 6 3 23" xfId="40397"/>
    <cellStyle name="Sub-total 6 3 23" xfId="40398"/>
    <cellStyle name="Subtotal 6 3 3" xfId="40399"/>
    <cellStyle name="Sub-total 6 3 3" xfId="40400"/>
    <cellStyle name="Subtotal 6 3 4" xfId="40401"/>
    <cellStyle name="Sub-total 6 3 4" xfId="40402"/>
    <cellStyle name="Subtotal 6 3 5" xfId="40403"/>
    <cellStyle name="Sub-total 6 3 5" xfId="40404"/>
    <cellStyle name="Subtotal 6 3 6" xfId="40405"/>
    <cellStyle name="Sub-total 6 3 6" xfId="40406"/>
    <cellStyle name="Subtotal 6 3 7" xfId="40407"/>
    <cellStyle name="Sub-total 6 3 7" xfId="40408"/>
    <cellStyle name="Subtotal 6 3 8" xfId="40409"/>
    <cellStyle name="Sub-total 6 3 8" xfId="40410"/>
    <cellStyle name="Subtotal 6 3 9" xfId="40411"/>
    <cellStyle name="Sub-total 6 3 9" xfId="40412"/>
    <cellStyle name="Subtotal 6 4" xfId="40413"/>
    <cellStyle name="Sub-total 6 4" xfId="40414"/>
    <cellStyle name="Subtotal 6 4 2" xfId="40415"/>
    <cellStyle name="Sub-total 6 4 2" xfId="40416"/>
    <cellStyle name="Subtotal 6 4 3" xfId="40417"/>
    <cellStyle name="Sub-total 6 4 3" xfId="40418"/>
    <cellStyle name="Subtotal 6 4 4" xfId="40419"/>
    <cellStyle name="Sub-total 6 4 4" xfId="40420"/>
    <cellStyle name="Subtotal 6 4 5" xfId="40421"/>
    <cellStyle name="Sub-total 6 4 5" xfId="40422"/>
    <cellStyle name="Subtotal 6 4 6" xfId="40423"/>
    <cellStyle name="Sub-total 6 4 6" xfId="40424"/>
    <cellStyle name="Subtotal 6 5" xfId="40425"/>
    <cellStyle name="Sub-total 6 5" xfId="40426"/>
    <cellStyle name="Subtotal 6 5 2" xfId="40427"/>
    <cellStyle name="Sub-total 6 5 2" xfId="40428"/>
    <cellStyle name="Subtotal 6 5 3" xfId="40429"/>
    <cellStyle name="Sub-total 6 5 3" xfId="40430"/>
    <cellStyle name="Subtotal 6 5 4" xfId="40431"/>
    <cellStyle name="Sub-total 6 5 4" xfId="40432"/>
    <cellStyle name="Subtotal 6 5 5" xfId="40433"/>
    <cellStyle name="Sub-total 6 5 5" xfId="40434"/>
    <cellStyle name="Subtotal 6 5 6" xfId="40435"/>
    <cellStyle name="Sub-total 6 5 6" xfId="40436"/>
    <cellStyle name="Subtotal 6 6" xfId="40437"/>
    <cellStyle name="Sub-total 6 6" xfId="40438"/>
    <cellStyle name="Subtotal 6 6 2" xfId="40439"/>
    <cellStyle name="Sub-total 6 6 2" xfId="40440"/>
    <cellStyle name="Subtotal 6 6 3" xfId="40441"/>
    <cellStyle name="Sub-total 6 6 3" xfId="40442"/>
    <cellStyle name="Subtotal 6 6 4" xfId="40443"/>
    <cellStyle name="Sub-total 6 6 4" xfId="40444"/>
    <cellStyle name="Subtotal 6 6 5" xfId="40445"/>
    <cellStyle name="Sub-total 6 6 5" xfId="40446"/>
    <cellStyle name="Subtotal 6 6 6" xfId="40447"/>
    <cellStyle name="Sub-total 6 6 6" xfId="40448"/>
    <cellStyle name="Subtotal 6 7" xfId="40449"/>
    <cellStyle name="Sub-total 6 7" xfId="40450"/>
    <cellStyle name="Subtotal 6 7 2" xfId="40451"/>
    <cellStyle name="Sub-total 6 7 2" xfId="40452"/>
    <cellStyle name="Subtotal 6 7 3" xfId="40453"/>
    <cellStyle name="Sub-total 6 7 3" xfId="40454"/>
    <cellStyle name="Subtotal 6 7 4" xfId="40455"/>
    <cellStyle name="Sub-total 6 7 4" xfId="40456"/>
    <cellStyle name="Subtotal 6 7 5" xfId="40457"/>
    <cellStyle name="Sub-total 6 7 5" xfId="40458"/>
    <cellStyle name="Subtotal 6 7 6" xfId="40459"/>
    <cellStyle name="Sub-total 6 7 6" xfId="40460"/>
    <cellStyle name="Subtotal 6 8" xfId="40461"/>
    <cellStyle name="Sub-total 6 8" xfId="40462"/>
    <cellStyle name="Subtotal 6 8 2" xfId="40463"/>
    <cellStyle name="Sub-total 6 8 2" xfId="40464"/>
    <cellStyle name="Subtotal 6 8 3" xfId="40465"/>
    <cellStyle name="Sub-total 6 8 3" xfId="40466"/>
    <cellStyle name="Subtotal 6 8 4" xfId="40467"/>
    <cellStyle name="Sub-total 6 8 4" xfId="40468"/>
    <cellStyle name="Subtotal 6 8 5" xfId="40469"/>
    <cellStyle name="Sub-total 6 8 5" xfId="40470"/>
    <cellStyle name="Subtotal 6 8 6" xfId="40471"/>
    <cellStyle name="Sub-total 6 8 6" xfId="40472"/>
    <cellStyle name="Subtotal 6 9" xfId="40473"/>
    <cellStyle name="Sub-total 6 9" xfId="40474"/>
    <cellStyle name="Subtotal 6 9 2" xfId="40475"/>
    <cellStyle name="Sub-total 6 9 2" xfId="40476"/>
    <cellStyle name="Subtotal 6 9 3" xfId="40477"/>
    <cellStyle name="Sub-total 6 9 3" xfId="40478"/>
    <cellStyle name="Subtotal 6 9 4" xfId="40479"/>
    <cellStyle name="Sub-total 6 9 4" xfId="40480"/>
    <cellStyle name="Subtotal 6 9 5" xfId="40481"/>
    <cellStyle name="Sub-total 6 9 5" xfId="40482"/>
    <cellStyle name="Subtotal 6 9 6" xfId="40483"/>
    <cellStyle name="Sub-total 6 9 6" xfId="40484"/>
    <cellStyle name="Subtotal 7" xfId="13946"/>
    <cellStyle name="Sub-total 7" xfId="13947"/>
    <cellStyle name="Subtotal 7 10" xfId="40485"/>
    <cellStyle name="Sub-total 7 10" xfId="40486"/>
    <cellStyle name="Subtotal 7 10 2" xfId="40487"/>
    <cellStyle name="Sub-total 7 10 2" xfId="40488"/>
    <cellStyle name="Subtotal 7 10 3" xfId="40489"/>
    <cellStyle name="Sub-total 7 10 3" xfId="40490"/>
    <cellStyle name="Subtotal 7 10 4" xfId="40491"/>
    <cellStyle name="Sub-total 7 10 4" xfId="40492"/>
    <cellStyle name="Subtotal 7 10 5" xfId="40493"/>
    <cellStyle name="Sub-total 7 10 5" xfId="40494"/>
    <cellStyle name="Subtotal 7 10 6" xfId="40495"/>
    <cellStyle name="Sub-total 7 10 6" xfId="40496"/>
    <cellStyle name="Subtotal 7 11" xfId="40497"/>
    <cellStyle name="Sub-total 7 11" xfId="40498"/>
    <cellStyle name="Subtotal 7 11 2" xfId="40499"/>
    <cellStyle name="Sub-total 7 11 2" xfId="40500"/>
    <cellStyle name="Subtotal 7 11 3" xfId="40501"/>
    <cellStyle name="Sub-total 7 11 3" xfId="40502"/>
    <cellStyle name="Subtotal 7 11 4" xfId="40503"/>
    <cellStyle name="Sub-total 7 11 4" xfId="40504"/>
    <cellStyle name="Subtotal 7 11 5" xfId="40505"/>
    <cellStyle name="Sub-total 7 11 5" xfId="40506"/>
    <cellStyle name="Subtotal 7 11 6" xfId="40507"/>
    <cellStyle name="Sub-total 7 11 6" xfId="40508"/>
    <cellStyle name="Subtotal 7 12" xfId="40509"/>
    <cellStyle name="Sub-total 7 12" xfId="40510"/>
    <cellStyle name="Subtotal 7 12 2" xfId="40511"/>
    <cellStyle name="Sub-total 7 12 2" xfId="40512"/>
    <cellStyle name="Subtotal 7 12 3" xfId="40513"/>
    <cellStyle name="Sub-total 7 12 3" xfId="40514"/>
    <cellStyle name="Subtotal 7 12 4" xfId="40515"/>
    <cellStyle name="Sub-total 7 12 4" xfId="40516"/>
    <cellStyle name="Subtotal 7 12 5" xfId="40517"/>
    <cellStyle name="Sub-total 7 12 5" xfId="40518"/>
    <cellStyle name="Subtotal 7 12 6" xfId="40519"/>
    <cellStyle name="Sub-total 7 12 6" xfId="40520"/>
    <cellStyle name="Subtotal 7 13" xfId="40521"/>
    <cellStyle name="Sub-total 7 13" xfId="40522"/>
    <cellStyle name="Subtotal 7 13 2" xfId="40523"/>
    <cellStyle name="Sub-total 7 13 2" xfId="40524"/>
    <cellStyle name="Subtotal 7 13 3" xfId="40525"/>
    <cellStyle name="Sub-total 7 13 3" xfId="40526"/>
    <cellStyle name="Subtotal 7 13 4" xfId="40527"/>
    <cellStyle name="Sub-total 7 13 4" xfId="40528"/>
    <cellStyle name="Subtotal 7 13 5" xfId="40529"/>
    <cellStyle name="Sub-total 7 13 5" xfId="40530"/>
    <cellStyle name="Subtotal 7 13 6" xfId="40531"/>
    <cellStyle name="Sub-total 7 13 6" xfId="40532"/>
    <cellStyle name="Subtotal 7 14" xfId="40533"/>
    <cellStyle name="Sub-total 7 14" xfId="40534"/>
    <cellStyle name="Subtotal 7 15" xfId="40535"/>
    <cellStyle name="Sub-total 7 15" xfId="40536"/>
    <cellStyle name="Subtotal 7 16" xfId="40537"/>
    <cellStyle name="Sub-total 7 16" xfId="40538"/>
    <cellStyle name="Subtotal 7 17" xfId="40539"/>
    <cellStyle name="Sub-total 7 17" xfId="40540"/>
    <cellStyle name="Subtotal 7 18" xfId="40541"/>
    <cellStyle name="Sub-total 7 18" xfId="40542"/>
    <cellStyle name="Subtotal 7 19" xfId="40543"/>
    <cellStyle name="Sub-total 7 19" xfId="40544"/>
    <cellStyle name="Subtotal 7 2" xfId="40545"/>
    <cellStyle name="Sub-total 7 2" xfId="40546"/>
    <cellStyle name="Subtotal 7 2 2" xfId="40547"/>
    <cellStyle name="Sub-total 7 2 2" xfId="40548"/>
    <cellStyle name="Subtotal 7 2 3" xfId="40549"/>
    <cellStyle name="Sub-total 7 2 3" xfId="40550"/>
    <cellStyle name="Subtotal 7 2 4" xfId="40551"/>
    <cellStyle name="Sub-total 7 2 4" xfId="40552"/>
    <cellStyle name="Subtotal 7 2 5" xfId="40553"/>
    <cellStyle name="Sub-total 7 2 5" xfId="40554"/>
    <cellStyle name="Subtotal 7 2 6" xfId="40555"/>
    <cellStyle name="Sub-total 7 2 6" xfId="40556"/>
    <cellStyle name="Subtotal 7 20" xfId="40557"/>
    <cellStyle name="Sub-total 7 20" xfId="40558"/>
    <cellStyle name="Subtotal 7 3" xfId="40559"/>
    <cellStyle name="Sub-total 7 3" xfId="40560"/>
    <cellStyle name="Subtotal 7 3 2" xfId="40561"/>
    <cellStyle name="Sub-total 7 3 2" xfId="40562"/>
    <cellStyle name="Subtotal 7 3 3" xfId="40563"/>
    <cellStyle name="Sub-total 7 3 3" xfId="40564"/>
    <cellStyle name="Subtotal 7 3 4" xfId="40565"/>
    <cellStyle name="Sub-total 7 3 4" xfId="40566"/>
    <cellStyle name="Subtotal 7 3 5" xfId="40567"/>
    <cellStyle name="Sub-total 7 3 5" xfId="40568"/>
    <cellStyle name="Subtotal 7 3 6" xfId="40569"/>
    <cellStyle name="Sub-total 7 3 6" xfId="40570"/>
    <cellStyle name="Subtotal 7 4" xfId="40571"/>
    <cellStyle name="Sub-total 7 4" xfId="40572"/>
    <cellStyle name="Subtotal 7 4 2" xfId="40573"/>
    <cellStyle name="Sub-total 7 4 2" xfId="40574"/>
    <cellStyle name="Subtotal 7 4 3" xfId="40575"/>
    <cellStyle name="Sub-total 7 4 3" xfId="40576"/>
    <cellStyle name="Subtotal 7 4 4" xfId="40577"/>
    <cellStyle name="Sub-total 7 4 4" xfId="40578"/>
    <cellStyle name="Subtotal 7 4 5" xfId="40579"/>
    <cellStyle name="Sub-total 7 4 5" xfId="40580"/>
    <cellStyle name="Subtotal 7 4 6" xfId="40581"/>
    <cellStyle name="Sub-total 7 4 6" xfId="40582"/>
    <cellStyle name="Subtotal 7 5" xfId="40583"/>
    <cellStyle name="Sub-total 7 5" xfId="40584"/>
    <cellStyle name="Subtotal 7 5 2" xfId="40585"/>
    <cellStyle name="Sub-total 7 5 2" xfId="40586"/>
    <cellStyle name="Subtotal 7 5 3" xfId="40587"/>
    <cellStyle name="Sub-total 7 5 3" xfId="40588"/>
    <cellStyle name="Subtotal 7 5 4" xfId="40589"/>
    <cellStyle name="Sub-total 7 5 4" xfId="40590"/>
    <cellStyle name="Subtotal 7 5 5" xfId="40591"/>
    <cellStyle name="Sub-total 7 5 5" xfId="40592"/>
    <cellStyle name="Subtotal 7 5 6" xfId="40593"/>
    <cellStyle name="Sub-total 7 5 6" xfId="40594"/>
    <cellStyle name="Subtotal 7 6" xfId="40595"/>
    <cellStyle name="Sub-total 7 6" xfId="40596"/>
    <cellStyle name="Subtotal 7 6 2" xfId="40597"/>
    <cellStyle name="Sub-total 7 6 2" xfId="40598"/>
    <cellStyle name="Subtotal 7 6 3" xfId="40599"/>
    <cellStyle name="Sub-total 7 6 3" xfId="40600"/>
    <cellStyle name="Subtotal 7 6 4" xfId="40601"/>
    <cellStyle name="Sub-total 7 6 4" xfId="40602"/>
    <cellStyle name="Subtotal 7 6 5" xfId="40603"/>
    <cellStyle name="Sub-total 7 6 5" xfId="40604"/>
    <cellStyle name="Subtotal 7 6 6" xfId="40605"/>
    <cellStyle name="Sub-total 7 6 6" xfId="40606"/>
    <cellStyle name="Subtotal 7 7" xfId="40607"/>
    <cellStyle name="Sub-total 7 7" xfId="40608"/>
    <cellStyle name="Subtotal 7 7 2" xfId="40609"/>
    <cellStyle name="Sub-total 7 7 2" xfId="40610"/>
    <cellStyle name="Subtotal 7 7 3" xfId="40611"/>
    <cellStyle name="Sub-total 7 7 3" xfId="40612"/>
    <cellStyle name="Subtotal 7 7 4" xfId="40613"/>
    <cellStyle name="Sub-total 7 7 4" xfId="40614"/>
    <cellStyle name="Subtotal 7 7 5" xfId="40615"/>
    <cellStyle name="Sub-total 7 7 5" xfId="40616"/>
    <cellStyle name="Subtotal 7 7 6" xfId="40617"/>
    <cellStyle name="Sub-total 7 7 6" xfId="40618"/>
    <cellStyle name="Subtotal 7 8" xfId="40619"/>
    <cellStyle name="Sub-total 7 8" xfId="40620"/>
    <cellStyle name="Subtotal 7 8 2" xfId="40621"/>
    <cellStyle name="Sub-total 7 8 2" xfId="40622"/>
    <cellStyle name="Subtotal 7 8 3" xfId="40623"/>
    <cellStyle name="Sub-total 7 8 3" xfId="40624"/>
    <cellStyle name="Subtotal 7 8 4" xfId="40625"/>
    <cellStyle name="Sub-total 7 8 4" xfId="40626"/>
    <cellStyle name="Subtotal 7 8 5" xfId="40627"/>
    <cellStyle name="Sub-total 7 8 5" xfId="40628"/>
    <cellStyle name="Subtotal 7 8 6" xfId="40629"/>
    <cellStyle name="Sub-total 7 8 6" xfId="40630"/>
    <cellStyle name="Subtotal 7 9" xfId="40631"/>
    <cellStyle name="Sub-total 7 9" xfId="40632"/>
    <cellStyle name="Subtotal 7 9 2" xfId="40633"/>
    <cellStyle name="Sub-total 7 9 2" xfId="40634"/>
    <cellStyle name="Subtotal 7 9 3" xfId="40635"/>
    <cellStyle name="Sub-total 7 9 3" xfId="40636"/>
    <cellStyle name="Subtotal 7 9 4" xfId="40637"/>
    <cellStyle name="Sub-total 7 9 4" xfId="40638"/>
    <cellStyle name="Subtotal 7 9 5" xfId="40639"/>
    <cellStyle name="Sub-total 7 9 5" xfId="40640"/>
    <cellStyle name="Subtotal 7 9 6" xfId="40641"/>
    <cellStyle name="Sub-total 7 9 6" xfId="40642"/>
    <cellStyle name="Subtotal 8" xfId="17794"/>
    <cellStyle name="Sub-total 8" xfId="17795"/>
    <cellStyle name="Subtotal 8 10" xfId="40643"/>
    <cellStyle name="Sub-total 8 10" xfId="40644"/>
    <cellStyle name="Subtotal 8 10 2" xfId="40645"/>
    <cellStyle name="Sub-total 8 10 2" xfId="40646"/>
    <cellStyle name="Subtotal 8 10 3" xfId="40647"/>
    <cellStyle name="Sub-total 8 10 3" xfId="40648"/>
    <cellStyle name="Subtotal 8 10 4" xfId="40649"/>
    <cellStyle name="Sub-total 8 10 4" xfId="40650"/>
    <cellStyle name="Subtotal 8 10 5" xfId="40651"/>
    <cellStyle name="Sub-total 8 10 5" xfId="40652"/>
    <cellStyle name="Subtotal 8 10 6" xfId="40653"/>
    <cellStyle name="Sub-total 8 10 6" xfId="40654"/>
    <cellStyle name="Subtotal 8 11" xfId="40655"/>
    <cellStyle name="Sub-total 8 11" xfId="40656"/>
    <cellStyle name="Subtotal 8 11 2" xfId="40657"/>
    <cellStyle name="Sub-total 8 11 2" xfId="40658"/>
    <cellStyle name="Subtotal 8 11 3" xfId="40659"/>
    <cellStyle name="Sub-total 8 11 3" xfId="40660"/>
    <cellStyle name="Subtotal 8 11 4" xfId="40661"/>
    <cellStyle name="Sub-total 8 11 4" xfId="40662"/>
    <cellStyle name="Subtotal 8 11 5" xfId="40663"/>
    <cellStyle name="Sub-total 8 11 5" xfId="40664"/>
    <cellStyle name="Subtotal 8 11 6" xfId="40665"/>
    <cellStyle name="Sub-total 8 11 6" xfId="40666"/>
    <cellStyle name="Subtotal 8 12" xfId="40667"/>
    <cellStyle name="Sub-total 8 12" xfId="40668"/>
    <cellStyle name="Subtotal 8 12 2" xfId="40669"/>
    <cellStyle name="Sub-total 8 12 2" xfId="40670"/>
    <cellStyle name="Subtotal 8 12 3" xfId="40671"/>
    <cellStyle name="Sub-total 8 12 3" xfId="40672"/>
    <cellStyle name="Subtotal 8 12 4" xfId="40673"/>
    <cellStyle name="Sub-total 8 12 4" xfId="40674"/>
    <cellStyle name="Subtotal 8 12 5" xfId="40675"/>
    <cellStyle name="Sub-total 8 12 5" xfId="40676"/>
    <cellStyle name="Subtotal 8 12 6" xfId="40677"/>
    <cellStyle name="Sub-total 8 12 6" xfId="40678"/>
    <cellStyle name="Subtotal 8 13" xfId="40679"/>
    <cellStyle name="Sub-total 8 13" xfId="40680"/>
    <cellStyle name="Subtotal 8 13 2" xfId="40681"/>
    <cellStyle name="Sub-total 8 13 2" xfId="40682"/>
    <cellStyle name="Subtotal 8 13 3" xfId="40683"/>
    <cellStyle name="Sub-total 8 13 3" xfId="40684"/>
    <cellStyle name="Subtotal 8 13 4" xfId="40685"/>
    <cellStyle name="Sub-total 8 13 4" xfId="40686"/>
    <cellStyle name="Subtotal 8 13 5" xfId="40687"/>
    <cellStyle name="Sub-total 8 13 5" xfId="40688"/>
    <cellStyle name="Subtotal 8 13 6" xfId="40689"/>
    <cellStyle name="Sub-total 8 13 6" xfId="40690"/>
    <cellStyle name="Subtotal 8 14" xfId="40691"/>
    <cellStyle name="Sub-total 8 14" xfId="40692"/>
    <cellStyle name="Subtotal 8 15" xfId="40693"/>
    <cellStyle name="Sub-total 8 15" xfId="40694"/>
    <cellStyle name="Subtotal 8 16" xfId="40695"/>
    <cellStyle name="Sub-total 8 16" xfId="40696"/>
    <cellStyle name="Subtotal 8 17" xfId="40697"/>
    <cellStyle name="Sub-total 8 17" xfId="40698"/>
    <cellStyle name="Subtotal 8 18" xfId="40699"/>
    <cellStyle name="Sub-total 8 18" xfId="40700"/>
    <cellStyle name="Subtotal 8 2" xfId="40701"/>
    <cellStyle name="Sub-total 8 2" xfId="40702"/>
    <cellStyle name="Subtotal 8 2 2" xfId="40703"/>
    <cellStyle name="Sub-total 8 2 2" xfId="40704"/>
    <cellStyle name="Subtotal 8 2 3" xfId="40705"/>
    <cellStyle name="Sub-total 8 2 3" xfId="40706"/>
    <cellStyle name="Subtotal 8 2 4" xfId="40707"/>
    <cellStyle name="Sub-total 8 2 4" xfId="40708"/>
    <cellStyle name="Subtotal 8 2 5" xfId="40709"/>
    <cellStyle name="Sub-total 8 2 5" xfId="40710"/>
    <cellStyle name="Subtotal 8 2 6" xfId="40711"/>
    <cellStyle name="Sub-total 8 2 6" xfId="40712"/>
    <cellStyle name="Subtotal 8 3" xfId="40713"/>
    <cellStyle name="Sub-total 8 3" xfId="40714"/>
    <cellStyle name="Subtotal 8 3 2" xfId="40715"/>
    <cellStyle name="Sub-total 8 3 2" xfId="40716"/>
    <cellStyle name="Subtotal 8 3 3" xfId="40717"/>
    <cellStyle name="Sub-total 8 3 3" xfId="40718"/>
    <cellStyle name="Subtotal 8 3 4" xfId="40719"/>
    <cellStyle name="Sub-total 8 3 4" xfId="40720"/>
    <cellStyle name="Subtotal 8 3 5" xfId="40721"/>
    <cellStyle name="Sub-total 8 3 5" xfId="40722"/>
    <cellStyle name="Subtotal 8 3 6" xfId="40723"/>
    <cellStyle name="Sub-total 8 3 6" xfId="40724"/>
    <cellStyle name="Subtotal 8 4" xfId="40725"/>
    <cellStyle name="Sub-total 8 4" xfId="40726"/>
    <cellStyle name="Subtotal 8 4 2" xfId="40727"/>
    <cellStyle name="Sub-total 8 4 2" xfId="40728"/>
    <cellStyle name="Subtotal 8 4 3" xfId="40729"/>
    <cellStyle name="Sub-total 8 4 3" xfId="40730"/>
    <cellStyle name="Subtotal 8 4 4" xfId="40731"/>
    <cellStyle name="Sub-total 8 4 4" xfId="40732"/>
    <cellStyle name="Subtotal 8 4 5" xfId="40733"/>
    <cellStyle name="Sub-total 8 4 5" xfId="40734"/>
    <cellStyle name="Subtotal 8 4 6" xfId="40735"/>
    <cellStyle name="Sub-total 8 4 6" xfId="40736"/>
    <cellStyle name="Subtotal 8 5" xfId="40737"/>
    <cellStyle name="Sub-total 8 5" xfId="40738"/>
    <cellStyle name="Subtotal 8 5 2" xfId="40739"/>
    <cellStyle name="Sub-total 8 5 2" xfId="40740"/>
    <cellStyle name="Subtotal 8 5 3" xfId="40741"/>
    <cellStyle name="Sub-total 8 5 3" xfId="40742"/>
    <cellStyle name="Subtotal 8 5 4" xfId="40743"/>
    <cellStyle name="Sub-total 8 5 4" xfId="40744"/>
    <cellStyle name="Subtotal 8 5 5" xfId="40745"/>
    <cellStyle name="Sub-total 8 5 5" xfId="40746"/>
    <cellStyle name="Subtotal 8 5 6" xfId="40747"/>
    <cellStyle name="Sub-total 8 5 6" xfId="40748"/>
    <cellStyle name="Subtotal 8 6" xfId="40749"/>
    <cellStyle name="Sub-total 8 6" xfId="40750"/>
    <cellStyle name="Subtotal 8 6 2" xfId="40751"/>
    <cellStyle name="Sub-total 8 6 2" xfId="40752"/>
    <cellStyle name="Subtotal 8 6 3" xfId="40753"/>
    <cellStyle name="Sub-total 8 6 3" xfId="40754"/>
    <cellStyle name="Subtotal 8 6 4" xfId="40755"/>
    <cellStyle name="Sub-total 8 6 4" xfId="40756"/>
    <cellStyle name="Subtotal 8 6 5" xfId="40757"/>
    <cellStyle name="Sub-total 8 6 5" xfId="40758"/>
    <cellStyle name="Subtotal 8 6 6" xfId="40759"/>
    <cellStyle name="Sub-total 8 6 6" xfId="40760"/>
    <cellStyle name="Subtotal 8 7" xfId="40761"/>
    <cellStyle name="Sub-total 8 7" xfId="40762"/>
    <cellStyle name="Subtotal 8 7 2" xfId="40763"/>
    <cellStyle name="Sub-total 8 7 2" xfId="40764"/>
    <cellStyle name="Subtotal 8 7 3" xfId="40765"/>
    <cellStyle name="Sub-total 8 7 3" xfId="40766"/>
    <cellStyle name="Subtotal 8 7 4" xfId="40767"/>
    <cellStyle name="Sub-total 8 7 4" xfId="40768"/>
    <cellStyle name="Subtotal 8 7 5" xfId="40769"/>
    <cellStyle name="Sub-total 8 7 5" xfId="40770"/>
    <cellStyle name="Subtotal 8 7 6" xfId="40771"/>
    <cellStyle name="Sub-total 8 7 6" xfId="40772"/>
    <cellStyle name="Subtotal 8 8" xfId="40773"/>
    <cellStyle name="Sub-total 8 8" xfId="40774"/>
    <cellStyle name="Subtotal 8 8 2" xfId="40775"/>
    <cellStyle name="Sub-total 8 8 2" xfId="40776"/>
    <cellStyle name="Subtotal 8 8 3" xfId="40777"/>
    <cellStyle name="Sub-total 8 8 3" xfId="40778"/>
    <cellStyle name="Subtotal 8 8 4" xfId="40779"/>
    <cellStyle name="Sub-total 8 8 4" xfId="40780"/>
    <cellStyle name="Subtotal 8 8 5" xfId="40781"/>
    <cellStyle name="Sub-total 8 8 5" xfId="40782"/>
    <cellStyle name="Subtotal 8 8 6" xfId="40783"/>
    <cellStyle name="Sub-total 8 8 6" xfId="40784"/>
    <cellStyle name="Subtotal 8 9" xfId="40785"/>
    <cellStyle name="Sub-total 8 9" xfId="40786"/>
    <cellStyle name="Subtotal 8 9 2" xfId="40787"/>
    <cellStyle name="Sub-total 8 9 2" xfId="40788"/>
    <cellStyle name="Subtotal 8 9 3" xfId="40789"/>
    <cellStyle name="Sub-total 8 9 3" xfId="40790"/>
    <cellStyle name="Subtotal 8 9 4" xfId="40791"/>
    <cellStyle name="Sub-total 8 9 4" xfId="40792"/>
    <cellStyle name="Subtotal 8 9 5" xfId="40793"/>
    <cellStyle name="Sub-total 8 9 5" xfId="40794"/>
    <cellStyle name="Subtotal 8 9 6" xfId="40795"/>
    <cellStyle name="Sub-total 8 9 6" xfId="40796"/>
    <cellStyle name="Subtotal 9" xfId="22368"/>
    <cellStyle name="Sub-total 9" xfId="22369"/>
    <cellStyle name="Subtotal 9 10" xfId="40797"/>
    <cellStyle name="Sub-total 9 10" xfId="40798"/>
    <cellStyle name="Subtotal 9 10 2" xfId="40799"/>
    <cellStyle name="Sub-total 9 10 2" xfId="40800"/>
    <cellStyle name="Subtotal 9 10 3" xfId="40801"/>
    <cellStyle name="Sub-total 9 10 3" xfId="40802"/>
    <cellStyle name="Subtotal 9 10 4" xfId="40803"/>
    <cellStyle name="Sub-total 9 10 4" xfId="40804"/>
    <cellStyle name="Subtotal 9 10 5" xfId="40805"/>
    <cellStyle name="Sub-total 9 10 5" xfId="40806"/>
    <cellStyle name="Subtotal 9 10 6" xfId="40807"/>
    <cellStyle name="Sub-total 9 10 6" xfId="40808"/>
    <cellStyle name="Subtotal 9 11" xfId="40809"/>
    <cellStyle name="Sub-total 9 11" xfId="40810"/>
    <cellStyle name="Subtotal 9 11 2" xfId="40811"/>
    <cellStyle name="Sub-total 9 11 2" xfId="40812"/>
    <cellStyle name="Subtotal 9 11 3" xfId="40813"/>
    <cellStyle name="Sub-total 9 11 3" xfId="40814"/>
    <cellStyle name="Subtotal 9 11 4" xfId="40815"/>
    <cellStyle name="Sub-total 9 11 4" xfId="40816"/>
    <cellStyle name="Subtotal 9 11 5" xfId="40817"/>
    <cellStyle name="Sub-total 9 11 5" xfId="40818"/>
    <cellStyle name="Subtotal 9 11 6" xfId="40819"/>
    <cellStyle name="Sub-total 9 11 6" xfId="40820"/>
    <cellStyle name="Subtotal 9 12" xfId="40821"/>
    <cellStyle name="Sub-total 9 12" xfId="40822"/>
    <cellStyle name="Subtotal 9 12 2" xfId="40823"/>
    <cellStyle name="Sub-total 9 12 2" xfId="40824"/>
    <cellStyle name="Subtotal 9 12 3" xfId="40825"/>
    <cellStyle name="Sub-total 9 12 3" xfId="40826"/>
    <cellStyle name="Subtotal 9 12 4" xfId="40827"/>
    <cellStyle name="Sub-total 9 12 4" xfId="40828"/>
    <cellStyle name="Subtotal 9 12 5" xfId="40829"/>
    <cellStyle name="Sub-total 9 12 5" xfId="40830"/>
    <cellStyle name="Subtotal 9 12 6" xfId="40831"/>
    <cellStyle name="Sub-total 9 12 6" xfId="40832"/>
    <cellStyle name="Subtotal 9 13" xfId="40833"/>
    <cellStyle name="Sub-total 9 13" xfId="40834"/>
    <cellStyle name="Subtotal 9 13 2" xfId="40835"/>
    <cellStyle name="Sub-total 9 13 2" xfId="40836"/>
    <cellStyle name="Subtotal 9 13 3" xfId="40837"/>
    <cellStyle name="Sub-total 9 13 3" xfId="40838"/>
    <cellStyle name="Subtotal 9 13 4" xfId="40839"/>
    <cellStyle name="Sub-total 9 13 4" xfId="40840"/>
    <cellStyle name="Subtotal 9 13 5" xfId="40841"/>
    <cellStyle name="Sub-total 9 13 5" xfId="40842"/>
    <cellStyle name="Subtotal 9 13 6" xfId="40843"/>
    <cellStyle name="Sub-total 9 13 6" xfId="40844"/>
    <cellStyle name="Subtotal 9 14" xfId="40845"/>
    <cellStyle name="Sub-total 9 14" xfId="40846"/>
    <cellStyle name="Subtotal 9 15" xfId="40847"/>
    <cellStyle name="Sub-total 9 15" xfId="40848"/>
    <cellStyle name="Subtotal 9 16" xfId="40849"/>
    <cellStyle name="Sub-total 9 16" xfId="40850"/>
    <cellStyle name="Subtotal 9 17" xfId="40851"/>
    <cellStyle name="Sub-total 9 17" xfId="40852"/>
    <cellStyle name="Subtotal 9 18" xfId="40853"/>
    <cellStyle name="Sub-total 9 18" xfId="40854"/>
    <cellStyle name="Subtotal 9 2" xfId="40855"/>
    <cellStyle name="Sub-total 9 2" xfId="40856"/>
    <cellStyle name="Subtotal 9 2 2" xfId="40857"/>
    <cellStyle name="Sub-total 9 2 2" xfId="40858"/>
    <cellStyle name="Subtotal 9 2 3" xfId="40859"/>
    <cellStyle name="Sub-total 9 2 3" xfId="40860"/>
    <cellStyle name="Subtotal 9 2 4" xfId="40861"/>
    <cellStyle name="Sub-total 9 2 4" xfId="40862"/>
    <cellStyle name="Subtotal 9 2 5" xfId="40863"/>
    <cellStyle name="Sub-total 9 2 5" xfId="40864"/>
    <cellStyle name="Subtotal 9 2 6" xfId="40865"/>
    <cellStyle name="Sub-total 9 2 6" xfId="40866"/>
    <cellStyle name="Subtotal 9 3" xfId="40867"/>
    <cellStyle name="Sub-total 9 3" xfId="40868"/>
    <cellStyle name="Subtotal 9 3 2" xfId="40869"/>
    <cellStyle name="Sub-total 9 3 2" xfId="40870"/>
    <cellStyle name="Subtotal 9 3 3" xfId="40871"/>
    <cellStyle name="Sub-total 9 3 3" xfId="40872"/>
    <cellStyle name="Subtotal 9 3 4" xfId="40873"/>
    <cellStyle name="Sub-total 9 3 4" xfId="40874"/>
    <cellStyle name="Subtotal 9 3 5" xfId="40875"/>
    <cellStyle name="Sub-total 9 3 5" xfId="40876"/>
    <cellStyle name="Subtotal 9 3 6" xfId="40877"/>
    <cellStyle name="Sub-total 9 3 6" xfId="40878"/>
    <cellStyle name="Subtotal 9 4" xfId="40879"/>
    <cellStyle name="Sub-total 9 4" xfId="40880"/>
    <cellStyle name="Subtotal 9 4 2" xfId="40881"/>
    <cellStyle name="Sub-total 9 4 2" xfId="40882"/>
    <cellStyle name="Subtotal 9 4 3" xfId="40883"/>
    <cellStyle name="Sub-total 9 4 3" xfId="40884"/>
    <cellStyle name="Subtotal 9 4 4" xfId="40885"/>
    <cellStyle name="Sub-total 9 4 4" xfId="40886"/>
    <cellStyle name="Subtotal 9 4 5" xfId="40887"/>
    <cellStyle name="Sub-total 9 4 5" xfId="40888"/>
    <cellStyle name="Subtotal 9 4 6" xfId="40889"/>
    <cellStyle name="Sub-total 9 4 6" xfId="40890"/>
    <cellStyle name="Subtotal 9 5" xfId="40891"/>
    <cellStyle name="Sub-total 9 5" xfId="40892"/>
    <cellStyle name="Subtotal 9 5 2" xfId="40893"/>
    <cellStyle name="Sub-total 9 5 2" xfId="40894"/>
    <cellStyle name="Subtotal 9 5 3" xfId="40895"/>
    <cellStyle name="Sub-total 9 5 3" xfId="40896"/>
    <cellStyle name="Subtotal 9 5 4" xfId="40897"/>
    <cellStyle name="Sub-total 9 5 4" xfId="40898"/>
    <cellStyle name="Subtotal 9 5 5" xfId="40899"/>
    <cellStyle name="Sub-total 9 5 5" xfId="40900"/>
    <cellStyle name="Subtotal 9 5 6" xfId="40901"/>
    <cellStyle name="Sub-total 9 5 6" xfId="40902"/>
    <cellStyle name="Subtotal 9 6" xfId="40903"/>
    <cellStyle name="Sub-total 9 6" xfId="40904"/>
    <cellStyle name="Subtotal 9 6 2" xfId="40905"/>
    <cellStyle name="Sub-total 9 6 2" xfId="40906"/>
    <cellStyle name="Subtotal 9 6 3" xfId="40907"/>
    <cellStyle name="Sub-total 9 6 3" xfId="40908"/>
    <cellStyle name="Subtotal 9 6 4" xfId="40909"/>
    <cellStyle name="Sub-total 9 6 4" xfId="40910"/>
    <cellStyle name="Subtotal 9 6 5" xfId="40911"/>
    <cellStyle name="Sub-total 9 6 5" xfId="40912"/>
    <cellStyle name="Subtotal 9 6 6" xfId="40913"/>
    <cellStyle name="Sub-total 9 6 6" xfId="40914"/>
    <cellStyle name="Subtotal 9 7" xfId="40915"/>
    <cellStyle name="Sub-total 9 7" xfId="40916"/>
    <cellStyle name="Subtotal 9 7 2" xfId="40917"/>
    <cellStyle name="Sub-total 9 7 2" xfId="40918"/>
    <cellStyle name="Subtotal 9 7 3" xfId="40919"/>
    <cellStyle name="Sub-total 9 7 3" xfId="40920"/>
    <cellStyle name="Subtotal 9 7 4" xfId="40921"/>
    <cellStyle name="Sub-total 9 7 4" xfId="40922"/>
    <cellStyle name="Subtotal 9 7 5" xfId="40923"/>
    <cellStyle name="Sub-total 9 7 5" xfId="40924"/>
    <cellStyle name="Subtotal 9 7 6" xfId="40925"/>
    <cellStyle name="Sub-total 9 7 6" xfId="40926"/>
    <cellStyle name="Subtotal 9 8" xfId="40927"/>
    <cellStyle name="Sub-total 9 8" xfId="40928"/>
    <cellStyle name="Subtotal 9 8 2" xfId="40929"/>
    <cellStyle name="Sub-total 9 8 2" xfId="40930"/>
    <cellStyle name="Subtotal 9 8 3" xfId="40931"/>
    <cellStyle name="Sub-total 9 8 3" xfId="40932"/>
    <cellStyle name="Subtotal 9 8 4" xfId="40933"/>
    <cellStyle name="Sub-total 9 8 4" xfId="40934"/>
    <cellStyle name="Subtotal 9 8 5" xfId="40935"/>
    <cellStyle name="Sub-total 9 8 5" xfId="40936"/>
    <cellStyle name="Subtotal 9 8 6" xfId="40937"/>
    <cellStyle name="Sub-total 9 8 6" xfId="40938"/>
    <cellStyle name="Subtotal 9 9" xfId="40939"/>
    <cellStyle name="Sub-total 9 9" xfId="40940"/>
    <cellStyle name="Subtotal 9 9 2" xfId="40941"/>
    <cellStyle name="Sub-total 9 9 2" xfId="40942"/>
    <cellStyle name="Subtotal 9 9 3" xfId="40943"/>
    <cellStyle name="Sub-total 9 9 3" xfId="40944"/>
    <cellStyle name="Subtotal 9 9 4" xfId="40945"/>
    <cellStyle name="Sub-total 9 9 4" xfId="40946"/>
    <cellStyle name="Subtotal 9 9 5" xfId="40947"/>
    <cellStyle name="Sub-total 9 9 5" xfId="40948"/>
    <cellStyle name="Subtotal 9 9 6" xfId="40949"/>
    <cellStyle name="Sub-total 9 9 6" xfId="40950"/>
    <cellStyle name="Table Data" xfId="40951"/>
    <cellStyle name="Table Headings Bold" xfId="40952"/>
    <cellStyle name="taples Plaza" xfId="14228"/>
    <cellStyle name="taples Plaza 2" xfId="40953"/>
    <cellStyle name="taples Plaza 3" xfId="40954"/>
    <cellStyle name="Test" xfId="11772"/>
    <cellStyle name="Test 2" xfId="17876"/>
    <cellStyle name="Tickmark" xfId="14229"/>
    <cellStyle name="Title 2" xfId="3312"/>
    <cellStyle name="Title 2 2" xfId="3313"/>
    <cellStyle name="Title 2 2 2" xfId="3314"/>
    <cellStyle name="Title 2 2 2 2" xfId="40955"/>
    <cellStyle name="Title 2 2 2 2 2" xfId="40956"/>
    <cellStyle name="Title 2 2 2 3" xfId="40957"/>
    <cellStyle name="Title 2 2 2 4" xfId="40958"/>
    <cellStyle name="Title 2 2 2 5" xfId="13948"/>
    <cellStyle name="Title 2 2 3" xfId="13949"/>
    <cellStyle name="Title 2 2 3 2" xfId="13950"/>
    <cellStyle name="Title 2 2 3 2 2" xfId="40959"/>
    <cellStyle name="Title 2 2 3 3" xfId="42335"/>
    <cellStyle name="Title 2 2 4" xfId="15675"/>
    <cellStyle name="Title 2 2 4 2" xfId="40960"/>
    <cellStyle name="Title 2 2 5" xfId="17797"/>
    <cellStyle name="Title 2 2 6" xfId="11775"/>
    <cellStyle name="Title 2 3" xfId="3315"/>
    <cellStyle name="Title 2 3 2" xfId="15676"/>
    <cellStyle name="Title 2 3 2 2" xfId="40961"/>
    <cellStyle name="Title 2 3 2 2 2" xfId="40962"/>
    <cellStyle name="Title 2 3 2 3" xfId="40963"/>
    <cellStyle name="Title 2 3 2 4" xfId="40964"/>
    <cellStyle name="Title 2 3 3" xfId="15677"/>
    <cellStyle name="Title 2 3 3 2" xfId="40965"/>
    <cellStyle name="Title 2 3 3 3" xfId="40966"/>
    <cellStyle name="Title 2 3 4" xfId="40967"/>
    <cellStyle name="Title 2 3 4 2" xfId="40968"/>
    <cellStyle name="Title 2 3 5" xfId="11776"/>
    <cellStyle name="Title 2 4" xfId="13951"/>
    <cellStyle name="Title 2 4 2" xfId="13952"/>
    <cellStyle name="Title 2 4 2 2" xfId="40969"/>
    <cellStyle name="Title 2 4 3" xfId="40970"/>
    <cellStyle name="Title 2 4 4" xfId="40971"/>
    <cellStyle name="Title 2 5" xfId="13953"/>
    <cellStyle name="Title 2 5 2" xfId="40972"/>
    <cellStyle name="Title 2 5 3" xfId="40973"/>
    <cellStyle name="Title 2 6" xfId="15678"/>
    <cellStyle name="Title 2 6 2" xfId="40974"/>
    <cellStyle name="Title 2 7" xfId="42336"/>
    <cellStyle name="Title 2 8" xfId="11774"/>
    <cellStyle name="Title 3" xfId="3316"/>
    <cellStyle name="Title 3 2" xfId="11778"/>
    <cellStyle name="Title 3 2 2" xfId="19481"/>
    <cellStyle name="Title 3 2 2 2" xfId="40975"/>
    <cellStyle name="Title 3 2 3" xfId="40976"/>
    <cellStyle name="Title 3 2 4" xfId="40977"/>
    <cellStyle name="Title 3 3" xfId="11779"/>
    <cellStyle name="Title 3 3 2" xfId="13954"/>
    <cellStyle name="Title 3 3 2 2" xfId="40978"/>
    <cellStyle name="Title 3 3 3" xfId="22310"/>
    <cellStyle name="Title 3 4" xfId="11780"/>
    <cellStyle name="Title 3 4 2" xfId="22311"/>
    <cellStyle name="Title 3 5" xfId="17798"/>
    <cellStyle name="Title 3 6" xfId="11777"/>
    <cellStyle name="Title 4" xfId="13955"/>
    <cellStyle name="Title 4 2" xfId="13956"/>
    <cellStyle name="Title 4 2 2" xfId="40979"/>
    <cellStyle name="Title 4 2 2 2" xfId="40980"/>
    <cellStyle name="Title 4 2 3" xfId="40981"/>
    <cellStyle name="Title 4 2 4" xfId="40982"/>
    <cellStyle name="Title 4 3" xfId="40983"/>
    <cellStyle name="Title 4 3 2" xfId="40984"/>
    <cellStyle name="Title 4 3 3" xfId="40985"/>
    <cellStyle name="Title 4 4" xfId="40986"/>
    <cellStyle name="Title 4 4 2" xfId="40987"/>
    <cellStyle name="Title 5" xfId="13957"/>
    <cellStyle name="Title 5 2" xfId="15679"/>
    <cellStyle name="Title 5 2 2" xfId="40988"/>
    <cellStyle name="Title 5 2 3" xfId="40989"/>
    <cellStyle name="Title 5 3" xfId="40990"/>
    <cellStyle name="Title 5 3 2" xfId="42337"/>
    <cellStyle name="Title 5 4" xfId="42338"/>
    <cellStyle name="Title 6" xfId="13958"/>
    <cellStyle name="Title 6 2" xfId="13959"/>
    <cellStyle name="Title 6 2 2" xfId="40991"/>
    <cellStyle name="Title 6 3" xfId="40992"/>
    <cellStyle name="Title 7" xfId="13960"/>
    <cellStyle name="Title 7 2" xfId="40993"/>
    <cellStyle name="Title 8" xfId="13961"/>
    <cellStyle name="Title 8 2" xfId="40994"/>
    <cellStyle name="Title 9" xfId="11773"/>
    <cellStyle name="Title: - Style3" xfId="11781"/>
    <cellStyle name="Title: - Style3 2" xfId="17877"/>
    <cellStyle name="Title: - Style4" xfId="11782"/>
    <cellStyle name="Title: - Style4 2" xfId="17878"/>
    <cellStyle name="Title: Major" xfId="3317"/>
    <cellStyle name="Title: Major 2" xfId="13962"/>
    <cellStyle name="Title: Major 2 2" xfId="40995"/>
    <cellStyle name="Title: Major 2 2 2" xfId="40996"/>
    <cellStyle name="Title: Major 2 2 2 2" xfId="40997"/>
    <cellStyle name="Title: Major 2 2 3" xfId="40998"/>
    <cellStyle name="Title: Major 2 2 4" xfId="40999"/>
    <cellStyle name="Title: Major 2 3" xfId="41000"/>
    <cellStyle name="Title: Major 2 3 2" xfId="41001"/>
    <cellStyle name="Title: Major 2 4" xfId="41002"/>
    <cellStyle name="Title: Major 2 4 2" xfId="41003"/>
    <cellStyle name="Title: Major 3" xfId="13963"/>
    <cellStyle name="Title: Major 3 2" xfId="13964"/>
    <cellStyle name="Title: Major 3 2 2" xfId="41004"/>
    <cellStyle name="Title: Major 3 3" xfId="41005"/>
    <cellStyle name="Title: Major 4" xfId="13965"/>
    <cellStyle name="Title: Major 4 2" xfId="41006"/>
    <cellStyle name="Title: Major 4 3" xfId="41007"/>
    <cellStyle name="Title: Major 5" xfId="17799"/>
    <cellStyle name="Title: Major 5 2" xfId="41008"/>
    <cellStyle name="Title: Major 6" xfId="11783"/>
    <cellStyle name="Title: Minor" xfId="3318"/>
    <cellStyle name="Title: Minor 2" xfId="3319"/>
    <cellStyle name="Title: Minor 2 2" xfId="13966"/>
    <cellStyle name="Title: Minor 2 2 2" xfId="41009"/>
    <cellStyle name="Title: Minor 2 2 2 2" xfId="41010"/>
    <cellStyle name="Title: Minor 2 2 3" xfId="41011"/>
    <cellStyle name="Title: Minor 2 2 4" xfId="41012"/>
    <cellStyle name="Title: Minor 2 3" xfId="17801"/>
    <cellStyle name="Title: Minor 2 3 2" xfId="41013"/>
    <cellStyle name="Title: Minor 2 4" xfId="11785"/>
    <cellStyle name="Title: Minor 3" xfId="13967"/>
    <cellStyle name="Title: Minor 3 2" xfId="41014"/>
    <cellStyle name="Title: Minor 3 2 2" xfId="41015"/>
    <cellStyle name="Title: Minor 3 3" xfId="41016"/>
    <cellStyle name="Title: Minor 3 4" xfId="41017"/>
    <cellStyle name="Title: Minor 4" xfId="17800"/>
    <cellStyle name="Title: Minor 4 2" xfId="41018"/>
    <cellStyle name="Title: Minor 5" xfId="41019"/>
    <cellStyle name="Title: Minor 5 2" xfId="41020"/>
    <cellStyle name="Title: Minor 6" xfId="11784"/>
    <cellStyle name="Title: Minor_Electric Rev Req Model (2009 GRC) Rebuttal" xfId="11786"/>
    <cellStyle name="Title: Worksheet" xfId="3320"/>
    <cellStyle name="Title: Worksheet 2" xfId="13968"/>
    <cellStyle name="Title: Worksheet 2 2" xfId="13969"/>
    <cellStyle name="Title: Worksheet 2 2 2" xfId="41021"/>
    <cellStyle name="Title: Worksheet 2 3" xfId="41022"/>
    <cellStyle name="Title: Worksheet 2 4" xfId="41023"/>
    <cellStyle name="Title: Worksheet 3" xfId="13970"/>
    <cellStyle name="Title: Worksheet 3 2" xfId="41024"/>
    <cellStyle name="Title: Worksheet 3 3" xfId="41025"/>
    <cellStyle name="Title: Worksheet 4" xfId="17802"/>
    <cellStyle name="Title: Worksheet 4 2" xfId="41026"/>
    <cellStyle name="Title: Worksheet 5" xfId="11787"/>
    <cellStyle name="Titles" xfId="41027"/>
    <cellStyle name="Total" xfId="3321" builtinId="25" customBuiltin="1"/>
    <cellStyle name="Total 10" xfId="11788"/>
    <cellStyle name="Total 2" xfId="3322"/>
    <cellStyle name="Total 2 2" xfId="3323"/>
    <cellStyle name="Total 2 2 2" xfId="3324"/>
    <cellStyle name="Total 2 2 2 2" xfId="11792"/>
    <cellStyle name="Total 2 2 2 2 2" xfId="41028"/>
    <cellStyle name="Total 2 2 2 3" xfId="11793"/>
    <cellStyle name="Total 2 2 2 4" xfId="11794"/>
    <cellStyle name="Total 2 2 2 5" xfId="11795"/>
    <cellStyle name="Total 2 2 2 6" xfId="17985"/>
    <cellStyle name="Total 2 2 2 7" xfId="22433"/>
    <cellStyle name="Total 2 2 2 8" xfId="11791"/>
    <cellStyle name="Total 2 2 3" xfId="13971"/>
    <cellStyle name="Total 2 2 3 2" xfId="13972"/>
    <cellStyle name="Total 2 2 3 2 2" xfId="41029"/>
    <cellStyle name="Total 2 2 3 3" xfId="42339"/>
    <cellStyle name="Total 2 2 4" xfId="15680"/>
    <cellStyle name="Total 2 2 4 2" xfId="41030"/>
    <cellStyle name="Total 2 2 5" xfId="17805"/>
    <cellStyle name="Total 2 2 6" xfId="11790"/>
    <cellStyle name="Total 2 3" xfId="3325"/>
    <cellStyle name="Total 2 3 10" xfId="22445"/>
    <cellStyle name="Total 2 3 11" xfId="11796"/>
    <cellStyle name="Total 2 3 2" xfId="11797"/>
    <cellStyle name="Total 2 3 2 2" xfId="11798"/>
    <cellStyle name="Total 2 3 2 2 2" xfId="41031"/>
    <cellStyle name="Total 2 3 2 3" xfId="11799"/>
    <cellStyle name="Total 2 3 2 3 2" xfId="41032"/>
    <cellStyle name="Total 2 3 2 4" xfId="11800"/>
    <cellStyle name="Total 2 3 2 5" xfId="11801"/>
    <cellStyle name="Total 2 3 2 6" xfId="19482"/>
    <cellStyle name="Total 2 3 2 7" xfId="22493"/>
    <cellStyle name="Total 2 3 3" xfId="11802"/>
    <cellStyle name="Total 2 3 3 2" xfId="11803"/>
    <cellStyle name="Total 2 3 3 2 2" xfId="41033"/>
    <cellStyle name="Total 2 3 3 3" xfId="11804"/>
    <cellStyle name="Total 2 3 3 4" xfId="11805"/>
    <cellStyle name="Total 2 3 3 5" xfId="11806"/>
    <cellStyle name="Total 2 3 3 6" xfId="22312"/>
    <cellStyle name="Total 2 3 3 7" xfId="22576"/>
    <cellStyle name="Total 2 3 4" xfId="11807"/>
    <cellStyle name="Total 2 3 4 2" xfId="11808"/>
    <cellStyle name="Total 2 3 4 3" xfId="11809"/>
    <cellStyle name="Total 2 3 4 4" xfId="11810"/>
    <cellStyle name="Total 2 3 4 5" xfId="11811"/>
    <cellStyle name="Total 2 3 4 6" xfId="22313"/>
    <cellStyle name="Total 2 3 4 7" xfId="22577"/>
    <cellStyle name="Total 2 3 5" xfId="11812"/>
    <cellStyle name="Total 2 3 5 2" xfId="41034"/>
    <cellStyle name="Total 2 3 6" xfId="11813"/>
    <cellStyle name="Total 2 3 7" xfId="11814"/>
    <cellStyle name="Total 2 3 8" xfId="11815"/>
    <cellStyle name="Total 2 3 9" xfId="18092"/>
    <cellStyle name="Total 2 4" xfId="13973"/>
    <cellStyle name="Total 2 4 2" xfId="13974"/>
    <cellStyle name="Total 2 4 2 2" xfId="41035"/>
    <cellStyle name="Total 2 4 2 3" xfId="41036"/>
    <cellStyle name="Total 2 4 3" xfId="41037"/>
    <cellStyle name="Total 2 4 4" xfId="41038"/>
    <cellStyle name="Total 2 5" xfId="13975"/>
    <cellStyle name="Total 2 5 2" xfId="41039"/>
    <cellStyle name="Total 2 5 2 2" xfId="41040"/>
    <cellStyle name="Total 2 5 3" xfId="41041"/>
    <cellStyle name="Total 2 5 4" xfId="41042"/>
    <cellStyle name="Total 2 6" xfId="17804"/>
    <cellStyle name="Total 2 6 2" xfId="41043"/>
    <cellStyle name="Total 2 7" xfId="41044"/>
    <cellStyle name="Total 2 8" xfId="11789"/>
    <cellStyle name="Total 3" xfId="3326"/>
    <cellStyle name="Total 3 2" xfId="3327"/>
    <cellStyle name="Total 3 2 2" xfId="11818"/>
    <cellStyle name="Total 3 2 2 2" xfId="41045"/>
    <cellStyle name="Total 3 2 3" xfId="11819"/>
    <cellStyle name="Total 3 2 3 2" xfId="41046"/>
    <cellStyle name="Total 3 2 4" xfId="11820"/>
    <cellStyle name="Total 3 2 5" xfId="11821"/>
    <cellStyle name="Total 3 2 6" xfId="19483"/>
    <cellStyle name="Total 3 2 7" xfId="22494"/>
    <cellStyle name="Total 3 2 8" xfId="11817"/>
    <cellStyle name="Total 3 3" xfId="11822"/>
    <cellStyle name="Total 3 3 2" xfId="11823"/>
    <cellStyle name="Total 3 3 2 2" xfId="41047"/>
    <cellStyle name="Total 3 3 3" xfId="11824"/>
    <cellStyle name="Total 3 3 4" xfId="11825"/>
    <cellStyle name="Total 3 3 5" xfId="11826"/>
    <cellStyle name="Total 3 3 6" xfId="22314"/>
    <cellStyle name="Total 3 3 7" xfId="22578"/>
    <cellStyle name="Total 3 4" xfId="11827"/>
    <cellStyle name="Total 3 4 2" xfId="11828"/>
    <cellStyle name="Total 3 4 3" xfId="11829"/>
    <cellStyle name="Total 3 4 4" xfId="11830"/>
    <cellStyle name="Total 3 4 5" xfId="11831"/>
    <cellStyle name="Total 3 4 6" xfId="22315"/>
    <cellStyle name="Total 3 4 7" xfId="22579"/>
    <cellStyle name="Total 3 5" xfId="17806"/>
    <cellStyle name="Total 3 6" xfId="11816"/>
    <cellStyle name="Total 4" xfId="3328"/>
    <cellStyle name="Total 4 2" xfId="3329"/>
    <cellStyle name="Total 4 2 10" xfId="11833"/>
    <cellStyle name="Total 4 2 2" xfId="11834"/>
    <cellStyle name="Total 4 2 2 2" xfId="41048"/>
    <cellStyle name="Total 4 2 3" xfId="11835"/>
    <cellStyle name="Total 4 2 4" xfId="11836"/>
    <cellStyle name="Total 4 2 5" xfId="11837"/>
    <cellStyle name="Total 4 2 6" xfId="11838"/>
    <cellStyle name="Total 4 2 7" xfId="11839"/>
    <cellStyle name="Total 4 2 8" xfId="18093"/>
    <cellStyle name="Total 4 2 9" xfId="22446"/>
    <cellStyle name="Total 4 3" xfId="15681"/>
    <cellStyle name="Total 4 3 2" xfId="41049"/>
    <cellStyle name="Total 4 4" xfId="17807"/>
    <cellStyle name="Total 4 5" xfId="11832"/>
    <cellStyle name="Total 5" xfId="11840"/>
    <cellStyle name="Total 5 2" xfId="11841"/>
    <cellStyle name="Total 5 2 2" xfId="41050"/>
    <cellStyle name="Total 5 2 3" xfId="41051"/>
    <cellStyle name="Total 5 3" xfId="11842"/>
    <cellStyle name="Total 5 3 2" xfId="41052"/>
    <cellStyle name="Total 5 4" xfId="11843"/>
    <cellStyle name="Total 5 5" xfId="11844"/>
    <cellStyle name="Total 5 6" xfId="11845"/>
    <cellStyle name="Total 5 7" xfId="11846"/>
    <cellStyle name="Total 5 8" xfId="17984"/>
    <cellStyle name="Total 5 9" xfId="22432"/>
    <cellStyle name="Total 6" xfId="11847"/>
    <cellStyle name="Total 6 2" xfId="41053"/>
    <cellStyle name="Total 7" xfId="13976"/>
    <cellStyle name="Total 7 2" xfId="41054"/>
    <cellStyle name="Total 8" xfId="17803"/>
    <cellStyle name="Total 9" xfId="14307"/>
    <cellStyle name="Total 9 2" xfId="42340"/>
    <cellStyle name="Total4 - Style4" xfId="3330"/>
    <cellStyle name="Total4 - Style4 2" xfId="3331"/>
    <cellStyle name="Total4 - Style4 2 10" xfId="11849"/>
    <cellStyle name="Total4 - Style4 2 2" xfId="11850"/>
    <cellStyle name="Total4 - Style4 2 2 2" xfId="41055"/>
    <cellStyle name="Total4 - Style4 2 3" xfId="11851"/>
    <cellStyle name="Total4 - Style4 2 4" xfId="11852"/>
    <cellStyle name="Total4 - Style4 2 5" xfId="11853"/>
    <cellStyle name="Total4 - Style4 2 6" xfId="11854"/>
    <cellStyle name="Total4 - Style4 2 7" xfId="11855"/>
    <cellStyle name="Total4 - Style4 2 8" xfId="17879"/>
    <cellStyle name="Total4 - Style4 2 9" xfId="22372"/>
    <cellStyle name="Total4 - Style4 3" xfId="13977"/>
    <cellStyle name="Total4 - Style4 3 2" xfId="41056"/>
    <cellStyle name="Total4 - Style4 3 2 2" xfId="41057"/>
    <cellStyle name="Total4 - Style4 3 3" xfId="41058"/>
    <cellStyle name="Total4 - Style4 3 4" xfId="41059"/>
    <cellStyle name="Total4 - Style4 4" xfId="17808"/>
    <cellStyle name="Total4 - Style4 4 2" xfId="41060"/>
    <cellStyle name="Total4 - Style4 5" xfId="41061"/>
    <cellStyle name="Total4 - Style4 6" xfId="11848"/>
    <cellStyle name="Total4 - Style4_Electric Rev Req Model (2009 GRC) Rebuttal" xfId="11856"/>
    <cellStyle name="Totals" xfId="41062"/>
    <cellStyle name="Totals [0]" xfId="41063"/>
    <cellStyle name="Totals [2]" xfId="41064"/>
    <cellStyle name="Totals_FWB Summary" xfId="41065"/>
    <cellStyle name="UnProtectedCalc" xfId="41066"/>
    <cellStyle name="Warning Text 10" xfId="11857"/>
    <cellStyle name="Warning Text 2" xfId="3332"/>
    <cellStyle name="Warning Text 2 2" xfId="3333"/>
    <cellStyle name="Warning Text 2 2 2" xfId="3334"/>
    <cellStyle name="Warning Text 2 2 2 2" xfId="41067"/>
    <cellStyle name="Warning Text 2 2 2 2 2" xfId="41068"/>
    <cellStyle name="Warning Text 2 2 2 3" xfId="41069"/>
    <cellStyle name="Warning Text 2 2 2 4" xfId="41070"/>
    <cellStyle name="Warning Text 2 2 2 5" xfId="13978"/>
    <cellStyle name="Warning Text 2 2 3" xfId="13979"/>
    <cellStyle name="Warning Text 2 2 3 2" xfId="13980"/>
    <cellStyle name="Warning Text 2 2 3 2 2" xfId="41071"/>
    <cellStyle name="Warning Text 2 2 3 3" xfId="42341"/>
    <cellStyle name="Warning Text 2 2 4" xfId="15682"/>
    <cellStyle name="Warning Text 2 2 4 2" xfId="41072"/>
    <cellStyle name="Warning Text 2 2 5" xfId="17811"/>
    <cellStyle name="Warning Text 2 2 6" xfId="11859"/>
    <cellStyle name="Warning Text 2 3" xfId="3335"/>
    <cellStyle name="Warning Text 2 3 2" xfId="15683"/>
    <cellStyle name="Warning Text 2 3 2 2" xfId="41073"/>
    <cellStyle name="Warning Text 2 3 2 2 2" xfId="41074"/>
    <cellStyle name="Warning Text 2 3 2 3" xfId="41075"/>
    <cellStyle name="Warning Text 2 3 2 4" xfId="41076"/>
    <cellStyle name="Warning Text 2 3 3" xfId="18094"/>
    <cellStyle name="Warning Text 2 3 3 2" xfId="41077"/>
    <cellStyle name="Warning Text 2 3 4" xfId="41078"/>
    <cellStyle name="Warning Text 2 3 4 2" xfId="41079"/>
    <cellStyle name="Warning Text 2 3 5" xfId="11860"/>
    <cellStyle name="Warning Text 2 4" xfId="13981"/>
    <cellStyle name="Warning Text 2 4 2" xfId="13982"/>
    <cellStyle name="Warning Text 2 4 2 2" xfId="41080"/>
    <cellStyle name="Warning Text 2 4 3" xfId="41081"/>
    <cellStyle name="Warning Text 2 4 4" xfId="41082"/>
    <cellStyle name="Warning Text 2 5" xfId="13983"/>
    <cellStyle name="Warning Text 2 5 2" xfId="41083"/>
    <cellStyle name="Warning Text 2 5 3" xfId="41084"/>
    <cellStyle name="Warning Text 2 6" xfId="17810"/>
    <cellStyle name="Warning Text 2 6 2" xfId="41085"/>
    <cellStyle name="Warning Text 2 7" xfId="11858"/>
    <cellStyle name="Warning Text 3" xfId="3336"/>
    <cellStyle name="Warning Text 3 2" xfId="13984"/>
    <cellStyle name="Warning Text 3 2 2" xfId="41086"/>
    <cellStyle name="Warning Text 3 2 2 2" xfId="41087"/>
    <cellStyle name="Warning Text 3 2 3" xfId="41088"/>
    <cellStyle name="Warning Text 3 2 4" xfId="41089"/>
    <cellStyle name="Warning Text 3 3" xfId="13985"/>
    <cellStyle name="Warning Text 3 3 2" xfId="13986"/>
    <cellStyle name="Warning Text 3 3 2 2" xfId="41090"/>
    <cellStyle name="Warning Text 3 3 3" xfId="42342"/>
    <cellStyle name="Warning Text 3 4" xfId="13987"/>
    <cellStyle name="Warning Text 3 4 2" xfId="41091"/>
    <cellStyle name="Warning Text 3 5" xfId="17812"/>
    <cellStyle name="Warning Text 3 6" xfId="11861"/>
    <cellStyle name="Warning Text 4" xfId="13988"/>
    <cellStyle name="Warning Text 4 2" xfId="13989"/>
    <cellStyle name="Warning Text 4 2 2" xfId="41092"/>
    <cellStyle name="Warning Text 4 2 2 2" xfId="41093"/>
    <cellStyle name="Warning Text 4 2 3" xfId="41094"/>
    <cellStyle name="Warning Text 4 2 4" xfId="41095"/>
    <cellStyle name="Warning Text 4 3" xfId="41096"/>
    <cellStyle name="Warning Text 4 3 2" xfId="41097"/>
    <cellStyle name="Warning Text 4 3 3" xfId="41098"/>
    <cellStyle name="Warning Text 4 4" xfId="41099"/>
    <cellStyle name="Warning Text 4 4 2" xfId="41100"/>
    <cellStyle name="Warning Text 5" xfId="13990"/>
    <cellStyle name="Warning Text 5 2" xfId="41101"/>
    <cellStyle name="Warning Text 5 2 2" xfId="41102"/>
    <cellStyle name="Warning Text 5 2 3" xfId="41103"/>
    <cellStyle name="Warning Text 5 3" xfId="42343"/>
    <cellStyle name="Warning Text 6" xfId="13991"/>
    <cellStyle name="Warning Text 6 2" xfId="13992"/>
    <cellStyle name="Warning Text 6 2 2" xfId="41104"/>
    <cellStyle name="Warning Text 6 3" xfId="41105"/>
    <cellStyle name="Warning Text 6 4" xfId="41106"/>
    <cellStyle name="Warning Text 7" xfId="13993"/>
    <cellStyle name="Warning Text 7 2" xfId="41107"/>
    <cellStyle name="Warning Text 8" xfId="17809"/>
    <cellStyle name="Warning Text 9" xfId="41108"/>
    <cellStyle name="Year" xfId="41109"/>
    <cellStyle name="Year 2" xfId="41110"/>
  </cellStyles>
  <dxfs count="4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ont>
        <condense val="0"/>
        <extend val="0"/>
        <color indexed="8"/>
      </font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8"/>
      </font>
      <fill>
        <patternFill>
          <bgColor theme="7" tint="0.799981688894314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ont>
        <condense val="0"/>
        <extend val="0"/>
        <color indexed="8"/>
      </font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8"/>
      </font>
      <fill>
        <patternFill>
          <bgColor theme="7" tint="0.79998168889431442"/>
        </patternFill>
      </fill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mruColors>
      <color rgb="FFCCFF99"/>
      <color rgb="FF50F828"/>
      <color rgb="FFFFFFCC"/>
      <color rgb="FFCEEAB0"/>
      <color rgb="FF0000FF"/>
      <color rgb="FFFFCCFF"/>
      <color rgb="FFFF505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190500</xdr:colOff>
      <xdr:row>261</xdr:row>
      <xdr:rowOff>66675</xdr:rowOff>
    </xdr:from>
    <xdr:ext cx="123825" cy="209550"/>
    <xdr:sp macro="" textlink="">
      <xdr:nvSpPr>
        <xdr:cNvPr id="2" name="Text Box 60"/>
        <xdr:cNvSpPr txBox="1">
          <a:spLocks noChangeArrowheads="1"/>
        </xdr:cNvSpPr>
      </xdr:nvSpPr>
      <xdr:spPr bwMode="auto">
        <a:xfrm>
          <a:off x="5676900" y="42329100"/>
          <a:ext cx="123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28</xdr:row>
      <xdr:rowOff>9525</xdr:rowOff>
    </xdr:from>
    <xdr:to>
      <xdr:col>5</xdr:col>
      <xdr:colOff>390525</xdr:colOff>
      <xdr:row>49</xdr:row>
      <xdr:rowOff>0</xdr:rowOff>
    </xdr:to>
    <xdr:sp macro="" textlink="">
      <xdr:nvSpPr>
        <xdr:cNvPr id="2" name="Right Brace 1"/>
        <xdr:cNvSpPr/>
      </xdr:nvSpPr>
      <xdr:spPr>
        <a:xfrm>
          <a:off x="7448550" y="990600"/>
          <a:ext cx="295275" cy="3590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95250</xdr:colOff>
      <xdr:row>51</xdr:row>
      <xdr:rowOff>76200</xdr:rowOff>
    </xdr:from>
    <xdr:to>
      <xdr:col>6</xdr:col>
      <xdr:colOff>0</xdr:colOff>
      <xdr:row>70</xdr:row>
      <xdr:rowOff>76200</xdr:rowOff>
    </xdr:to>
    <xdr:sp macro="" textlink="">
      <xdr:nvSpPr>
        <xdr:cNvPr id="3" name="Right Brace 2"/>
        <xdr:cNvSpPr/>
      </xdr:nvSpPr>
      <xdr:spPr>
        <a:xfrm>
          <a:off x="7448550" y="5143500"/>
          <a:ext cx="104775" cy="3590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114300</xdr:colOff>
      <xdr:row>72</xdr:row>
      <xdr:rowOff>95250</xdr:rowOff>
    </xdr:from>
    <xdr:to>
      <xdr:col>6</xdr:col>
      <xdr:colOff>19050</xdr:colOff>
      <xdr:row>92</xdr:row>
      <xdr:rowOff>95250</xdr:rowOff>
    </xdr:to>
    <xdr:sp macro="" textlink="">
      <xdr:nvSpPr>
        <xdr:cNvPr id="4" name="Right Brace 3"/>
        <xdr:cNvSpPr/>
      </xdr:nvSpPr>
      <xdr:spPr>
        <a:xfrm>
          <a:off x="7467600" y="9429750"/>
          <a:ext cx="104775" cy="35909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95250</xdr:colOff>
      <xdr:row>5</xdr:row>
      <xdr:rowOff>9525</xdr:rowOff>
    </xdr:from>
    <xdr:to>
      <xdr:col>5</xdr:col>
      <xdr:colOff>390525</xdr:colOff>
      <xdr:row>26</xdr:row>
      <xdr:rowOff>19050</xdr:rowOff>
    </xdr:to>
    <xdr:sp macro="" textlink="">
      <xdr:nvSpPr>
        <xdr:cNvPr id="6" name="Right Brace 5"/>
        <xdr:cNvSpPr/>
      </xdr:nvSpPr>
      <xdr:spPr>
        <a:xfrm>
          <a:off x="7448550" y="4552950"/>
          <a:ext cx="104775" cy="32670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OPEN%20RATECASES\PSE%20PCORC%20UE-130617\Responses\PSE%20to%20Staff\42-45\43\Documents%20and%20Settings\okes3179\My%20Documents\_Jeff_F+G\2.0_Clients\Brown%20&amp;%20Caldwell\Lake%20Oswego%20LAKE%20FULL%20PROJECT\Lake%20Full%20Risk%20Register_20February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OPEN%20RATECASES\PSE%20PCORC%20UE-130617\Responses\PSE%20to%20Staff\42-45\43\Documents%20and%20Settings\pounj2\Desktop\Portfolio%20Cost%20Report%20-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OPEN%20RATECASES\PSE%20PCORC%20UE-130617\Responses\PSE%20to%20Staff\42-45\43\Documents%20and%20Settings\zmwalke\Local%20Settings\Temporary%20Internet%20Files\OLK145\Sample%20Cost%20Report_version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OPEN%20RATECASES\PSE%20PCORC%20UE-130617\Responses\PSE%20to%20Staff\42-45\43\BPcp\BE8071\PMC\PC\Reports\Monthly\CR1025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Object</v>
          </cell>
        </row>
        <row r="2">
          <cell r="A2" t="str">
            <v>R2-009JJ-E004</v>
          </cell>
          <cell r="B2" t="str">
            <v/>
          </cell>
          <cell r="C2" t="str">
            <v>MAINTENANCE WAGES</v>
          </cell>
          <cell r="D2" t="str">
            <v/>
          </cell>
          <cell r="E2" t="str">
            <v/>
          </cell>
          <cell r="F2">
            <v>4600</v>
          </cell>
          <cell r="G2">
            <v>39261</v>
          </cell>
          <cell r="H2">
            <v>39261</v>
          </cell>
        </row>
        <row r="3">
          <cell r="A3" t="str">
            <v>R2-009JJ-E004</v>
          </cell>
          <cell r="B3" t="str">
            <v/>
          </cell>
          <cell r="C3" t="str">
            <v>MAINTENANCE WAGES</v>
          </cell>
          <cell r="D3" t="str">
            <v/>
          </cell>
          <cell r="E3" t="str">
            <v/>
          </cell>
          <cell r="F3">
            <v>4140</v>
          </cell>
          <cell r="G3">
            <v>39261</v>
          </cell>
          <cell r="H3">
            <v>39261</v>
          </cell>
        </row>
        <row r="4">
          <cell r="A4" t="str">
            <v>R2-009JJ-E004</v>
          </cell>
          <cell r="B4" t="str">
            <v/>
          </cell>
          <cell r="C4" t="str">
            <v>MAINTENANCE WAGES</v>
          </cell>
          <cell r="D4" t="str">
            <v/>
          </cell>
          <cell r="E4" t="str">
            <v/>
          </cell>
          <cell r="F4">
            <v>500</v>
          </cell>
          <cell r="G4">
            <v>39261</v>
          </cell>
          <cell r="H4">
            <v>39261</v>
          </cell>
        </row>
        <row r="5">
          <cell r="A5" t="str">
            <v>R2-009JJ-E004</v>
          </cell>
          <cell r="B5" t="str">
            <v/>
          </cell>
          <cell r="C5" t="str">
            <v>MAINTENANCE WAGES</v>
          </cell>
          <cell r="D5" t="str">
            <v/>
          </cell>
          <cell r="E5" t="str">
            <v/>
          </cell>
          <cell r="F5">
            <v>450</v>
          </cell>
          <cell r="G5">
            <v>39261</v>
          </cell>
          <cell r="H5">
            <v>39261</v>
          </cell>
        </row>
        <row r="6">
          <cell r="A6" t="str">
            <v>R2-009JJ-E004</v>
          </cell>
          <cell r="B6" t="str">
            <v/>
          </cell>
          <cell r="C6" t="str">
            <v>MAINTENANCE WAGES</v>
          </cell>
          <cell r="D6" t="str">
            <v/>
          </cell>
          <cell r="E6" t="str">
            <v/>
          </cell>
          <cell r="F6">
            <v>2460</v>
          </cell>
          <cell r="G6">
            <v>39262</v>
          </cell>
          <cell r="H6">
            <v>39262</v>
          </cell>
        </row>
        <row r="7">
          <cell r="A7" t="str">
            <v>R2-009JJ-E004</v>
          </cell>
          <cell r="B7" t="str">
            <v/>
          </cell>
          <cell r="C7" t="str">
            <v>MAINTENANCE WAGES</v>
          </cell>
          <cell r="D7" t="str">
            <v/>
          </cell>
          <cell r="E7" t="str">
            <v/>
          </cell>
          <cell r="F7">
            <v>74.680000000000007</v>
          </cell>
          <cell r="G7">
            <v>39286</v>
          </cell>
          <cell r="H7">
            <v>39286</v>
          </cell>
        </row>
        <row r="8">
          <cell r="A8" t="str">
            <v>R2-009JJ-E004</v>
          </cell>
          <cell r="B8" t="str">
            <v/>
          </cell>
          <cell r="C8" t="str">
            <v>MAINTENANCE WAGES</v>
          </cell>
          <cell r="D8" t="str">
            <v/>
          </cell>
          <cell r="E8" t="str">
            <v/>
          </cell>
          <cell r="F8">
            <v>4100</v>
          </cell>
          <cell r="G8">
            <v>39352</v>
          </cell>
          <cell r="H8">
            <v>39352</v>
          </cell>
        </row>
        <row r="9">
          <cell r="A9" t="str">
            <v>R2-009JJ-E004</v>
          </cell>
          <cell r="B9" t="str">
            <v/>
          </cell>
          <cell r="C9" t="str">
            <v>MAINTENANCE WAGES</v>
          </cell>
          <cell r="D9" t="str">
            <v/>
          </cell>
          <cell r="E9" t="str">
            <v/>
          </cell>
          <cell r="F9">
            <v>6560</v>
          </cell>
          <cell r="G9">
            <v>39414</v>
          </cell>
          <cell r="H9">
            <v>39414</v>
          </cell>
        </row>
        <row r="10">
          <cell r="A10" t="str">
            <v>R2-009JJ-E004</v>
          </cell>
          <cell r="B10" t="str">
            <v/>
          </cell>
          <cell r="C10" t="str">
            <v>MAINTENANCE WAGES</v>
          </cell>
          <cell r="D10" t="str">
            <v/>
          </cell>
          <cell r="E10" t="str">
            <v/>
          </cell>
          <cell r="F10">
            <v>-5100</v>
          </cell>
          <cell r="G10">
            <v>39422</v>
          </cell>
          <cell r="H10">
            <v>39422</v>
          </cell>
        </row>
        <row r="11">
          <cell r="A11" t="str">
            <v>R2-009JJ-E004</v>
          </cell>
          <cell r="B11" t="str">
            <v/>
          </cell>
          <cell r="C11" t="str">
            <v>MAINTENANCE WAGES</v>
          </cell>
          <cell r="D11" t="str">
            <v/>
          </cell>
          <cell r="E11" t="str">
            <v/>
          </cell>
          <cell r="F11">
            <v>-4590</v>
          </cell>
          <cell r="G11">
            <v>39422</v>
          </cell>
          <cell r="H11">
            <v>39422</v>
          </cell>
        </row>
        <row r="12">
          <cell r="A12" t="str">
            <v>R2-009JJ-E004</v>
          </cell>
          <cell r="B12" t="str">
            <v/>
          </cell>
          <cell r="C12" t="str">
            <v>MAINTENANCE WAGES</v>
          </cell>
          <cell r="D12" t="str">
            <v/>
          </cell>
          <cell r="E12" t="str">
            <v/>
          </cell>
          <cell r="F12">
            <v>-4100</v>
          </cell>
          <cell r="G12">
            <v>39422</v>
          </cell>
          <cell r="H12">
            <v>39422</v>
          </cell>
        </row>
        <row r="13">
          <cell r="A13" t="str">
            <v>R2-009JJ-E004</v>
          </cell>
          <cell r="B13" t="str">
            <v/>
          </cell>
          <cell r="C13" t="str">
            <v>MAINTENANCE WAGES</v>
          </cell>
          <cell r="D13" t="str">
            <v/>
          </cell>
          <cell r="E13" t="str">
            <v/>
          </cell>
          <cell r="F13">
            <v>-6560</v>
          </cell>
          <cell r="G13">
            <v>39422</v>
          </cell>
          <cell r="H13">
            <v>39422</v>
          </cell>
        </row>
        <row r="14">
          <cell r="A14" t="str">
            <v>R2-009JJ-E004</v>
          </cell>
          <cell r="B14" t="str">
            <v/>
          </cell>
          <cell r="C14" t="str">
            <v>MAINTENANCE WAGES</v>
          </cell>
          <cell r="D14" t="str">
            <v/>
          </cell>
          <cell r="E14" t="str">
            <v/>
          </cell>
          <cell r="F14">
            <v>-2460</v>
          </cell>
          <cell r="G14">
            <v>39422</v>
          </cell>
          <cell r="H14">
            <v>39422</v>
          </cell>
        </row>
        <row r="15">
          <cell r="B15" t="str">
            <v>MAINTENANCE WAGES</v>
          </cell>
        </row>
        <row r="16">
          <cell r="A16" t="str">
            <v>R2-009JJ-E004</v>
          </cell>
          <cell r="B16" t="str">
            <v>ACCOUNTS PAYABLE-UNIDENTIFIED VENDORS</v>
          </cell>
          <cell r="C16" t="str">
            <v>CONTR SRV AGMT - M/R</v>
          </cell>
          <cell r="D16" t="str">
            <v>69186,,0.0</v>
          </cell>
          <cell r="E16" t="str">
            <v>8134281</v>
          </cell>
          <cell r="F16">
            <v>323.83999999999997</v>
          </cell>
          <cell r="G16">
            <v>39307</v>
          </cell>
          <cell r="H16">
            <v>39307</v>
          </cell>
        </row>
        <row r="17">
          <cell r="A17" t="str">
            <v>R2-009JJ-E004</v>
          </cell>
          <cell r="B17" t="str">
            <v>ACCOUNTS PAYABLE-UNIDENTIFIED VENDORS</v>
          </cell>
          <cell r="C17" t="str">
            <v>CONTR SRV AGMT - M/R</v>
          </cell>
          <cell r="D17" t="str">
            <v>69186,,0.0</v>
          </cell>
          <cell r="E17" t="str">
            <v>8135383</v>
          </cell>
          <cell r="F17">
            <v>296.48</v>
          </cell>
          <cell r="G17">
            <v>39307</v>
          </cell>
          <cell r="H17">
            <v>39307</v>
          </cell>
        </row>
        <row r="18">
          <cell r="A18" t="str">
            <v>R2-009JJ-E004</v>
          </cell>
          <cell r="B18" t="str">
            <v>ACCOUNTS PAYABLE-UNIDENTIFIED VENDORS</v>
          </cell>
          <cell r="C18" t="str">
            <v>CONTR SRV AGMT - M/R</v>
          </cell>
          <cell r="D18" t="str">
            <v>69186,,0.0</v>
          </cell>
          <cell r="E18" t="str">
            <v>8143020</v>
          </cell>
          <cell r="F18">
            <v>404.8</v>
          </cell>
          <cell r="G18">
            <v>39314</v>
          </cell>
          <cell r="H18">
            <v>39314</v>
          </cell>
        </row>
        <row r="19">
          <cell r="A19" t="str">
            <v>R2-009JJ-E004</v>
          </cell>
          <cell r="B19" t="str">
            <v>ACCOUNTS PAYABLE-UNIDENTIFIED VENDORS</v>
          </cell>
          <cell r="C19" t="str">
            <v>CONTR SRV AGMT - M/R</v>
          </cell>
          <cell r="D19" t="str">
            <v>69186,,0.0</v>
          </cell>
          <cell r="E19" t="str">
            <v>8144139</v>
          </cell>
          <cell r="F19">
            <v>370.6</v>
          </cell>
          <cell r="G19">
            <v>39314</v>
          </cell>
          <cell r="H19">
            <v>39314</v>
          </cell>
        </row>
        <row r="20">
          <cell r="A20" t="str">
            <v>R2-009JJ-E004</v>
          </cell>
          <cell r="B20" t="str">
            <v>ACCOUNTS PAYABLE-UNIDENTIFIED VENDORS</v>
          </cell>
          <cell r="C20" t="str">
            <v>CONTR SRV AGMT - M/R</v>
          </cell>
          <cell r="D20" t="str">
            <v>69186,,0.0</v>
          </cell>
          <cell r="E20" t="str">
            <v>8145479</v>
          </cell>
          <cell r="F20">
            <v>388.16</v>
          </cell>
          <cell r="G20">
            <v>39314</v>
          </cell>
          <cell r="H20">
            <v>39314</v>
          </cell>
        </row>
        <row r="21">
          <cell r="A21" t="str">
            <v>R2-009JJ-E004</v>
          </cell>
          <cell r="B21" t="str">
            <v>ACCOUNTS PAYABLE-UNIDENTIFIED VENDORS</v>
          </cell>
          <cell r="C21" t="str">
            <v>CONTR SRV AGMT - M/R</v>
          </cell>
          <cell r="D21" t="str">
            <v>69186,,0.0</v>
          </cell>
          <cell r="E21" t="str">
            <v>8146457</v>
          </cell>
          <cell r="F21">
            <v>38.06</v>
          </cell>
          <cell r="G21">
            <v>39314</v>
          </cell>
          <cell r="H21">
            <v>39314</v>
          </cell>
        </row>
        <row r="22">
          <cell r="A22" t="str">
            <v>R2-009JJ-E004</v>
          </cell>
          <cell r="B22" t="str">
            <v>ACCOUNTS PAYABLE-UNIDENTIFIED VENDORS</v>
          </cell>
          <cell r="C22" t="str">
            <v>CONTR SRV AGMT - M/R</v>
          </cell>
          <cell r="D22" t="str">
            <v>69995,,0.0</v>
          </cell>
          <cell r="E22" t="str">
            <v>8226115</v>
          </cell>
          <cell r="F22">
            <v>276</v>
          </cell>
          <cell r="G22">
            <v>39363</v>
          </cell>
          <cell r="H22">
            <v>39363</v>
          </cell>
        </row>
        <row r="23">
          <cell r="A23" t="str">
            <v>R2-009JJ-E004</v>
          </cell>
          <cell r="B23" t="str">
            <v>ACCOUNTS PAYABLE-UNIDENTIFIED VENDORS</v>
          </cell>
          <cell r="C23" t="str">
            <v>CONTR SRV AGMT - M/R</v>
          </cell>
          <cell r="D23" t="str">
            <v>69186,,0.0</v>
          </cell>
          <cell r="E23" t="str">
            <v>8314443</v>
          </cell>
          <cell r="F23">
            <v>230.64</v>
          </cell>
          <cell r="G23">
            <v>39391</v>
          </cell>
          <cell r="H23">
            <v>39391</v>
          </cell>
        </row>
        <row r="24">
          <cell r="A24" t="str">
            <v>R2-009JJ-E004</v>
          </cell>
          <cell r="B24" t="str">
            <v>ACCOUNTS PAYABLE-UNIDENTIFIED VENDORS</v>
          </cell>
          <cell r="C24" t="str">
            <v>CONTR SRV AGMT - M/R</v>
          </cell>
          <cell r="D24" t="str">
            <v>69186,,0.0</v>
          </cell>
          <cell r="E24" t="str">
            <v>8346566</v>
          </cell>
          <cell r="F24">
            <v>165</v>
          </cell>
          <cell r="G24">
            <v>39413</v>
          </cell>
          <cell r="H24">
            <v>39413</v>
          </cell>
        </row>
        <row r="25">
          <cell r="A25" t="str">
            <v>R2-009JJ-E004</v>
          </cell>
          <cell r="B25" t="str">
            <v>ACCOUNTS PAYABLE-UNIDENTIFIED VENDORS</v>
          </cell>
          <cell r="C25" t="str">
            <v>CONTR SRV AGMT - M/R</v>
          </cell>
          <cell r="D25" t="str">
            <v>69186,,0.0</v>
          </cell>
          <cell r="E25" t="str">
            <v>8347160</v>
          </cell>
          <cell r="F25">
            <v>165</v>
          </cell>
          <cell r="G25">
            <v>39413</v>
          </cell>
          <cell r="H25">
            <v>39413</v>
          </cell>
        </row>
        <row r="26">
          <cell r="A26" t="str">
            <v>R2-009JJ-E004</v>
          </cell>
          <cell r="B26" t="str">
            <v>ACCOUNTS PAYABLE-UNIDENTIFIED VENDORS</v>
          </cell>
          <cell r="C26" t="str">
            <v>CONTR SRV AGMT - M/R</v>
          </cell>
          <cell r="D26" t="str">
            <v>69186,,0.0</v>
          </cell>
          <cell r="E26" t="str">
            <v>8347185</v>
          </cell>
          <cell r="F26">
            <v>144.80000000000001</v>
          </cell>
          <cell r="G26">
            <v>39413</v>
          </cell>
          <cell r="H26">
            <v>39413</v>
          </cell>
        </row>
        <row r="27">
          <cell r="A27" t="str">
            <v>R2-009JJ-E004</v>
          </cell>
          <cell r="B27" t="str">
            <v>ACCOUNTS PAYABLE-UNIDENTIFIED VENDORS</v>
          </cell>
          <cell r="C27" t="str">
            <v>CONTR SRV AGMT - M/R</v>
          </cell>
          <cell r="D27" t="str">
            <v>69186,,0.0</v>
          </cell>
          <cell r="E27" t="str">
            <v>8347265</v>
          </cell>
          <cell r="F27">
            <v>197.56</v>
          </cell>
          <cell r="G27">
            <v>39413</v>
          </cell>
          <cell r="H27">
            <v>39413</v>
          </cell>
        </row>
        <row r="28">
          <cell r="A28" t="str">
            <v>R2-009JJ-E004</v>
          </cell>
          <cell r="B28" t="str">
            <v>ACCOUNTS PAYABLE-UNIDENTIFIED VENDORS</v>
          </cell>
          <cell r="C28" t="str">
            <v>CONTR SRV AGMT - M/R</v>
          </cell>
          <cell r="D28" t="str">
            <v>69186,,0.0</v>
          </cell>
          <cell r="E28" t="str">
            <v>8348584</v>
          </cell>
          <cell r="F28">
            <v>247.5</v>
          </cell>
          <cell r="G28">
            <v>39414</v>
          </cell>
          <cell r="H28">
            <v>39414</v>
          </cell>
        </row>
        <row r="29">
          <cell r="A29" t="str">
            <v>R2-009JJ-E004</v>
          </cell>
          <cell r="B29" t="str">
            <v>ACCOUNTS PAYABLE-UNIDENTIFIED VENDORS</v>
          </cell>
          <cell r="C29" t="str">
            <v>CONTR SRV AGMT - M/R</v>
          </cell>
          <cell r="D29" t="str">
            <v>69186,,0.0</v>
          </cell>
          <cell r="E29" t="str">
            <v>8348587</v>
          </cell>
          <cell r="F29">
            <v>206.25</v>
          </cell>
          <cell r="G29">
            <v>39414</v>
          </cell>
          <cell r="H29">
            <v>39414</v>
          </cell>
        </row>
        <row r="30">
          <cell r="A30" t="str">
            <v>R2-009JJ-E004</v>
          </cell>
          <cell r="B30" t="str">
            <v>ACCOUNTS PAYABLE-UNIDENTIFIED VENDORS</v>
          </cell>
          <cell r="C30" t="str">
            <v>CONTR SRV AGMT - M/R</v>
          </cell>
          <cell r="D30" t="str">
            <v>69186,,0.0</v>
          </cell>
          <cell r="E30" t="str">
            <v>8348949</v>
          </cell>
          <cell r="F30">
            <v>111.6</v>
          </cell>
          <cell r="G30">
            <v>39414</v>
          </cell>
          <cell r="H30">
            <v>39414</v>
          </cell>
        </row>
        <row r="31">
          <cell r="A31" t="str">
            <v>R2-009JJ-E004</v>
          </cell>
          <cell r="B31" t="str">
            <v>ACCOUNTS PAYABLE-UNIDENTIFIED VENDORS</v>
          </cell>
          <cell r="C31" t="str">
            <v>CONTR SRV AGMT - M/R</v>
          </cell>
          <cell r="D31" t="str">
            <v>69186,,0.0</v>
          </cell>
          <cell r="E31" t="str">
            <v>8349002</v>
          </cell>
          <cell r="F31">
            <v>111.6</v>
          </cell>
          <cell r="G31">
            <v>39414</v>
          </cell>
          <cell r="H31">
            <v>39414</v>
          </cell>
        </row>
        <row r="32">
          <cell r="A32" t="str">
            <v>R2-009JJ-E004</v>
          </cell>
          <cell r="B32" t="str">
            <v>ACCOUNTS PAYABLE-UNIDENTIFIED VENDORS</v>
          </cell>
          <cell r="C32" t="str">
            <v>CONTR SRV AGMT - M/R</v>
          </cell>
          <cell r="D32" t="str">
            <v>69186,,0.0</v>
          </cell>
          <cell r="E32" t="str">
            <v>8349013</v>
          </cell>
          <cell r="F32">
            <v>126.75</v>
          </cell>
          <cell r="G32">
            <v>39414</v>
          </cell>
          <cell r="H32">
            <v>39414</v>
          </cell>
        </row>
        <row r="33">
          <cell r="A33" t="str">
            <v>R2-009JJ-E004</v>
          </cell>
          <cell r="B33" t="str">
            <v>ACCOUNTS PAYABLE-UNIDENTIFIED VENDORS</v>
          </cell>
          <cell r="C33" t="str">
            <v>CONTR SRV AGMT - M/R</v>
          </cell>
          <cell r="D33" t="str">
            <v>69186,,0.0</v>
          </cell>
          <cell r="E33" t="str">
            <v>8349033</v>
          </cell>
          <cell r="F33">
            <v>111.6</v>
          </cell>
          <cell r="G33">
            <v>39414</v>
          </cell>
          <cell r="H33">
            <v>39414</v>
          </cell>
        </row>
        <row r="34">
          <cell r="A34" t="str">
            <v>R2-009JJ-E004</v>
          </cell>
          <cell r="B34" t="str">
            <v>ACCOUNTS PAYABLE-UNIDENTIFIED VENDORS</v>
          </cell>
          <cell r="C34" t="str">
            <v>CONTR SRV AGMT - M/R</v>
          </cell>
          <cell r="D34" t="str">
            <v>69186,,0.0</v>
          </cell>
          <cell r="E34" t="str">
            <v>8349147</v>
          </cell>
          <cell r="F34">
            <v>247.5</v>
          </cell>
          <cell r="G34">
            <v>39414</v>
          </cell>
          <cell r="H34">
            <v>39414</v>
          </cell>
        </row>
        <row r="35">
          <cell r="A35" t="str">
            <v>R2-009JJ-E004</v>
          </cell>
          <cell r="B35" t="str">
            <v>ACCOUNTS PAYABLE-UNIDENTIFIED VENDORS</v>
          </cell>
          <cell r="C35" t="str">
            <v>CONTR SRV AGMT - M/R</v>
          </cell>
          <cell r="D35" t="str">
            <v>69186,,0.0</v>
          </cell>
          <cell r="E35" t="str">
            <v>8349149</v>
          </cell>
          <cell r="F35">
            <v>206.25</v>
          </cell>
          <cell r="G35">
            <v>39414</v>
          </cell>
          <cell r="H35">
            <v>39414</v>
          </cell>
        </row>
        <row r="36">
          <cell r="A36" t="str">
            <v>R2-009JJ-E004</v>
          </cell>
          <cell r="B36" t="str">
            <v>ACCOUNTS PAYABLE-UNIDENTIFIED VENDORS</v>
          </cell>
          <cell r="C36" t="str">
            <v>CONTR SRV AGMT - M/R</v>
          </cell>
          <cell r="D36" t="str">
            <v>69186,,0.0</v>
          </cell>
          <cell r="E36" t="str">
            <v>8349170</v>
          </cell>
          <cell r="F36">
            <v>217.2</v>
          </cell>
          <cell r="G36">
            <v>39414</v>
          </cell>
          <cell r="H36">
            <v>39414</v>
          </cell>
        </row>
        <row r="37">
          <cell r="A37" t="str">
            <v>R2-009JJ-E004</v>
          </cell>
          <cell r="B37" t="str">
            <v>ACCOUNTS PAYABLE-UNIDENTIFIED VENDORS</v>
          </cell>
          <cell r="C37" t="str">
            <v>CONTR SRV AGMT - M/R</v>
          </cell>
          <cell r="D37" t="str">
            <v>69186,,0.0</v>
          </cell>
          <cell r="E37" t="str">
            <v>8349172</v>
          </cell>
          <cell r="F37">
            <v>181</v>
          </cell>
          <cell r="G37">
            <v>39414</v>
          </cell>
          <cell r="H37">
            <v>39414</v>
          </cell>
        </row>
        <row r="38">
          <cell r="A38" t="str">
            <v>R2-009JJ-E004</v>
          </cell>
          <cell r="B38" t="str">
            <v>ACCOUNTS PAYABLE-UNIDENTIFIED VENDORS</v>
          </cell>
          <cell r="C38" t="str">
            <v>CONTR SRV AGMT - M/R</v>
          </cell>
          <cell r="D38" t="str">
            <v>69186,,0.0</v>
          </cell>
          <cell r="E38" t="str">
            <v>8349297</v>
          </cell>
          <cell r="F38">
            <v>37.04</v>
          </cell>
          <cell r="G38">
            <v>39414</v>
          </cell>
          <cell r="H38">
            <v>39414</v>
          </cell>
        </row>
        <row r="39">
          <cell r="A39" t="str">
            <v>R2-009JJ-E004</v>
          </cell>
          <cell r="B39" t="str">
            <v>ACCOUNTS PAYABLE-UNIDENTIFIED VENDORS</v>
          </cell>
          <cell r="C39" t="str">
            <v>CONTR SRV AGMT - M/R</v>
          </cell>
          <cell r="D39" t="str">
            <v>69186,,0.0</v>
          </cell>
          <cell r="E39" t="str">
            <v>8349298</v>
          </cell>
          <cell r="F39">
            <v>246.95</v>
          </cell>
          <cell r="G39">
            <v>39414</v>
          </cell>
          <cell r="H39">
            <v>39414</v>
          </cell>
        </row>
        <row r="40">
          <cell r="A40" t="str">
            <v>R2-009JJ-E004</v>
          </cell>
          <cell r="B40" t="str">
            <v>ACCOUNTS PAYABLE-UNIDENTIFIED VENDORS</v>
          </cell>
          <cell r="C40" t="str">
            <v>CONTR SRV AGMT - M/R</v>
          </cell>
          <cell r="D40" t="str">
            <v>69186,,0.0</v>
          </cell>
          <cell r="E40" t="str">
            <v>8349300</v>
          </cell>
          <cell r="F40">
            <v>246.95</v>
          </cell>
          <cell r="G40">
            <v>39414</v>
          </cell>
          <cell r="H40">
            <v>39414</v>
          </cell>
        </row>
        <row r="41">
          <cell r="A41" t="str">
            <v>R2-009JJ-E004</v>
          </cell>
          <cell r="B41" t="str">
            <v>ACCOUNTS PAYABLE-UNIDENTIFIED VENDORS</v>
          </cell>
          <cell r="C41" t="str">
            <v>CONTR SRV AGMT - M/R</v>
          </cell>
          <cell r="D41" t="str">
            <v>69186,,0.0</v>
          </cell>
          <cell r="E41" t="str">
            <v>8349402</v>
          </cell>
          <cell r="F41">
            <v>158.16</v>
          </cell>
          <cell r="G41">
            <v>39414</v>
          </cell>
          <cell r="H41">
            <v>39414</v>
          </cell>
        </row>
        <row r="42">
          <cell r="A42" t="str">
            <v>R2-009JJ-E004</v>
          </cell>
          <cell r="B42" t="str">
            <v>ACCOUNTS PAYABLE-UNIDENTIFIED VENDORS</v>
          </cell>
          <cell r="C42" t="str">
            <v>CONTR SRV AGMT - M/R</v>
          </cell>
          <cell r="D42" t="str">
            <v>69186,,0.0</v>
          </cell>
          <cell r="E42" t="str">
            <v>8349468</v>
          </cell>
          <cell r="F42">
            <v>119.84</v>
          </cell>
          <cell r="G42">
            <v>39414</v>
          </cell>
          <cell r="H42">
            <v>39414</v>
          </cell>
        </row>
        <row r="43">
          <cell r="A43" t="str">
            <v>R2-009JJ-E004</v>
          </cell>
          <cell r="B43" t="str">
            <v>ACCOUNTS PAYABLE-UNIDENTIFIED VENDORS</v>
          </cell>
          <cell r="C43" t="str">
            <v>CONTR SRV AGMT - M/R</v>
          </cell>
          <cell r="D43" t="str">
            <v>69186,,0.0</v>
          </cell>
          <cell r="E43" t="str">
            <v>8365093</v>
          </cell>
          <cell r="F43">
            <v>165</v>
          </cell>
          <cell r="G43">
            <v>39426</v>
          </cell>
          <cell r="H43">
            <v>39426</v>
          </cell>
        </row>
        <row r="44">
          <cell r="A44" t="str">
            <v>R2-009JJ-E004</v>
          </cell>
          <cell r="B44" t="str">
            <v>ACCOUNTS PAYABLE-UNIDENTIFIED VENDORS</v>
          </cell>
          <cell r="C44" t="str">
            <v>CONTR SRV AGMT - M/R</v>
          </cell>
          <cell r="D44" t="str">
            <v>69186,,0.0</v>
          </cell>
          <cell r="E44" t="str">
            <v>8366042</v>
          </cell>
          <cell r="F44">
            <v>91.8</v>
          </cell>
          <cell r="G44">
            <v>39426</v>
          </cell>
          <cell r="H44">
            <v>39426</v>
          </cell>
        </row>
        <row r="45">
          <cell r="A45" t="str">
            <v>R2-009JJ-E004</v>
          </cell>
          <cell r="B45" t="str">
            <v>ACCOUNTS PAYABLE-UNIDENTIFIED VENDORS</v>
          </cell>
          <cell r="C45" t="str">
            <v>CONTR SRV AGMT - M/R</v>
          </cell>
          <cell r="D45" t="str">
            <v>69186,,0.0</v>
          </cell>
          <cell r="E45" t="str">
            <v>8366750</v>
          </cell>
          <cell r="F45">
            <v>103.44</v>
          </cell>
          <cell r="G45">
            <v>39426</v>
          </cell>
          <cell r="H45">
            <v>39426</v>
          </cell>
        </row>
        <row r="46">
          <cell r="A46" t="str">
            <v>R2-009JJ-E004</v>
          </cell>
          <cell r="B46" t="str">
            <v>ACCOUNTS PAYABLE-UNIDENTIFIED VENDORS</v>
          </cell>
          <cell r="C46" t="str">
            <v>CONTR SRV AGMT - M/R</v>
          </cell>
          <cell r="D46" t="str">
            <v>69186,,0.0</v>
          </cell>
          <cell r="E46" t="str">
            <v>8371172</v>
          </cell>
          <cell r="F46">
            <v>412.5</v>
          </cell>
          <cell r="G46">
            <v>39428</v>
          </cell>
          <cell r="H46">
            <v>39428</v>
          </cell>
        </row>
        <row r="47">
          <cell r="A47" t="str">
            <v>R2-009JJ-E004</v>
          </cell>
          <cell r="B47" t="str">
            <v>ACCOUNTS PAYABLE-UNIDENTIFIED VENDORS</v>
          </cell>
          <cell r="C47" t="str">
            <v>CONTR SRV AGMT - M/R</v>
          </cell>
          <cell r="D47" t="str">
            <v>69186,,0.0</v>
          </cell>
          <cell r="E47" t="str">
            <v>8371451</v>
          </cell>
          <cell r="F47">
            <v>362</v>
          </cell>
          <cell r="G47">
            <v>39428</v>
          </cell>
          <cell r="H47">
            <v>39428</v>
          </cell>
        </row>
        <row r="48">
          <cell r="A48" t="str">
            <v>R2-009JJ-E004</v>
          </cell>
          <cell r="B48" t="str">
            <v>ACCOUNTS PAYABLE-UNIDENTIFIED VENDORS</v>
          </cell>
          <cell r="C48" t="str">
            <v>CONTR SRV AGMT - M/R</v>
          </cell>
          <cell r="D48" t="str">
            <v>69186,,0.0</v>
          </cell>
          <cell r="E48" t="str">
            <v>8371795</v>
          </cell>
          <cell r="F48">
            <v>98.78</v>
          </cell>
          <cell r="G48">
            <v>39428</v>
          </cell>
          <cell r="H48">
            <v>39428</v>
          </cell>
        </row>
        <row r="49">
          <cell r="A49" t="str">
            <v>R2-009JJ-E004</v>
          </cell>
          <cell r="B49" t="str">
            <v>ACCOUNTS PAYABLE-UNIDENTIFIED VENDORS</v>
          </cell>
          <cell r="C49" t="str">
            <v>CONTR SRV AGMT - M/R</v>
          </cell>
          <cell r="D49" t="str">
            <v>69186,,0.0</v>
          </cell>
          <cell r="E49" t="str">
            <v>8375333</v>
          </cell>
          <cell r="F49">
            <v>123.75</v>
          </cell>
          <cell r="G49">
            <v>39433</v>
          </cell>
          <cell r="H49">
            <v>39433</v>
          </cell>
        </row>
        <row r="50">
          <cell r="A50" t="str">
            <v>R2-009JJ-E004</v>
          </cell>
          <cell r="B50" t="str">
            <v>ACCOUNTS PAYABLE-UNIDENTIFIED VENDORS</v>
          </cell>
          <cell r="C50" t="str">
            <v>CONTR SRV AGMT - M/R</v>
          </cell>
          <cell r="D50" t="str">
            <v>69186,,0.0</v>
          </cell>
          <cell r="E50" t="str">
            <v>8375402</v>
          </cell>
          <cell r="F50">
            <v>82.5</v>
          </cell>
          <cell r="G50">
            <v>39433</v>
          </cell>
          <cell r="H50">
            <v>39433</v>
          </cell>
        </row>
        <row r="51">
          <cell r="A51" t="str">
            <v>R2-009JJ-E004</v>
          </cell>
          <cell r="B51" t="str">
            <v>ACCOUNTS PAYABLE-UNIDENTIFIED VENDORS</v>
          </cell>
          <cell r="C51" t="str">
            <v>CONTR SRV AGMT - M/R</v>
          </cell>
          <cell r="D51" t="str">
            <v>69186,,0.0</v>
          </cell>
          <cell r="E51" t="str">
            <v>8375406</v>
          </cell>
          <cell r="F51">
            <v>206.25</v>
          </cell>
          <cell r="G51">
            <v>39433</v>
          </cell>
          <cell r="H51">
            <v>39433</v>
          </cell>
        </row>
        <row r="52">
          <cell r="A52" t="str">
            <v>R2-009JJ-E004</v>
          </cell>
          <cell r="B52" t="str">
            <v>ACCOUNTS PAYABLE-UNIDENTIFIED VENDORS</v>
          </cell>
          <cell r="C52" t="str">
            <v>CONTR SRV AGMT - M/R</v>
          </cell>
          <cell r="D52" t="str">
            <v>69186,,0.0</v>
          </cell>
          <cell r="E52" t="str">
            <v>8375408</v>
          </cell>
          <cell r="F52">
            <v>41.25</v>
          </cell>
          <cell r="G52">
            <v>39433</v>
          </cell>
          <cell r="H52">
            <v>39433</v>
          </cell>
        </row>
        <row r="53">
          <cell r="A53" t="str">
            <v>R2-009JJ-E004</v>
          </cell>
          <cell r="B53" t="str">
            <v>ACCOUNTS PAYABLE-UNIDENTIFIED VENDORS</v>
          </cell>
          <cell r="C53" t="str">
            <v>CONTR SRV AGMT - M/R</v>
          </cell>
          <cell r="D53" t="str">
            <v>69186,,0.0</v>
          </cell>
          <cell r="E53" t="str">
            <v>8375667</v>
          </cell>
          <cell r="F53">
            <v>72.400000000000006</v>
          </cell>
          <cell r="G53">
            <v>39433</v>
          </cell>
          <cell r="H53">
            <v>39433</v>
          </cell>
        </row>
        <row r="54">
          <cell r="A54" t="str">
            <v>R2-009JJ-E004</v>
          </cell>
          <cell r="B54" t="str">
            <v>ACCOUNTS PAYABLE-UNIDENTIFIED VENDORS</v>
          </cell>
          <cell r="C54" t="str">
            <v>CONTR SRV AGMT - M/R</v>
          </cell>
          <cell r="D54" t="str">
            <v>69186,,0.0</v>
          </cell>
          <cell r="E54" t="str">
            <v>8375673</v>
          </cell>
          <cell r="F54">
            <v>144.80000000000001</v>
          </cell>
          <cell r="G54">
            <v>39433</v>
          </cell>
          <cell r="H54">
            <v>39433</v>
          </cell>
        </row>
        <row r="55">
          <cell r="A55" t="str">
            <v>R2-009JJ-E004</v>
          </cell>
          <cell r="B55" t="str">
            <v>ACCOUNTS PAYABLE-UNIDENTIFIED VENDORS</v>
          </cell>
          <cell r="C55" t="str">
            <v>CONTR SRV AGMT - M/R</v>
          </cell>
          <cell r="D55" t="str">
            <v>69186,,0.0</v>
          </cell>
          <cell r="E55" t="str">
            <v>8375989</v>
          </cell>
          <cell r="F55">
            <v>108.6</v>
          </cell>
          <cell r="G55">
            <v>39433</v>
          </cell>
          <cell r="H55">
            <v>39433</v>
          </cell>
        </row>
        <row r="56">
          <cell r="A56" t="str">
            <v>R2-009JJ-E004</v>
          </cell>
          <cell r="B56" t="str">
            <v>ACCOUNTS PAYABLE-UNIDENTIFIED VENDORS</v>
          </cell>
          <cell r="C56" t="str">
            <v>CONTR SRV AGMT - M/R</v>
          </cell>
          <cell r="D56" t="str">
            <v>69186,,0.0</v>
          </cell>
          <cell r="E56" t="str">
            <v>8376556</v>
          </cell>
          <cell r="F56">
            <v>144.38</v>
          </cell>
          <cell r="G56">
            <v>39433</v>
          </cell>
          <cell r="H56">
            <v>39433</v>
          </cell>
        </row>
        <row r="57">
          <cell r="A57" t="str">
            <v>R2-009JJ-E004</v>
          </cell>
          <cell r="B57" t="str">
            <v>ACCOUNTS PAYABLE-UNIDENTIFIED VENDORS</v>
          </cell>
          <cell r="C57" t="str">
            <v>CONTR SRV AGMT - M/R</v>
          </cell>
          <cell r="D57" t="str">
            <v>69186,,0.0</v>
          </cell>
          <cell r="E57" t="str">
            <v>8376558</v>
          </cell>
          <cell r="F57">
            <v>247.5</v>
          </cell>
          <cell r="G57">
            <v>39433</v>
          </cell>
          <cell r="H57">
            <v>39433</v>
          </cell>
        </row>
        <row r="58">
          <cell r="A58" t="str">
            <v>R2-009JJ-E004</v>
          </cell>
          <cell r="B58" t="str">
            <v>ACCOUNTS PAYABLE-UNIDENTIFIED VENDORS</v>
          </cell>
          <cell r="C58" t="str">
            <v>CONTR SRV AGMT - M/R</v>
          </cell>
          <cell r="D58" t="str">
            <v>69186,,0.0</v>
          </cell>
          <cell r="E58" t="str">
            <v>8376753</v>
          </cell>
          <cell r="F58">
            <v>37.04</v>
          </cell>
          <cell r="G58">
            <v>39433</v>
          </cell>
          <cell r="H58">
            <v>39433</v>
          </cell>
        </row>
        <row r="59">
          <cell r="A59" t="str">
            <v>R2-009JJ-E004</v>
          </cell>
          <cell r="B59" t="str">
            <v>ACCOUNTS PAYABLE-UNIDENTIFIED VENDORS</v>
          </cell>
          <cell r="C59" t="str">
            <v>CONTR SRV AGMT - M/R</v>
          </cell>
          <cell r="D59" t="str">
            <v>69186,,0.0</v>
          </cell>
          <cell r="E59" t="str">
            <v>8376754</v>
          </cell>
          <cell r="F59">
            <v>148.16999999999999</v>
          </cell>
          <cell r="G59">
            <v>39433</v>
          </cell>
          <cell r="H59">
            <v>39433</v>
          </cell>
        </row>
        <row r="60">
          <cell r="A60" t="str">
            <v>R2-009JJ-E004</v>
          </cell>
          <cell r="B60" t="str">
            <v>ACCOUNTS PAYABLE-UNIDENTIFIED VENDORS</v>
          </cell>
          <cell r="C60" t="str">
            <v>CONTR SRV AGMT - M/R</v>
          </cell>
          <cell r="D60" t="str">
            <v>69186,,0.0</v>
          </cell>
          <cell r="E60" t="str">
            <v>8376758</v>
          </cell>
          <cell r="F60">
            <v>37.04</v>
          </cell>
          <cell r="G60">
            <v>39433</v>
          </cell>
          <cell r="H60">
            <v>39433</v>
          </cell>
        </row>
        <row r="61">
          <cell r="A61" t="str">
            <v>R2-009JJ-E004</v>
          </cell>
          <cell r="B61" t="str">
            <v>ACCOUNTS PAYABLE-UNIDENTIFIED VENDORS</v>
          </cell>
          <cell r="C61" t="str">
            <v>CONTR SRV AGMT - M/R</v>
          </cell>
          <cell r="D61" t="str">
            <v>69186,,0.0</v>
          </cell>
          <cell r="E61" t="str">
            <v>8376760</v>
          </cell>
          <cell r="F61">
            <v>148.16999999999999</v>
          </cell>
          <cell r="G61">
            <v>39433</v>
          </cell>
          <cell r="H61">
            <v>39433</v>
          </cell>
        </row>
        <row r="62">
          <cell r="A62" t="str">
            <v>R2-009JJ-E004</v>
          </cell>
          <cell r="B62" t="str">
            <v>ACCOUNTS PAYABLE-UNIDENTIFIED VENDORS</v>
          </cell>
          <cell r="C62" t="str">
            <v>CONTR SRV AGMT - M/R</v>
          </cell>
          <cell r="D62" t="str">
            <v>69186,,0.0</v>
          </cell>
          <cell r="E62" t="str">
            <v>8376930</v>
          </cell>
          <cell r="F62">
            <v>42.62</v>
          </cell>
          <cell r="G62">
            <v>39433</v>
          </cell>
          <cell r="H62">
            <v>39433</v>
          </cell>
        </row>
        <row r="63">
          <cell r="A63" t="str">
            <v>R2-009JJ-E004</v>
          </cell>
          <cell r="B63" t="str">
            <v>ACCOUNTS PAYABLE-UNIDENTIFIED VENDORS</v>
          </cell>
          <cell r="C63" t="str">
            <v>CONTR SRV AGMT - M/R</v>
          </cell>
          <cell r="D63" t="str">
            <v>69186,,0.0</v>
          </cell>
          <cell r="E63" t="str">
            <v>8377168</v>
          </cell>
          <cell r="F63">
            <v>82.5</v>
          </cell>
          <cell r="G63">
            <v>39433</v>
          </cell>
          <cell r="H63">
            <v>39433</v>
          </cell>
        </row>
        <row r="64">
          <cell r="A64" t="str">
            <v>R2-009JJ-E004</v>
          </cell>
          <cell r="B64" t="str">
            <v>ACCOUNTS PAYABLE-UNIDENTIFIED VENDORS</v>
          </cell>
          <cell r="C64" t="str">
            <v>CONTR SRV AGMT - M/R</v>
          </cell>
          <cell r="D64" t="str">
            <v>69186,,0.0</v>
          </cell>
          <cell r="E64" t="str">
            <v>8379450</v>
          </cell>
          <cell r="F64">
            <v>61.2</v>
          </cell>
          <cell r="G64">
            <v>39434</v>
          </cell>
          <cell r="H64">
            <v>39434</v>
          </cell>
        </row>
        <row r="65">
          <cell r="A65" t="str">
            <v>R2-009JJ-E004</v>
          </cell>
          <cell r="B65" t="str">
            <v>ACCOUNTS PAYABLE-UNIDENTIFIED VENDORS</v>
          </cell>
          <cell r="C65" t="str">
            <v>CONTR SRV AGMT - M/R</v>
          </cell>
          <cell r="D65" t="str">
            <v>69186,,0.0</v>
          </cell>
          <cell r="E65" t="str">
            <v>8382577</v>
          </cell>
          <cell r="F65">
            <v>412.5</v>
          </cell>
          <cell r="G65">
            <v>39436</v>
          </cell>
          <cell r="H65">
            <v>39436</v>
          </cell>
        </row>
        <row r="66">
          <cell r="A66" t="str">
            <v>R2-009JJ-E004</v>
          </cell>
          <cell r="B66" t="str">
            <v>ACCOUNTS PAYABLE-UNIDENTIFIED VENDORS</v>
          </cell>
          <cell r="C66" t="str">
            <v>CONTR SRV AGMT - M/R</v>
          </cell>
          <cell r="D66" t="str">
            <v>69186,,0.0</v>
          </cell>
          <cell r="E66" t="str">
            <v>8382578</v>
          </cell>
          <cell r="F66">
            <v>412.5</v>
          </cell>
          <cell r="G66">
            <v>39436</v>
          </cell>
          <cell r="H66">
            <v>39436</v>
          </cell>
        </row>
        <row r="67">
          <cell r="A67" t="str">
            <v>R2-009JJ-E004</v>
          </cell>
          <cell r="B67" t="str">
            <v>ACCOUNTS PAYABLE-UNIDENTIFIED VENDORS</v>
          </cell>
          <cell r="C67" t="str">
            <v>CONTR SRV AGMT - M/R</v>
          </cell>
          <cell r="D67" t="str">
            <v>69186,,0.0</v>
          </cell>
          <cell r="E67" t="str">
            <v>8382597</v>
          </cell>
          <cell r="F67">
            <v>82.5</v>
          </cell>
          <cell r="G67">
            <v>39436</v>
          </cell>
          <cell r="H67">
            <v>39436</v>
          </cell>
        </row>
        <row r="68">
          <cell r="A68" t="str">
            <v>R2-009JJ-E004</v>
          </cell>
          <cell r="B68" t="str">
            <v>ACCOUNTS PAYABLE-UNIDENTIFIED VENDORS</v>
          </cell>
          <cell r="C68" t="str">
            <v>CONTR SRV AGMT - M/R</v>
          </cell>
          <cell r="D68" t="str">
            <v>69186,,0.0</v>
          </cell>
          <cell r="E68" t="str">
            <v>8383235</v>
          </cell>
          <cell r="F68">
            <v>112.7</v>
          </cell>
          <cell r="G68">
            <v>39436</v>
          </cell>
          <cell r="H68">
            <v>39436</v>
          </cell>
        </row>
        <row r="69">
          <cell r="A69" t="str">
            <v>R2-009JJ-E004</v>
          </cell>
          <cell r="B69" t="str">
            <v>ACCOUNTS PAYABLE-UNIDENTIFIED VENDORS</v>
          </cell>
          <cell r="C69" t="str">
            <v>CONTR SRV AGMT - M/R</v>
          </cell>
          <cell r="D69" t="str">
            <v>69186,,0.0</v>
          </cell>
          <cell r="E69" t="str">
            <v>8383237</v>
          </cell>
          <cell r="F69">
            <v>90.16</v>
          </cell>
          <cell r="G69">
            <v>39436</v>
          </cell>
          <cell r="H69">
            <v>39436</v>
          </cell>
        </row>
        <row r="70">
          <cell r="A70" t="str">
            <v>R2-009JJ-E004</v>
          </cell>
          <cell r="B70" t="str">
            <v>ACCOUNTS PAYABLE-UNIDENTIFIED VENDORS</v>
          </cell>
          <cell r="C70" t="str">
            <v>CONTR SRV AGMT - M/R</v>
          </cell>
          <cell r="D70" t="str">
            <v>69186,,0.0</v>
          </cell>
          <cell r="E70" t="str">
            <v>8383294</v>
          </cell>
          <cell r="F70">
            <v>108.6</v>
          </cell>
          <cell r="G70">
            <v>39436</v>
          </cell>
          <cell r="H70">
            <v>39436</v>
          </cell>
        </row>
        <row r="71">
          <cell r="A71" t="str">
            <v>R2-009JJ-E004</v>
          </cell>
          <cell r="B71" t="str">
            <v>ACCOUNTS PAYABLE-UNIDENTIFIED VENDORS</v>
          </cell>
          <cell r="C71" t="str">
            <v>CONTR SRV AGMT - M/R</v>
          </cell>
          <cell r="D71" t="str">
            <v>69186,,0.0</v>
          </cell>
          <cell r="E71" t="str">
            <v>8383453</v>
          </cell>
          <cell r="F71">
            <v>148.16999999999999</v>
          </cell>
          <cell r="G71">
            <v>39436</v>
          </cell>
          <cell r="H71">
            <v>39436</v>
          </cell>
        </row>
        <row r="72">
          <cell r="A72" t="str">
            <v>R2-009JJ-E004</v>
          </cell>
          <cell r="B72" t="str">
            <v>ACCOUNTS PAYABLE-UNIDENTIFIED VENDORS</v>
          </cell>
          <cell r="C72" t="str">
            <v>CONTR SRV AGMT - M/R</v>
          </cell>
          <cell r="D72" t="str">
            <v>69186,,0.0</v>
          </cell>
          <cell r="E72" t="str">
            <v>8383458</v>
          </cell>
          <cell r="F72">
            <v>37.04</v>
          </cell>
          <cell r="G72">
            <v>39436</v>
          </cell>
          <cell r="H72">
            <v>39436</v>
          </cell>
        </row>
        <row r="73">
          <cell r="A73" t="str">
            <v>R2-009JJ-E004</v>
          </cell>
          <cell r="B73" t="str">
            <v>ACCOUNTS PAYABLE-UNIDENTIFIED VENDORS</v>
          </cell>
          <cell r="C73" t="str">
            <v>CONTR SRV AGMT - M/R</v>
          </cell>
          <cell r="D73" t="str">
            <v>69186,,0.0</v>
          </cell>
          <cell r="E73" t="str">
            <v>8383459</v>
          </cell>
          <cell r="F73">
            <v>148.16999999999999</v>
          </cell>
          <cell r="G73">
            <v>39436</v>
          </cell>
          <cell r="H73">
            <v>39436</v>
          </cell>
        </row>
        <row r="74">
          <cell r="A74" t="str">
            <v>R2-009JJ-E004</v>
          </cell>
          <cell r="B74" t="str">
            <v>ACCOUNTS PAYABLE-UNIDENTIFIED VENDORS</v>
          </cell>
          <cell r="C74" t="str">
            <v>CONTR SRV AGMT - M/R</v>
          </cell>
          <cell r="D74" t="str">
            <v>69186,,0.0</v>
          </cell>
          <cell r="E74" t="str">
            <v>8383492</v>
          </cell>
          <cell r="F74">
            <v>119.84</v>
          </cell>
          <cell r="G74">
            <v>39436</v>
          </cell>
          <cell r="H74">
            <v>39436</v>
          </cell>
        </row>
        <row r="75">
          <cell r="A75" t="str">
            <v>R2-009JJ-E004</v>
          </cell>
          <cell r="B75" t="str">
            <v>ACCOUNTS PAYABLE-UNIDENTIFIED VENDORS</v>
          </cell>
          <cell r="C75" t="str">
            <v>CONTR SRV AGMT - M/R</v>
          </cell>
          <cell r="D75" t="str">
            <v>69186,,0.0</v>
          </cell>
          <cell r="E75" t="str">
            <v>8387831</v>
          </cell>
          <cell r="F75">
            <v>330</v>
          </cell>
          <cell r="G75">
            <v>39443</v>
          </cell>
          <cell r="H75">
            <v>39443</v>
          </cell>
        </row>
        <row r="76">
          <cell r="A76" t="str">
            <v>R2-009JJ-E004</v>
          </cell>
          <cell r="B76" t="str">
            <v>ACCOUNTS PAYABLE-UNIDENTIFIED VENDORS</v>
          </cell>
          <cell r="C76" t="str">
            <v>CONTR SRV AGMT - M/R</v>
          </cell>
          <cell r="D76" t="str">
            <v>69186,,0.0</v>
          </cell>
          <cell r="E76" t="str">
            <v>8387872</v>
          </cell>
          <cell r="F76">
            <v>288.75</v>
          </cell>
          <cell r="G76">
            <v>39443</v>
          </cell>
          <cell r="H76">
            <v>39443</v>
          </cell>
        </row>
        <row r="77">
          <cell r="A77" t="str">
            <v>R2-009JJ-E004</v>
          </cell>
          <cell r="B77" t="str">
            <v>ACCOUNTS PAYABLE-UNIDENTIFIED VENDORS</v>
          </cell>
          <cell r="C77" t="str">
            <v>CONTR SRV AGMT - M/R</v>
          </cell>
          <cell r="D77" t="str">
            <v>69186,,0.0</v>
          </cell>
          <cell r="E77" t="str">
            <v>8388088</v>
          </cell>
          <cell r="F77">
            <v>217.2</v>
          </cell>
          <cell r="G77">
            <v>39443</v>
          </cell>
          <cell r="H77">
            <v>39443</v>
          </cell>
        </row>
        <row r="78">
          <cell r="A78" t="str">
            <v>R2-009JJ-E004</v>
          </cell>
          <cell r="B78" t="str">
            <v>ACCOUNTS PAYABLE-UNIDENTIFIED VENDORS</v>
          </cell>
          <cell r="C78" t="str">
            <v>CONTR SRV AGMT - M/R</v>
          </cell>
          <cell r="D78" t="str">
            <v>69186,,0.0</v>
          </cell>
          <cell r="E78" t="str">
            <v>8388571</v>
          </cell>
          <cell r="F78">
            <v>157.78</v>
          </cell>
          <cell r="G78">
            <v>39443</v>
          </cell>
          <cell r="H78">
            <v>39443</v>
          </cell>
        </row>
        <row r="79">
          <cell r="A79" t="str">
            <v>R2-009JJ-E004</v>
          </cell>
          <cell r="B79" t="str">
            <v>ACCOUNTS PAYABLE-UNIDENTIFIED VENDORS</v>
          </cell>
          <cell r="C79" t="str">
            <v>CONTR SRV AGMT - M/R</v>
          </cell>
          <cell r="D79" t="str">
            <v>69186,,0.0</v>
          </cell>
          <cell r="E79" t="str">
            <v>8388942</v>
          </cell>
          <cell r="F79">
            <v>37.04</v>
          </cell>
          <cell r="G79">
            <v>39443</v>
          </cell>
          <cell r="H79">
            <v>39443</v>
          </cell>
        </row>
        <row r="80">
          <cell r="A80" t="str">
            <v>R2-009JJ-E004</v>
          </cell>
          <cell r="B80" t="str">
            <v>ACCOUNTS PAYABLE-UNIDENTIFIED VENDORS</v>
          </cell>
          <cell r="C80" t="str">
            <v>CONTR SRV AGMT - M/R</v>
          </cell>
          <cell r="D80" t="str">
            <v>69186,,0.0</v>
          </cell>
          <cell r="E80" t="str">
            <v>8388943</v>
          </cell>
          <cell r="F80">
            <v>98.78</v>
          </cell>
          <cell r="G80">
            <v>39443</v>
          </cell>
          <cell r="H80">
            <v>39443</v>
          </cell>
        </row>
        <row r="81">
          <cell r="A81" t="str">
            <v>R2-009JJ-E004</v>
          </cell>
          <cell r="B81" t="str">
            <v>ACCOUNTS PAYABLE-UNIDENTIFIED VENDORS</v>
          </cell>
          <cell r="C81" t="str">
            <v>CONTR SRV AGMT - M/R</v>
          </cell>
          <cell r="D81" t="str">
            <v>69186,,0.0</v>
          </cell>
          <cell r="E81" t="str">
            <v>8393277</v>
          </cell>
          <cell r="F81">
            <v>165</v>
          </cell>
          <cell r="G81">
            <v>39447</v>
          </cell>
          <cell r="H81">
            <v>39447</v>
          </cell>
        </row>
        <row r="82">
          <cell r="A82" t="str">
            <v>R2-009JJ-E004</v>
          </cell>
          <cell r="B82" t="str">
            <v>ACCOUNTS PAYABLE-UNIDENTIFIED VENDORS</v>
          </cell>
          <cell r="C82" t="str">
            <v>CONTR SRV AGMT - M/R</v>
          </cell>
          <cell r="D82" t="str">
            <v>69186,,0.0</v>
          </cell>
          <cell r="E82" t="str">
            <v>8393312</v>
          </cell>
          <cell r="F82">
            <v>288.75</v>
          </cell>
          <cell r="G82">
            <v>39447</v>
          </cell>
          <cell r="H82">
            <v>39447</v>
          </cell>
        </row>
        <row r="83">
          <cell r="A83" t="str">
            <v>R2-009JJ-E004</v>
          </cell>
          <cell r="B83" t="str">
            <v>ACCOUNTS PAYABLE-UNIDENTIFIED VENDORS</v>
          </cell>
          <cell r="C83" t="str">
            <v>CONTR SRV AGMT - M/R</v>
          </cell>
          <cell r="D83" t="str">
            <v>69186,,0.0</v>
          </cell>
          <cell r="E83" t="str">
            <v>8393371</v>
          </cell>
          <cell r="F83">
            <v>123.75</v>
          </cell>
          <cell r="G83">
            <v>39447</v>
          </cell>
          <cell r="H83">
            <v>39447</v>
          </cell>
        </row>
        <row r="84">
          <cell r="A84" t="str">
            <v>R2-009JJ-E004</v>
          </cell>
          <cell r="B84" t="str">
            <v>ACCOUNTS PAYABLE-UNIDENTIFIED VENDORS</v>
          </cell>
          <cell r="C84" t="str">
            <v>CONTR SRV AGMT - M/R</v>
          </cell>
          <cell r="D84" t="str">
            <v>69186,,0.0</v>
          </cell>
          <cell r="E84" t="str">
            <v>8393478</v>
          </cell>
          <cell r="F84">
            <v>253.4</v>
          </cell>
          <cell r="G84">
            <v>39447</v>
          </cell>
          <cell r="H84">
            <v>39447</v>
          </cell>
        </row>
        <row r="85">
          <cell r="A85" t="str">
            <v>R2-009JJ-E004</v>
          </cell>
          <cell r="B85" t="str">
            <v>ACCOUNTS PAYABLE-UNIDENTIFIED VENDORS</v>
          </cell>
          <cell r="C85" t="str">
            <v>CONTR SRV AGMT - M/R</v>
          </cell>
          <cell r="D85" t="str">
            <v>69186,,0.0</v>
          </cell>
          <cell r="E85" t="str">
            <v>8393857</v>
          </cell>
          <cell r="F85">
            <v>61.2</v>
          </cell>
          <cell r="G85">
            <v>39447</v>
          </cell>
          <cell r="H85">
            <v>39447</v>
          </cell>
        </row>
        <row r="86">
          <cell r="A86" t="str">
            <v>R2-009JJ-E004</v>
          </cell>
          <cell r="B86" t="str">
            <v>ACCOUNTS PAYABLE-UNIDENTIFIED VENDORS</v>
          </cell>
          <cell r="C86" t="str">
            <v>CONTR SRV AGMT - M/R</v>
          </cell>
          <cell r="D86" t="str">
            <v>69186,,0.0</v>
          </cell>
          <cell r="E86" t="str">
            <v>8394310</v>
          </cell>
          <cell r="F86">
            <v>150.44999999999999</v>
          </cell>
          <cell r="G86">
            <v>39447</v>
          </cell>
          <cell r="H86">
            <v>39447</v>
          </cell>
        </row>
        <row r="87">
          <cell r="A87" t="str">
            <v>R2-009JJ-E004</v>
          </cell>
          <cell r="B87" t="str">
            <v>ACCOUNTS PAYABLE-UNIDENTIFIED VENDORS</v>
          </cell>
          <cell r="C87" t="str">
            <v>CONTR SRV AGMT - M/R</v>
          </cell>
          <cell r="D87" t="str">
            <v>69186,,0.0</v>
          </cell>
          <cell r="E87" t="str">
            <v>8394408</v>
          </cell>
          <cell r="F87">
            <v>82.5</v>
          </cell>
          <cell r="G87">
            <v>39447</v>
          </cell>
          <cell r="H87">
            <v>39447</v>
          </cell>
        </row>
        <row r="88">
          <cell r="A88" t="str">
            <v>R2-009JJ-E004</v>
          </cell>
          <cell r="B88" t="str">
            <v>ACCOUNTS PAYABLE-UNIDENTIFIED VENDORS</v>
          </cell>
          <cell r="C88" t="str">
            <v>CONTR SRV AGMT - M/R</v>
          </cell>
          <cell r="D88" t="str">
            <v>69186,,0.0</v>
          </cell>
          <cell r="E88" t="str">
            <v>8394574</v>
          </cell>
          <cell r="F88">
            <v>123.48</v>
          </cell>
          <cell r="G88">
            <v>39447</v>
          </cell>
          <cell r="H88">
            <v>39447</v>
          </cell>
        </row>
        <row r="89">
          <cell r="A89" t="str">
            <v>R2-009JJ-E004</v>
          </cell>
          <cell r="B89" t="str">
            <v>ACCOUNTS PAYABLE-UNIDENTIFIED VENDORS</v>
          </cell>
          <cell r="C89" t="str">
            <v>CONTR SRV AGMT - M/R</v>
          </cell>
          <cell r="D89" t="str">
            <v>69186,,0.0</v>
          </cell>
          <cell r="E89" t="str">
            <v>8400350</v>
          </cell>
          <cell r="F89">
            <v>82.5</v>
          </cell>
          <cell r="G89">
            <v>39455</v>
          </cell>
          <cell r="H89">
            <v>39455</v>
          </cell>
        </row>
        <row r="90">
          <cell r="A90" t="str">
            <v>R2-009JJ-E004</v>
          </cell>
          <cell r="B90" t="str">
            <v>ACCOUNTS PAYABLE-UNIDENTIFIED VENDORS</v>
          </cell>
          <cell r="C90" t="str">
            <v>CONTR SRV AGMT - M/R</v>
          </cell>
          <cell r="D90" t="str">
            <v>69186,,0.0</v>
          </cell>
          <cell r="E90" t="str">
            <v>8400356</v>
          </cell>
          <cell r="F90">
            <v>206.25</v>
          </cell>
          <cell r="G90">
            <v>39455</v>
          </cell>
          <cell r="H90">
            <v>39455</v>
          </cell>
        </row>
        <row r="91">
          <cell r="A91" t="str">
            <v>R2-009JJ-E004</v>
          </cell>
          <cell r="B91" t="str">
            <v>ACCOUNTS PAYABLE-UNIDENTIFIED VENDORS</v>
          </cell>
          <cell r="C91" t="str">
            <v>CONTR SRV AGMT - M/R</v>
          </cell>
          <cell r="D91" t="str">
            <v>69186,,0.0</v>
          </cell>
          <cell r="E91" t="str">
            <v>8401598</v>
          </cell>
          <cell r="F91">
            <v>51.72</v>
          </cell>
          <cell r="G91">
            <v>39455</v>
          </cell>
          <cell r="H91">
            <v>39455</v>
          </cell>
        </row>
        <row r="92">
          <cell r="A92" t="str">
            <v>R2-009JJ-E004</v>
          </cell>
          <cell r="B92" t="str">
            <v>ACCOUNTS PAYABLE-UNIDENTIFIED VENDORS</v>
          </cell>
          <cell r="C92" t="str">
            <v>CONTR SRV AGMT - M/R</v>
          </cell>
          <cell r="D92" t="str">
            <v>69186,,0.0</v>
          </cell>
          <cell r="E92" t="str">
            <v>8401602</v>
          </cell>
          <cell r="F92">
            <v>51.72</v>
          </cell>
          <cell r="G92">
            <v>39455</v>
          </cell>
          <cell r="H92">
            <v>39455</v>
          </cell>
        </row>
        <row r="93">
          <cell r="A93" t="str">
            <v>R2-009JJ-E004</v>
          </cell>
          <cell r="B93" t="str">
            <v>ACCOUNTS PAYABLE-UNIDENTIFIED VENDORS</v>
          </cell>
          <cell r="C93" t="str">
            <v>CONTR SRV AGMT - M/R</v>
          </cell>
          <cell r="D93" t="str">
            <v>69186,,0.0</v>
          </cell>
          <cell r="E93" t="str">
            <v>8401865</v>
          </cell>
          <cell r="F93">
            <v>206.25</v>
          </cell>
          <cell r="G93">
            <v>39455</v>
          </cell>
          <cell r="H93">
            <v>39455</v>
          </cell>
        </row>
        <row r="94">
          <cell r="A94" t="str">
            <v>R2-009JJ-E004</v>
          </cell>
          <cell r="B94" t="str">
            <v>ACCOUNTS PAYABLE-UNIDENTIFIED VENDORS</v>
          </cell>
          <cell r="C94" t="str">
            <v>CONTR SRV AGMT - M/R</v>
          </cell>
          <cell r="D94" t="str">
            <v>69186,,0.0</v>
          </cell>
          <cell r="E94" t="str">
            <v>8401985</v>
          </cell>
          <cell r="F94">
            <v>42.62</v>
          </cell>
          <cell r="G94">
            <v>39455</v>
          </cell>
          <cell r="H94">
            <v>39455</v>
          </cell>
        </row>
        <row r="95">
          <cell r="A95" t="str">
            <v>R2-009JJ-E004</v>
          </cell>
          <cell r="B95" t="str">
            <v>ACCOUNTS PAYABLE-UNIDENTIFIED VENDORS</v>
          </cell>
          <cell r="C95" t="str">
            <v>CONTR SRV AGMT - M/R</v>
          </cell>
          <cell r="D95" t="str">
            <v>69186,,0.0</v>
          </cell>
          <cell r="E95" t="str">
            <v>8406686</v>
          </cell>
          <cell r="F95">
            <v>82.02</v>
          </cell>
          <cell r="G95">
            <v>39461</v>
          </cell>
          <cell r="H95">
            <v>39461</v>
          </cell>
        </row>
        <row r="96">
          <cell r="A96" t="str">
            <v>R2-009JJ-E004</v>
          </cell>
          <cell r="B96" t="str">
            <v>ACCOUNTS PAYABLE-UNIDENTIFIED VENDORS</v>
          </cell>
          <cell r="C96" t="str">
            <v>CONTR SRV AGMT - M/R</v>
          </cell>
          <cell r="D96" t="str">
            <v>69186,,0.0</v>
          </cell>
          <cell r="E96" t="str">
            <v>8407031</v>
          </cell>
          <cell r="F96">
            <v>75.06</v>
          </cell>
          <cell r="G96">
            <v>39461</v>
          </cell>
          <cell r="H96">
            <v>39461</v>
          </cell>
        </row>
        <row r="97">
          <cell r="A97" t="str">
            <v>R2-009JJ-E004</v>
          </cell>
          <cell r="B97" t="str">
            <v>ACCOUNTS PAYABLE-UNIDENTIFIED VENDORS</v>
          </cell>
          <cell r="C97" t="str">
            <v>CONTR SRV AGMT - M/R</v>
          </cell>
          <cell r="D97" t="str">
            <v>69186,,0.0</v>
          </cell>
          <cell r="E97" t="str">
            <v>8408913</v>
          </cell>
          <cell r="F97">
            <v>123.03</v>
          </cell>
          <cell r="G97">
            <v>39462</v>
          </cell>
          <cell r="H97">
            <v>39462</v>
          </cell>
        </row>
        <row r="98">
          <cell r="A98" t="str">
            <v>R2-009JJ-E004</v>
          </cell>
          <cell r="B98" t="str">
            <v>ACCOUNTS PAYABLE-UNIDENTIFIED VENDORS</v>
          </cell>
          <cell r="C98" t="str">
            <v>CONTR SRV AGMT - M/R</v>
          </cell>
          <cell r="D98" t="str">
            <v>69186,,0.0</v>
          </cell>
          <cell r="E98" t="str">
            <v>8408997</v>
          </cell>
          <cell r="F98">
            <v>81.48</v>
          </cell>
          <cell r="G98">
            <v>39462</v>
          </cell>
          <cell r="H98">
            <v>39462</v>
          </cell>
        </row>
        <row r="99">
          <cell r="A99" t="str">
            <v>R2-009JJ-E004</v>
          </cell>
          <cell r="B99" t="str">
            <v>ACCOUNTS PAYABLE-UNIDENTIFIED VENDORS</v>
          </cell>
          <cell r="C99" t="str">
            <v>CONTR SRV AGMT - M/R</v>
          </cell>
          <cell r="D99" t="str">
            <v>69186,,0.0</v>
          </cell>
          <cell r="E99" t="str">
            <v>8409137</v>
          </cell>
          <cell r="F99">
            <v>123.03</v>
          </cell>
          <cell r="G99">
            <v>39462</v>
          </cell>
          <cell r="H99">
            <v>39462</v>
          </cell>
        </row>
        <row r="100">
          <cell r="A100" t="str">
            <v>R2-009JJ-E004</v>
          </cell>
          <cell r="B100" t="str">
            <v>ACCOUNTS PAYABLE-UNIDENTIFIED VENDORS</v>
          </cell>
          <cell r="C100" t="str">
            <v>CONTR SRV AGMT - M/R</v>
          </cell>
          <cell r="D100" t="str">
            <v>69186,,0.0</v>
          </cell>
          <cell r="E100" t="str">
            <v>8409416</v>
          </cell>
          <cell r="F100">
            <v>143.96</v>
          </cell>
          <cell r="G100">
            <v>39462</v>
          </cell>
          <cell r="H100">
            <v>39462</v>
          </cell>
        </row>
        <row r="101">
          <cell r="A101" t="str">
            <v>R2-009JJ-E004</v>
          </cell>
          <cell r="B101" t="str">
            <v>ACCOUNTS PAYABLE-UNIDENTIFIED VENDORS</v>
          </cell>
          <cell r="C101" t="str">
            <v>CONTR SRV AGMT - M/R</v>
          </cell>
          <cell r="D101" t="str">
            <v>69186,,0.0</v>
          </cell>
          <cell r="E101" t="str">
            <v>8409441</v>
          </cell>
          <cell r="F101">
            <v>102.82</v>
          </cell>
          <cell r="G101">
            <v>39462</v>
          </cell>
          <cell r="H101">
            <v>39462</v>
          </cell>
        </row>
        <row r="102">
          <cell r="A102" t="str">
            <v>R2-009JJ-E004</v>
          </cell>
          <cell r="B102" t="str">
            <v>ACCOUNTS PAYABLE-UNIDENTIFIED VENDORS</v>
          </cell>
          <cell r="C102" t="str">
            <v>CONTR SRV AGMT - M/R</v>
          </cell>
          <cell r="D102" t="str">
            <v>69186,,0.0</v>
          </cell>
          <cell r="E102" t="str">
            <v>8409720</v>
          </cell>
          <cell r="F102">
            <v>123.03</v>
          </cell>
          <cell r="G102">
            <v>39462</v>
          </cell>
          <cell r="H102">
            <v>39462</v>
          </cell>
        </row>
        <row r="103">
          <cell r="A103" t="str">
            <v>R2-009JJ-E004</v>
          </cell>
          <cell r="B103" t="str">
            <v>ACCOUNTS PAYABLE-UNIDENTIFIED VENDORS</v>
          </cell>
          <cell r="C103" t="str">
            <v>CONTR SRV AGMT - M/R</v>
          </cell>
          <cell r="D103" t="str">
            <v>69186,,0.0</v>
          </cell>
          <cell r="E103" t="str">
            <v>8410582</v>
          </cell>
          <cell r="F103">
            <v>82.02</v>
          </cell>
          <cell r="G103">
            <v>39463</v>
          </cell>
          <cell r="H103">
            <v>39463</v>
          </cell>
        </row>
        <row r="104">
          <cell r="A104" t="str">
            <v>R2-009JJ-E004</v>
          </cell>
          <cell r="B104" t="str">
            <v>ACCOUNTS PAYABLE-UNIDENTIFIED VENDORS</v>
          </cell>
          <cell r="C104" t="str">
            <v>CONTR SRV AGMT - M/R</v>
          </cell>
          <cell r="D104" t="str">
            <v>69186,,0.0</v>
          </cell>
          <cell r="E104" t="str">
            <v>8410627</v>
          </cell>
          <cell r="F104">
            <v>122.22</v>
          </cell>
          <cell r="G104">
            <v>39463</v>
          </cell>
          <cell r="H104">
            <v>39463</v>
          </cell>
        </row>
        <row r="105">
          <cell r="A105" t="str">
            <v>R2-009JJ-E004</v>
          </cell>
          <cell r="B105" t="str">
            <v>ACCOUNTS PAYABLE-UNIDENTIFIED VENDORS</v>
          </cell>
          <cell r="C105" t="str">
            <v>CONTR SRV AGMT - M/R</v>
          </cell>
          <cell r="D105" t="str">
            <v>69186,,0.0</v>
          </cell>
          <cell r="E105" t="str">
            <v>8411074</v>
          </cell>
          <cell r="F105">
            <v>82.02</v>
          </cell>
          <cell r="G105">
            <v>39463</v>
          </cell>
          <cell r="H105">
            <v>39463</v>
          </cell>
        </row>
        <row r="106">
          <cell r="A106" t="str">
            <v>R2-009JJ-E004</v>
          </cell>
          <cell r="B106" t="str">
            <v>ACCOUNTS PAYABLE-UNIDENTIFIED VENDORS</v>
          </cell>
          <cell r="C106" t="str">
            <v>CONTR SRV AGMT - M/R</v>
          </cell>
          <cell r="D106" t="str">
            <v>69186,,0.0</v>
          </cell>
          <cell r="E106" t="str">
            <v>8411041</v>
          </cell>
          <cell r="F106">
            <v>98.2</v>
          </cell>
          <cell r="G106">
            <v>39463</v>
          </cell>
          <cell r="H106">
            <v>39463</v>
          </cell>
        </row>
        <row r="107">
          <cell r="A107" t="str">
            <v>R2-009JJ-E004</v>
          </cell>
          <cell r="B107" t="str">
            <v>ACCOUNTS PAYABLE-UNIDENTIFIED VENDORS</v>
          </cell>
          <cell r="C107" t="str">
            <v>CONTR SRV AGMT - M/R</v>
          </cell>
          <cell r="D107" t="str">
            <v>69995,,0.0</v>
          </cell>
          <cell r="E107" t="str">
            <v>8411054</v>
          </cell>
          <cell r="F107">
            <v>49.11</v>
          </cell>
          <cell r="G107">
            <v>39463</v>
          </cell>
          <cell r="H107">
            <v>39463</v>
          </cell>
        </row>
        <row r="108">
          <cell r="B108" t="str">
            <v>ACCOUNTS PAYABLE-UNIDENTIFIED VENDORS</v>
          </cell>
        </row>
        <row r="109">
          <cell r="A109" t="str">
            <v>R2-009JJ-E004</v>
          </cell>
          <cell r="B109" t="str">
            <v>ACCRUED LIABILITIES-MIS</v>
          </cell>
          <cell r="C109" t="str">
            <v>CONTR SRV AGMT - M/R</v>
          </cell>
          <cell r="D109" t="str">
            <v>69999,,0.0</v>
          </cell>
          <cell r="E109" t="str">
            <v>8122221</v>
          </cell>
          <cell r="F109">
            <v>65726</v>
          </cell>
          <cell r="G109">
            <v>39294</v>
          </cell>
          <cell r="H109">
            <v>39294</v>
          </cell>
        </row>
        <row r="110">
          <cell r="A110" t="str">
            <v>R2-009JJ-E004</v>
          </cell>
          <cell r="B110" t="str">
            <v>ACCRUED LIABILITIES-MIS</v>
          </cell>
          <cell r="C110" t="str">
            <v>CONTR SRV AGMT - M/R</v>
          </cell>
          <cell r="D110" t="str">
            <v>,,0.0</v>
          </cell>
          <cell r="E110" t="str">
            <v>8149115</v>
          </cell>
          <cell r="F110">
            <v>-65726</v>
          </cell>
          <cell r="G110">
            <v>39315</v>
          </cell>
          <cell r="H110">
            <v>39315</v>
          </cell>
        </row>
        <row r="111">
          <cell r="A111" t="str">
            <v>R2-009JJ-E004</v>
          </cell>
          <cell r="B111" t="str">
            <v>ACCRUED LIABILITIES-MIS</v>
          </cell>
          <cell r="C111" t="str">
            <v>CONTR SRV AGMT - M/R</v>
          </cell>
          <cell r="D111" t="str">
            <v>69999,,0.0</v>
          </cell>
          <cell r="E111" t="str">
            <v>8199878</v>
          </cell>
          <cell r="F111">
            <v>28880</v>
          </cell>
          <cell r="G111">
            <v>39353</v>
          </cell>
          <cell r="H111">
            <v>39353</v>
          </cell>
        </row>
        <row r="112">
          <cell r="A112" t="str">
            <v>R2-009JJ-E004</v>
          </cell>
          <cell r="B112" t="str">
            <v>ACCRUED LIABILITIES-MIS</v>
          </cell>
          <cell r="C112" t="str">
            <v>CONTR SRV AGMT - M/R</v>
          </cell>
          <cell r="D112" t="str">
            <v>,,0.0</v>
          </cell>
          <cell r="E112" t="str">
            <v>8263223</v>
          </cell>
          <cell r="F112">
            <v>-28880</v>
          </cell>
          <cell r="G112">
            <v>39372</v>
          </cell>
          <cell r="H112">
            <v>39372</v>
          </cell>
        </row>
        <row r="113">
          <cell r="B113" t="str">
            <v>ACCRUED LIABILITIES-MIS</v>
          </cell>
        </row>
        <row r="114">
          <cell r="A114" t="str">
            <v>R2-009JJ-E004</v>
          </cell>
          <cell r="B114" t="str">
            <v>BERRY ACRES INC</v>
          </cell>
          <cell r="C114" t="str">
            <v>CONTR SRV AGMT - M/R</v>
          </cell>
          <cell r="D114" t="str">
            <v>69186,C52498,1.0         FNID</v>
          </cell>
          <cell r="E114" t="str">
            <v>188313</v>
          </cell>
          <cell r="F114">
            <v>181.46</v>
          </cell>
          <cell r="G114">
            <v>39329</v>
          </cell>
          <cell r="H114">
            <v>39336</v>
          </cell>
        </row>
        <row r="115">
          <cell r="A115" t="str">
            <v>R2-009JJ-E004</v>
          </cell>
          <cell r="B115" t="str">
            <v>BERRY ACRES INC</v>
          </cell>
          <cell r="C115" t="str">
            <v>CONTR SRV AGMT - M/R</v>
          </cell>
          <cell r="D115" t="str">
            <v>69186,C52498,1.0         FNID</v>
          </cell>
          <cell r="E115" t="str">
            <v>188314</v>
          </cell>
          <cell r="F115">
            <v>237.66</v>
          </cell>
          <cell r="G115">
            <v>39329</v>
          </cell>
          <cell r="H115">
            <v>39336</v>
          </cell>
        </row>
        <row r="116">
          <cell r="B116" t="str">
            <v>BERRY ACRES INC</v>
          </cell>
        </row>
        <row r="117">
          <cell r="A117" t="str">
            <v>R2-009JJ-E004</v>
          </cell>
          <cell r="B117" t="str">
            <v>BIRCH EQUIPMENT CO</v>
          </cell>
          <cell r="C117" t="str">
            <v>REPAIR MTL &amp; SUPPLY</v>
          </cell>
          <cell r="D117" t="str">
            <v>69186,C53628,1.0         FNID154508223</v>
          </cell>
          <cell r="E117" t="str">
            <v>181851</v>
          </cell>
          <cell r="F117">
            <v>428.18</v>
          </cell>
          <cell r="G117">
            <v>39224</v>
          </cell>
          <cell r="H117">
            <v>39262</v>
          </cell>
        </row>
        <row r="118">
          <cell r="A118" t="str">
            <v>R2-009JJ-E004</v>
          </cell>
          <cell r="B118" t="str">
            <v>BIRCH EQUIPMENT CO</v>
          </cell>
          <cell r="C118" t="str">
            <v>REPAIR MTL &amp; SUPPLY</v>
          </cell>
          <cell r="D118" t="str">
            <v>69186,C53628,1.0         FNID154508050</v>
          </cell>
          <cell r="E118" t="str">
            <v>181838</v>
          </cell>
          <cell r="F118">
            <v>867.2</v>
          </cell>
          <cell r="G118">
            <v>39234</v>
          </cell>
          <cell r="H118">
            <v>39279</v>
          </cell>
        </row>
        <row r="119">
          <cell r="A119" t="str">
            <v>R2-009JJ-E004</v>
          </cell>
          <cell r="B119" t="str">
            <v>BIRCH EQUIPMENT CO</v>
          </cell>
          <cell r="C119" t="str">
            <v>REPAIR MTL &amp; SUPPLY</v>
          </cell>
          <cell r="D119" t="str">
            <v>69186,C53628,1.0         FNID154508051</v>
          </cell>
          <cell r="E119" t="str">
            <v>181839</v>
          </cell>
          <cell r="F119">
            <v>229.79</v>
          </cell>
          <cell r="G119">
            <v>39233</v>
          </cell>
          <cell r="H119">
            <v>39279</v>
          </cell>
        </row>
        <row r="120">
          <cell r="A120" t="str">
            <v>R2-009JJ-E004</v>
          </cell>
          <cell r="B120" t="str">
            <v>BIRCH EQUIPMENT CO</v>
          </cell>
          <cell r="C120" t="str">
            <v>REPAIR MTL &amp; SUPPLY</v>
          </cell>
          <cell r="D120" t="str">
            <v>69186,C53628,1.0         FNID154508063</v>
          </cell>
          <cell r="E120" t="str">
            <v>181841</v>
          </cell>
          <cell r="F120">
            <v>281.83999999999997</v>
          </cell>
          <cell r="G120">
            <v>39233</v>
          </cell>
          <cell r="H120">
            <v>39279</v>
          </cell>
        </row>
        <row r="121">
          <cell r="A121" t="str">
            <v>R2-009JJ-E004</v>
          </cell>
          <cell r="B121" t="str">
            <v>BIRCH EQUIPMENT CO</v>
          </cell>
          <cell r="C121" t="str">
            <v>REPAIR MTL &amp; SUPPLY</v>
          </cell>
          <cell r="D121" t="str">
            <v>69186,C53628,1.0         FNID154508070</v>
          </cell>
          <cell r="E121" t="str">
            <v>181848</v>
          </cell>
          <cell r="F121">
            <v>97.56</v>
          </cell>
          <cell r="G121">
            <v>39233</v>
          </cell>
          <cell r="H121">
            <v>39280</v>
          </cell>
        </row>
        <row r="122">
          <cell r="A122" t="str">
            <v>R2-009JJ-E004</v>
          </cell>
          <cell r="B122" t="str">
            <v>BIRCH EQUIPMENT CO</v>
          </cell>
          <cell r="C122" t="str">
            <v>REPAIR MTL &amp; SUPPLY</v>
          </cell>
          <cell r="D122" t="str">
            <v>69186,C53628,1.0         FNID154508062</v>
          </cell>
          <cell r="E122" t="str">
            <v>181840</v>
          </cell>
          <cell r="F122">
            <v>428.18</v>
          </cell>
          <cell r="G122">
            <v>39233</v>
          </cell>
          <cell r="H122">
            <v>39281</v>
          </cell>
        </row>
        <row r="123">
          <cell r="A123" t="str">
            <v>R2-009JJ-E004</v>
          </cell>
          <cell r="B123" t="str">
            <v>BIRCH EQUIPMENT CO</v>
          </cell>
          <cell r="C123" t="str">
            <v>REPAIR MTL &amp; SUPPLY</v>
          </cell>
          <cell r="D123" t="str">
            <v>69186,C53628,1.0         FNID154508062</v>
          </cell>
          <cell r="E123" t="str">
            <v>181840</v>
          </cell>
          <cell r="F123">
            <v>1078.58</v>
          </cell>
          <cell r="G123">
            <v>39233</v>
          </cell>
          <cell r="H123">
            <v>39281</v>
          </cell>
        </row>
        <row r="124">
          <cell r="A124" t="str">
            <v>R2-009JJ-E004</v>
          </cell>
          <cell r="B124" t="str">
            <v>BIRCH EQUIPMENT CO</v>
          </cell>
          <cell r="C124" t="str">
            <v>REPAIR MTL &amp; SUPPLY</v>
          </cell>
          <cell r="D124" t="str">
            <v>69186,C53628,1.0         FNID155360430</v>
          </cell>
          <cell r="E124" t="str">
            <v>185132</v>
          </cell>
          <cell r="F124">
            <v>62.87</v>
          </cell>
          <cell r="G124">
            <v>39274</v>
          </cell>
          <cell r="H124">
            <v>39303</v>
          </cell>
        </row>
        <row r="125">
          <cell r="A125" t="str">
            <v>R2-009JJ-E004</v>
          </cell>
          <cell r="B125" t="str">
            <v>BIRCH EQUIPMENT CO</v>
          </cell>
          <cell r="C125" t="str">
            <v>REPAIR MTL &amp; SUPPLY</v>
          </cell>
          <cell r="D125" t="str">
            <v>69186,C53628,1.0         FNID155360431</v>
          </cell>
          <cell r="E125" t="str">
            <v>185134</v>
          </cell>
          <cell r="F125">
            <v>238.48</v>
          </cell>
          <cell r="G125">
            <v>39274</v>
          </cell>
          <cell r="H125">
            <v>39303</v>
          </cell>
        </row>
        <row r="126">
          <cell r="A126" t="str">
            <v>R2-009JJ-E004</v>
          </cell>
          <cell r="B126" t="str">
            <v>BIRCH EQUIPMENT CO</v>
          </cell>
          <cell r="C126" t="str">
            <v>REPAIR MTL &amp; SUPPLY</v>
          </cell>
          <cell r="D126" t="str">
            <v>69186,C53628,1.0         FNID155360432</v>
          </cell>
          <cell r="E126" t="str">
            <v>185136</v>
          </cell>
          <cell r="F126">
            <v>137.1</v>
          </cell>
          <cell r="G126">
            <v>39260</v>
          </cell>
          <cell r="H126">
            <v>39303</v>
          </cell>
        </row>
        <row r="127">
          <cell r="A127" t="str">
            <v>R2-009JJ-E004</v>
          </cell>
          <cell r="B127" t="str">
            <v>BIRCH EQUIPMENT CO</v>
          </cell>
          <cell r="C127" t="str">
            <v>REPAIR MTL &amp; SUPPLY</v>
          </cell>
          <cell r="D127" t="str">
            <v>69186,C53628,1.0         FNID155360433</v>
          </cell>
          <cell r="E127" t="str">
            <v>185135</v>
          </cell>
          <cell r="F127">
            <v>88.89</v>
          </cell>
          <cell r="G127">
            <v>39260</v>
          </cell>
          <cell r="H127">
            <v>39303</v>
          </cell>
        </row>
        <row r="128">
          <cell r="A128" t="str">
            <v>R2-009JJ-E004</v>
          </cell>
          <cell r="B128" t="str">
            <v>BIRCH EQUIPMENT CO</v>
          </cell>
          <cell r="C128" t="str">
            <v>REPAIR MTL &amp; SUPPLY</v>
          </cell>
          <cell r="D128" t="str">
            <v>69186,C53628,1.0         FNID155360434</v>
          </cell>
          <cell r="E128" t="str">
            <v>185137</v>
          </cell>
          <cell r="F128">
            <v>195.12</v>
          </cell>
          <cell r="G128">
            <v>39262</v>
          </cell>
          <cell r="H128">
            <v>39303</v>
          </cell>
        </row>
        <row r="129">
          <cell r="A129" t="str">
            <v>R2-009JJ-E004</v>
          </cell>
          <cell r="B129" t="str">
            <v>BIRCH EQUIPMENT CO</v>
          </cell>
          <cell r="C129" t="str">
            <v>REPAIR MTL &amp; SUPPLY</v>
          </cell>
          <cell r="D129" t="str">
            <v>69186,C53628,1.0         FNID155360435</v>
          </cell>
          <cell r="E129" t="str">
            <v>185138</v>
          </cell>
          <cell r="F129">
            <v>189.7</v>
          </cell>
          <cell r="G129">
            <v>39262</v>
          </cell>
          <cell r="H129">
            <v>39303</v>
          </cell>
        </row>
        <row r="130">
          <cell r="A130" t="str">
            <v>R2-009JJ-E004</v>
          </cell>
          <cell r="B130" t="str">
            <v>BIRCH EQUIPMENT CO</v>
          </cell>
          <cell r="C130" t="str">
            <v>REPAIR MTL &amp; SUPPLY</v>
          </cell>
          <cell r="D130" t="str">
            <v>69186,C53628,1.0         FNID155360436</v>
          </cell>
          <cell r="E130" t="str">
            <v>185139</v>
          </cell>
          <cell r="F130">
            <v>195.12</v>
          </cell>
          <cell r="G130">
            <v>39262</v>
          </cell>
          <cell r="H130">
            <v>39303</v>
          </cell>
        </row>
        <row r="131">
          <cell r="A131" t="str">
            <v>R2-009JJ-E004</v>
          </cell>
          <cell r="B131" t="str">
            <v>BIRCH EQUIPMENT CO</v>
          </cell>
          <cell r="C131" t="str">
            <v>REPAIR MTL &amp; SUPPLY</v>
          </cell>
          <cell r="D131" t="str">
            <v>69186,C53628,1.0         FNID155360437</v>
          </cell>
          <cell r="E131" t="str">
            <v>185141</v>
          </cell>
          <cell r="F131">
            <v>102.98</v>
          </cell>
          <cell r="G131">
            <v>39262</v>
          </cell>
          <cell r="H131">
            <v>39303</v>
          </cell>
        </row>
        <row r="132">
          <cell r="A132" t="str">
            <v>R2-009JJ-E004</v>
          </cell>
          <cell r="B132" t="str">
            <v>BIRCH EQUIPMENT CO</v>
          </cell>
          <cell r="C132" t="str">
            <v>REPAIR MTL &amp; SUPPLY</v>
          </cell>
          <cell r="D132" t="str">
            <v>69186,C53628,1.0         FNID155360451</v>
          </cell>
          <cell r="E132" t="str">
            <v>185152</v>
          </cell>
          <cell r="F132">
            <v>93.22</v>
          </cell>
          <cell r="G132">
            <v>39275</v>
          </cell>
          <cell r="H132">
            <v>39303</v>
          </cell>
        </row>
        <row r="133">
          <cell r="A133" t="str">
            <v>R2-009JJ-E004</v>
          </cell>
          <cell r="B133" t="str">
            <v>BIRCH EQUIPMENT CO</v>
          </cell>
          <cell r="C133" t="str">
            <v>REPAIR MTL &amp; SUPPLY</v>
          </cell>
          <cell r="D133" t="str">
            <v>69186,C53628,1.0         FNID155360452</v>
          </cell>
          <cell r="E133" t="str">
            <v>185153</v>
          </cell>
          <cell r="F133">
            <v>26.02</v>
          </cell>
          <cell r="G133">
            <v>39274</v>
          </cell>
          <cell r="H133">
            <v>39303</v>
          </cell>
        </row>
        <row r="134">
          <cell r="A134" t="str">
            <v>R2-009JJ-E004</v>
          </cell>
          <cell r="B134" t="str">
            <v>BIRCH EQUIPMENT CO</v>
          </cell>
          <cell r="C134" t="str">
            <v>REPAIR MTL &amp; SUPPLY</v>
          </cell>
          <cell r="D134" t="str">
            <v>69186,C53628,1.0         FNID155360429</v>
          </cell>
          <cell r="E134" t="str">
            <v>185415</v>
          </cell>
          <cell r="F134">
            <v>-368.56</v>
          </cell>
          <cell r="G134">
            <v>39244</v>
          </cell>
          <cell r="H134">
            <v>39304</v>
          </cell>
        </row>
        <row r="135">
          <cell r="A135" t="str">
            <v>R2-009JJ-E004</v>
          </cell>
          <cell r="B135" t="str">
            <v>BIRCH EQUIPMENT CO</v>
          </cell>
          <cell r="C135" t="str">
            <v>REPAIR MTL &amp; SUPPLY</v>
          </cell>
          <cell r="D135" t="str">
            <v>69186,C53628,1.0         FNID155360428</v>
          </cell>
          <cell r="E135" t="str">
            <v>185411</v>
          </cell>
          <cell r="F135">
            <v>650.4</v>
          </cell>
          <cell r="G135">
            <v>39226</v>
          </cell>
          <cell r="H135">
            <v>39304</v>
          </cell>
        </row>
        <row r="136">
          <cell r="A136" t="str">
            <v>R2-009JJ-E004</v>
          </cell>
          <cell r="B136" t="str">
            <v>BIRCH EQUIPMENT CO</v>
          </cell>
          <cell r="C136" t="str">
            <v>REPAIR MTL &amp; SUPPLY</v>
          </cell>
          <cell r="D136" t="str">
            <v>69186,C53628,1.0         FNID155360441</v>
          </cell>
          <cell r="E136" t="str">
            <v>185144</v>
          </cell>
          <cell r="F136">
            <v>2157.16</v>
          </cell>
          <cell r="G136">
            <v>39259</v>
          </cell>
          <cell r="H136">
            <v>39309</v>
          </cell>
        </row>
        <row r="137">
          <cell r="A137" t="str">
            <v>R2-009JJ-E004</v>
          </cell>
          <cell r="B137" t="str">
            <v>BIRCH EQUIPMENT CO</v>
          </cell>
          <cell r="C137" t="str">
            <v>REPAIR MTL &amp; SUPPLY</v>
          </cell>
          <cell r="D137" t="str">
            <v>69186,C53628,1.0         FNID155360440</v>
          </cell>
          <cell r="E137" t="str">
            <v>185143</v>
          </cell>
          <cell r="F137">
            <v>867.2</v>
          </cell>
          <cell r="G137">
            <v>39254</v>
          </cell>
          <cell r="H137">
            <v>39309</v>
          </cell>
        </row>
        <row r="138">
          <cell r="A138" t="str">
            <v>R2-009JJ-E004</v>
          </cell>
          <cell r="B138" t="str">
            <v>BIRCH EQUIPMENT CO</v>
          </cell>
          <cell r="C138" t="str">
            <v>REPAIR MTL &amp; SUPPLY</v>
          </cell>
          <cell r="D138" t="str">
            <v>69186,C53628,1.0         FNID155360439</v>
          </cell>
          <cell r="E138" t="str">
            <v>185142</v>
          </cell>
          <cell r="F138">
            <v>243.9</v>
          </cell>
          <cell r="G138">
            <v>39266</v>
          </cell>
          <cell r="H138">
            <v>39318</v>
          </cell>
        </row>
        <row r="139">
          <cell r="A139" t="str">
            <v>R2-009JJ-E004</v>
          </cell>
          <cell r="B139" t="str">
            <v>BIRCH EQUIPMENT CO</v>
          </cell>
          <cell r="C139" t="str">
            <v>REPAIR MTL &amp; SUPPLY</v>
          </cell>
          <cell r="D139" t="str">
            <v>69186,C53628,1.0         FNID155360438</v>
          </cell>
          <cell r="E139" t="str">
            <v>185140</v>
          </cell>
          <cell r="F139">
            <v>195.12</v>
          </cell>
          <cell r="G139">
            <v>39262</v>
          </cell>
          <cell r="H139">
            <v>39318</v>
          </cell>
        </row>
        <row r="140">
          <cell r="A140" t="str">
            <v>R2-009JJ-E004</v>
          </cell>
          <cell r="B140" t="str">
            <v>BIRCH EQUIPMENT CO</v>
          </cell>
          <cell r="C140" t="str">
            <v>REPAIR MTL &amp; SUPPLY</v>
          </cell>
          <cell r="D140" t="str">
            <v>69186,C53628,1.0         FNID155979869</v>
          </cell>
          <cell r="E140" t="str">
            <v>187561</v>
          </cell>
          <cell r="F140">
            <v>2157.16</v>
          </cell>
          <cell r="G140">
            <v>39287</v>
          </cell>
          <cell r="H140">
            <v>39330</v>
          </cell>
        </row>
        <row r="141">
          <cell r="A141" t="str">
            <v>R2-009JJ-E004</v>
          </cell>
          <cell r="B141" t="str">
            <v>BIRCH EQUIPMENT CO</v>
          </cell>
          <cell r="C141" t="str">
            <v>REPAIR MTL &amp; SUPPLY</v>
          </cell>
          <cell r="D141" t="str">
            <v>69186,C53628,1.0         FNID155979870</v>
          </cell>
          <cell r="E141" t="str">
            <v>187562</v>
          </cell>
          <cell r="F141">
            <v>867.2</v>
          </cell>
          <cell r="G141">
            <v>39286</v>
          </cell>
          <cell r="H141">
            <v>39330</v>
          </cell>
        </row>
        <row r="142">
          <cell r="A142" t="str">
            <v>R2-009JJ-E004</v>
          </cell>
          <cell r="B142" t="str">
            <v>BIRCH EQUIPMENT CO</v>
          </cell>
          <cell r="C142" t="str">
            <v>REPAIR MTL &amp; SUPPLY</v>
          </cell>
          <cell r="D142" t="str">
            <v>69186,C53628,1.0         FNID155979871</v>
          </cell>
          <cell r="E142" t="str">
            <v>187563</v>
          </cell>
          <cell r="F142">
            <v>200.54</v>
          </cell>
          <cell r="G142">
            <v>39294</v>
          </cell>
          <cell r="H142">
            <v>39330</v>
          </cell>
        </row>
        <row r="143">
          <cell r="A143" t="str">
            <v>R2-009JJ-E004</v>
          </cell>
          <cell r="B143" t="str">
            <v>BIRCH EQUIPMENT CO</v>
          </cell>
          <cell r="C143" t="str">
            <v>REPAIR MTL &amp; SUPPLY</v>
          </cell>
          <cell r="D143" t="str">
            <v>69186,C53628,1.0         FNID155979872</v>
          </cell>
          <cell r="E143" t="str">
            <v>187564</v>
          </cell>
          <cell r="F143">
            <v>428.18</v>
          </cell>
          <cell r="G143">
            <v>39286</v>
          </cell>
          <cell r="H143">
            <v>39330</v>
          </cell>
        </row>
        <row r="144">
          <cell r="A144" t="str">
            <v>R2-009JJ-E004</v>
          </cell>
          <cell r="B144" t="str">
            <v>BIRCH EQUIPMENT CO</v>
          </cell>
          <cell r="C144" t="str">
            <v>REPAIR MTL &amp; SUPPLY</v>
          </cell>
          <cell r="D144" t="str">
            <v>69186,C53628,1.0         FNID155979873</v>
          </cell>
          <cell r="E144" t="str">
            <v>187565</v>
          </cell>
          <cell r="F144">
            <v>422.76</v>
          </cell>
          <cell r="G144">
            <v>39279</v>
          </cell>
          <cell r="H144">
            <v>39330</v>
          </cell>
        </row>
        <row r="145">
          <cell r="A145" t="str">
            <v>R2-009JJ-E004</v>
          </cell>
          <cell r="B145" t="str">
            <v>BIRCH EQUIPMENT CO</v>
          </cell>
          <cell r="C145" t="str">
            <v>REPAIR MTL &amp; SUPPLY</v>
          </cell>
          <cell r="D145" t="str">
            <v>69186,C53628,1.0         FNID155979874</v>
          </cell>
          <cell r="E145" t="str">
            <v>187566</v>
          </cell>
          <cell r="F145">
            <v>542</v>
          </cell>
          <cell r="G145">
            <v>39286</v>
          </cell>
          <cell r="H145">
            <v>39330</v>
          </cell>
        </row>
        <row r="146">
          <cell r="A146" t="str">
            <v>R2-009JJ-E004</v>
          </cell>
          <cell r="B146" t="str">
            <v>BIRCH EQUIPMENT CO</v>
          </cell>
          <cell r="C146" t="str">
            <v>REPAIR MTL &amp; SUPPLY</v>
          </cell>
          <cell r="D146" t="str">
            <v>69186,C53628,1.0         FNID155979875</v>
          </cell>
          <cell r="E146" t="str">
            <v>187567</v>
          </cell>
          <cell r="F146">
            <v>95.39</v>
          </cell>
          <cell r="G146">
            <v>39286</v>
          </cell>
          <cell r="H146">
            <v>39330</v>
          </cell>
        </row>
        <row r="147">
          <cell r="A147" t="str">
            <v>R2-009JJ-E004</v>
          </cell>
          <cell r="B147" t="str">
            <v>BIRCH EQUIPMENT CO</v>
          </cell>
          <cell r="C147" t="str">
            <v>REPAIR MTL &amp; SUPPLY</v>
          </cell>
          <cell r="D147" t="str">
            <v>69186,C53628,1.0         FNID155979876</v>
          </cell>
          <cell r="E147" t="str">
            <v>187568</v>
          </cell>
          <cell r="F147">
            <v>34.69</v>
          </cell>
          <cell r="G147">
            <v>39286</v>
          </cell>
          <cell r="H147">
            <v>39330</v>
          </cell>
        </row>
        <row r="148">
          <cell r="A148" t="str">
            <v>R2-009JJ-E004</v>
          </cell>
          <cell r="B148" t="str">
            <v>BIRCH EQUIPMENT CO</v>
          </cell>
          <cell r="C148" t="str">
            <v>REPAIR MTL &amp; SUPPLY</v>
          </cell>
          <cell r="D148" t="str">
            <v>69186,C53628,1.0         FNID155979607</v>
          </cell>
          <cell r="E148" t="str">
            <v>187530</v>
          </cell>
          <cell r="F148">
            <v>726.28</v>
          </cell>
          <cell r="G148">
            <v>39282</v>
          </cell>
          <cell r="H148">
            <v>39330</v>
          </cell>
        </row>
        <row r="149">
          <cell r="A149" t="str">
            <v>R2-009JJ-E004</v>
          </cell>
          <cell r="B149" t="str">
            <v>BIRCH EQUIPMENT CO</v>
          </cell>
          <cell r="C149" t="str">
            <v>REPAIR MTL &amp; SUPPLY</v>
          </cell>
          <cell r="D149" t="str">
            <v>69186,C53628,1.0         FNID155979608</v>
          </cell>
          <cell r="E149" t="str">
            <v>187531</v>
          </cell>
          <cell r="F149">
            <v>176.69</v>
          </cell>
          <cell r="G149">
            <v>39286</v>
          </cell>
          <cell r="H149">
            <v>39330</v>
          </cell>
        </row>
        <row r="150">
          <cell r="A150" t="str">
            <v>R2-009JJ-E004</v>
          </cell>
          <cell r="B150" t="str">
            <v>BIRCH EQUIPMENT CO</v>
          </cell>
          <cell r="C150" t="str">
            <v>REPAIR MTL &amp; SUPPLY</v>
          </cell>
          <cell r="D150" t="str">
            <v>69186,C53628,1.0         FNID155979609</v>
          </cell>
          <cell r="E150" t="str">
            <v>187532</v>
          </cell>
          <cell r="F150">
            <v>211.38</v>
          </cell>
          <cell r="G150">
            <v>39282</v>
          </cell>
          <cell r="H150">
            <v>39330</v>
          </cell>
        </row>
        <row r="151">
          <cell r="A151" t="str">
            <v>R2-009JJ-E004</v>
          </cell>
          <cell r="B151" t="str">
            <v>BIRCH EQUIPMENT CO</v>
          </cell>
          <cell r="C151" t="str">
            <v>REPAIR MTL &amp; SUPPLY</v>
          </cell>
          <cell r="D151" t="str">
            <v>69186,C53628,1.0         FNID155979610</v>
          </cell>
          <cell r="E151" t="str">
            <v>187533</v>
          </cell>
          <cell r="F151">
            <v>34.69</v>
          </cell>
          <cell r="G151">
            <v>39282</v>
          </cell>
          <cell r="H151">
            <v>39330</v>
          </cell>
        </row>
        <row r="152">
          <cell r="A152" t="str">
            <v>R2-009JJ-E004</v>
          </cell>
          <cell r="B152" t="str">
            <v>BIRCH EQUIPMENT CO</v>
          </cell>
          <cell r="C152" t="str">
            <v>REPAIR MTL &amp; SUPPLY</v>
          </cell>
          <cell r="D152" t="str">
            <v>69186,C53628,1.0         FNID156431694</v>
          </cell>
          <cell r="E152" t="str">
            <v>189312</v>
          </cell>
          <cell r="F152">
            <v>1300.8</v>
          </cell>
          <cell r="G152">
            <v>39321</v>
          </cell>
          <cell r="H152">
            <v>39352</v>
          </cell>
        </row>
        <row r="153">
          <cell r="A153" t="str">
            <v>R2-009JJ-E004</v>
          </cell>
          <cell r="B153" t="str">
            <v>BIRCH EQUIPMENT CO</v>
          </cell>
          <cell r="C153" t="str">
            <v>REPAIR MTL &amp; SUPPLY</v>
          </cell>
          <cell r="D153" t="str">
            <v>69186,C53628,1.0         FNID156431693</v>
          </cell>
          <cell r="E153" t="str">
            <v>189311</v>
          </cell>
          <cell r="F153">
            <v>867.2</v>
          </cell>
          <cell r="G153">
            <v>39310</v>
          </cell>
          <cell r="H153">
            <v>39352</v>
          </cell>
        </row>
        <row r="154">
          <cell r="A154" t="str">
            <v>R2-009JJ-E004</v>
          </cell>
          <cell r="B154" t="str">
            <v>BIRCH EQUIPMENT CO</v>
          </cell>
          <cell r="C154" t="str">
            <v>REPAIR MTL &amp; SUPPLY</v>
          </cell>
          <cell r="D154" t="str">
            <v>69186,C53628,1.0         FNID156431695</v>
          </cell>
          <cell r="E154" t="str">
            <v>189313</v>
          </cell>
          <cell r="F154">
            <v>195.12</v>
          </cell>
          <cell r="G154">
            <v>39300</v>
          </cell>
          <cell r="H154">
            <v>39352</v>
          </cell>
        </row>
        <row r="155">
          <cell r="A155" t="str">
            <v>R2-009JJ-E004</v>
          </cell>
          <cell r="B155" t="str">
            <v>BIRCH EQUIPMENT CO</v>
          </cell>
          <cell r="C155" t="str">
            <v>REPAIR MTL &amp; SUPPLY</v>
          </cell>
          <cell r="D155" t="str">
            <v>69186,C53628,1.0         FNID156431696</v>
          </cell>
          <cell r="E155" t="str">
            <v>189314</v>
          </cell>
          <cell r="F155">
            <v>422.76</v>
          </cell>
          <cell r="G155">
            <v>39300</v>
          </cell>
          <cell r="H155">
            <v>39352</v>
          </cell>
        </row>
        <row r="156">
          <cell r="A156" t="str">
            <v>R2-009JJ-E004</v>
          </cell>
          <cell r="B156" t="str">
            <v>BIRCH EQUIPMENT CO</v>
          </cell>
          <cell r="C156" t="str">
            <v>REPAIR MTL &amp; SUPPLY</v>
          </cell>
          <cell r="D156" t="str">
            <v>69186,C53628,1.0         FNID156431707</v>
          </cell>
          <cell r="E156" t="str">
            <v>189315</v>
          </cell>
          <cell r="F156">
            <v>27.1</v>
          </cell>
          <cell r="G156">
            <v>39304</v>
          </cell>
          <cell r="H156">
            <v>39352</v>
          </cell>
        </row>
        <row r="157">
          <cell r="A157" t="str">
            <v>R2-009JJ-E004</v>
          </cell>
          <cell r="B157" t="str">
            <v>BIRCH EQUIPMENT CO</v>
          </cell>
          <cell r="C157" t="str">
            <v>REPAIR MTL &amp; SUPPLY</v>
          </cell>
          <cell r="D157" t="str">
            <v>69186,C53628,1.0         FNID156586045</v>
          </cell>
          <cell r="E157" t="str">
            <v>189921</v>
          </cell>
          <cell r="F157">
            <v>2157.16</v>
          </cell>
          <cell r="G157">
            <v>39315</v>
          </cell>
          <cell r="H157">
            <v>39352</v>
          </cell>
        </row>
        <row r="158">
          <cell r="A158" t="str">
            <v>R2-009JJ-E004</v>
          </cell>
          <cell r="B158" t="str">
            <v>BIRCH EQUIPMENT CO</v>
          </cell>
          <cell r="C158" t="str">
            <v>REPAIR MTL &amp; SUPPLY</v>
          </cell>
          <cell r="D158" t="str">
            <v>69186,C53628,1.0         FNID157075915</v>
          </cell>
          <cell r="E158" t="str">
            <v>192470</v>
          </cell>
          <cell r="F158">
            <v>867.2</v>
          </cell>
          <cell r="G158">
            <v>39338</v>
          </cell>
          <cell r="H158">
            <v>39378</v>
          </cell>
        </row>
        <row r="159">
          <cell r="A159" t="str">
            <v>R2-009JJ-E004</v>
          </cell>
          <cell r="B159" t="str">
            <v>BIRCH EQUIPMENT CO</v>
          </cell>
          <cell r="C159" t="str">
            <v>REPAIR MTL &amp; SUPPLY</v>
          </cell>
          <cell r="D159" t="str">
            <v>69186,C53628,1.0         FNID157075916</v>
          </cell>
          <cell r="E159" t="str">
            <v>192472</v>
          </cell>
          <cell r="F159">
            <v>2157.16</v>
          </cell>
          <cell r="G159">
            <v>39343</v>
          </cell>
          <cell r="H159">
            <v>39378</v>
          </cell>
        </row>
        <row r="160">
          <cell r="A160" t="str">
            <v>R2-009JJ-E004</v>
          </cell>
          <cell r="B160" t="str">
            <v>BIRCH EQUIPMENT CO</v>
          </cell>
          <cell r="C160" t="str">
            <v>REPAIR MTL &amp; SUPPLY</v>
          </cell>
          <cell r="D160" t="str">
            <v>69186,C53628,1.0         FNID157075917</v>
          </cell>
          <cell r="E160" t="str">
            <v>192471</v>
          </cell>
          <cell r="F160">
            <v>634.14</v>
          </cell>
          <cell r="G160">
            <v>39352</v>
          </cell>
          <cell r="H160">
            <v>39378</v>
          </cell>
        </row>
        <row r="161">
          <cell r="A161" t="str">
            <v>R2-009JJ-E004</v>
          </cell>
          <cell r="B161" t="str">
            <v>BIRCH EQUIPMENT CO</v>
          </cell>
          <cell r="C161" t="str">
            <v>REPAIR MTL &amp; SUPPLY</v>
          </cell>
          <cell r="D161" t="str">
            <v>69186,C53628,1.0         FNID157075918</v>
          </cell>
          <cell r="E161" t="str">
            <v>192473</v>
          </cell>
          <cell r="F161">
            <v>1300.8</v>
          </cell>
          <cell r="G161">
            <v>39349</v>
          </cell>
          <cell r="H161">
            <v>39378</v>
          </cell>
        </row>
        <row r="162">
          <cell r="A162" t="str">
            <v>R2-009JJ-E004</v>
          </cell>
          <cell r="B162" t="str">
            <v>BIRCH EQUIPMENT CO</v>
          </cell>
          <cell r="C162" t="str">
            <v>REPAIR MTL &amp; SUPPLY</v>
          </cell>
          <cell r="D162" t="str">
            <v>69186,C53628,1.0         FNID320776405</v>
          </cell>
          <cell r="E162" t="str">
            <v>196460</v>
          </cell>
          <cell r="F162">
            <v>2157.16</v>
          </cell>
          <cell r="G162">
            <v>39371</v>
          </cell>
          <cell r="H162">
            <v>39407</v>
          </cell>
        </row>
        <row r="163">
          <cell r="A163" t="str">
            <v>R2-009JJ-E004</v>
          </cell>
          <cell r="B163" t="str">
            <v>BIRCH EQUIPMENT CO</v>
          </cell>
          <cell r="C163" t="str">
            <v>REPAIR MTL &amp; SUPPLY</v>
          </cell>
          <cell r="D163" t="str">
            <v>69186,C53628,1.0         FNID320776406</v>
          </cell>
          <cell r="E163" t="str">
            <v>196463</v>
          </cell>
          <cell r="F163">
            <v>867.2</v>
          </cell>
          <cell r="G163">
            <v>39366</v>
          </cell>
          <cell r="H163">
            <v>39407</v>
          </cell>
        </row>
        <row r="164">
          <cell r="A164" t="str">
            <v>R2-009JJ-E004</v>
          </cell>
          <cell r="B164" t="str">
            <v>BIRCH EQUIPMENT CO</v>
          </cell>
          <cell r="C164" t="str">
            <v>REPAIR MTL &amp; SUPPLY</v>
          </cell>
          <cell r="D164" t="str">
            <v>69186,C53628,1.0         FNID320776407</v>
          </cell>
          <cell r="E164" t="str">
            <v>196465</v>
          </cell>
          <cell r="F164">
            <v>2265.56</v>
          </cell>
          <cell r="G164">
            <v>39363</v>
          </cell>
          <cell r="H164">
            <v>39407</v>
          </cell>
        </row>
        <row r="165">
          <cell r="A165" t="str">
            <v>R2-009JJ-E004</v>
          </cell>
          <cell r="B165" t="str">
            <v>BIRCH EQUIPMENT CO</v>
          </cell>
          <cell r="C165" t="str">
            <v>REPAIR MTL &amp; SUPPLY</v>
          </cell>
          <cell r="D165" t="str">
            <v>69186,C53628,1.0         FNID320776408</v>
          </cell>
          <cell r="E165" t="str">
            <v>196467</v>
          </cell>
          <cell r="F165">
            <v>189.7</v>
          </cell>
          <cell r="G165">
            <v>39365</v>
          </cell>
          <cell r="H165">
            <v>39407</v>
          </cell>
        </row>
        <row r="166">
          <cell r="A166" t="str">
            <v>R2-009JJ-E004</v>
          </cell>
          <cell r="B166" t="str">
            <v>BIRCH EQUIPMENT CO</v>
          </cell>
          <cell r="C166" t="str">
            <v>REPAIR MTL &amp; SUPPLY</v>
          </cell>
          <cell r="D166" t="str">
            <v>69186,C53628,1.0         FNID321273632</v>
          </cell>
          <cell r="E166" t="str">
            <v>198799</v>
          </cell>
          <cell r="F166">
            <v>2157.16</v>
          </cell>
          <cell r="G166">
            <v>39399</v>
          </cell>
          <cell r="H166">
            <v>39429</v>
          </cell>
        </row>
        <row r="167">
          <cell r="A167" t="str">
            <v>R2-009JJ-E004</v>
          </cell>
          <cell r="B167" t="str">
            <v>BIRCH EQUIPMENT CO</v>
          </cell>
          <cell r="C167" t="str">
            <v>REPAIR MTL &amp; SUPPLY</v>
          </cell>
          <cell r="D167" t="str">
            <v>69186,C53628,1.0         FNID321273633</v>
          </cell>
          <cell r="E167" t="str">
            <v>198800</v>
          </cell>
          <cell r="F167">
            <v>867.2</v>
          </cell>
          <cell r="G167">
            <v>39394</v>
          </cell>
          <cell r="H167">
            <v>39429</v>
          </cell>
        </row>
        <row r="168">
          <cell r="A168" t="str">
            <v>R2-009JJ-E004</v>
          </cell>
          <cell r="B168" t="str">
            <v>BIRCH EQUIPMENT CO</v>
          </cell>
          <cell r="C168" t="str">
            <v>REPAIR MTL &amp; SUPPLY</v>
          </cell>
          <cell r="D168" t="str">
            <v>69186,C53628,1.0         FNID321744085</v>
          </cell>
          <cell r="E168" t="str">
            <v>201645</v>
          </cell>
          <cell r="F168">
            <v>867.2</v>
          </cell>
          <cell r="G168">
            <v>39422</v>
          </cell>
          <cell r="H168">
            <v>39456</v>
          </cell>
        </row>
        <row r="169">
          <cell r="A169" t="str">
            <v>R2-009JJ-E004</v>
          </cell>
          <cell r="B169" t="str">
            <v>BIRCH EQUIPMENT CO</v>
          </cell>
          <cell r="C169" t="str">
            <v>REPAIR MTL &amp; SUPPLY</v>
          </cell>
          <cell r="D169" t="str">
            <v>69186,C53628,1.0         FNID321744086</v>
          </cell>
          <cell r="E169" t="str">
            <v>201646</v>
          </cell>
          <cell r="F169">
            <v>2157.16</v>
          </cell>
          <cell r="G169">
            <v>39427</v>
          </cell>
          <cell r="H169">
            <v>39456</v>
          </cell>
        </row>
        <row r="170">
          <cell r="A170" t="str">
            <v>R2-009JJ-E004</v>
          </cell>
          <cell r="B170" t="str">
            <v>BIRCH EQUIPMENT CO</v>
          </cell>
          <cell r="C170" t="str">
            <v>REPAIR MTL &amp; SUPPLY</v>
          </cell>
          <cell r="D170" t="str">
            <v>69996,C62728,1.0         FNID321744105</v>
          </cell>
          <cell r="E170" t="str">
            <v>201656</v>
          </cell>
          <cell r="F170">
            <v>867.2</v>
          </cell>
          <cell r="G170">
            <v>39435</v>
          </cell>
          <cell r="H170">
            <v>39456</v>
          </cell>
        </row>
        <row r="171">
          <cell r="A171" t="str">
            <v>R2-009JJ-E004</v>
          </cell>
          <cell r="B171" t="str">
            <v>BIRCH EQUIPMENT CO</v>
          </cell>
          <cell r="C171" t="str">
            <v>REPAIR MTL &amp; SUPPLY</v>
          </cell>
          <cell r="D171" t="str">
            <v>69186,C53628,1.0         FNID322301396</v>
          </cell>
          <cell r="E171" t="str">
            <v>203475</v>
          </cell>
          <cell r="F171">
            <v>867.2</v>
          </cell>
          <cell r="G171">
            <v>39450</v>
          </cell>
          <cell r="H171">
            <v>39477</v>
          </cell>
        </row>
        <row r="172">
          <cell r="A172" t="str">
            <v>R2-009JJ-E004</v>
          </cell>
          <cell r="B172" t="str">
            <v>BIRCH EQUIPMENT CO</v>
          </cell>
          <cell r="C172" t="str">
            <v>REPAIR MTL &amp; SUPPLY</v>
          </cell>
          <cell r="D172" t="str">
            <v>69186,C53628,1.0         FNID322301397</v>
          </cell>
          <cell r="E172" t="str">
            <v>203476</v>
          </cell>
          <cell r="F172">
            <v>2157.16</v>
          </cell>
          <cell r="G172">
            <v>39455</v>
          </cell>
          <cell r="H172">
            <v>39477</v>
          </cell>
        </row>
        <row r="173">
          <cell r="B173" t="str">
            <v>BIRCH EQUIPMENT CO</v>
          </cell>
        </row>
        <row r="174">
          <cell r="A174" t="str">
            <v>R2-009JJ-E004</v>
          </cell>
          <cell r="B174" t="str">
            <v>CH2M HILL ENGINEERING SERVICES  INC</v>
          </cell>
          <cell r="C174" t="str">
            <v>CONTR SRV AGMT - M/R</v>
          </cell>
          <cell r="D174" t="str">
            <v>69186,C52401,20.0        FNID</v>
          </cell>
          <cell r="E174" t="str">
            <v>186022</v>
          </cell>
          <cell r="F174">
            <v>3507.96</v>
          </cell>
          <cell r="G174">
            <v>39304</v>
          </cell>
          <cell r="H174">
            <v>39309</v>
          </cell>
        </row>
        <row r="175">
          <cell r="A175" t="str">
            <v>R2-009JJ-E004</v>
          </cell>
          <cell r="B175" t="str">
            <v>CH2M HILL ENGINEERING SERVICES  INC</v>
          </cell>
          <cell r="C175" t="str">
            <v>CONTR SRV AGMT - M/R</v>
          </cell>
          <cell r="D175" t="str">
            <v>69186,C52401,20.0        FNID</v>
          </cell>
          <cell r="E175" t="str">
            <v>186671</v>
          </cell>
          <cell r="F175">
            <v>718.26</v>
          </cell>
          <cell r="G175">
            <v>39311</v>
          </cell>
          <cell r="H175">
            <v>39316</v>
          </cell>
        </row>
        <row r="176">
          <cell r="A176" t="str">
            <v>R2-009JJ-E004</v>
          </cell>
          <cell r="B176" t="str">
            <v>CH2M HILL ENGINEERING SERVICES  INC</v>
          </cell>
          <cell r="C176" t="str">
            <v>CONTR SRV AGMT - M/R</v>
          </cell>
          <cell r="D176" t="str">
            <v>69186,C52401,20.0        FNID</v>
          </cell>
          <cell r="E176" t="str">
            <v>187617</v>
          </cell>
          <cell r="F176">
            <v>2789.36</v>
          </cell>
          <cell r="G176">
            <v>39323</v>
          </cell>
          <cell r="H176">
            <v>39329</v>
          </cell>
        </row>
        <row r="177">
          <cell r="A177" t="str">
            <v>R2-009JJ-E004</v>
          </cell>
          <cell r="B177" t="str">
            <v>CH2M HILL ENGINEERING SERVICES  INC</v>
          </cell>
          <cell r="C177" t="str">
            <v>CONTR SRV AGMT - M/R</v>
          </cell>
          <cell r="D177" t="str">
            <v>69186,C52401,20.0        FNID</v>
          </cell>
          <cell r="E177" t="str">
            <v>189637</v>
          </cell>
          <cell r="F177">
            <v>59.86</v>
          </cell>
          <cell r="G177">
            <v>39345</v>
          </cell>
          <cell r="H177">
            <v>39350</v>
          </cell>
        </row>
        <row r="178">
          <cell r="A178" t="str">
            <v>R2-009JJ-E004</v>
          </cell>
          <cell r="B178" t="str">
            <v>CH2M HILL ENGINEERING SERVICES  INC</v>
          </cell>
          <cell r="C178" t="str">
            <v>CONTR SRV AGMT - M/R</v>
          </cell>
          <cell r="D178" t="str">
            <v>69186,C52401,20.0        FNID</v>
          </cell>
          <cell r="E178" t="str">
            <v>193807</v>
          </cell>
          <cell r="F178">
            <v>59.1</v>
          </cell>
          <cell r="G178">
            <v>39371</v>
          </cell>
          <cell r="H178">
            <v>39386</v>
          </cell>
        </row>
        <row r="179">
          <cell r="B179" t="str">
            <v>CH2M HILL ENGINEERING SERVICES  INC</v>
          </cell>
        </row>
        <row r="180">
          <cell r="A180" t="str">
            <v>R2-009JJ-E004</v>
          </cell>
          <cell r="B180" t="str">
            <v>CONTRACTOR ENGINEERING</v>
          </cell>
          <cell r="C180" t="str">
            <v>CONTR SRV AGMT - M/R</v>
          </cell>
          <cell r="D180" t="str">
            <v>69186,,0.0</v>
          </cell>
          <cell r="E180" t="str">
            <v>8089318</v>
          </cell>
          <cell r="F180">
            <v>76869.350000000006</v>
          </cell>
          <cell r="G180">
            <v>39261</v>
          </cell>
          <cell r="H180">
            <v>39261</v>
          </cell>
        </row>
        <row r="181">
          <cell r="A181" t="str">
            <v>R2-009JJ-E004</v>
          </cell>
          <cell r="B181" t="str">
            <v>CONTRACTOR ENGINEERING</v>
          </cell>
          <cell r="C181" t="str">
            <v>CONTR SRV AGMT - M/R</v>
          </cell>
          <cell r="D181" t="str">
            <v>69186,,0.0</v>
          </cell>
          <cell r="E181" t="str">
            <v>8089325</v>
          </cell>
          <cell r="F181">
            <v>9503.14</v>
          </cell>
          <cell r="G181">
            <v>39261</v>
          </cell>
          <cell r="H181">
            <v>39261</v>
          </cell>
        </row>
        <row r="182">
          <cell r="A182" t="str">
            <v>R2-009JJ-E004</v>
          </cell>
          <cell r="B182" t="str">
            <v>CONTRACTOR ENGINEERING</v>
          </cell>
          <cell r="C182" t="str">
            <v>CONTR SRV AGMT - M/R</v>
          </cell>
          <cell r="D182" t="str">
            <v>69186,,0.0</v>
          </cell>
          <cell r="E182" t="str">
            <v>8089331</v>
          </cell>
          <cell r="F182">
            <v>16121.13</v>
          </cell>
          <cell r="G182">
            <v>39261</v>
          </cell>
          <cell r="H182">
            <v>39261</v>
          </cell>
        </row>
        <row r="183">
          <cell r="A183" t="str">
            <v>R2-009JJ-E004</v>
          </cell>
          <cell r="B183" t="str">
            <v>CONTRACTOR ENGINEERING</v>
          </cell>
          <cell r="C183" t="str">
            <v>CONTR SRV AGMT - M/R</v>
          </cell>
          <cell r="D183" t="str">
            <v>69186,,0.0</v>
          </cell>
          <cell r="E183" t="str">
            <v>8394736</v>
          </cell>
          <cell r="F183">
            <v>11157.1</v>
          </cell>
          <cell r="G183">
            <v>39447</v>
          </cell>
          <cell r="H183">
            <v>39447</v>
          </cell>
        </row>
        <row r="184">
          <cell r="B184" t="str">
            <v>CONTRACTOR ENGINEERING</v>
          </cell>
        </row>
        <row r="185">
          <cell r="A185" t="str">
            <v>R2-009JJ-E004</v>
          </cell>
          <cell r="B185" t="str">
            <v>CONTRACTOR SERVICE AGREEMENT - M&amp;R</v>
          </cell>
          <cell r="C185" t="str">
            <v>CONTR SRV AGMT - M/R</v>
          </cell>
          <cell r="D185" t="str">
            <v>69186,,0.0</v>
          </cell>
          <cell r="E185" t="str">
            <v>8090705</v>
          </cell>
          <cell r="F185">
            <v>3444.12</v>
          </cell>
          <cell r="G185">
            <v>39262</v>
          </cell>
          <cell r="H185">
            <v>39262</v>
          </cell>
        </row>
        <row r="186">
          <cell r="A186" t="str">
            <v>R2-009JJ-E004</v>
          </cell>
          <cell r="B186" t="str">
            <v>CONTRACTOR SERVICE AGREEMENT - M&amp;R</v>
          </cell>
          <cell r="C186" t="str">
            <v>CONTR SRV AGMT - M/R</v>
          </cell>
          <cell r="D186" t="str">
            <v>69186,,0.0</v>
          </cell>
          <cell r="E186" t="str">
            <v>8090708</v>
          </cell>
          <cell r="F186">
            <v>67349.77</v>
          </cell>
          <cell r="G186">
            <v>39262</v>
          </cell>
          <cell r="H186">
            <v>39262</v>
          </cell>
        </row>
        <row r="187">
          <cell r="A187" t="str">
            <v>R2-009JJ-E004</v>
          </cell>
          <cell r="B187" t="str">
            <v>CONTRACTOR SERVICE AGREEMENT - M&amp;R</v>
          </cell>
          <cell r="C187" t="str">
            <v>CONTR SRV AGMT - M/R</v>
          </cell>
          <cell r="D187" t="str">
            <v>69994,,0.0</v>
          </cell>
          <cell r="E187" t="str">
            <v>8090941</v>
          </cell>
          <cell r="F187">
            <v>2500</v>
          </cell>
          <cell r="G187">
            <v>39262</v>
          </cell>
          <cell r="H187">
            <v>39262</v>
          </cell>
        </row>
        <row r="188">
          <cell r="A188" t="str">
            <v>R2-009JJ-E004</v>
          </cell>
          <cell r="B188" t="str">
            <v>CONTRACTOR SERVICE AGREEMENT - M&amp;R</v>
          </cell>
          <cell r="C188" t="str">
            <v>CONTR SRV AGMT - M/R</v>
          </cell>
          <cell r="D188" t="str">
            <v>69994,,0.0</v>
          </cell>
          <cell r="E188" t="str">
            <v>8199769</v>
          </cell>
          <cell r="F188">
            <v>3845</v>
          </cell>
          <cell r="G188">
            <v>39353</v>
          </cell>
          <cell r="H188">
            <v>39353</v>
          </cell>
        </row>
        <row r="189">
          <cell r="A189" t="str">
            <v>R2-009JJ-E004</v>
          </cell>
          <cell r="B189" t="str">
            <v>CONTRACTOR SERVICE AGREEMENT - M&amp;R</v>
          </cell>
          <cell r="C189" t="str">
            <v>CONTR SRV AGMT - M/R</v>
          </cell>
          <cell r="D189" t="str">
            <v>71204,,0.0</v>
          </cell>
          <cell r="E189" t="str">
            <v>8390664</v>
          </cell>
          <cell r="F189">
            <v>-12053.26</v>
          </cell>
          <cell r="G189">
            <v>39443</v>
          </cell>
          <cell r="H189">
            <v>39443</v>
          </cell>
        </row>
        <row r="190">
          <cell r="A190" t="str">
            <v>R2-009JJ-E004</v>
          </cell>
          <cell r="B190" t="str">
            <v>CONTRACTOR SERVICE AGREEMENT - M&amp;R</v>
          </cell>
          <cell r="C190" t="str">
            <v>CONTR SRV AGMT - M/R</v>
          </cell>
          <cell r="D190" t="str">
            <v>69982,,0.0</v>
          </cell>
          <cell r="E190" t="str">
            <v>8390665</v>
          </cell>
          <cell r="F190">
            <v>-6523.3</v>
          </cell>
          <cell r="G190">
            <v>39443</v>
          </cell>
          <cell r="H190">
            <v>39443</v>
          </cell>
        </row>
        <row r="191">
          <cell r="A191" t="str">
            <v>R2-009JJ-E004</v>
          </cell>
          <cell r="B191" t="str">
            <v>CONTRACTOR SERVICE AGREEMENT - M&amp;R</v>
          </cell>
          <cell r="C191" t="str">
            <v>CONTR SRV AGMT - M/R</v>
          </cell>
          <cell r="D191" t="str">
            <v>70066,,0.0</v>
          </cell>
          <cell r="E191" t="str">
            <v>8390666</v>
          </cell>
          <cell r="F191">
            <v>-13371.8</v>
          </cell>
          <cell r="G191">
            <v>39443</v>
          </cell>
          <cell r="H191">
            <v>39443</v>
          </cell>
        </row>
        <row r="192">
          <cell r="A192" t="str">
            <v>R2-009JJ-E004</v>
          </cell>
          <cell r="B192" t="str">
            <v>CONTRACTOR SERVICE AGREEMENT - M&amp;R</v>
          </cell>
          <cell r="C192" t="str">
            <v>CONTR SRV AGMT - M/R</v>
          </cell>
          <cell r="D192" t="str">
            <v>69994,,0.0</v>
          </cell>
          <cell r="E192" t="str">
            <v>8390300</v>
          </cell>
          <cell r="F192">
            <v>984</v>
          </cell>
          <cell r="G192">
            <v>39443</v>
          </cell>
          <cell r="H192">
            <v>39443</v>
          </cell>
        </row>
        <row r="193">
          <cell r="B193" t="str">
            <v>CONTRACTOR SERVICE AGREEMENT - M&amp;R</v>
          </cell>
        </row>
        <row r="194">
          <cell r="A194" t="str">
            <v>R2-009JJ-E004</v>
          </cell>
          <cell r="B194" t="str">
            <v>CONTRACTOR SERVICES - LABOR</v>
          </cell>
          <cell r="C194" t="str">
            <v>CONTR SRV AGMT - M/R</v>
          </cell>
          <cell r="D194" t="str">
            <v>69186,,0.0</v>
          </cell>
          <cell r="E194" t="str">
            <v>8089326</v>
          </cell>
          <cell r="F194">
            <v>5446.25</v>
          </cell>
          <cell r="G194">
            <v>39261</v>
          </cell>
          <cell r="H194">
            <v>39261</v>
          </cell>
        </row>
        <row r="195">
          <cell r="A195" t="str">
            <v>R2-009JJ-E004</v>
          </cell>
          <cell r="B195" t="str">
            <v>CONTRACTOR SERVICES - LABOR</v>
          </cell>
          <cell r="C195" t="str">
            <v>CONTR SRV AGMT - M/R</v>
          </cell>
          <cell r="D195" t="str">
            <v>69186,,0.0</v>
          </cell>
          <cell r="E195" t="str">
            <v>8089333</v>
          </cell>
          <cell r="F195">
            <v>382647.4</v>
          </cell>
          <cell r="G195">
            <v>39261</v>
          </cell>
          <cell r="H195">
            <v>39261</v>
          </cell>
        </row>
        <row r="196">
          <cell r="A196" t="str">
            <v>R2-009JJ-E004</v>
          </cell>
          <cell r="B196" t="str">
            <v>CONTRACTOR SERVICES - LABOR</v>
          </cell>
          <cell r="C196" t="str">
            <v>CONTR SRV AGMT - M/R</v>
          </cell>
          <cell r="D196" t="str">
            <v>69186,,0.0</v>
          </cell>
          <cell r="E196" t="str">
            <v>8090710</v>
          </cell>
          <cell r="F196">
            <v>47680.639999999999</v>
          </cell>
          <cell r="G196">
            <v>39262</v>
          </cell>
          <cell r="H196">
            <v>39262</v>
          </cell>
        </row>
        <row r="197">
          <cell r="B197" t="str">
            <v>CONTRACTOR SERVICES - LABOR</v>
          </cell>
        </row>
        <row r="198">
          <cell r="A198" t="str">
            <v>R2-009JJ-E004</v>
          </cell>
          <cell r="B198" t="str">
            <v>CONTRACTOR SERVICES-LABOR &amp; MATERIALS</v>
          </cell>
          <cell r="C198" t="str">
            <v>REPAIR MTL &amp; SUPPLY</v>
          </cell>
          <cell r="D198" t="str">
            <v>69186,,0.0</v>
          </cell>
          <cell r="E198" t="str">
            <v>8178573</v>
          </cell>
          <cell r="F198">
            <v>626.73</v>
          </cell>
          <cell r="G198">
            <v>39342</v>
          </cell>
          <cell r="H198">
            <v>39342</v>
          </cell>
        </row>
        <row r="199">
          <cell r="B199" t="str">
            <v>CONTRACTOR SERVICES-LABOR &amp; MATERIALS</v>
          </cell>
        </row>
        <row r="200">
          <cell r="A200" t="str">
            <v>R2-009JJ-E004</v>
          </cell>
          <cell r="B200" t="str">
            <v>DAY WIRELESS SYSTEMS</v>
          </cell>
          <cell r="C200" t="str">
            <v>REPAIR MTL &amp; SUPPLY</v>
          </cell>
          <cell r="D200" t="str">
            <v>69186,C54310,1.0         FNID153076591</v>
          </cell>
          <cell r="E200" t="str">
            <v>174991</v>
          </cell>
          <cell r="F200">
            <v>126</v>
          </cell>
          <cell r="G200">
            <v>39168</v>
          </cell>
          <cell r="H200">
            <v>39288</v>
          </cell>
        </row>
        <row r="201">
          <cell r="A201" t="str">
            <v>R2-009JJ-E004</v>
          </cell>
          <cell r="B201" t="str">
            <v>DAY WIRELESS SYSTEMS</v>
          </cell>
          <cell r="C201" t="str">
            <v>REPAIR MTL &amp; SUPPLY</v>
          </cell>
          <cell r="D201" t="str">
            <v>69186,C54310,1.0         FNID156195108</v>
          </cell>
          <cell r="E201" t="str">
            <v>188413</v>
          </cell>
          <cell r="F201">
            <v>136.58000000000001</v>
          </cell>
          <cell r="G201">
            <v>39294</v>
          </cell>
          <cell r="H201">
            <v>39363</v>
          </cell>
        </row>
        <row r="202">
          <cell r="A202" t="str">
            <v>R2-009JJ-E004</v>
          </cell>
          <cell r="B202" t="str">
            <v>DAY WIRELESS SYSTEMS</v>
          </cell>
          <cell r="C202" t="str">
            <v>REPAIR MTL &amp; SUPPLY</v>
          </cell>
          <cell r="D202" t="str">
            <v>69186,C54310,1.0         FNID156119360</v>
          </cell>
          <cell r="E202" t="str">
            <v>188054</v>
          </cell>
          <cell r="F202">
            <v>126</v>
          </cell>
          <cell r="G202">
            <v>39315</v>
          </cell>
          <cell r="H202">
            <v>39380</v>
          </cell>
        </row>
        <row r="203">
          <cell r="B203" t="str">
            <v>DAY WIRELESS SYSTEMS</v>
          </cell>
        </row>
        <row r="204">
          <cell r="A204" t="str">
            <v>R2-009JJ-E004</v>
          </cell>
          <cell r="B204" t="str">
            <v>GE CAPITAL MODULAR SPACE</v>
          </cell>
          <cell r="C204" t="str">
            <v>REPAIR MTL &amp; SUPPLY</v>
          </cell>
          <cell r="D204" t="str">
            <v>69186,C60002,1.0         FNID156847041</v>
          </cell>
          <cell r="E204" t="str">
            <v>191507</v>
          </cell>
          <cell r="F204">
            <v>7738.68</v>
          </cell>
          <cell r="G204">
            <v>39337</v>
          </cell>
          <cell r="H204">
            <v>39371</v>
          </cell>
        </row>
        <row r="205">
          <cell r="B205" t="str">
            <v>GE CAPITAL MODULAR SPACE</v>
          </cell>
        </row>
        <row r="206">
          <cell r="A206" t="str">
            <v>R2-009JJ-E004</v>
          </cell>
          <cell r="B206" t="str">
            <v>GOODS REC'D/INVOICE REC'D-NOT YET INVOICED</v>
          </cell>
          <cell r="C206" t="str">
            <v>REPAIR MTL &amp; SUPPLY</v>
          </cell>
          <cell r="D206" t="str">
            <v>69186,C53628,1.0</v>
          </cell>
          <cell r="E206" t="str">
            <v>8090351</v>
          </cell>
          <cell r="F206">
            <v>-428.18</v>
          </cell>
          <cell r="G206">
            <v>39262</v>
          </cell>
          <cell r="H206">
            <v>39262</v>
          </cell>
        </row>
        <row r="207">
          <cell r="A207" t="str">
            <v>R2-009JJ-E004</v>
          </cell>
          <cell r="B207" t="str">
            <v>GOODS REC'D/INVOICE REC'D-NOT YET INVOICED</v>
          </cell>
          <cell r="C207" t="str">
            <v>REPAIR MTL &amp; SUPPLY</v>
          </cell>
          <cell r="D207" t="str">
            <v>69186,C53628,1.0</v>
          </cell>
          <cell r="E207" t="str">
            <v>8103468</v>
          </cell>
          <cell r="F207">
            <v>229.79</v>
          </cell>
          <cell r="G207">
            <v>39274</v>
          </cell>
          <cell r="H207">
            <v>39274</v>
          </cell>
        </row>
        <row r="208">
          <cell r="A208" t="str">
            <v>R2-009JJ-E004</v>
          </cell>
          <cell r="B208" t="str">
            <v>GOODS REC'D/INVOICE REC'D-NOT YET INVOICED</v>
          </cell>
          <cell r="C208" t="str">
            <v>REPAIR MTL &amp; SUPPLY</v>
          </cell>
          <cell r="D208" t="str">
            <v>69186,C53628,1.0</v>
          </cell>
          <cell r="E208" t="str">
            <v>8106621</v>
          </cell>
          <cell r="F208">
            <v>-867.2</v>
          </cell>
          <cell r="G208">
            <v>39279</v>
          </cell>
          <cell r="H208">
            <v>39279</v>
          </cell>
        </row>
        <row r="209">
          <cell r="A209" t="str">
            <v>R2-009JJ-E004</v>
          </cell>
          <cell r="B209" t="str">
            <v>GOODS REC'D/INVOICE REC'D-NOT YET INVOICED</v>
          </cell>
          <cell r="C209" t="str">
            <v>REPAIR MTL &amp; SUPPLY</v>
          </cell>
          <cell r="D209" t="str">
            <v>69186,C53628,1.0</v>
          </cell>
          <cell r="E209" t="str">
            <v>8106632</v>
          </cell>
          <cell r="F209">
            <v>-229.79</v>
          </cell>
          <cell r="G209">
            <v>39279</v>
          </cell>
          <cell r="H209">
            <v>39279</v>
          </cell>
        </row>
        <row r="210">
          <cell r="A210" t="str">
            <v>R2-009JJ-E004</v>
          </cell>
          <cell r="B210" t="str">
            <v>GOODS REC'D/INVOICE REC'D-NOT YET INVOICED</v>
          </cell>
          <cell r="C210" t="str">
            <v>REPAIR MTL &amp; SUPPLY</v>
          </cell>
          <cell r="D210" t="str">
            <v>69186,C53628,1.0</v>
          </cell>
          <cell r="E210" t="str">
            <v>8106636</v>
          </cell>
          <cell r="F210">
            <v>-281.83999999999997</v>
          </cell>
          <cell r="G210">
            <v>39279</v>
          </cell>
          <cell r="H210">
            <v>39279</v>
          </cell>
        </row>
        <row r="211">
          <cell r="A211" t="str">
            <v>R2-009JJ-E004</v>
          </cell>
          <cell r="B211" t="str">
            <v>GOODS REC'D/INVOICE REC'D-NOT YET INVOICED</v>
          </cell>
          <cell r="C211" t="str">
            <v>REPAIR MTL &amp; SUPPLY</v>
          </cell>
          <cell r="D211" t="str">
            <v>69186,C53628,1.0</v>
          </cell>
          <cell r="E211" t="str">
            <v>8109434</v>
          </cell>
          <cell r="F211">
            <v>-97.56</v>
          </cell>
          <cell r="G211">
            <v>39280</v>
          </cell>
          <cell r="H211">
            <v>39280</v>
          </cell>
        </row>
        <row r="212">
          <cell r="A212" t="str">
            <v>R2-009JJ-E004</v>
          </cell>
          <cell r="B212" t="str">
            <v>GOODS REC'D/INVOICE REC'D-NOT YET INVOICED</v>
          </cell>
          <cell r="C212" t="str">
            <v>REPAIR MTL &amp; SUPPLY</v>
          </cell>
          <cell r="D212" t="str">
            <v>69186,C53628,1.0</v>
          </cell>
          <cell r="E212" t="str">
            <v>8110392</v>
          </cell>
          <cell r="F212">
            <v>-428.18</v>
          </cell>
          <cell r="G212">
            <v>39281</v>
          </cell>
          <cell r="H212">
            <v>39281</v>
          </cell>
        </row>
        <row r="213">
          <cell r="A213" t="str">
            <v>R2-009JJ-E004</v>
          </cell>
          <cell r="B213" t="str">
            <v>GOODS REC'D/INVOICE REC'D-NOT YET INVOICED</v>
          </cell>
          <cell r="C213" t="str">
            <v>REPAIR MTL &amp; SUPPLY</v>
          </cell>
          <cell r="D213" t="str">
            <v>69186,C53628,1.0</v>
          </cell>
          <cell r="E213" t="str">
            <v>8110394</v>
          </cell>
          <cell r="F213">
            <v>-1078.58</v>
          </cell>
          <cell r="G213">
            <v>39281</v>
          </cell>
          <cell r="H213">
            <v>39281</v>
          </cell>
        </row>
        <row r="214">
          <cell r="A214" t="str">
            <v>R2-009JJ-E004</v>
          </cell>
          <cell r="B214" t="str">
            <v>GOODS REC'D/INVOICE REC'D-NOT YET INVOICED</v>
          </cell>
          <cell r="C214" t="str">
            <v>REPAIR MTL &amp; SUPPLY</v>
          </cell>
          <cell r="D214" t="str">
            <v>69186,C58419,3.0</v>
          </cell>
          <cell r="E214" t="str">
            <v>8111924</v>
          </cell>
          <cell r="F214">
            <v>796.74</v>
          </cell>
          <cell r="G214">
            <v>39282</v>
          </cell>
          <cell r="H214">
            <v>39282</v>
          </cell>
        </row>
        <row r="215">
          <cell r="A215" t="str">
            <v>R2-009JJ-E004</v>
          </cell>
          <cell r="B215" t="str">
            <v>GOODS REC'D/INVOICE REC'D-NOT YET INVOICED</v>
          </cell>
          <cell r="C215" t="str">
            <v>REPAIR MTL &amp; SUPPLY</v>
          </cell>
          <cell r="D215" t="str">
            <v>69186,C58419,1.0</v>
          </cell>
          <cell r="E215" t="str">
            <v>8111925</v>
          </cell>
          <cell r="F215">
            <v>108.4</v>
          </cell>
          <cell r="G215">
            <v>39282</v>
          </cell>
          <cell r="H215">
            <v>39282</v>
          </cell>
        </row>
        <row r="216">
          <cell r="A216" t="str">
            <v>R2-009JJ-E004</v>
          </cell>
          <cell r="B216" t="str">
            <v>GOODS REC'D/INVOICE REC'D-NOT YET INVOICED</v>
          </cell>
          <cell r="C216" t="str">
            <v>REPAIR MTL &amp; SUPPLY</v>
          </cell>
          <cell r="D216" t="str">
            <v>69186,C58419,2.0</v>
          </cell>
          <cell r="E216" t="str">
            <v>8111926</v>
          </cell>
          <cell r="F216">
            <v>649.32000000000005</v>
          </cell>
          <cell r="G216">
            <v>39282</v>
          </cell>
          <cell r="H216">
            <v>39282</v>
          </cell>
        </row>
        <row r="217">
          <cell r="A217" t="str">
            <v>R2-009JJ-E004</v>
          </cell>
          <cell r="B217" t="str">
            <v>GOODS REC'D/INVOICE REC'D-NOT YET INVOICED</v>
          </cell>
          <cell r="C217" t="str">
            <v>REPAIR MTL &amp; SUPPLY</v>
          </cell>
          <cell r="D217" t="str">
            <v>69186,C53628,1.0</v>
          </cell>
          <cell r="E217" t="str">
            <v>8115294</v>
          </cell>
          <cell r="F217">
            <v>-368.56</v>
          </cell>
          <cell r="G217">
            <v>39286</v>
          </cell>
          <cell r="H217">
            <v>39286</v>
          </cell>
        </row>
        <row r="218">
          <cell r="A218" t="str">
            <v>R2-009JJ-E004</v>
          </cell>
          <cell r="B218" t="str">
            <v>GOODS REC'D/INVOICE REC'D-NOT YET INVOICED</v>
          </cell>
          <cell r="C218" t="str">
            <v>REPAIR MTL &amp; SUPPLY</v>
          </cell>
          <cell r="D218" t="str">
            <v>69186,C53628,1.0</v>
          </cell>
          <cell r="E218" t="str">
            <v>8115291</v>
          </cell>
          <cell r="F218">
            <v>2157.16</v>
          </cell>
          <cell r="G218">
            <v>39286</v>
          </cell>
          <cell r="H218">
            <v>39286</v>
          </cell>
        </row>
        <row r="219">
          <cell r="A219" t="str">
            <v>R2-009JJ-E004</v>
          </cell>
          <cell r="B219" t="str">
            <v>GOODS REC'D/INVOICE REC'D-NOT YET INVOICED</v>
          </cell>
          <cell r="C219" t="str">
            <v>REPAIR MTL &amp; SUPPLY</v>
          </cell>
          <cell r="D219" t="str">
            <v>69186,C53628,1.0</v>
          </cell>
          <cell r="E219" t="str">
            <v>8115293</v>
          </cell>
          <cell r="F219">
            <v>650.4</v>
          </cell>
          <cell r="G219">
            <v>39286</v>
          </cell>
          <cell r="H219">
            <v>39286</v>
          </cell>
        </row>
        <row r="220">
          <cell r="A220" t="str">
            <v>R2-009JJ-E004</v>
          </cell>
          <cell r="B220" t="str">
            <v>GOODS REC'D/INVOICE REC'D-NOT YET INVOICED</v>
          </cell>
          <cell r="C220" t="str">
            <v>REPAIR MTL &amp; SUPPLY</v>
          </cell>
          <cell r="D220" t="str">
            <v>69186,C53628,1.0</v>
          </cell>
          <cell r="E220" t="str">
            <v>8115295</v>
          </cell>
          <cell r="F220">
            <v>867.2</v>
          </cell>
          <cell r="G220">
            <v>39286</v>
          </cell>
          <cell r="H220">
            <v>39286</v>
          </cell>
        </row>
        <row r="221">
          <cell r="A221" t="str">
            <v>R2-009JJ-E004</v>
          </cell>
          <cell r="B221" t="str">
            <v>GOODS REC'D/INVOICE REC'D-NOT YET INVOICED</v>
          </cell>
          <cell r="C221" t="str">
            <v>REPAIR MTL &amp; SUPPLY</v>
          </cell>
          <cell r="D221" t="str">
            <v>69186,C53628,1.0</v>
          </cell>
          <cell r="E221" t="str">
            <v>8115320</v>
          </cell>
          <cell r="F221">
            <v>102.98</v>
          </cell>
          <cell r="G221">
            <v>39286</v>
          </cell>
          <cell r="H221">
            <v>39286</v>
          </cell>
        </row>
        <row r="222">
          <cell r="A222" t="str">
            <v>R2-009JJ-E004</v>
          </cell>
          <cell r="B222" t="str">
            <v>GOODS REC'D/INVOICE REC'D-NOT YET INVOICED</v>
          </cell>
          <cell r="C222" t="str">
            <v>REPAIR MTL &amp; SUPPLY</v>
          </cell>
          <cell r="D222" t="str">
            <v>69186,C53628,1.0</v>
          </cell>
          <cell r="E222" t="str">
            <v>8115321</v>
          </cell>
          <cell r="F222">
            <v>195.12</v>
          </cell>
          <cell r="G222">
            <v>39286</v>
          </cell>
          <cell r="H222">
            <v>39286</v>
          </cell>
        </row>
        <row r="223">
          <cell r="A223" t="str">
            <v>R2-009JJ-E004</v>
          </cell>
          <cell r="B223" t="str">
            <v>GOODS REC'D/INVOICE REC'D-NOT YET INVOICED</v>
          </cell>
          <cell r="C223" t="str">
            <v>REPAIR MTL &amp; SUPPLY</v>
          </cell>
          <cell r="D223" t="str">
            <v>69186,C53628,1.0</v>
          </cell>
          <cell r="E223" t="str">
            <v>8115322</v>
          </cell>
          <cell r="F223">
            <v>189.7</v>
          </cell>
          <cell r="G223">
            <v>39286</v>
          </cell>
          <cell r="H223">
            <v>39286</v>
          </cell>
        </row>
        <row r="224">
          <cell r="A224" t="str">
            <v>R2-009JJ-E004</v>
          </cell>
          <cell r="B224" t="str">
            <v>GOODS REC'D/INVOICE REC'D-NOT YET INVOICED</v>
          </cell>
          <cell r="C224" t="str">
            <v>REPAIR MTL &amp; SUPPLY</v>
          </cell>
          <cell r="D224" t="str">
            <v>69186,C53628,1.0</v>
          </cell>
          <cell r="E224" t="str">
            <v>8115323</v>
          </cell>
          <cell r="F224">
            <v>195.12</v>
          </cell>
          <cell r="G224">
            <v>39286</v>
          </cell>
          <cell r="H224">
            <v>39286</v>
          </cell>
        </row>
        <row r="225">
          <cell r="A225" t="str">
            <v>R2-009JJ-E004</v>
          </cell>
          <cell r="B225" t="str">
            <v>GOODS REC'D/INVOICE REC'D-NOT YET INVOICED</v>
          </cell>
          <cell r="C225" t="str">
            <v>REPAIR MTL &amp; SUPPLY</v>
          </cell>
          <cell r="D225" t="str">
            <v>69186,C53628,1.0</v>
          </cell>
          <cell r="E225" t="str">
            <v>8115324</v>
          </cell>
          <cell r="F225">
            <v>88.89</v>
          </cell>
          <cell r="G225">
            <v>39286</v>
          </cell>
          <cell r="H225">
            <v>39286</v>
          </cell>
        </row>
        <row r="226">
          <cell r="A226" t="str">
            <v>R2-009JJ-E004</v>
          </cell>
          <cell r="B226" t="str">
            <v>GOODS REC'D/INVOICE REC'D-NOT YET INVOICED</v>
          </cell>
          <cell r="C226" t="str">
            <v>REPAIR MTL &amp; SUPPLY</v>
          </cell>
          <cell r="D226" t="str">
            <v>69186,C53628,1.0</v>
          </cell>
          <cell r="E226" t="str">
            <v>8115325</v>
          </cell>
          <cell r="F226">
            <v>137.1</v>
          </cell>
          <cell r="G226">
            <v>39286</v>
          </cell>
          <cell r="H226">
            <v>39286</v>
          </cell>
        </row>
        <row r="227">
          <cell r="A227" t="str">
            <v>R2-009JJ-E004</v>
          </cell>
          <cell r="B227" t="str">
            <v>GOODS REC'D/INVOICE REC'D-NOT YET INVOICED</v>
          </cell>
          <cell r="C227" t="str">
            <v>REPAIR MTL &amp; SUPPLY</v>
          </cell>
          <cell r="D227" t="str">
            <v>69186,C53628,1.0</v>
          </cell>
          <cell r="E227" t="str">
            <v>8115326</v>
          </cell>
          <cell r="F227">
            <v>238.48</v>
          </cell>
          <cell r="G227">
            <v>39286</v>
          </cell>
          <cell r="H227">
            <v>39286</v>
          </cell>
        </row>
        <row r="228">
          <cell r="A228" t="str">
            <v>R2-009JJ-E004</v>
          </cell>
          <cell r="B228" t="str">
            <v>GOODS REC'D/INVOICE REC'D-NOT YET INVOICED</v>
          </cell>
          <cell r="C228" t="str">
            <v>REPAIR MTL &amp; SUPPLY</v>
          </cell>
          <cell r="D228" t="str">
            <v>69186,C53628,1.0</v>
          </cell>
          <cell r="E228" t="str">
            <v>8115327</v>
          </cell>
          <cell r="F228">
            <v>62.87</v>
          </cell>
          <cell r="G228">
            <v>39286</v>
          </cell>
          <cell r="H228">
            <v>39286</v>
          </cell>
        </row>
        <row r="229">
          <cell r="A229" t="str">
            <v>R2-009JJ-E004</v>
          </cell>
          <cell r="B229" t="str">
            <v>GOODS REC'D/INVOICE REC'D-NOT YET INVOICED</v>
          </cell>
          <cell r="C229" t="str">
            <v>REPAIR MTL &amp; SUPPLY</v>
          </cell>
          <cell r="D229" t="str">
            <v>69186,C53628,1.0</v>
          </cell>
          <cell r="E229" t="str">
            <v>8115328</v>
          </cell>
          <cell r="F229">
            <v>26.02</v>
          </cell>
          <cell r="G229">
            <v>39286</v>
          </cell>
          <cell r="H229">
            <v>39286</v>
          </cell>
        </row>
        <row r="230">
          <cell r="A230" t="str">
            <v>R2-009JJ-E004</v>
          </cell>
          <cell r="B230" t="str">
            <v>GOODS REC'D/INVOICE REC'D-NOT YET INVOICED</v>
          </cell>
          <cell r="C230" t="str">
            <v>REPAIR MTL &amp; SUPPLY</v>
          </cell>
          <cell r="D230" t="str">
            <v>69186,C53628,1.0</v>
          </cell>
          <cell r="E230" t="str">
            <v>8115329</v>
          </cell>
          <cell r="F230">
            <v>93.22</v>
          </cell>
          <cell r="G230">
            <v>39286</v>
          </cell>
          <cell r="H230">
            <v>39286</v>
          </cell>
        </row>
        <row r="231">
          <cell r="A231" t="str">
            <v>R2-009JJ-E004</v>
          </cell>
          <cell r="B231" t="str">
            <v>GOODS REC'D/INVOICE REC'D-NOT YET INVOICED</v>
          </cell>
          <cell r="C231" t="str">
            <v>REPAIR MTL &amp; SUPPLY</v>
          </cell>
          <cell r="D231" t="str">
            <v>69186,C54310,1.0</v>
          </cell>
          <cell r="E231" t="str">
            <v>8118136</v>
          </cell>
          <cell r="F231">
            <v>-126</v>
          </cell>
          <cell r="G231">
            <v>39288</v>
          </cell>
          <cell r="H231">
            <v>39288</v>
          </cell>
        </row>
        <row r="232">
          <cell r="A232" t="str">
            <v>R2-009JJ-E004</v>
          </cell>
          <cell r="B232" t="str">
            <v>GOODS REC'D/INVOICE REC'D-NOT YET INVOICED</v>
          </cell>
          <cell r="C232" t="str">
            <v>REPAIR MTL &amp; SUPPLY</v>
          </cell>
          <cell r="D232" t="str">
            <v>69186,C58419,1.0</v>
          </cell>
          <cell r="E232" t="str">
            <v>8126662</v>
          </cell>
          <cell r="F232">
            <v>-108.4</v>
          </cell>
          <cell r="G232">
            <v>39295</v>
          </cell>
          <cell r="H232">
            <v>39295</v>
          </cell>
        </row>
        <row r="233">
          <cell r="A233" t="str">
            <v>R2-009JJ-E004</v>
          </cell>
          <cell r="B233" t="str">
            <v>GOODS REC'D/INVOICE REC'D-NOT YET INVOICED</v>
          </cell>
          <cell r="C233" t="str">
            <v>REPAIR MTL &amp; SUPPLY</v>
          </cell>
          <cell r="D233" t="str">
            <v>69186,C58419,2.0</v>
          </cell>
          <cell r="E233" t="str">
            <v>8126664</v>
          </cell>
          <cell r="F233">
            <v>-649.32000000000005</v>
          </cell>
          <cell r="G233">
            <v>39295</v>
          </cell>
          <cell r="H233">
            <v>39295</v>
          </cell>
        </row>
        <row r="234">
          <cell r="A234" t="str">
            <v>R2-009JJ-E004</v>
          </cell>
          <cell r="B234" t="str">
            <v>GOODS REC'D/INVOICE REC'D-NOT YET INVOICED</v>
          </cell>
          <cell r="C234" t="str">
            <v>REPAIR MTL &amp; SUPPLY</v>
          </cell>
          <cell r="D234" t="str">
            <v>69186,C58419,3.0</v>
          </cell>
          <cell r="E234" t="str">
            <v>8126666</v>
          </cell>
          <cell r="F234">
            <v>-796.74</v>
          </cell>
          <cell r="G234">
            <v>39295</v>
          </cell>
          <cell r="H234">
            <v>39295</v>
          </cell>
        </row>
        <row r="235">
          <cell r="A235" t="str">
            <v>R2-009JJ-E004</v>
          </cell>
          <cell r="B235" t="str">
            <v>GOODS REC'D/INVOICE REC'D-NOT YET INVOICED</v>
          </cell>
          <cell r="C235" t="str">
            <v>REPAIR MTL &amp; SUPPLY</v>
          </cell>
          <cell r="D235" t="str">
            <v>69186,C53628,1.0</v>
          </cell>
          <cell r="E235" t="str">
            <v>8131781</v>
          </cell>
          <cell r="F235">
            <v>-62.87</v>
          </cell>
          <cell r="G235">
            <v>39303</v>
          </cell>
          <cell r="H235">
            <v>39303</v>
          </cell>
        </row>
        <row r="236">
          <cell r="A236" t="str">
            <v>R2-009JJ-E004</v>
          </cell>
          <cell r="B236" t="str">
            <v>GOODS REC'D/INVOICE REC'D-NOT YET INVOICED</v>
          </cell>
          <cell r="C236" t="str">
            <v>REPAIR MTL &amp; SUPPLY</v>
          </cell>
          <cell r="D236" t="str">
            <v>69186,C53628,1.0</v>
          </cell>
          <cell r="E236" t="str">
            <v>8131824</v>
          </cell>
          <cell r="F236">
            <v>-238.48</v>
          </cell>
          <cell r="G236">
            <v>39303</v>
          </cell>
          <cell r="H236">
            <v>39303</v>
          </cell>
        </row>
        <row r="237">
          <cell r="A237" t="str">
            <v>R2-009JJ-E004</v>
          </cell>
          <cell r="B237" t="str">
            <v>GOODS REC'D/INVOICE REC'D-NOT YET INVOICED</v>
          </cell>
          <cell r="C237" t="str">
            <v>REPAIR MTL &amp; SUPPLY</v>
          </cell>
          <cell r="D237" t="str">
            <v>69186,C53628,1.0</v>
          </cell>
          <cell r="E237" t="str">
            <v>8131871</v>
          </cell>
          <cell r="F237">
            <v>-137.1</v>
          </cell>
          <cell r="G237">
            <v>39303</v>
          </cell>
          <cell r="H237">
            <v>39303</v>
          </cell>
        </row>
        <row r="238">
          <cell r="A238" t="str">
            <v>R2-009JJ-E004</v>
          </cell>
          <cell r="B238" t="str">
            <v>GOODS REC'D/INVOICE REC'D-NOT YET INVOICED</v>
          </cell>
          <cell r="C238" t="str">
            <v>REPAIR MTL &amp; SUPPLY</v>
          </cell>
          <cell r="D238" t="str">
            <v>69186,C53628,1.0</v>
          </cell>
          <cell r="E238" t="str">
            <v>8131873</v>
          </cell>
          <cell r="F238">
            <v>-88.89</v>
          </cell>
          <cell r="G238">
            <v>39303</v>
          </cell>
          <cell r="H238">
            <v>39303</v>
          </cell>
        </row>
        <row r="239">
          <cell r="A239" t="str">
            <v>R2-009JJ-E004</v>
          </cell>
          <cell r="B239" t="str">
            <v>GOODS REC'D/INVOICE REC'D-NOT YET INVOICED</v>
          </cell>
          <cell r="C239" t="str">
            <v>REPAIR MTL &amp; SUPPLY</v>
          </cell>
          <cell r="D239" t="str">
            <v>69186,C53628,1.0</v>
          </cell>
          <cell r="E239" t="str">
            <v>8131875</v>
          </cell>
          <cell r="F239">
            <v>-195.12</v>
          </cell>
          <cell r="G239">
            <v>39303</v>
          </cell>
          <cell r="H239">
            <v>39303</v>
          </cell>
        </row>
        <row r="240">
          <cell r="A240" t="str">
            <v>R2-009JJ-E004</v>
          </cell>
          <cell r="B240" t="str">
            <v>GOODS REC'D/INVOICE REC'D-NOT YET INVOICED</v>
          </cell>
          <cell r="C240" t="str">
            <v>REPAIR MTL &amp; SUPPLY</v>
          </cell>
          <cell r="D240" t="str">
            <v>69186,C53628,1.0</v>
          </cell>
          <cell r="E240" t="str">
            <v>8131877</v>
          </cell>
          <cell r="F240">
            <v>-189.7</v>
          </cell>
          <cell r="G240">
            <v>39303</v>
          </cell>
          <cell r="H240">
            <v>39303</v>
          </cell>
        </row>
        <row r="241">
          <cell r="A241" t="str">
            <v>R2-009JJ-E004</v>
          </cell>
          <cell r="B241" t="str">
            <v>GOODS REC'D/INVOICE REC'D-NOT YET INVOICED</v>
          </cell>
          <cell r="C241" t="str">
            <v>REPAIR MTL &amp; SUPPLY</v>
          </cell>
          <cell r="D241" t="str">
            <v>69186,C53628,1.0</v>
          </cell>
          <cell r="E241" t="str">
            <v>8131879</v>
          </cell>
          <cell r="F241">
            <v>-195.12</v>
          </cell>
          <cell r="G241">
            <v>39303</v>
          </cell>
          <cell r="H241">
            <v>39303</v>
          </cell>
        </row>
        <row r="242">
          <cell r="A242" t="str">
            <v>R2-009JJ-E004</v>
          </cell>
          <cell r="B242" t="str">
            <v>GOODS REC'D/INVOICE REC'D-NOT YET INVOICED</v>
          </cell>
          <cell r="C242" t="str">
            <v>REPAIR MTL &amp; SUPPLY</v>
          </cell>
          <cell r="D242" t="str">
            <v>69186,C53628,1.0</v>
          </cell>
          <cell r="E242" t="str">
            <v>8131881</v>
          </cell>
          <cell r="F242">
            <v>-102.98</v>
          </cell>
          <cell r="G242">
            <v>39303</v>
          </cell>
          <cell r="H242">
            <v>39303</v>
          </cell>
        </row>
        <row r="243">
          <cell r="A243" t="str">
            <v>R2-009JJ-E004</v>
          </cell>
          <cell r="B243" t="str">
            <v>GOODS REC'D/INVOICE REC'D-NOT YET INVOICED</v>
          </cell>
          <cell r="C243" t="str">
            <v>REPAIR MTL &amp; SUPPLY</v>
          </cell>
          <cell r="D243" t="str">
            <v>69186,C53628,1.0</v>
          </cell>
          <cell r="E243" t="str">
            <v>8131927</v>
          </cell>
          <cell r="F243">
            <v>-93.22</v>
          </cell>
          <cell r="G243">
            <v>39303</v>
          </cell>
          <cell r="H243">
            <v>39303</v>
          </cell>
        </row>
        <row r="244">
          <cell r="A244" t="str">
            <v>R2-009JJ-E004</v>
          </cell>
          <cell r="B244" t="str">
            <v>GOODS REC'D/INVOICE REC'D-NOT YET INVOICED</v>
          </cell>
          <cell r="C244" t="str">
            <v>REPAIR MTL &amp; SUPPLY</v>
          </cell>
          <cell r="D244" t="str">
            <v>69186,C53628,1.0</v>
          </cell>
          <cell r="E244" t="str">
            <v>8131929</v>
          </cell>
          <cell r="F244">
            <v>-26.02</v>
          </cell>
          <cell r="G244">
            <v>39303</v>
          </cell>
          <cell r="H244">
            <v>39303</v>
          </cell>
        </row>
        <row r="245">
          <cell r="A245" t="str">
            <v>R2-009JJ-E004</v>
          </cell>
          <cell r="B245" t="str">
            <v>GOODS REC'D/INVOICE REC'D-NOT YET INVOICED</v>
          </cell>
          <cell r="C245" t="str">
            <v>REPAIR MTL &amp; SUPPLY</v>
          </cell>
          <cell r="D245" t="str">
            <v>69186,C53628,1.0</v>
          </cell>
          <cell r="E245" t="str">
            <v>8133081</v>
          </cell>
          <cell r="F245">
            <v>-650.4</v>
          </cell>
          <cell r="G245">
            <v>39304</v>
          </cell>
          <cell r="H245">
            <v>39304</v>
          </cell>
        </row>
        <row r="246">
          <cell r="A246" t="str">
            <v>R2-009JJ-E004</v>
          </cell>
          <cell r="B246" t="str">
            <v>GOODS REC'D/INVOICE REC'D-NOT YET INVOICED</v>
          </cell>
          <cell r="C246" t="str">
            <v>REPAIR MTL &amp; SUPPLY</v>
          </cell>
          <cell r="D246" t="str">
            <v>69186,C53628,1.0</v>
          </cell>
          <cell r="E246" t="str">
            <v>8133083</v>
          </cell>
          <cell r="F246">
            <v>368.56</v>
          </cell>
          <cell r="G246">
            <v>39304</v>
          </cell>
          <cell r="H246">
            <v>39304</v>
          </cell>
        </row>
        <row r="247">
          <cell r="A247" t="str">
            <v>R2-009JJ-E004</v>
          </cell>
          <cell r="B247" t="str">
            <v>GOODS REC'D/INVOICE REC'D-NOT YET INVOICED</v>
          </cell>
          <cell r="C247" t="str">
            <v>REPAIR MTL &amp; SUPPLY</v>
          </cell>
          <cell r="D247" t="str">
            <v>69186,C53628,1.0</v>
          </cell>
          <cell r="E247" t="str">
            <v>8139207</v>
          </cell>
          <cell r="F247">
            <v>-2157.16</v>
          </cell>
          <cell r="G247">
            <v>39309</v>
          </cell>
          <cell r="H247">
            <v>39309</v>
          </cell>
        </row>
        <row r="248">
          <cell r="A248" t="str">
            <v>R2-009JJ-E004</v>
          </cell>
          <cell r="B248" t="str">
            <v>GOODS REC'D/INVOICE REC'D-NOT YET INVOICED</v>
          </cell>
          <cell r="C248" t="str">
            <v>REPAIR MTL &amp; SUPPLY</v>
          </cell>
          <cell r="D248" t="str">
            <v>69186,C53628,1.0</v>
          </cell>
          <cell r="E248" t="str">
            <v>8139209</v>
          </cell>
          <cell r="F248">
            <v>-867.2</v>
          </cell>
          <cell r="G248">
            <v>39309</v>
          </cell>
          <cell r="H248">
            <v>39309</v>
          </cell>
        </row>
        <row r="249">
          <cell r="A249" t="str">
            <v>R2-009JJ-E004</v>
          </cell>
          <cell r="B249" t="str">
            <v>GOODS REC'D/INVOICE REC'D-NOT YET INVOICED</v>
          </cell>
          <cell r="C249" t="str">
            <v>REPAIR MTL &amp; SUPPLY</v>
          </cell>
          <cell r="D249" t="str">
            <v>69186,C53628,1.0</v>
          </cell>
          <cell r="E249" t="str">
            <v>8150188</v>
          </cell>
          <cell r="F249">
            <v>243.9</v>
          </cell>
          <cell r="G249">
            <v>39316</v>
          </cell>
          <cell r="H249">
            <v>39316</v>
          </cell>
        </row>
        <row r="250">
          <cell r="A250" t="str">
            <v>R2-009JJ-E004</v>
          </cell>
          <cell r="B250" t="str">
            <v>GOODS REC'D/INVOICE REC'D-NOT YET INVOICED</v>
          </cell>
          <cell r="C250" t="str">
            <v>REPAIR MTL &amp; SUPPLY</v>
          </cell>
          <cell r="D250" t="str">
            <v>69186,C53628,1.0</v>
          </cell>
          <cell r="E250" t="str">
            <v>8150189</v>
          </cell>
          <cell r="F250">
            <v>195.12</v>
          </cell>
          <cell r="G250">
            <v>39316</v>
          </cell>
          <cell r="H250">
            <v>39316</v>
          </cell>
        </row>
        <row r="251">
          <cell r="A251" t="str">
            <v>R2-009JJ-E004</v>
          </cell>
          <cell r="B251" t="str">
            <v>GOODS REC'D/INVOICE REC'D-NOT YET INVOICED</v>
          </cell>
          <cell r="C251" t="str">
            <v>REPAIR MTL &amp; SUPPLY</v>
          </cell>
          <cell r="D251" t="str">
            <v>69186,C53628,1.0</v>
          </cell>
          <cell r="E251" t="str">
            <v>8152088</v>
          </cell>
          <cell r="F251">
            <v>-243.9</v>
          </cell>
          <cell r="G251">
            <v>39318</v>
          </cell>
          <cell r="H251">
            <v>39318</v>
          </cell>
        </row>
        <row r="252">
          <cell r="A252" t="str">
            <v>R2-009JJ-E004</v>
          </cell>
          <cell r="B252" t="str">
            <v>GOODS REC'D/INVOICE REC'D-NOT YET INVOICED</v>
          </cell>
          <cell r="C252" t="str">
            <v>REPAIR MTL &amp; SUPPLY</v>
          </cell>
          <cell r="D252" t="str">
            <v>69186,C53628,1.0</v>
          </cell>
          <cell r="E252" t="str">
            <v>8152090</v>
          </cell>
          <cell r="F252">
            <v>-195.12</v>
          </cell>
          <cell r="G252">
            <v>39318</v>
          </cell>
          <cell r="H252">
            <v>39318</v>
          </cell>
        </row>
        <row r="253">
          <cell r="A253" t="str">
            <v>R2-009JJ-E004</v>
          </cell>
          <cell r="B253" t="str">
            <v>GOODS REC'D/INVOICE REC'D-NOT YET INVOICED</v>
          </cell>
          <cell r="C253" t="str">
            <v>REPAIR MTL &amp; SUPPLY</v>
          </cell>
          <cell r="D253" t="str">
            <v>69186,C53628,1.0</v>
          </cell>
          <cell r="E253" t="str">
            <v>8152710</v>
          </cell>
          <cell r="F253">
            <v>2157.16</v>
          </cell>
          <cell r="G253">
            <v>39321</v>
          </cell>
          <cell r="H253">
            <v>39321</v>
          </cell>
        </row>
        <row r="254">
          <cell r="A254" t="str">
            <v>R2-009JJ-E004</v>
          </cell>
          <cell r="B254" t="str">
            <v>GOODS REC'D/INVOICE REC'D-NOT YET INVOICED</v>
          </cell>
          <cell r="C254" t="str">
            <v>REPAIR MTL &amp; SUPPLY</v>
          </cell>
          <cell r="D254" t="str">
            <v>69186,C53628,1.0</v>
          </cell>
          <cell r="E254" t="str">
            <v>8152711</v>
          </cell>
          <cell r="F254">
            <v>867.2</v>
          </cell>
          <cell r="G254">
            <v>39321</v>
          </cell>
          <cell r="H254">
            <v>39321</v>
          </cell>
        </row>
        <row r="255">
          <cell r="A255" t="str">
            <v>R2-009JJ-E004</v>
          </cell>
          <cell r="B255" t="str">
            <v>GOODS REC'D/INVOICE REC'D-NOT YET INVOICED</v>
          </cell>
          <cell r="C255" t="str">
            <v>REPAIR MTL &amp; SUPPLY</v>
          </cell>
          <cell r="D255" t="str">
            <v>69186,C53628,1.0</v>
          </cell>
          <cell r="E255" t="str">
            <v>8152712</v>
          </cell>
          <cell r="F255">
            <v>200.54</v>
          </cell>
          <cell r="G255">
            <v>39321</v>
          </cell>
          <cell r="H255">
            <v>39321</v>
          </cell>
        </row>
        <row r="256">
          <cell r="A256" t="str">
            <v>R2-009JJ-E004</v>
          </cell>
          <cell r="B256" t="str">
            <v>GOODS REC'D/INVOICE REC'D-NOT YET INVOICED</v>
          </cell>
          <cell r="C256" t="str">
            <v>REPAIR MTL &amp; SUPPLY</v>
          </cell>
          <cell r="D256" t="str">
            <v>69186,C53628,1.0</v>
          </cell>
          <cell r="E256" t="str">
            <v>8152713</v>
          </cell>
          <cell r="F256">
            <v>428.18</v>
          </cell>
          <cell r="G256">
            <v>39321</v>
          </cell>
          <cell r="H256">
            <v>39321</v>
          </cell>
        </row>
        <row r="257">
          <cell r="A257" t="str">
            <v>R2-009JJ-E004</v>
          </cell>
          <cell r="B257" t="str">
            <v>GOODS REC'D/INVOICE REC'D-NOT YET INVOICED</v>
          </cell>
          <cell r="C257" t="str">
            <v>REPAIR MTL &amp; SUPPLY</v>
          </cell>
          <cell r="D257" t="str">
            <v>69186,C53628,1.0</v>
          </cell>
          <cell r="E257" t="str">
            <v>8152714</v>
          </cell>
          <cell r="F257">
            <v>422.76</v>
          </cell>
          <cell r="G257">
            <v>39321</v>
          </cell>
          <cell r="H257">
            <v>39321</v>
          </cell>
        </row>
        <row r="258">
          <cell r="A258" t="str">
            <v>R2-009JJ-E004</v>
          </cell>
          <cell r="B258" t="str">
            <v>GOODS REC'D/INVOICE REC'D-NOT YET INVOICED</v>
          </cell>
          <cell r="C258" t="str">
            <v>REPAIR MTL &amp; SUPPLY</v>
          </cell>
          <cell r="D258" t="str">
            <v>69186,C53628,1.0</v>
          </cell>
          <cell r="E258" t="str">
            <v>8152715</v>
          </cell>
          <cell r="F258">
            <v>542</v>
          </cell>
          <cell r="G258">
            <v>39321</v>
          </cell>
          <cell r="H258">
            <v>39321</v>
          </cell>
        </row>
        <row r="259">
          <cell r="A259" t="str">
            <v>R2-009JJ-E004</v>
          </cell>
          <cell r="B259" t="str">
            <v>GOODS REC'D/INVOICE REC'D-NOT YET INVOICED</v>
          </cell>
          <cell r="C259" t="str">
            <v>REPAIR MTL &amp; SUPPLY</v>
          </cell>
          <cell r="D259" t="str">
            <v>69186,C53628,1.0</v>
          </cell>
          <cell r="E259" t="str">
            <v>8152716</v>
          </cell>
          <cell r="F259">
            <v>95.39</v>
          </cell>
          <cell r="G259">
            <v>39321</v>
          </cell>
          <cell r="H259">
            <v>39321</v>
          </cell>
        </row>
        <row r="260">
          <cell r="A260" t="str">
            <v>R2-009JJ-E004</v>
          </cell>
          <cell r="B260" t="str">
            <v>GOODS REC'D/INVOICE REC'D-NOT YET INVOICED</v>
          </cell>
          <cell r="C260" t="str">
            <v>REPAIR MTL &amp; SUPPLY</v>
          </cell>
          <cell r="D260" t="str">
            <v>69186,C53628,1.0</v>
          </cell>
          <cell r="E260" t="str">
            <v>8152717</v>
          </cell>
          <cell r="F260">
            <v>34.69</v>
          </cell>
          <cell r="G260">
            <v>39321</v>
          </cell>
          <cell r="H260">
            <v>39321</v>
          </cell>
        </row>
        <row r="261">
          <cell r="A261" t="str">
            <v>R2-009JJ-E004</v>
          </cell>
          <cell r="B261" t="str">
            <v>GOODS REC'D/INVOICE REC'D-NOT YET INVOICED</v>
          </cell>
          <cell r="C261" t="str">
            <v>REPAIR MTL &amp; SUPPLY</v>
          </cell>
          <cell r="D261" t="str">
            <v>69186,C53628,1.0</v>
          </cell>
          <cell r="E261" t="str">
            <v>8152718</v>
          </cell>
          <cell r="F261">
            <v>726.28</v>
          </cell>
          <cell r="G261">
            <v>39321</v>
          </cell>
          <cell r="H261">
            <v>39321</v>
          </cell>
        </row>
        <row r="262">
          <cell r="A262" t="str">
            <v>R2-009JJ-E004</v>
          </cell>
          <cell r="B262" t="str">
            <v>GOODS REC'D/INVOICE REC'D-NOT YET INVOICED</v>
          </cell>
          <cell r="C262" t="str">
            <v>REPAIR MTL &amp; SUPPLY</v>
          </cell>
          <cell r="D262" t="str">
            <v>69186,C53628,1.0</v>
          </cell>
          <cell r="E262" t="str">
            <v>8152719</v>
          </cell>
          <cell r="F262">
            <v>176.69</v>
          </cell>
          <cell r="G262">
            <v>39321</v>
          </cell>
          <cell r="H262">
            <v>39321</v>
          </cell>
        </row>
        <row r="263">
          <cell r="A263" t="str">
            <v>R2-009JJ-E004</v>
          </cell>
          <cell r="B263" t="str">
            <v>GOODS REC'D/INVOICE REC'D-NOT YET INVOICED</v>
          </cell>
          <cell r="C263" t="str">
            <v>REPAIR MTL &amp; SUPPLY</v>
          </cell>
          <cell r="D263" t="str">
            <v>69186,C53628,1.0</v>
          </cell>
          <cell r="E263" t="str">
            <v>8152720</v>
          </cell>
          <cell r="F263">
            <v>211.38</v>
          </cell>
          <cell r="G263">
            <v>39321</v>
          </cell>
          <cell r="H263">
            <v>39321</v>
          </cell>
        </row>
        <row r="264">
          <cell r="A264" t="str">
            <v>R2-009JJ-E004</v>
          </cell>
          <cell r="B264" t="str">
            <v>GOODS REC'D/INVOICE REC'D-NOT YET INVOICED</v>
          </cell>
          <cell r="C264" t="str">
            <v>REPAIR MTL &amp; SUPPLY</v>
          </cell>
          <cell r="D264" t="str">
            <v>69186,C53628,1.0</v>
          </cell>
          <cell r="E264" t="str">
            <v>8152721</v>
          </cell>
          <cell r="F264">
            <v>34.69</v>
          </cell>
          <cell r="G264">
            <v>39321</v>
          </cell>
          <cell r="H264">
            <v>39321</v>
          </cell>
        </row>
        <row r="265">
          <cell r="A265" t="str">
            <v>R2-009JJ-E004</v>
          </cell>
          <cell r="B265" t="str">
            <v>GOODS REC'D/INVOICE REC'D-NOT YET INVOICED</v>
          </cell>
          <cell r="C265" t="str">
            <v>REPAIR MTL &amp; SUPPLY</v>
          </cell>
          <cell r="D265" t="str">
            <v>69186,C53628,1.0</v>
          </cell>
          <cell r="E265" t="str">
            <v>8164410</v>
          </cell>
          <cell r="F265">
            <v>-2157.16</v>
          </cell>
          <cell r="G265">
            <v>39330</v>
          </cell>
          <cell r="H265">
            <v>39330</v>
          </cell>
        </row>
        <row r="266">
          <cell r="A266" t="str">
            <v>R2-009JJ-E004</v>
          </cell>
          <cell r="B266" t="str">
            <v>GOODS REC'D/INVOICE REC'D-NOT YET INVOICED</v>
          </cell>
          <cell r="C266" t="str">
            <v>REPAIR MTL &amp; SUPPLY</v>
          </cell>
          <cell r="D266" t="str">
            <v>69186,C53628,1.0</v>
          </cell>
          <cell r="E266" t="str">
            <v>8164412</v>
          </cell>
          <cell r="F266">
            <v>-867.2</v>
          </cell>
          <cell r="G266">
            <v>39330</v>
          </cell>
          <cell r="H266">
            <v>39330</v>
          </cell>
        </row>
        <row r="267">
          <cell r="A267" t="str">
            <v>R2-009JJ-E004</v>
          </cell>
          <cell r="B267" t="str">
            <v>GOODS REC'D/INVOICE REC'D-NOT YET INVOICED</v>
          </cell>
          <cell r="C267" t="str">
            <v>REPAIR MTL &amp; SUPPLY</v>
          </cell>
          <cell r="D267" t="str">
            <v>69186,C53628,1.0</v>
          </cell>
          <cell r="E267" t="str">
            <v>8164414</v>
          </cell>
          <cell r="F267">
            <v>-200.54</v>
          </cell>
          <cell r="G267">
            <v>39330</v>
          </cell>
          <cell r="H267">
            <v>39330</v>
          </cell>
        </row>
        <row r="268">
          <cell r="A268" t="str">
            <v>R2-009JJ-E004</v>
          </cell>
          <cell r="B268" t="str">
            <v>GOODS REC'D/INVOICE REC'D-NOT YET INVOICED</v>
          </cell>
          <cell r="C268" t="str">
            <v>REPAIR MTL &amp; SUPPLY</v>
          </cell>
          <cell r="D268" t="str">
            <v>69186,C53628,1.0</v>
          </cell>
          <cell r="E268" t="str">
            <v>8164416</v>
          </cell>
          <cell r="F268">
            <v>-428.18</v>
          </cell>
          <cell r="G268">
            <v>39330</v>
          </cell>
          <cell r="H268">
            <v>39330</v>
          </cell>
        </row>
        <row r="269">
          <cell r="A269" t="str">
            <v>R2-009JJ-E004</v>
          </cell>
          <cell r="B269" t="str">
            <v>GOODS REC'D/INVOICE REC'D-NOT YET INVOICED</v>
          </cell>
          <cell r="C269" t="str">
            <v>REPAIR MTL &amp; SUPPLY</v>
          </cell>
          <cell r="D269" t="str">
            <v>69186,C53628,1.0</v>
          </cell>
          <cell r="E269" t="str">
            <v>8164418</v>
          </cell>
          <cell r="F269">
            <v>-422.76</v>
          </cell>
          <cell r="G269">
            <v>39330</v>
          </cell>
          <cell r="H269">
            <v>39330</v>
          </cell>
        </row>
        <row r="270">
          <cell r="A270" t="str">
            <v>R2-009JJ-E004</v>
          </cell>
          <cell r="B270" t="str">
            <v>GOODS REC'D/INVOICE REC'D-NOT YET INVOICED</v>
          </cell>
          <cell r="C270" t="str">
            <v>REPAIR MTL &amp; SUPPLY</v>
          </cell>
          <cell r="D270" t="str">
            <v>69186,C53628,1.0</v>
          </cell>
          <cell r="E270" t="str">
            <v>8164420</v>
          </cell>
          <cell r="F270">
            <v>-542</v>
          </cell>
          <cell r="G270">
            <v>39330</v>
          </cell>
          <cell r="H270">
            <v>39330</v>
          </cell>
        </row>
        <row r="271">
          <cell r="A271" t="str">
            <v>R2-009JJ-E004</v>
          </cell>
          <cell r="B271" t="str">
            <v>GOODS REC'D/INVOICE REC'D-NOT YET INVOICED</v>
          </cell>
          <cell r="C271" t="str">
            <v>REPAIR MTL &amp; SUPPLY</v>
          </cell>
          <cell r="D271" t="str">
            <v>69186,C53628,1.0</v>
          </cell>
          <cell r="E271" t="str">
            <v>8164422</v>
          </cell>
          <cell r="F271">
            <v>-95.39</v>
          </cell>
          <cell r="G271">
            <v>39330</v>
          </cell>
          <cell r="H271">
            <v>39330</v>
          </cell>
        </row>
        <row r="272">
          <cell r="A272" t="str">
            <v>R2-009JJ-E004</v>
          </cell>
          <cell r="B272" t="str">
            <v>GOODS REC'D/INVOICE REC'D-NOT YET INVOICED</v>
          </cell>
          <cell r="C272" t="str">
            <v>REPAIR MTL &amp; SUPPLY</v>
          </cell>
          <cell r="D272" t="str">
            <v>69186,C53628,1.0</v>
          </cell>
          <cell r="E272" t="str">
            <v>8164424</v>
          </cell>
          <cell r="F272">
            <v>-34.69</v>
          </cell>
          <cell r="G272">
            <v>39330</v>
          </cell>
          <cell r="H272">
            <v>39330</v>
          </cell>
        </row>
        <row r="273">
          <cell r="A273" t="str">
            <v>R2-009JJ-E004</v>
          </cell>
          <cell r="B273" t="str">
            <v>GOODS REC'D/INVOICE REC'D-NOT YET INVOICED</v>
          </cell>
          <cell r="C273" t="str">
            <v>REPAIR MTL &amp; SUPPLY</v>
          </cell>
          <cell r="D273" t="str">
            <v>69186,C53628,1.0</v>
          </cell>
          <cell r="E273" t="str">
            <v>8164428</v>
          </cell>
          <cell r="F273">
            <v>-726.28</v>
          </cell>
          <cell r="G273">
            <v>39330</v>
          </cell>
          <cell r="H273">
            <v>39330</v>
          </cell>
        </row>
        <row r="274">
          <cell r="A274" t="str">
            <v>R2-009JJ-E004</v>
          </cell>
          <cell r="B274" t="str">
            <v>GOODS REC'D/INVOICE REC'D-NOT YET INVOICED</v>
          </cell>
          <cell r="C274" t="str">
            <v>REPAIR MTL &amp; SUPPLY</v>
          </cell>
          <cell r="D274" t="str">
            <v>69186,C53628,1.0</v>
          </cell>
          <cell r="E274" t="str">
            <v>8164430</v>
          </cell>
          <cell r="F274">
            <v>-176.69</v>
          </cell>
          <cell r="G274">
            <v>39330</v>
          </cell>
          <cell r="H274">
            <v>39330</v>
          </cell>
        </row>
        <row r="275">
          <cell r="A275" t="str">
            <v>R2-009JJ-E004</v>
          </cell>
          <cell r="B275" t="str">
            <v>GOODS REC'D/INVOICE REC'D-NOT YET INVOICED</v>
          </cell>
          <cell r="C275" t="str">
            <v>REPAIR MTL &amp; SUPPLY</v>
          </cell>
          <cell r="D275" t="str">
            <v>69186,C53628,1.0</v>
          </cell>
          <cell r="E275" t="str">
            <v>8164432</v>
          </cell>
          <cell r="F275">
            <v>-211.38</v>
          </cell>
          <cell r="G275">
            <v>39330</v>
          </cell>
          <cell r="H275">
            <v>39330</v>
          </cell>
        </row>
        <row r="276">
          <cell r="A276" t="str">
            <v>R2-009JJ-E004</v>
          </cell>
          <cell r="B276" t="str">
            <v>GOODS REC'D/INVOICE REC'D-NOT YET INVOICED</v>
          </cell>
          <cell r="C276" t="str">
            <v>REPAIR MTL &amp; SUPPLY</v>
          </cell>
          <cell r="D276" t="str">
            <v>69186,C53628,1.0</v>
          </cell>
          <cell r="E276" t="str">
            <v>8164434</v>
          </cell>
          <cell r="F276">
            <v>-34.69</v>
          </cell>
          <cell r="G276">
            <v>39330</v>
          </cell>
          <cell r="H276">
            <v>39330</v>
          </cell>
        </row>
        <row r="277">
          <cell r="A277" t="str">
            <v>R2-009JJ-E004</v>
          </cell>
          <cell r="B277" t="str">
            <v>GOODS REC'D/INVOICE REC'D-NOT YET INVOICED</v>
          </cell>
          <cell r="C277" t="str">
            <v>REPAIR MTL &amp; SUPPLY</v>
          </cell>
          <cell r="D277" t="str">
            <v>69186,C53628,1.0</v>
          </cell>
          <cell r="E277" t="str">
            <v>8167703</v>
          </cell>
          <cell r="F277">
            <v>27.1</v>
          </cell>
          <cell r="G277">
            <v>39335</v>
          </cell>
          <cell r="H277">
            <v>39335</v>
          </cell>
        </row>
        <row r="278">
          <cell r="A278" t="str">
            <v>R2-009JJ-E004</v>
          </cell>
          <cell r="B278" t="str">
            <v>GOODS REC'D/INVOICE REC'D-NOT YET INVOICED</v>
          </cell>
          <cell r="C278" t="str">
            <v>REPAIR MTL &amp; SUPPLY</v>
          </cell>
          <cell r="D278" t="str">
            <v>69186,C53628,1.0</v>
          </cell>
          <cell r="E278" t="str">
            <v>8167716</v>
          </cell>
          <cell r="F278">
            <v>422.76</v>
          </cell>
          <cell r="G278">
            <v>39335</v>
          </cell>
          <cell r="H278">
            <v>39335</v>
          </cell>
        </row>
        <row r="279">
          <cell r="A279" t="str">
            <v>R2-009JJ-E004</v>
          </cell>
          <cell r="B279" t="str">
            <v>GOODS REC'D/INVOICE REC'D-NOT YET INVOICED</v>
          </cell>
          <cell r="C279" t="str">
            <v>REPAIR MTL &amp; SUPPLY</v>
          </cell>
          <cell r="D279" t="str">
            <v>69186,C53628,1.0</v>
          </cell>
          <cell r="E279" t="str">
            <v>8167715</v>
          </cell>
          <cell r="F279">
            <v>195.12</v>
          </cell>
          <cell r="G279">
            <v>39335</v>
          </cell>
          <cell r="H279">
            <v>39335</v>
          </cell>
        </row>
        <row r="280">
          <cell r="A280" t="str">
            <v>R2-009JJ-E004</v>
          </cell>
          <cell r="B280" t="str">
            <v>GOODS REC'D/INVOICE REC'D-NOT YET INVOICED</v>
          </cell>
          <cell r="C280" t="str">
            <v>REPAIR MTL &amp; SUPPLY</v>
          </cell>
          <cell r="D280" t="str">
            <v>69186,C53628,1.0</v>
          </cell>
          <cell r="E280" t="str">
            <v>8167717</v>
          </cell>
          <cell r="F280">
            <v>1300.8</v>
          </cell>
          <cell r="G280">
            <v>39335</v>
          </cell>
          <cell r="H280">
            <v>39335</v>
          </cell>
        </row>
        <row r="281">
          <cell r="A281" t="str">
            <v>R2-009JJ-E004</v>
          </cell>
          <cell r="B281" t="str">
            <v>GOODS REC'D/INVOICE REC'D-NOT YET INVOICED</v>
          </cell>
          <cell r="C281" t="str">
            <v>REPAIR MTL &amp; SUPPLY</v>
          </cell>
          <cell r="D281" t="str">
            <v>69186,C53628,1.0</v>
          </cell>
          <cell r="E281" t="str">
            <v>8167718</v>
          </cell>
          <cell r="F281">
            <v>867.2</v>
          </cell>
          <cell r="G281">
            <v>39335</v>
          </cell>
          <cell r="H281">
            <v>39335</v>
          </cell>
        </row>
        <row r="282">
          <cell r="A282" t="str">
            <v>R2-009JJ-E004</v>
          </cell>
          <cell r="B282" t="str">
            <v>GOODS REC'D/INVOICE REC'D-NOT YET INVOICED</v>
          </cell>
          <cell r="C282" t="str">
            <v>REPAIR MTL &amp; SUPPLY</v>
          </cell>
          <cell r="D282" t="str">
            <v>69186,C59381,1.0</v>
          </cell>
          <cell r="E282" t="str">
            <v>8169240</v>
          </cell>
          <cell r="F282">
            <v>1350.66</v>
          </cell>
          <cell r="G282">
            <v>39336</v>
          </cell>
          <cell r="H282">
            <v>39336</v>
          </cell>
        </row>
        <row r="283">
          <cell r="A283" t="str">
            <v>R2-009JJ-E004</v>
          </cell>
          <cell r="B283" t="str">
            <v>GOODS REC'D/INVOICE REC'D-NOT YET INVOICED</v>
          </cell>
          <cell r="C283" t="str">
            <v>REPAIR MTL &amp; SUPPLY</v>
          </cell>
          <cell r="D283" t="str">
            <v>69186,C59381,2.0</v>
          </cell>
          <cell r="E283" t="str">
            <v>8169241</v>
          </cell>
          <cell r="F283">
            <v>1350.66</v>
          </cell>
          <cell r="G283">
            <v>39336</v>
          </cell>
          <cell r="H283">
            <v>39336</v>
          </cell>
        </row>
        <row r="284">
          <cell r="A284" t="str">
            <v>R2-009JJ-E004</v>
          </cell>
          <cell r="B284" t="str">
            <v>GOODS REC'D/INVOICE REC'D-NOT YET INVOICED</v>
          </cell>
          <cell r="C284" t="str">
            <v>REPAIR MTL &amp; SUPPLY</v>
          </cell>
          <cell r="D284" t="str">
            <v>69186,C59381,3.0</v>
          </cell>
          <cell r="E284" t="str">
            <v>8169242</v>
          </cell>
          <cell r="F284">
            <v>2701.33</v>
          </cell>
          <cell r="G284">
            <v>39336</v>
          </cell>
          <cell r="H284">
            <v>39336</v>
          </cell>
        </row>
        <row r="285">
          <cell r="A285" t="str">
            <v>R2-009JJ-E004</v>
          </cell>
          <cell r="B285" t="str">
            <v>GOODS REC'D/INVOICE REC'D-NOT YET INVOICED</v>
          </cell>
          <cell r="C285" t="str">
            <v>REPAIR MTL &amp; SUPPLY</v>
          </cell>
          <cell r="D285" t="str">
            <v>69186,C59381,4.0</v>
          </cell>
          <cell r="E285" t="str">
            <v>8169243</v>
          </cell>
          <cell r="F285">
            <v>1440.64</v>
          </cell>
          <cell r="G285">
            <v>39336</v>
          </cell>
          <cell r="H285">
            <v>39336</v>
          </cell>
        </row>
        <row r="286">
          <cell r="A286" t="str">
            <v>R2-009JJ-E004</v>
          </cell>
          <cell r="B286" t="str">
            <v>GOODS REC'D/INVOICE REC'D-NOT YET INVOICED</v>
          </cell>
          <cell r="C286" t="str">
            <v>REPAIR MTL &amp; SUPPLY</v>
          </cell>
          <cell r="D286" t="str">
            <v>69186,C59381,5.0</v>
          </cell>
          <cell r="E286" t="str">
            <v>8169244</v>
          </cell>
          <cell r="F286">
            <v>1295.3800000000001</v>
          </cell>
          <cell r="G286">
            <v>39336</v>
          </cell>
          <cell r="H286">
            <v>39336</v>
          </cell>
        </row>
        <row r="287">
          <cell r="A287" t="str">
            <v>R2-009JJ-E004</v>
          </cell>
          <cell r="B287" t="str">
            <v>GOODS REC'D/INVOICE REC'D-NOT YET INVOICED</v>
          </cell>
          <cell r="C287" t="str">
            <v>REPAIR MTL &amp; SUPPLY</v>
          </cell>
          <cell r="D287" t="str">
            <v>69186,C59381,6.0</v>
          </cell>
          <cell r="E287" t="str">
            <v>8169245</v>
          </cell>
          <cell r="F287">
            <v>1012.46</v>
          </cell>
          <cell r="G287">
            <v>39336</v>
          </cell>
          <cell r="H287">
            <v>39336</v>
          </cell>
        </row>
        <row r="288">
          <cell r="A288" t="str">
            <v>R2-009JJ-E004</v>
          </cell>
          <cell r="B288" t="str">
            <v>GOODS REC'D/INVOICE REC'D-NOT YET INVOICED</v>
          </cell>
          <cell r="C288" t="str">
            <v>REPAIR MTL &amp; SUPPLY</v>
          </cell>
          <cell r="D288" t="str">
            <v>69186,C59381,7.0</v>
          </cell>
          <cell r="E288" t="str">
            <v>8169246</v>
          </cell>
          <cell r="F288">
            <v>1949.03</v>
          </cell>
          <cell r="G288">
            <v>39336</v>
          </cell>
          <cell r="H288">
            <v>39336</v>
          </cell>
        </row>
        <row r="289">
          <cell r="A289" t="str">
            <v>R2-009JJ-E004</v>
          </cell>
          <cell r="B289" t="str">
            <v>GOODS REC'D/INVOICE REC'D-NOT YET INVOICED</v>
          </cell>
          <cell r="C289" t="str">
            <v>REPAIR MTL &amp; SUPPLY</v>
          </cell>
          <cell r="D289" t="str">
            <v>69186,C59381,8.0</v>
          </cell>
          <cell r="E289" t="str">
            <v>8169247</v>
          </cell>
          <cell r="F289">
            <v>1478.58</v>
          </cell>
          <cell r="G289">
            <v>39336</v>
          </cell>
          <cell r="H289">
            <v>39336</v>
          </cell>
        </row>
        <row r="290">
          <cell r="A290" t="str">
            <v>R2-009JJ-E004</v>
          </cell>
          <cell r="B290" t="str">
            <v>GOODS REC'D/INVOICE REC'D-NOT YET INVOICED</v>
          </cell>
          <cell r="C290" t="str">
            <v>REPAIR MTL &amp; SUPPLY</v>
          </cell>
          <cell r="D290" t="str">
            <v>69186,C59381,9.0</v>
          </cell>
          <cell r="E290" t="str">
            <v>8169248</v>
          </cell>
          <cell r="F290">
            <v>644.98</v>
          </cell>
          <cell r="G290">
            <v>39336</v>
          </cell>
          <cell r="H290">
            <v>39336</v>
          </cell>
        </row>
        <row r="291">
          <cell r="A291" t="str">
            <v>R2-009JJ-E004</v>
          </cell>
          <cell r="B291" t="str">
            <v>GOODS REC'D/INVOICE REC'D-NOT YET INVOICED</v>
          </cell>
          <cell r="C291" t="str">
            <v>REPAIR MTL &amp; SUPPLY</v>
          </cell>
          <cell r="D291" t="str">
            <v>69186,C59381,10.0</v>
          </cell>
          <cell r="E291" t="str">
            <v>8169249</v>
          </cell>
          <cell r="F291">
            <v>1864.48</v>
          </cell>
          <cell r="G291">
            <v>39336</v>
          </cell>
          <cell r="H291">
            <v>39336</v>
          </cell>
        </row>
        <row r="292">
          <cell r="A292" t="str">
            <v>R2-009JJ-E004</v>
          </cell>
          <cell r="B292" t="str">
            <v>GOODS REC'D/INVOICE REC'D-NOT YET INVOICED</v>
          </cell>
          <cell r="C292" t="str">
            <v>REPAIR MTL &amp; SUPPLY</v>
          </cell>
          <cell r="D292" t="str">
            <v>69186,C59381,11.0</v>
          </cell>
          <cell r="E292" t="str">
            <v>8169250</v>
          </cell>
          <cell r="F292">
            <v>1550.12</v>
          </cell>
          <cell r="G292">
            <v>39336</v>
          </cell>
          <cell r="H292">
            <v>39336</v>
          </cell>
        </row>
        <row r="293">
          <cell r="A293" t="str">
            <v>R2-009JJ-E004</v>
          </cell>
          <cell r="B293" t="str">
            <v>GOODS REC'D/INVOICE REC'D-NOT YET INVOICED</v>
          </cell>
          <cell r="C293" t="str">
            <v>REPAIR MTL &amp; SUPPLY</v>
          </cell>
          <cell r="D293" t="str">
            <v>69186,C59381,12.0</v>
          </cell>
          <cell r="E293" t="str">
            <v>8169251</v>
          </cell>
          <cell r="F293">
            <v>960.42</v>
          </cell>
          <cell r="G293">
            <v>39336</v>
          </cell>
          <cell r="H293">
            <v>39336</v>
          </cell>
        </row>
        <row r="294">
          <cell r="A294" t="str">
            <v>R2-009JJ-E004</v>
          </cell>
          <cell r="B294" t="str">
            <v>GOODS REC'D/INVOICE REC'D-NOT YET INVOICED</v>
          </cell>
          <cell r="C294" t="str">
            <v>REPAIR MTL &amp; SUPPLY</v>
          </cell>
          <cell r="D294" t="str">
            <v>69186,C59381,13.0</v>
          </cell>
          <cell r="E294" t="str">
            <v>8169252</v>
          </cell>
          <cell r="F294">
            <v>437.94</v>
          </cell>
          <cell r="G294">
            <v>39336</v>
          </cell>
          <cell r="H294">
            <v>39336</v>
          </cell>
        </row>
        <row r="295">
          <cell r="A295" t="str">
            <v>R2-009JJ-E004</v>
          </cell>
          <cell r="B295" t="str">
            <v>GOODS REC'D/INVOICE REC'D-NOT YET INVOICED</v>
          </cell>
          <cell r="C295" t="str">
            <v>REPAIR MTL &amp; SUPPLY</v>
          </cell>
          <cell r="D295" t="str">
            <v>69186,C59381,14.0</v>
          </cell>
          <cell r="E295" t="str">
            <v>8169253</v>
          </cell>
          <cell r="F295">
            <v>2276.4</v>
          </cell>
          <cell r="G295">
            <v>39336</v>
          </cell>
          <cell r="H295">
            <v>39336</v>
          </cell>
        </row>
        <row r="296">
          <cell r="A296" t="str">
            <v>R2-009JJ-E004</v>
          </cell>
          <cell r="B296" t="str">
            <v>GOODS REC'D/INVOICE REC'D-NOT YET INVOICED</v>
          </cell>
          <cell r="C296" t="str">
            <v>REPAIR MTL &amp; SUPPLY</v>
          </cell>
          <cell r="D296" t="str">
            <v>69186,C59381,15.0</v>
          </cell>
          <cell r="E296" t="str">
            <v>8169254</v>
          </cell>
          <cell r="F296">
            <v>813</v>
          </cell>
          <cell r="G296">
            <v>39336</v>
          </cell>
          <cell r="H296">
            <v>39336</v>
          </cell>
        </row>
        <row r="297">
          <cell r="A297" t="str">
            <v>R2-009JJ-E004</v>
          </cell>
          <cell r="B297" t="str">
            <v>GOODS REC'D/INVOICE REC'D-NOT YET INVOICED</v>
          </cell>
          <cell r="C297" t="str">
            <v>REPAIR MTL &amp; SUPPLY</v>
          </cell>
          <cell r="D297" t="str">
            <v>69186,C59381,16.0</v>
          </cell>
          <cell r="E297" t="str">
            <v>8169255</v>
          </cell>
          <cell r="F297">
            <v>1478.58</v>
          </cell>
          <cell r="G297">
            <v>39336</v>
          </cell>
          <cell r="H297">
            <v>39336</v>
          </cell>
        </row>
        <row r="298">
          <cell r="A298" t="str">
            <v>R2-009JJ-E004</v>
          </cell>
          <cell r="B298" t="str">
            <v>GOODS REC'D/INVOICE REC'D-NOT YET INVOICED</v>
          </cell>
          <cell r="C298" t="str">
            <v>REPAIR MTL &amp; SUPPLY</v>
          </cell>
          <cell r="D298" t="str">
            <v>69186,C54310,1.0</v>
          </cell>
          <cell r="E298" t="str">
            <v>8172636</v>
          </cell>
          <cell r="F298">
            <v>126</v>
          </cell>
          <cell r="G298">
            <v>39337</v>
          </cell>
          <cell r="H298">
            <v>39337</v>
          </cell>
        </row>
        <row r="299">
          <cell r="A299" t="str">
            <v>R2-009JJ-E004</v>
          </cell>
          <cell r="B299" t="str">
            <v>GOODS REC'D/INVOICE REC'D-NOT YET INVOICED</v>
          </cell>
          <cell r="C299" t="str">
            <v>REPAIR MTL &amp; SUPPLY</v>
          </cell>
          <cell r="D299" t="str">
            <v>69186,C54310,1.0</v>
          </cell>
          <cell r="E299" t="str">
            <v>8173969</v>
          </cell>
          <cell r="F299">
            <v>-126</v>
          </cell>
          <cell r="G299">
            <v>39339</v>
          </cell>
          <cell r="H299">
            <v>39339</v>
          </cell>
        </row>
        <row r="300">
          <cell r="A300" t="str">
            <v>R2-009JJ-E004</v>
          </cell>
          <cell r="B300" t="str">
            <v>GOODS REC'D/INVOICE REC'D-NOT YET INVOICED</v>
          </cell>
          <cell r="C300" t="str">
            <v>REPAIR MTL &amp; SUPPLY</v>
          </cell>
          <cell r="D300" t="str">
            <v>69918,C59882,1.0</v>
          </cell>
          <cell r="E300" t="str">
            <v>8178665</v>
          </cell>
          <cell r="F300">
            <v>740.4</v>
          </cell>
          <cell r="G300">
            <v>39342</v>
          </cell>
          <cell r="H300">
            <v>39342</v>
          </cell>
        </row>
        <row r="301">
          <cell r="A301" t="str">
            <v>R2-009JJ-E004</v>
          </cell>
          <cell r="B301" t="str">
            <v>GOODS REC'D/INVOICE REC'D-NOT YET INVOICED</v>
          </cell>
          <cell r="C301" t="str">
            <v>REPAIR MTL &amp; SUPPLY</v>
          </cell>
          <cell r="D301" t="str">
            <v>69186,C53628,1.0</v>
          </cell>
          <cell r="E301" t="str">
            <v>8179355</v>
          </cell>
          <cell r="F301">
            <v>2157.16</v>
          </cell>
          <cell r="G301">
            <v>39342</v>
          </cell>
          <cell r="H301">
            <v>39342</v>
          </cell>
        </row>
        <row r="302">
          <cell r="A302" t="str">
            <v>R2-009JJ-E004</v>
          </cell>
          <cell r="B302" t="str">
            <v>GOODS REC'D/INVOICE REC'D-NOT YET INVOICED</v>
          </cell>
          <cell r="C302" t="str">
            <v>REPAIR MTL &amp; SUPPLY</v>
          </cell>
          <cell r="D302" t="str">
            <v>69186,C54310,1.0</v>
          </cell>
          <cell r="E302" t="str">
            <v>8182758</v>
          </cell>
          <cell r="F302">
            <v>126</v>
          </cell>
          <cell r="G302">
            <v>39344</v>
          </cell>
          <cell r="H302">
            <v>39344</v>
          </cell>
        </row>
        <row r="303">
          <cell r="A303" t="str">
            <v>R2-009JJ-E004</v>
          </cell>
          <cell r="B303" t="str">
            <v>GOODS REC'D/INVOICE REC'D-NOT YET INVOICED</v>
          </cell>
          <cell r="C303" t="str">
            <v>REPAIR MTL &amp; SUPPLY</v>
          </cell>
          <cell r="D303" t="str">
            <v>69186,C58403,3.0</v>
          </cell>
          <cell r="E303" t="str">
            <v>8182783</v>
          </cell>
          <cell r="F303">
            <v>61.79</v>
          </cell>
          <cell r="G303">
            <v>39344</v>
          </cell>
          <cell r="H303">
            <v>39344</v>
          </cell>
        </row>
        <row r="304">
          <cell r="A304" t="str">
            <v>R2-009JJ-E004</v>
          </cell>
          <cell r="B304" t="str">
            <v>GOODS REC'D/INVOICE REC'D-NOT YET INVOICED</v>
          </cell>
          <cell r="C304" t="str">
            <v>REPAIR MTL &amp; SUPPLY</v>
          </cell>
          <cell r="D304" t="str">
            <v>69186,C58403,1.0</v>
          </cell>
          <cell r="E304" t="str">
            <v>8182781</v>
          </cell>
          <cell r="F304">
            <v>705.68</v>
          </cell>
          <cell r="G304">
            <v>39344</v>
          </cell>
          <cell r="H304">
            <v>39344</v>
          </cell>
        </row>
        <row r="305">
          <cell r="A305" t="str">
            <v>R2-009JJ-E004</v>
          </cell>
          <cell r="B305" t="str">
            <v>GOODS REC'D/INVOICE REC'D-NOT YET INVOICED</v>
          </cell>
          <cell r="C305" t="str">
            <v>REPAIR MTL &amp; SUPPLY</v>
          </cell>
          <cell r="D305" t="str">
            <v>69186,C58403,2.0</v>
          </cell>
          <cell r="E305" t="str">
            <v>8182782</v>
          </cell>
          <cell r="F305">
            <v>321.95</v>
          </cell>
          <cell r="G305">
            <v>39344</v>
          </cell>
          <cell r="H305">
            <v>39344</v>
          </cell>
        </row>
        <row r="306">
          <cell r="A306" t="str">
            <v>R2-009JJ-E004</v>
          </cell>
          <cell r="B306" t="str">
            <v>GOODS REC'D/INVOICE REC'D-NOT YET INVOICED</v>
          </cell>
          <cell r="C306" t="str">
            <v>REPAIR MTL &amp; SUPPLY</v>
          </cell>
          <cell r="D306" t="str">
            <v>69186,C58403,4.0</v>
          </cell>
          <cell r="E306" t="str">
            <v>8182784</v>
          </cell>
          <cell r="F306">
            <v>108.4</v>
          </cell>
          <cell r="G306">
            <v>39344</v>
          </cell>
          <cell r="H306">
            <v>39344</v>
          </cell>
        </row>
        <row r="307">
          <cell r="A307" t="str">
            <v>R2-009JJ-E004</v>
          </cell>
          <cell r="B307" t="str">
            <v>GOODS REC'D/INVOICE REC'D-NOT YET INVOICED</v>
          </cell>
          <cell r="C307" t="str">
            <v>REPAIR MTL &amp; SUPPLY</v>
          </cell>
          <cell r="D307" t="str">
            <v>69186,C59382,1.0</v>
          </cell>
          <cell r="E307" t="str">
            <v>8189150</v>
          </cell>
          <cell r="F307">
            <v>184.28</v>
          </cell>
          <cell r="G307">
            <v>39351</v>
          </cell>
          <cell r="H307">
            <v>39351</v>
          </cell>
        </row>
        <row r="308">
          <cell r="A308" t="str">
            <v>R2-009JJ-E004</v>
          </cell>
          <cell r="B308" t="str">
            <v>GOODS REC'D/INVOICE REC'D-NOT YET INVOICED</v>
          </cell>
          <cell r="C308" t="str">
            <v>REPAIR MTL &amp; SUPPLY</v>
          </cell>
          <cell r="D308" t="str">
            <v>69186,C53628,1.0</v>
          </cell>
          <cell r="E308" t="str">
            <v>8193406</v>
          </cell>
          <cell r="F308">
            <v>-1300.8</v>
          </cell>
          <cell r="G308">
            <v>39352</v>
          </cell>
          <cell r="H308">
            <v>39352</v>
          </cell>
        </row>
        <row r="309">
          <cell r="A309" t="str">
            <v>R2-009JJ-E004</v>
          </cell>
          <cell r="B309" t="str">
            <v>GOODS REC'D/INVOICE REC'D-NOT YET INVOICED</v>
          </cell>
          <cell r="C309" t="str">
            <v>REPAIR MTL &amp; SUPPLY</v>
          </cell>
          <cell r="D309" t="str">
            <v>69186,C53628,1.0</v>
          </cell>
          <cell r="E309" t="str">
            <v>8193408</v>
          </cell>
          <cell r="F309">
            <v>-867.2</v>
          </cell>
          <cell r="G309">
            <v>39352</v>
          </cell>
          <cell r="H309">
            <v>39352</v>
          </cell>
        </row>
        <row r="310">
          <cell r="A310" t="str">
            <v>R2-009JJ-E004</v>
          </cell>
          <cell r="B310" t="str">
            <v>GOODS REC'D/INVOICE REC'D-NOT YET INVOICED</v>
          </cell>
          <cell r="C310" t="str">
            <v>REPAIR MTL &amp; SUPPLY</v>
          </cell>
          <cell r="D310" t="str">
            <v>69186,C53628,1.0</v>
          </cell>
          <cell r="E310" t="str">
            <v>8193410</v>
          </cell>
          <cell r="F310">
            <v>-195.12</v>
          </cell>
          <cell r="G310">
            <v>39352</v>
          </cell>
          <cell r="H310">
            <v>39352</v>
          </cell>
        </row>
        <row r="311">
          <cell r="A311" t="str">
            <v>R2-009JJ-E004</v>
          </cell>
          <cell r="B311" t="str">
            <v>GOODS REC'D/INVOICE REC'D-NOT YET INVOICED</v>
          </cell>
          <cell r="C311" t="str">
            <v>REPAIR MTL &amp; SUPPLY</v>
          </cell>
          <cell r="D311" t="str">
            <v>69186,C53628,1.0</v>
          </cell>
          <cell r="E311" t="str">
            <v>8193412</v>
          </cell>
          <cell r="F311">
            <v>-422.76</v>
          </cell>
          <cell r="G311">
            <v>39352</v>
          </cell>
          <cell r="H311">
            <v>39352</v>
          </cell>
        </row>
        <row r="312">
          <cell r="A312" t="str">
            <v>R2-009JJ-E004</v>
          </cell>
          <cell r="B312" t="str">
            <v>GOODS REC'D/INVOICE REC'D-NOT YET INVOICED</v>
          </cell>
          <cell r="C312" t="str">
            <v>REPAIR MTL &amp; SUPPLY</v>
          </cell>
          <cell r="D312" t="str">
            <v>69186,C53628,1.0</v>
          </cell>
          <cell r="E312" t="str">
            <v>8193414</v>
          </cell>
          <cell r="F312">
            <v>-27.1</v>
          </cell>
          <cell r="G312">
            <v>39352</v>
          </cell>
          <cell r="H312">
            <v>39352</v>
          </cell>
        </row>
        <row r="313">
          <cell r="A313" t="str">
            <v>R2-009JJ-E004</v>
          </cell>
          <cell r="B313" t="str">
            <v>GOODS REC'D/INVOICE REC'D-NOT YET INVOICED</v>
          </cell>
          <cell r="C313" t="str">
            <v>REPAIR MTL &amp; SUPPLY</v>
          </cell>
          <cell r="D313" t="str">
            <v>69186,C53628,1.0</v>
          </cell>
          <cell r="E313" t="str">
            <v>8193789</v>
          </cell>
          <cell r="F313">
            <v>-2157.16</v>
          </cell>
          <cell r="G313">
            <v>39352</v>
          </cell>
          <cell r="H313">
            <v>39352</v>
          </cell>
        </row>
        <row r="314">
          <cell r="A314" t="str">
            <v>R2-009JJ-E004</v>
          </cell>
          <cell r="B314" t="str">
            <v>GOODS REC'D/INVOICE REC'D-NOT YET INVOICED</v>
          </cell>
          <cell r="C314" t="str">
            <v>REPAIR MTL &amp; SUPPLY</v>
          </cell>
          <cell r="D314" t="str">
            <v>69186,C58403,1.0</v>
          </cell>
          <cell r="E314" t="str">
            <v>8194749</v>
          </cell>
          <cell r="F314">
            <v>-705.68</v>
          </cell>
          <cell r="G314">
            <v>39353</v>
          </cell>
          <cell r="H314">
            <v>39353</v>
          </cell>
        </row>
        <row r="315">
          <cell r="A315" t="str">
            <v>R2-009JJ-E004</v>
          </cell>
          <cell r="B315" t="str">
            <v>GOODS REC'D/INVOICE REC'D-NOT YET INVOICED</v>
          </cell>
          <cell r="C315" t="str">
            <v>REPAIR MTL &amp; SUPPLY</v>
          </cell>
          <cell r="D315" t="str">
            <v>69186,C58403,2.0</v>
          </cell>
          <cell r="E315" t="str">
            <v>8194751</v>
          </cell>
          <cell r="F315">
            <v>-321.95</v>
          </cell>
          <cell r="G315">
            <v>39353</v>
          </cell>
          <cell r="H315">
            <v>39353</v>
          </cell>
        </row>
        <row r="316">
          <cell r="A316" t="str">
            <v>R2-009JJ-E004</v>
          </cell>
          <cell r="B316" t="str">
            <v>GOODS REC'D/INVOICE REC'D-NOT YET INVOICED</v>
          </cell>
          <cell r="C316" t="str">
            <v>REPAIR MTL &amp; SUPPLY</v>
          </cell>
          <cell r="D316" t="str">
            <v>69186,C58403,3.0</v>
          </cell>
          <cell r="E316" t="str">
            <v>8194753</v>
          </cell>
          <cell r="F316">
            <v>-61.79</v>
          </cell>
          <cell r="G316">
            <v>39353</v>
          </cell>
          <cell r="H316">
            <v>39353</v>
          </cell>
        </row>
        <row r="317">
          <cell r="A317" t="str">
            <v>R2-009JJ-E004</v>
          </cell>
          <cell r="B317" t="str">
            <v>GOODS REC'D/INVOICE REC'D-NOT YET INVOICED</v>
          </cell>
          <cell r="C317" t="str">
            <v>REPAIR MTL &amp; SUPPLY</v>
          </cell>
          <cell r="D317" t="str">
            <v>69186,C58403,4.0</v>
          </cell>
          <cell r="E317" t="str">
            <v>8194755</v>
          </cell>
          <cell r="F317">
            <v>-108.4</v>
          </cell>
          <cell r="G317">
            <v>39353</v>
          </cell>
          <cell r="H317">
            <v>39353</v>
          </cell>
        </row>
        <row r="318">
          <cell r="A318" t="str">
            <v>R2-009JJ-E004</v>
          </cell>
          <cell r="B318" t="str">
            <v>GOODS REC'D/INVOICE REC'D-NOT YET INVOICED</v>
          </cell>
          <cell r="C318" t="str">
            <v>REPAIR MTL &amp; SUPPLY</v>
          </cell>
          <cell r="D318" t="str">
            <v>69186,C60002,1.0</v>
          </cell>
          <cell r="E318" t="str">
            <v>8211035</v>
          </cell>
          <cell r="F318">
            <v>7738.68</v>
          </cell>
          <cell r="G318">
            <v>39356</v>
          </cell>
          <cell r="H318">
            <v>39356</v>
          </cell>
        </row>
        <row r="319">
          <cell r="A319" t="str">
            <v>R2-009JJ-E004</v>
          </cell>
          <cell r="B319" t="str">
            <v>GOODS REC'D/INVOICE REC'D-NOT YET INVOICED</v>
          </cell>
          <cell r="C319" t="str">
            <v>REPAIR MTL &amp; SUPPLY</v>
          </cell>
          <cell r="D319" t="str">
            <v>69186,C59381,11.0</v>
          </cell>
          <cell r="E319" t="str">
            <v>8211838</v>
          </cell>
          <cell r="F319">
            <v>-0.01</v>
          </cell>
          <cell r="G319">
            <v>39357</v>
          </cell>
          <cell r="H319">
            <v>39357</v>
          </cell>
        </row>
        <row r="320">
          <cell r="A320" t="str">
            <v>R2-009JJ-E004</v>
          </cell>
          <cell r="B320" t="str">
            <v>GOODS REC'D/INVOICE REC'D-NOT YET INVOICED</v>
          </cell>
          <cell r="C320" t="str">
            <v>REPAIR MTL &amp; SUPPLY</v>
          </cell>
          <cell r="D320" t="str">
            <v>69186,C59381,1.0</v>
          </cell>
          <cell r="E320" t="str">
            <v>8211840</v>
          </cell>
          <cell r="F320">
            <v>-1350.66</v>
          </cell>
          <cell r="G320">
            <v>39357</v>
          </cell>
          <cell r="H320">
            <v>39357</v>
          </cell>
        </row>
        <row r="321">
          <cell r="A321" t="str">
            <v>R2-009JJ-E004</v>
          </cell>
          <cell r="B321" t="str">
            <v>GOODS REC'D/INVOICE REC'D-NOT YET INVOICED</v>
          </cell>
          <cell r="C321" t="str">
            <v>REPAIR MTL &amp; SUPPLY</v>
          </cell>
          <cell r="D321" t="str">
            <v>69186,C59381,2.0</v>
          </cell>
          <cell r="E321" t="str">
            <v>8211842</v>
          </cell>
          <cell r="F321">
            <v>-1350.66</v>
          </cell>
          <cell r="G321">
            <v>39357</v>
          </cell>
          <cell r="H321">
            <v>39357</v>
          </cell>
        </row>
        <row r="322">
          <cell r="A322" t="str">
            <v>R2-009JJ-E004</v>
          </cell>
          <cell r="B322" t="str">
            <v>GOODS REC'D/INVOICE REC'D-NOT YET INVOICED</v>
          </cell>
          <cell r="C322" t="str">
            <v>REPAIR MTL &amp; SUPPLY</v>
          </cell>
          <cell r="D322" t="str">
            <v>69186,C59381,3.0</v>
          </cell>
          <cell r="E322" t="str">
            <v>8211844</v>
          </cell>
          <cell r="F322">
            <v>-2701.33</v>
          </cell>
          <cell r="G322">
            <v>39357</v>
          </cell>
          <cell r="H322">
            <v>39357</v>
          </cell>
        </row>
        <row r="323">
          <cell r="A323" t="str">
            <v>R2-009JJ-E004</v>
          </cell>
          <cell r="B323" t="str">
            <v>GOODS REC'D/INVOICE REC'D-NOT YET INVOICED</v>
          </cell>
          <cell r="C323" t="str">
            <v>REPAIR MTL &amp; SUPPLY</v>
          </cell>
          <cell r="D323" t="str">
            <v>69186,C59381,4.0</v>
          </cell>
          <cell r="E323" t="str">
            <v>8211846</v>
          </cell>
          <cell r="F323">
            <v>-1440.64</v>
          </cell>
          <cell r="G323">
            <v>39357</v>
          </cell>
          <cell r="H323">
            <v>39357</v>
          </cell>
        </row>
        <row r="324">
          <cell r="A324" t="str">
            <v>R2-009JJ-E004</v>
          </cell>
          <cell r="B324" t="str">
            <v>GOODS REC'D/INVOICE REC'D-NOT YET INVOICED</v>
          </cell>
          <cell r="C324" t="str">
            <v>REPAIR MTL &amp; SUPPLY</v>
          </cell>
          <cell r="D324" t="str">
            <v>69186,C59381,5.0</v>
          </cell>
          <cell r="E324" t="str">
            <v>8211848</v>
          </cell>
          <cell r="F324">
            <v>-1295.3800000000001</v>
          </cell>
          <cell r="G324">
            <v>39357</v>
          </cell>
          <cell r="H324">
            <v>39357</v>
          </cell>
        </row>
        <row r="325">
          <cell r="A325" t="str">
            <v>R2-009JJ-E004</v>
          </cell>
          <cell r="B325" t="str">
            <v>GOODS REC'D/INVOICE REC'D-NOT YET INVOICED</v>
          </cell>
          <cell r="C325" t="str">
            <v>REPAIR MTL &amp; SUPPLY</v>
          </cell>
          <cell r="D325" t="str">
            <v>69186,C59381,6.0</v>
          </cell>
          <cell r="E325" t="str">
            <v>8211850</v>
          </cell>
          <cell r="F325">
            <v>-1012.46</v>
          </cell>
          <cell r="G325">
            <v>39357</v>
          </cell>
          <cell r="H325">
            <v>39357</v>
          </cell>
        </row>
        <row r="326">
          <cell r="A326" t="str">
            <v>R2-009JJ-E004</v>
          </cell>
          <cell r="B326" t="str">
            <v>GOODS REC'D/INVOICE REC'D-NOT YET INVOICED</v>
          </cell>
          <cell r="C326" t="str">
            <v>REPAIR MTL &amp; SUPPLY</v>
          </cell>
          <cell r="D326" t="str">
            <v>69186,C59381,7.0</v>
          </cell>
          <cell r="E326" t="str">
            <v>8211852</v>
          </cell>
          <cell r="F326">
            <v>-1949.03</v>
          </cell>
          <cell r="G326">
            <v>39357</v>
          </cell>
          <cell r="H326">
            <v>39357</v>
          </cell>
        </row>
        <row r="327">
          <cell r="A327" t="str">
            <v>R2-009JJ-E004</v>
          </cell>
          <cell r="B327" t="str">
            <v>GOODS REC'D/INVOICE REC'D-NOT YET INVOICED</v>
          </cell>
          <cell r="C327" t="str">
            <v>REPAIR MTL &amp; SUPPLY</v>
          </cell>
          <cell r="D327" t="str">
            <v>69186,C59381,8.0</v>
          </cell>
          <cell r="E327" t="str">
            <v>8211854</v>
          </cell>
          <cell r="F327">
            <v>-1478.58</v>
          </cell>
          <cell r="G327">
            <v>39357</v>
          </cell>
          <cell r="H327">
            <v>39357</v>
          </cell>
        </row>
        <row r="328">
          <cell r="A328" t="str">
            <v>R2-009JJ-E004</v>
          </cell>
          <cell r="B328" t="str">
            <v>GOODS REC'D/INVOICE REC'D-NOT YET INVOICED</v>
          </cell>
          <cell r="C328" t="str">
            <v>REPAIR MTL &amp; SUPPLY</v>
          </cell>
          <cell r="D328" t="str">
            <v>69186,C59381,9.0</v>
          </cell>
          <cell r="E328" t="str">
            <v>8211856</v>
          </cell>
          <cell r="F328">
            <v>-644.98</v>
          </cell>
          <cell r="G328">
            <v>39357</v>
          </cell>
          <cell r="H328">
            <v>39357</v>
          </cell>
        </row>
        <row r="329">
          <cell r="A329" t="str">
            <v>R2-009JJ-E004</v>
          </cell>
          <cell r="B329" t="str">
            <v>GOODS REC'D/INVOICE REC'D-NOT YET INVOICED</v>
          </cell>
          <cell r="C329" t="str">
            <v>REPAIR MTL &amp; SUPPLY</v>
          </cell>
          <cell r="D329" t="str">
            <v>69186,C59381,10.0</v>
          </cell>
          <cell r="E329" t="str">
            <v>8211858</v>
          </cell>
          <cell r="F329">
            <v>-1864.48</v>
          </cell>
          <cell r="G329">
            <v>39357</v>
          </cell>
          <cell r="H329">
            <v>39357</v>
          </cell>
        </row>
        <row r="330">
          <cell r="A330" t="str">
            <v>R2-009JJ-E004</v>
          </cell>
          <cell r="B330" t="str">
            <v>GOODS REC'D/INVOICE REC'D-NOT YET INVOICED</v>
          </cell>
          <cell r="C330" t="str">
            <v>REPAIR MTL &amp; SUPPLY</v>
          </cell>
          <cell r="D330" t="str">
            <v>69186,C59381,11.0</v>
          </cell>
          <cell r="E330" t="str">
            <v>8211860</v>
          </cell>
          <cell r="F330">
            <v>-1550.11</v>
          </cell>
          <cell r="G330">
            <v>39357</v>
          </cell>
          <cell r="H330">
            <v>39357</v>
          </cell>
        </row>
        <row r="331">
          <cell r="A331" t="str">
            <v>R2-009JJ-E004</v>
          </cell>
          <cell r="B331" t="str">
            <v>GOODS REC'D/INVOICE REC'D-NOT YET INVOICED</v>
          </cell>
          <cell r="C331" t="str">
            <v>REPAIR MTL &amp; SUPPLY</v>
          </cell>
          <cell r="D331" t="str">
            <v>69186,C59381,12.0</v>
          </cell>
          <cell r="E331" t="str">
            <v>8211862</v>
          </cell>
          <cell r="F331">
            <v>-960.42</v>
          </cell>
          <cell r="G331">
            <v>39357</v>
          </cell>
          <cell r="H331">
            <v>39357</v>
          </cell>
        </row>
        <row r="332">
          <cell r="A332" t="str">
            <v>R2-009JJ-E004</v>
          </cell>
          <cell r="B332" t="str">
            <v>GOODS REC'D/INVOICE REC'D-NOT YET INVOICED</v>
          </cell>
          <cell r="C332" t="str">
            <v>REPAIR MTL &amp; SUPPLY</v>
          </cell>
          <cell r="D332" t="str">
            <v>69186,C59381,13.0</v>
          </cell>
          <cell r="E332" t="str">
            <v>8211864</v>
          </cell>
          <cell r="F332">
            <v>-437.94</v>
          </cell>
          <cell r="G332">
            <v>39357</v>
          </cell>
          <cell r="H332">
            <v>39357</v>
          </cell>
        </row>
        <row r="333">
          <cell r="A333" t="str">
            <v>R2-009JJ-E004</v>
          </cell>
          <cell r="B333" t="str">
            <v>GOODS REC'D/INVOICE REC'D-NOT YET INVOICED</v>
          </cell>
          <cell r="C333" t="str">
            <v>REPAIR MTL &amp; SUPPLY</v>
          </cell>
          <cell r="D333" t="str">
            <v>69186,C59381,14.0</v>
          </cell>
          <cell r="E333" t="str">
            <v>8211866</v>
          </cell>
          <cell r="F333">
            <v>-2276.4</v>
          </cell>
          <cell r="G333">
            <v>39357</v>
          </cell>
          <cell r="H333">
            <v>39357</v>
          </cell>
        </row>
        <row r="334">
          <cell r="A334" t="str">
            <v>R2-009JJ-E004</v>
          </cell>
          <cell r="B334" t="str">
            <v>GOODS REC'D/INVOICE REC'D-NOT YET INVOICED</v>
          </cell>
          <cell r="C334" t="str">
            <v>REPAIR MTL &amp; SUPPLY</v>
          </cell>
          <cell r="D334" t="str">
            <v>69186,C59381,15.0</v>
          </cell>
          <cell r="E334" t="str">
            <v>8211868</v>
          </cell>
          <cell r="F334">
            <v>-813</v>
          </cell>
          <cell r="G334">
            <v>39357</v>
          </cell>
          <cell r="H334">
            <v>39357</v>
          </cell>
        </row>
        <row r="335">
          <cell r="A335" t="str">
            <v>R2-009JJ-E004</v>
          </cell>
          <cell r="B335" t="str">
            <v>GOODS REC'D/INVOICE REC'D-NOT YET INVOICED</v>
          </cell>
          <cell r="C335" t="str">
            <v>REPAIR MTL &amp; SUPPLY</v>
          </cell>
          <cell r="D335" t="str">
            <v>69186,C59381,16.0</v>
          </cell>
          <cell r="E335" t="str">
            <v>8211870</v>
          </cell>
          <cell r="F335">
            <v>-1478.58</v>
          </cell>
          <cell r="G335">
            <v>39357</v>
          </cell>
          <cell r="H335">
            <v>39357</v>
          </cell>
        </row>
        <row r="336">
          <cell r="A336" t="str">
            <v>R2-009JJ-E004</v>
          </cell>
          <cell r="B336" t="str">
            <v>GOODS REC'D/INVOICE REC'D-NOT YET INVOICED</v>
          </cell>
          <cell r="C336" t="str">
            <v>REPAIR MTL &amp; SUPPLY</v>
          </cell>
          <cell r="D336" t="str">
            <v>69186,C54310,1.0</v>
          </cell>
          <cell r="E336" t="str">
            <v>8216433</v>
          </cell>
          <cell r="F336">
            <v>-126</v>
          </cell>
          <cell r="G336">
            <v>39358</v>
          </cell>
          <cell r="H336">
            <v>39358</v>
          </cell>
        </row>
        <row r="337">
          <cell r="A337" t="str">
            <v>R2-009JJ-E004</v>
          </cell>
          <cell r="B337" t="str">
            <v>GOODS REC'D/INVOICE REC'D-NOT YET INVOICED</v>
          </cell>
          <cell r="C337" t="str">
            <v>REPAIR MTL &amp; SUPPLY</v>
          </cell>
          <cell r="D337" t="str">
            <v>69186,C54310,1.0</v>
          </cell>
          <cell r="E337" t="str">
            <v>8216434</v>
          </cell>
          <cell r="F337">
            <v>-126</v>
          </cell>
          <cell r="G337">
            <v>39358</v>
          </cell>
          <cell r="H337">
            <v>39358</v>
          </cell>
        </row>
        <row r="338">
          <cell r="A338" t="str">
            <v>R2-009JJ-E004</v>
          </cell>
          <cell r="B338" t="str">
            <v>GOODS REC'D/INVOICE REC'D-NOT YET INVOICED</v>
          </cell>
          <cell r="C338" t="str">
            <v>REPAIR MTL &amp; SUPPLY</v>
          </cell>
          <cell r="D338" t="str">
            <v>69186,C54310,1.0</v>
          </cell>
          <cell r="E338" t="str">
            <v>8216435</v>
          </cell>
          <cell r="F338">
            <v>-126</v>
          </cell>
          <cell r="G338">
            <v>39358</v>
          </cell>
          <cell r="H338">
            <v>39358</v>
          </cell>
        </row>
        <row r="339">
          <cell r="A339" t="str">
            <v>R2-009JJ-E004</v>
          </cell>
          <cell r="B339" t="str">
            <v>GOODS REC'D/INVOICE REC'D-NOT YET INVOICED</v>
          </cell>
          <cell r="C339" t="str">
            <v>REPAIR MTL &amp; SUPPLY</v>
          </cell>
          <cell r="D339" t="str">
            <v>69186,C54310,1.0</v>
          </cell>
          <cell r="E339" t="str">
            <v>8216436</v>
          </cell>
          <cell r="F339">
            <v>-126</v>
          </cell>
          <cell r="G339">
            <v>39358</v>
          </cell>
          <cell r="H339">
            <v>39358</v>
          </cell>
        </row>
        <row r="340">
          <cell r="A340" t="str">
            <v>R2-009JJ-E004</v>
          </cell>
          <cell r="B340" t="str">
            <v>GOODS REC'D/INVOICE REC'D-NOT YET INVOICED</v>
          </cell>
          <cell r="C340" t="str">
            <v>REPAIR MTL &amp; SUPPLY</v>
          </cell>
          <cell r="D340" t="str">
            <v>69186,C54310,1.0</v>
          </cell>
          <cell r="E340" t="str">
            <v>8216437</v>
          </cell>
          <cell r="F340">
            <v>-136.58000000000001</v>
          </cell>
          <cell r="G340">
            <v>39358</v>
          </cell>
          <cell r="H340">
            <v>39358</v>
          </cell>
        </row>
        <row r="341">
          <cell r="A341" t="str">
            <v>R2-009JJ-E004</v>
          </cell>
          <cell r="B341" t="str">
            <v>GOODS REC'D/INVOICE REC'D-NOT YET INVOICED</v>
          </cell>
          <cell r="C341" t="str">
            <v>REPAIR MTL &amp; SUPPLY</v>
          </cell>
          <cell r="D341" t="str">
            <v>69186,C54310,1.0</v>
          </cell>
          <cell r="E341" t="str">
            <v>8216438</v>
          </cell>
          <cell r="F341">
            <v>-126</v>
          </cell>
          <cell r="G341">
            <v>39358</v>
          </cell>
          <cell r="H341">
            <v>39358</v>
          </cell>
        </row>
        <row r="342">
          <cell r="A342" t="str">
            <v>R2-009JJ-E004</v>
          </cell>
          <cell r="B342" t="str">
            <v>GOODS REC'D/INVOICE REC'D-NOT YET INVOICED</v>
          </cell>
          <cell r="C342" t="str">
            <v>REPAIR MTL &amp; SUPPLY</v>
          </cell>
          <cell r="D342" t="str">
            <v>69186,C54310,1.0</v>
          </cell>
          <cell r="E342" t="str">
            <v>8216439</v>
          </cell>
          <cell r="F342">
            <v>-126</v>
          </cell>
          <cell r="G342">
            <v>39358</v>
          </cell>
          <cell r="H342">
            <v>39358</v>
          </cell>
        </row>
        <row r="343">
          <cell r="A343" t="str">
            <v>R2-009JJ-E004</v>
          </cell>
          <cell r="B343" t="str">
            <v>GOODS REC'D/INVOICE REC'D-NOT YET INVOICED</v>
          </cell>
          <cell r="C343" t="str">
            <v>REPAIR MTL &amp; SUPPLY</v>
          </cell>
          <cell r="D343" t="str">
            <v>69186,C54310,1.0</v>
          </cell>
          <cell r="E343" t="str">
            <v>8216440</v>
          </cell>
          <cell r="F343">
            <v>-126</v>
          </cell>
          <cell r="G343">
            <v>39358</v>
          </cell>
          <cell r="H343">
            <v>39358</v>
          </cell>
        </row>
        <row r="344">
          <cell r="A344" t="str">
            <v>R2-009JJ-E004</v>
          </cell>
          <cell r="B344" t="str">
            <v>GOODS REC'D/INVOICE REC'D-NOT YET INVOICED</v>
          </cell>
          <cell r="C344" t="str">
            <v>REPAIR MTL &amp; SUPPLY</v>
          </cell>
          <cell r="D344" t="str">
            <v>69186,C54310,1.0</v>
          </cell>
          <cell r="E344" t="str">
            <v>8217677</v>
          </cell>
          <cell r="F344">
            <v>136.08000000000001</v>
          </cell>
          <cell r="G344">
            <v>39358</v>
          </cell>
          <cell r="H344">
            <v>39358</v>
          </cell>
        </row>
        <row r="345">
          <cell r="A345" t="str">
            <v>R2-009JJ-E004</v>
          </cell>
          <cell r="B345" t="str">
            <v>GOODS REC'D/INVOICE REC'D-NOT YET INVOICED</v>
          </cell>
          <cell r="C345" t="str">
            <v>REPAIR MTL &amp; SUPPLY</v>
          </cell>
          <cell r="D345" t="str">
            <v>69186,C54310,1.0</v>
          </cell>
          <cell r="E345" t="str">
            <v>8217675</v>
          </cell>
          <cell r="F345">
            <v>136.08000000000001</v>
          </cell>
          <cell r="G345">
            <v>39358</v>
          </cell>
          <cell r="H345">
            <v>39358</v>
          </cell>
        </row>
        <row r="346">
          <cell r="A346" t="str">
            <v>R2-009JJ-E004</v>
          </cell>
          <cell r="B346" t="str">
            <v>GOODS REC'D/INVOICE REC'D-NOT YET INVOICED</v>
          </cell>
          <cell r="C346" t="str">
            <v>REPAIR MTL &amp; SUPPLY</v>
          </cell>
          <cell r="D346" t="str">
            <v>69186,C54310,1.0</v>
          </cell>
          <cell r="E346" t="str">
            <v>8217676</v>
          </cell>
          <cell r="F346">
            <v>136.08000000000001</v>
          </cell>
          <cell r="G346">
            <v>39358</v>
          </cell>
          <cell r="H346">
            <v>39358</v>
          </cell>
        </row>
        <row r="347">
          <cell r="A347" t="str">
            <v>R2-009JJ-E004</v>
          </cell>
          <cell r="B347" t="str">
            <v>GOODS REC'D/INVOICE REC'D-NOT YET INVOICED</v>
          </cell>
          <cell r="C347" t="str">
            <v>REPAIR MTL &amp; SUPPLY</v>
          </cell>
          <cell r="D347" t="str">
            <v>69186,C54310,1.0</v>
          </cell>
          <cell r="E347" t="str">
            <v>8217679</v>
          </cell>
          <cell r="F347">
            <v>136.08000000000001</v>
          </cell>
          <cell r="G347">
            <v>39358</v>
          </cell>
          <cell r="H347">
            <v>39358</v>
          </cell>
        </row>
        <row r="348">
          <cell r="A348" t="str">
            <v>R2-009JJ-E004</v>
          </cell>
          <cell r="B348" t="str">
            <v>GOODS REC'D/INVOICE REC'D-NOT YET INVOICED</v>
          </cell>
          <cell r="C348" t="str">
            <v>REPAIR MTL &amp; SUPPLY</v>
          </cell>
          <cell r="D348" t="str">
            <v>69186,C54310,1.0</v>
          </cell>
          <cell r="E348" t="str">
            <v>8217680</v>
          </cell>
          <cell r="F348">
            <v>136.08000000000001</v>
          </cell>
          <cell r="G348">
            <v>39358</v>
          </cell>
          <cell r="H348">
            <v>39358</v>
          </cell>
        </row>
        <row r="349">
          <cell r="A349" t="str">
            <v>R2-009JJ-E004</v>
          </cell>
          <cell r="B349" t="str">
            <v>GOODS REC'D/INVOICE REC'D-NOT YET INVOICED</v>
          </cell>
          <cell r="C349" t="str">
            <v>REPAIR MTL &amp; SUPPLY</v>
          </cell>
          <cell r="D349" t="str">
            <v>69186,C54310,1.0</v>
          </cell>
          <cell r="E349" t="str">
            <v>8217681</v>
          </cell>
          <cell r="F349">
            <v>136.08000000000001</v>
          </cell>
          <cell r="G349">
            <v>39358</v>
          </cell>
          <cell r="H349">
            <v>39358</v>
          </cell>
        </row>
        <row r="350">
          <cell r="A350" t="str">
            <v>R2-009JJ-E004</v>
          </cell>
          <cell r="B350" t="str">
            <v>GOODS REC'D/INVOICE REC'D-NOT YET INVOICED</v>
          </cell>
          <cell r="C350" t="str">
            <v>REPAIR MTL &amp; SUPPLY</v>
          </cell>
          <cell r="D350" t="str">
            <v>69186,C54310,1.0</v>
          </cell>
          <cell r="E350" t="str">
            <v>8217682</v>
          </cell>
          <cell r="F350">
            <v>136.08000000000001</v>
          </cell>
          <cell r="G350">
            <v>39358</v>
          </cell>
          <cell r="H350">
            <v>39358</v>
          </cell>
        </row>
        <row r="351">
          <cell r="A351" t="str">
            <v>R2-009JJ-E004</v>
          </cell>
          <cell r="B351" t="str">
            <v>GOODS REC'D/INVOICE REC'D-NOT YET INVOICED</v>
          </cell>
          <cell r="C351" t="str">
            <v>REPAIR MTL &amp; SUPPLY</v>
          </cell>
          <cell r="D351" t="str">
            <v>69186,C54310,1.0</v>
          </cell>
          <cell r="E351" t="str">
            <v>8217683</v>
          </cell>
          <cell r="F351">
            <v>136.08000000000001</v>
          </cell>
          <cell r="G351">
            <v>39358</v>
          </cell>
          <cell r="H351">
            <v>39358</v>
          </cell>
        </row>
        <row r="352">
          <cell r="A352" t="str">
            <v>R2-009JJ-E004</v>
          </cell>
          <cell r="B352" t="str">
            <v>GOODS REC'D/INVOICE REC'D-NOT YET INVOICED</v>
          </cell>
          <cell r="C352" t="str">
            <v>REPAIR MTL &amp; SUPPLY</v>
          </cell>
          <cell r="D352" t="str">
            <v>69186,C54310,1.0</v>
          </cell>
          <cell r="E352" t="str">
            <v>8217728</v>
          </cell>
          <cell r="F352">
            <v>136.08000000000001</v>
          </cell>
          <cell r="G352">
            <v>39358</v>
          </cell>
          <cell r="H352">
            <v>39358</v>
          </cell>
        </row>
        <row r="353">
          <cell r="A353" t="str">
            <v>R2-009JJ-E004</v>
          </cell>
          <cell r="B353" t="str">
            <v>GOODS REC'D/INVOICE REC'D-NOT YET INVOICED</v>
          </cell>
          <cell r="C353" t="str">
            <v>REPAIR MTL &amp; SUPPLY</v>
          </cell>
          <cell r="D353" t="str">
            <v>69186,C54310,1.0</v>
          </cell>
          <cell r="E353" t="str">
            <v>8224324</v>
          </cell>
          <cell r="F353">
            <v>-136.58000000000001</v>
          </cell>
          <cell r="G353">
            <v>39361</v>
          </cell>
          <cell r="H353">
            <v>39361</v>
          </cell>
        </row>
        <row r="354">
          <cell r="A354" t="str">
            <v>R2-009JJ-E004</v>
          </cell>
          <cell r="B354" t="str">
            <v>GOODS REC'D/INVOICE REC'D-NOT YET INVOICED</v>
          </cell>
          <cell r="C354" t="str">
            <v>REPAIR MTL &amp; SUPPLY</v>
          </cell>
          <cell r="D354" t="str">
            <v>69186,C54310,1.0</v>
          </cell>
          <cell r="E354" t="str">
            <v>8224322</v>
          </cell>
          <cell r="F354">
            <v>10.58</v>
          </cell>
          <cell r="G354">
            <v>39361</v>
          </cell>
          <cell r="H354">
            <v>39361</v>
          </cell>
        </row>
        <row r="355">
          <cell r="A355" t="str">
            <v>R2-009JJ-E004</v>
          </cell>
          <cell r="B355" t="str">
            <v>GOODS REC'D/INVOICE REC'D-NOT YET INVOICED</v>
          </cell>
          <cell r="C355" t="str">
            <v>REPAIR MTL &amp; SUPPLY</v>
          </cell>
          <cell r="D355" t="str">
            <v>69186,C59382,1.0</v>
          </cell>
          <cell r="E355" t="str">
            <v>8232875</v>
          </cell>
          <cell r="F355">
            <v>-184.28</v>
          </cell>
          <cell r="G355">
            <v>39364</v>
          </cell>
          <cell r="H355">
            <v>39364</v>
          </cell>
        </row>
        <row r="356">
          <cell r="A356" t="str">
            <v>R2-009JJ-E004</v>
          </cell>
          <cell r="B356" t="str">
            <v>GOODS REC'D/INVOICE REC'D-NOT YET INVOICED</v>
          </cell>
          <cell r="C356" t="str">
            <v>REPAIR MTL &amp; SUPPLY</v>
          </cell>
          <cell r="D356" t="str">
            <v>69186,C54310,1.0</v>
          </cell>
          <cell r="E356" t="str">
            <v>8233433</v>
          </cell>
          <cell r="F356">
            <v>136.08000000000001</v>
          </cell>
          <cell r="G356">
            <v>39365</v>
          </cell>
          <cell r="H356">
            <v>39365</v>
          </cell>
        </row>
        <row r="357">
          <cell r="A357" t="str">
            <v>R2-009JJ-E004</v>
          </cell>
          <cell r="B357" t="str">
            <v>GOODS REC'D/INVOICE REC'D-NOT YET INVOICED</v>
          </cell>
          <cell r="C357" t="str">
            <v>REPAIR MTL &amp; SUPPLY</v>
          </cell>
          <cell r="D357" t="str">
            <v>69186,C60545,1.0</v>
          </cell>
          <cell r="E357" t="str">
            <v>8233555</v>
          </cell>
          <cell r="F357">
            <v>1436.3</v>
          </cell>
          <cell r="G357">
            <v>39365</v>
          </cell>
          <cell r="H357">
            <v>39365</v>
          </cell>
        </row>
        <row r="358">
          <cell r="A358" t="str">
            <v>R2-009JJ-E004</v>
          </cell>
          <cell r="B358" t="str">
            <v>GOODS REC'D/INVOICE REC'D-NOT YET INVOICED</v>
          </cell>
          <cell r="C358" t="str">
            <v>REPAIR MTL &amp; SUPPLY</v>
          </cell>
          <cell r="D358" t="str">
            <v>69186,C60545,2.0</v>
          </cell>
          <cell r="E358" t="str">
            <v>8233556</v>
          </cell>
          <cell r="F358">
            <v>834.68</v>
          </cell>
          <cell r="G358">
            <v>39365</v>
          </cell>
          <cell r="H358">
            <v>39365</v>
          </cell>
        </row>
        <row r="359">
          <cell r="A359" t="str">
            <v>R2-009JJ-E004</v>
          </cell>
          <cell r="B359" t="str">
            <v>GOODS REC'D/INVOICE REC'D-NOT YET INVOICED</v>
          </cell>
          <cell r="C359" t="str">
            <v>REPAIR MTL &amp; SUPPLY</v>
          </cell>
          <cell r="D359" t="str">
            <v>69186,C60545,3.0</v>
          </cell>
          <cell r="E359" t="str">
            <v>8233565</v>
          </cell>
          <cell r="F359">
            <v>308.94</v>
          </cell>
          <cell r="G359">
            <v>39365</v>
          </cell>
          <cell r="H359">
            <v>39365</v>
          </cell>
        </row>
        <row r="360">
          <cell r="A360" t="str">
            <v>R2-009JJ-E004</v>
          </cell>
          <cell r="B360" t="str">
            <v>GOODS REC'D/INVOICE REC'D-NOT YET INVOICED</v>
          </cell>
          <cell r="C360" t="str">
            <v>REPAIR MTL &amp; SUPPLY</v>
          </cell>
          <cell r="D360" t="str">
            <v>69186,C53628,1.0</v>
          </cell>
          <cell r="E360" t="str">
            <v>8256473</v>
          </cell>
          <cell r="F360">
            <v>1300.8</v>
          </cell>
          <cell r="G360">
            <v>39367</v>
          </cell>
          <cell r="H360">
            <v>39367</v>
          </cell>
        </row>
        <row r="361">
          <cell r="A361" t="str">
            <v>R2-009JJ-E004</v>
          </cell>
          <cell r="B361" t="str">
            <v>GOODS REC'D/INVOICE REC'D-NOT YET INVOICED</v>
          </cell>
          <cell r="C361" t="str">
            <v>REPAIR MTL &amp; SUPPLY</v>
          </cell>
          <cell r="D361" t="str">
            <v>69186,C53628,1.0</v>
          </cell>
          <cell r="E361" t="str">
            <v>8256474</v>
          </cell>
          <cell r="F361">
            <v>634.14</v>
          </cell>
          <cell r="G361">
            <v>39367</v>
          </cell>
          <cell r="H361">
            <v>39367</v>
          </cell>
        </row>
        <row r="362">
          <cell r="A362" t="str">
            <v>R2-009JJ-E004</v>
          </cell>
          <cell r="B362" t="str">
            <v>GOODS REC'D/INVOICE REC'D-NOT YET INVOICED</v>
          </cell>
          <cell r="C362" t="str">
            <v>REPAIR MTL &amp; SUPPLY</v>
          </cell>
          <cell r="D362" t="str">
            <v>69186,C53628,1.0</v>
          </cell>
          <cell r="E362" t="str">
            <v>8256475</v>
          </cell>
          <cell r="F362">
            <v>2157.16</v>
          </cell>
          <cell r="G362">
            <v>39367</v>
          </cell>
          <cell r="H362">
            <v>39367</v>
          </cell>
        </row>
        <row r="363">
          <cell r="A363" t="str">
            <v>R2-009JJ-E004</v>
          </cell>
          <cell r="B363" t="str">
            <v>GOODS REC'D/INVOICE REC'D-NOT YET INVOICED</v>
          </cell>
          <cell r="C363" t="str">
            <v>REPAIR MTL &amp; SUPPLY</v>
          </cell>
          <cell r="D363" t="str">
            <v>69186,C53628,1.0</v>
          </cell>
          <cell r="E363" t="str">
            <v>8256476</v>
          </cell>
          <cell r="F363">
            <v>867.2</v>
          </cell>
          <cell r="G363">
            <v>39367</v>
          </cell>
          <cell r="H363">
            <v>39367</v>
          </cell>
        </row>
        <row r="364">
          <cell r="A364" t="str">
            <v>R2-009JJ-E004</v>
          </cell>
          <cell r="B364" t="str">
            <v>GOODS REC'D/INVOICE REC'D-NOT YET INVOICED</v>
          </cell>
          <cell r="C364" t="str">
            <v>REPAIR MTL &amp; SUPPLY</v>
          </cell>
          <cell r="D364" t="str">
            <v>69186,C60911,1.0</v>
          </cell>
          <cell r="E364" t="str">
            <v>8256483</v>
          </cell>
          <cell r="F364">
            <v>2044.38</v>
          </cell>
          <cell r="G364">
            <v>39367</v>
          </cell>
          <cell r="H364">
            <v>39367</v>
          </cell>
        </row>
        <row r="365">
          <cell r="A365" t="str">
            <v>R2-009JJ-E004</v>
          </cell>
          <cell r="B365" t="str">
            <v>GOODS REC'D/INVOICE REC'D-NOT YET INVOICED</v>
          </cell>
          <cell r="C365" t="str">
            <v>REPAIR MTL &amp; SUPPLY</v>
          </cell>
          <cell r="D365" t="str">
            <v>69186,C60911,2.0</v>
          </cell>
          <cell r="E365" t="str">
            <v>8256782</v>
          </cell>
          <cell r="F365">
            <v>311.64999999999998</v>
          </cell>
          <cell r="G365">
            <v>39367</v>
          </cell>
          <cell r="H365">
            <v>39367</v>
          </cell>
        </row>
        <row r="366">
          <cell r="A366" t="str">
            <v>R2-009JJ-E004</v>
          </cell>
          <cell r="B366" t="str">
            <v>GOODS REC'D/INVOICE REC'D-NOT YET INVOICED</v>
          </cell>
          <cell r="C366" t="str">
            <v>REPAIR MTL &amp; SUPPLY</v>
          </cell>
          <cell r="D366" t="str">
            <v>69918,C59882,1.0</v>
          </cell>
          <cell r="E366" t="str">
            <v>8261303</v>
          </cell>
          <cell r="F366">
            <v>-740.4</v>
          </cell>
          <cell r="G366">
            <v>39371</v>
          </cell>
          <cell r="H366">
            <v>39371</v>
          </cell>
        </row>
        <row r="367">
          <cell r="A367" t="str">
            <v>R2-009JJ-E004</v>
          </cell>
          <cell r="B367" t="str">
            <v>GOODS REC'D/INVOICE REC'D-NOT YET INVOICED</v>
          </cell>
          <cell r="C367" t="str">
            <v>REPAIR MTL &amp; SUPPLY</v>
          </cell>
          <cell r="D367" t="str">
            <v>69186,C60002,1.0</v>
          </cell>
          <cell r="E367" t="str">
            <v>8262110</v>
          </cell>
          <cell r="F367">
            <v>-7738.68</v>
          </cell>
          <cell r="G367">
            <v>39371</v>
          </cell>
          <cell r="H367">
            <v>39371</v>
          </cell>
        </row>
        <row r="368">
          <cell r="A368" t="str">
            <v>R2-009JJ-E004</v>
          </cell>
          <cell r="B368" t="str">
            <v>GOODS REC'D/INVOICE REC'D-NOT YET INVOICED</v>
          </cell>
          <cell r="C368" t="str">
            <v>REPAIR MTL &amp; SUPPLY</v>
          </cell>
          <cell r="D368" t="str">
            <v>69186,C60961,1.0</v>
          </cell>
          <cell r="E368" t="str">
            <v>8261940</v>
          </cell>
          <cell r="F368">
            <v>1166.1199999999999</v>
          </cell>
          <cell r="G368">
            <v>39371</v>
          </cell>
          <cell r="H368">
            <v>39371</v>
          </cell>
        </row>
        <row r="369">
          <cell r="A369" t="str">
            <v>R2-009JJ-E004</v>
          </cell>
          <cell r="B369" t="str">
            <v>GOODS REC'D/INVOICE REC'D-NOT YET INVOICED</v>
          </cell>
          <cell r="C369" t="str">
            <v>REPAIR MTL &amp; SUPPLY</v>
          </cell>
          <cell r="D369" t="str">
            <v>69186,C60961,2.0</v>
          </cell>
          <cell r="E369" t="str">
            <v>8261941</v>
          </cell>
          <cell r="F369">
            <v>760.97</v>
          </cell>
          <cell r="G369">
            <v>39371</v>
          </cell>
          <cell r="H369">
            <v>39371</v>
          </cell>
        </row>
        <row r="370">
          <cell r="A370" t="str">
            <v>R2-009JJ-E004</v>
          </cell>
          <cell r="B370" t="str">
            <v>GOODS REC'D/INVOICE REC'D-NOT YET INVOICED</v>
          </cell>
          <cell r="C370" t="str">
            <v>REPAIR MTL &amp; SUPPLY</v>
          </cell>
          <cell r="D370" t="str">
            <v>69186,C60461,1.0</v>
          </cell>
          <cell r="E370" t="str">
            <v>8261969</v>
          </cell>
          <cell r="F370">
            <v>172.88</v>
          </cell>
          <cell r="G370">
            <v>39371</v>
          </cell>
          <cell r="H370">
            <v>39371</v>
          </cell>
        </row>
        <row r="371">
          <cell r="A371" t="str">
            <v>R2-009JJ-E004</v>
          </cell>
          <cell r="B371" t="str">
            <v>GOODS REC'D/INVOICE REC'D-NOT YET INVOICED</v>
          </cell>
          <cell r="C371" t="str">
            <v>REPAIR MTL &amp; SUPPLY</v>
          </cell>
          <cell r="D371" t="str">
            <v>69186,C60882,1.0</v>
          </cell>
          <cell r="E371" t="str">
            <v>8280409</v>
          </cell>
          <cell r="F371">
            <v>622.89</v>
          </cell>
          <cell r="G371">
            <v>39377</v>
          </cell>
          <cell r="H371">
            <v>39374</v>
          </cell>
        </row>
        <row r="372">
          <cell r="A372" t="str">
            <v>R2-009JJ-E004</v>
          </cell>
          <cell r="B372" t="str">
            <v>GOODS REC'D/INVOICE REC'D-NOT YET INVOICED</v>
          </cell>
          <cell r="C372" t="str">
            <v>REPAIR MTL &amp; SUPPLY</v>
          </cell>
          <cell r="D372" t="str">
            <v>69186,C60911,1.0</v>
          </cell>
          <cell r="E372" t="str">
            <v>8290689</v>
          </cell>
          <cell r="F372">
            <v>-2044.38</v>
          </cell>
          <cell r="G372">
            <v>39378</v>
          </cell>
          <cell r="H372">
            <v>39378</v>
          </cell>
        </row>
        <row r="373">
          <cell r="A373" t="str">
            <v>R2-009JJ-E004</v>
          </cell>
          <cell r="B373" t="str">
            <v>GOODS REC'D/INVOICE REC'D-NOT YET INVOICED</v>
          </cell>
          <cell r="C373" t="str">
            <v>REPAIR MTL &amp; SUPPLY</v>
          </cell>
          <cell r="D373" t="str">
            <v>69186,C60911,2.0</v>
          </cell>
          <cell r="E373" t="str">
            <v>8290691</v>
          </cell>
          <cell r="F373">
            <v>-311.64999999999998</v>
          </cell>
          <cell r="G373">
            <v>39378</v>
          </cell>
          <cell r="H373">
            <v>39378</v>
          </cell>
        </row>
        <row r="374">
          <cell r="A374" t="str">
            <v>R2-009JJ-E004</v>
          </cell>
          <cell r="B374" t="str">
            <v>GOODS REC'D/INVOICE REC'D-NOT YET INVOICED</v>
          </cell>
          <cell r="C374" t="str">
            <v>REPAIR MTL &amp; SUPPLY</v>
          </cell>
          <cell r="D374" t="str">
            <v>69186,C53628,1.0</v>
          </cell>
          <cell r="E374" t="str">
            <v>8291114</v>
          </cell>
          <cell r="F374">
            <v>-867.2</v>
          </cell>
          <cell r="G374">
            <v>39378</v>
          </cell>
          <cell r="H374">
            <v>39378</v>
          </cell>
        </row>
        <row r="375">
          <cell r="A375" t="str">
            <v>R2-009JJ-E004</v>
          </cell>
          <cell r="B375" t="str">
            <v>GOODS REC'D/INVOICE REC'D-NOT YET INVOICED</v>
          </cell>
          <cell r="C375" t="str">
            <v>REPAIR MTL &amp; SUPPLY</v>
          </cell>
          <cell r="D375" t="str">
            <v>69186,C53628,1.0</v>
          </cell>
          <cell r="E375" t="str">
            <v>8291116</v>
          </cell>
          <cell r="F375">
            <v>-2157.16</v>
          </cell>
          <cell r="G375">
            <v>39378</v>
          </cell>
          <cell r="H375">
            <v>39378</v>
          </cell>
        </row>
        <row r="376">
          <cell r="A376" t="str">
            <v>R2-009JJ-E004</v>
          </cell>
          <cell r="B376" t="str">
            <v>GOODS REC'D/INVOICE REC'D-NOT YET INVOICED</v>
          </cell>
          <cell r="C376" t="str">
            <v>REPAIR MTL &amp; SUPPLY</v>
          </cell>
          <cell r="D376" t="str">
            <v>69186,C53628,1.0</v>
          </cell>
          <cell r="E376" t="str">
            <v>8291118</v>
          </cell>
          <cell r="F376">
            <v>-634.14</v>
          </cell>
          <cell r="G376">
            <v>39378</v>
          </cell>
          <cell r="H376">
            <v>39378</v>
          </cell>
        </row>
        <row r="377">
          <cell r="A377" t="str">
            <v>R2-009JJ-E004</v>
          </cell>
          <cell r="B377" t="str">
            <v>GOODS REC'D/INVOICE REC'D-NOT YET INVOICED</v>
          </cell>
          <cell r="C377" t="str">
            <v>REPAIR MTL &amp; SUPPLY</v>
          </cell>
          <cell r="D377" t="str">
            <v>69186,C53628,1.0</v>
          </cell>
          <cell r="E377" t="str">
            <v>8291127</v>
          </cell>
          <cell r="F377">
            <v>-1300.8</v>
          </cell>
          <cell r="G377">
            <v>39378</v>
          </cell>
          <cell r="H377">
            <v>39378</v>
          </cell>
        </row>
        <row r="378">
          <cell r="A378" t="str">
            <v>R2-009JJ-E004</v>
          </cell>
          <cell r="B378" t="str">
            <v>GOODS REC'D/INVOICE REC'D-NOT YET INVOICED</v>
          </cell>
          <cell r="C378" t="str">
            <v>REPAIR MTL &amp; SUPPLY</v>
          </cell>
          <cell r="D378" t="str">
            <v>69186,C60545,3.0</v>
          </cell>
          <cell r="E378" t="str">
            <v>8291232</v>
          </cell>
          <cell r="F378">
            <v>-308.95</v>
          </cell>
          <cell r="G378">
            <v>39378</v>
          </cell>
          <cell r="H378">
            <v>39378</v>
          </cell>
        </row>
        <row r="379">
          <cell r="A379" t="str">
            <v>R2-009JJ-E004</v>
          </cell>
          <cell r="B379" t="str">
            <v>GOODS REC'D/INVOICE REC'D-NOT YET INVOICED</v>
          </cell>
          <cell r="C379" t="str">
            <v>REPAIR MTL &amp; SUPPLY</v>
          </cell>
          <cell r="D379" t="str">
            <v>69186,C60545,3.0</v>
          </cell>
          <cell r="E379" t="str">
            <v>8291230</v>
          </cell>
          <cell r="F379">
            <v>0.01</v>
          </cell>
          <cell r="G379">
            <v>39378</v>
          </cell>
          <cell r="H379">
            <v>39378</v>
          </cell>
        </row>
        <row r="380">
          <cell r="A380" t="str">
            <v>R2-009JJ-E004</v>
          </cell>
          <cell r="B380" t="str">
            <v>GOODS REC'D/INVOICE REC'D-NOT YET INVOICED</v>
          </cell>
          <cell r="C380" t="str">
            <v>REPAIR MTL &amp; SUPPLY</v>
          </cell>
          <cell r="D380" t="str">
            <v>69186,C60898,1.0</v>
          </cell>
          <cell r="E380" t="str">
            <v>8292018</v>
          </cell>
          <cell r="F380">
            <v>10915.88</v>
          </cell>
          <cell r="G380">
            <v>39378</v>
          </cell>
          <cell r="H380">
            <v>39378</v>
          </cell>
        </row>
        <row r="381">
          <cell r="A381" t="str">
            <v>R2-009JJ-E004</v>
          </cell>
          <cell r="B381" t="str">
            <v>GOODS REC'D/INVOICE REC'D-NOT YET INVOICED</v>
          </cell>
          <cell r="C381" t="str">
            <v>REPAIR MTL &amp; SUPPLY</v>
          </cell>
          <cell r="D381" t="str">
            <v>69186,C61268,1.0</v>
          </cell>
          <cell r="E381" t="str">
            <v>8293011</v>
          </cell>
          <cell r="F381">
            <v>1004.51</v>
          </cell>
          <cell r="G381">
            <v>39379</v>
          </cell>
          <cell r="H381">
            <v>39379</v>
          </cell>
        </row>
        <row r="382">
          <cell r="A382" t="str">
            <v>R2-009JJ-E004</v>
          </cell>
          <cell r="B382" t="str">
            <v>GOODS REC'D/INVOICE REC'D-NOT YET INVOICED</v>
          </cell>
          <cell r="C382" t="str">
            <v>REPAIR MTL &amp; SUPPLY</v>
          </cell>
          <cell r="D382" t="str">
            <v>69186,C62034,1.0</v>
          </cell>
          <cell r="E382" t="str">
            <v>8305585</v>
          </cell>
          <cell r="F382">
            <v>597.39</v>
          </cell>
          <cell r="G382">
            <v>39385</v>
          </cell>
          <cell r="H382">
            <v>39385</v>
          </cell>
        </row>
        <row r="383">
          <cell r="A383" t="str">
            <v>R2-009JJ-E004</v>
          </cell>
          <cell r="B383" t="str">
            <v>GOODS REC'D/INVOICE REC'D-NOT YET INVOICED</v>
          </cell>
          <cell r="C383" t="str">
            <v>REPAIR MTL &amp; SUPPLY</v>
          </cell>
          <cell r="D383" t="str">
            <v>69186,C62034,2.0</v>
          </cell>
          <cell r="E383" t="str">
            <v>8305586</v>
          </cell>
          <cell r="F383">
            <v>4.47</v>
          </cell>
          <cell r="G383">
            <v>39385</v>
          </cell>
          <cell r="H383">
            <v>39385</v>
          </cell>
        </row>
        <row r="384">
          <cell r="A384" t="str">
            <v>R2-009JJ-E004</v>
          </cell>
          <cell r="B384" t="str">
            <v>GOODS REC'D/INVOICE REC'D-NOT YET INVOICED</v>
          </cell>
          <cell r="C384" t="str">
            <v>REPAIR MTL &amp; SUPPLY</v>
          </cell>
          <cell r="D384" t="str">
            <v>69186,C60882,1.0</v>
          </cell>
          <cell r="E384" t="str">
            <v>8308170</v>
          </cell>
          <cell r="F384">
            <v>-622.89</v>
          </cell>
          <cell r="G384">
            <v>39387</v>
          </cell>
          <cell r="H384">
            <v>39387</v>
          </cell>
        </row>
        <row r="385">
          <cell r="A385" t="str">
            <v>R2-009JJ-E004</v>
          </cell>
          <cell r="B385" t="str">
            <v>GOODS REC'D/INVOICE REC'D-NOT YET INVOICED</v>
          </cell>
          <cell r="C385" t="str">
            <v>REPAIR MTL &amp; SUPPLY</v>
          </cell>
          <cell r="D385" t="str">
            <v>69186,C54310,1.0</v>
          </cell>
          <cell r="E385" t="str">
            <v>8308565</v>
          </cell>
          <cell r="F385">
            <v>136.08000000000001</v>
          </cell>
          <cell r="G385">
            <v>39387</v>
          </cell>
          <cell r="H385">
            <v>39387</v>
          </cell>
        </row>
        <row r="386">
          <cell r="A386" t="str">
            <v>R2-009JJ-E004</v>
          </cell>
          <cell r="B386" t="str">
            <v>GOODS REC'D/INVOICE REC'D-NOT YET INVOICED</v>
          </cell>
          <cell r="C386" t="str">
            <v>REPAIR MTL &amp; SUPPLY</v>
          </cell>
          <cell r="D386" t="str">
            <v>69186,C60450,1.0</v>
          </cell>
          <cell r="E386" t="str">
            <v>8319725</v>
          </cell>
          <cell r="F386">
            <v>34308.6</v>
          </cell>
          <cell r="G386">
            <v>39393</v>
          </cell>
          <cell r="H386">
            <v>39393</v>
          </cell>
        </row>
        <row r="387">
          <cell r="A387" t="str">
            <v>R2-009JJ-E004</v>
          </cell>
          <cell r="B387" t="str">
            <v>GOODS REC'D/INVOICE REC'D-NOT YET INVOICED</v>
          </cell>
          <cell r="C387" t="str">
            <v>REPAIR MTL &amp; SUPPLY</v>
          </cell>
          <cell r="D387" t="str">
            <v>69186,C60450,1.0</v>
          </cell>
          <cell r="E387" t="str">
            <v>8323315</v>
          </cell>
          <cell r="F387">
            <v>-34308.6</v>
          </cell>
          <cell r="G387">
            <v>39395</v>
          </cell>
          <cell r="H387">
            <v>39395</v>
          </cell>
        </row>
        <row r="388">
          <cell r="A388" t="str">
            <v>R2-009JJ-E004</v>
          </cell>
          <cell r="B388" t="str">
            <v>GOODS REC'D/INVOICE REC'D-NOT YET INVOICED</v>
          </cell>
          <cell r="C388" t="str">
            <v>REPAIR MTL &amp; SUPPLY</v>
          </cell>
          <cell r="D388" t="str">
            <v>69186,C53628,1.0</v>
          </cell>
          <cell r="E388" t="str">
            <v>8324608</v>
          </cell>
          <cell r="F388">
            <v>189.7</v>
          </cell>
          <cell r="G388">
            <v>39396</v>
          </cell>
          <cell r="H388">
            <v>39396</v>
          </cell>
        </row>
        <row r="389">
          <cell r="A389" t="str">
            <v>R2-009JJ-E004</v>
          </cell>
          <cell r="B389" t="str">
            <v>GOODS REC'D/INVOICE REC'D-NOT YET INVOICED</v>
          </cell>
          <cell r="C389" t="str">
            <v>REPAIR MTL &amp; SUPPLY</v>
          </cell>
          <cell r="D389" t="str">
            <v>69186,C53628,1.0</v>
          </cell>
          <cell r="E389" t="str">
            <v>8324609</v>
          </cell>
          <cell r="F389">
            <v>2157.16</v>
          </cell>
          <cell r="G389">
            <v>39396</v>
          </cell>
          <cell r="H389">
            <v>39396</v>
          </cell>
        </row>
        <row r="390">
          <cell r="A390" t="str">
            <v>R2-009JJ-E004</v>
          </cell>
          <cell r="B390" t="str">
            <v>GOODS REC'D/INVOICE REC'D-NOT YET INVOICED</v>
          </cell>
          <cell r="C390" t="str">
            <v>REPAIR MTL &amp; SUPPLY</v>
          </cell>
          <cell r="D390" t="str">
            <v>69186,C53628,1.0</v>
          </cell>
          <cell r="E390" t="str">
            <v>8324610</v>
          </cell>
          <cell r="F390">
            <v>867.2</v>
          </cell>
          <cell r="G390">
            <v>39396</v>
          </cell>
          <cell r="H390">
            <v>39396</v>
          </cell>
        </row>
        <row r="391">
          <cell r="A391" t="str">
            <v>R2-009JJ-E004</v>
          </cell>
          <cell r="B391" t="str">
            <v>GOODS REC'D/INVOICE REC'D-NOT YET INVOICED</v>
          </cell>
          <cell r="C391" t="str">
            <v>REPAIR MTL &amp; SUPPLY</v>
          </cell>
          <cell r="D391" t="str">
            <v>69186,C53628,1.0</v>
          </cell>
          <cell r="E391" t="str">
            <v>8324611</v>
          </cell>
          <cell r="F391">
            <v>2265.56</v>
          </cell>
          <cell r="G391">
            <v>39396</v>
          </cell>
          <cell r="H391">
            <v>39396</v>
          </cell>
        </row>
        <row r="392">
          <cell r="A392" t="str">
            <v>R2-009JJ-E004</v>
          </cell>
          <cell r="B392" t="str">
            <v>GOODS REC'D/INVOICE REC'D-NOT YET INVOICED</v>
          </cell>
          <cell r="C392" t="str">
            <v>REPAIR MTL &amp; SUPPLY</v>
          </cell>
          <cell r="D392" t="str">
            <v>69186,C61564,1.0</v>
          </cell>
          <cell r="E392" t="str">
            <v>8324753</v>
          </cell>
          <cell r="F392">
            <v>2334.94</v>
          </cell>
          <cell r="G392">
            <v>39397</v>
          </cell>
          <cell r="H392">
            <v>39397</v>
          </cell>
        </row>
        <row r="393">
          <cell r="A393" t="str">
            <v>R2-009JJ-E004</v>
          </cell>
          <cell r="B393" t="str">
            <v>GOODS REC'D/INVOICE REC'D-NOT YET INVOICED</v>
          </cell>
          <cell r="C393" t="str">
            <v>REPAIR MTL &amp; SUPPLY</v>
          </cell>
          <cell r="D393" t="str">
            <v>69186,C62005,1.0</v>
          </cell>
          <cell r="E393" t="str">
            <v>8325113</v>
          </cell>
          <cell r="F393">
            <v>2659.75</v>
          </cell>
          <cell r="G393">
            <v>39398</v>
          </cell>
          <cell r="H393">
            <v>39398</v>
          </cell>
        </row>
        <row r="394">
          <cell r="A394" t="str">
            <v>R2-009JJ-E004</v>
          </cell>
          <cell r="B394" t="str">
            <v>GOODS REC'D/INVOICE REC'D-NOT YET INVOICED</v>
          </cell>
          <cell r="C394" t="str">
            <v>REPAIR MTL &amp; SUPPLY</v>
          </cell>
          <cell r="D394" t="str">
            <v>69186,C62005,2.0</v>
          </cell>
          <cell r="E394" t="str">
            <v>8325114</v>
          </cell>
          <cell r="F394">
            <v>712.06</v>
          </cell>
          <cell r="G394">
            <v>39398</v>
          </cell>
          <cell r="H394">
            <v>39398</v>
          </cell>
        </row>
        <row r="395">
          <cell r="A395" t="str">
            <v>R2-009JJ-E004</v>
          </cell>
          <cell r="B395" t="str">
            <v>GOODS REC'D/INVOICE REC'D-NOT YET INVOICED</v>
          </cell>
          <cell r="C395" t="str">
            <v>REPAIR MTL &amp; SUPPLY</v>
          </cell>
          <cell r="D395" t="str">
            <v>69186,C62005,3.0</v>
          </cell>
          <cell r="E395" t="str">
            <v>8325115</v>
          </cell>
          <cell r="F395">
            <v>206.44</v>
          </cell>
          <cell r="G395">
            <v>39398</v>
          </cell>
          <cell r="H395">
            <v>39398</v>
          </cell>
        </row>
        <row r="396">
          <cell r="A396" t="str">
            <v>R2-009JJ-E004</v>
          </cell>
          <cell r="B396" t="str">
            <v>GOODS REC'D/INVOICE REC'D-NOT YET INVOICED</v>
          </cell>
          <cell r="C396" t="str">
            <v>REPAIR MTL &amp; SUPPLY</v>
          </cell>
          <cell r="D396" t="str">
            <v>69186,C62005,4.0</v>
          </cell>
          <cell r="E396" t="str">
            <v>8325116</v>
          </cell>
          <cell r="F396">
            <v>278.58999999999997</v>
          </cell>
          <cell r="G396">
            <v>39398</v>
          </cell>
          <cell r="H396">
            <v>39398</v>
          </cell>
        </row>
        <row r="397">
          <cell r="A397" t="str">
            <v>R2-009JJ-E004</v>
          </cell>
          <cell r="B397" t="str">
            <v>GOODS REC'D/INVOICE REC'D-NOT YET INVOICED</v>
          </cell>
          <cell r="C397" t="str">
            <v>REPAIR MTL &amp; SUPPLY</v>
          </cell>
          <cell r="D397" t="str">
            <v>69186,C61268,1.0</v>
          </cell>
          <cell r="E397" t="str">
            <v>8325959</v>
          </cell>
          <cell r="F397">
            <v>-1004.51</v>
          </cell>
          <cell r="G397">
            <v>39399</v>
          </cell>
          <cell r="H397">
            <v>39399</v>
          </cell>
        </row>
        <row r="398">
          <cell r="A398" t="str">
            <v>R2-009JJ-E004</v>
          </cell>
          <cell r="B398" t="str">
            <v>GOODS REC'D/INVOICE REC'D-NOT YET INVOICED</v>
          </cell>
          <cell r="C398" t="str">
            <v>REPAIR MTL &amp; SUPPLY</v>
          </cell>
          <cell r="D398" t="str">
            <v>69186,C60961,1.0</v>
          </cell>
          <cell r="E398" t="str">
            <v>8329134</v>
          </cell>
          <cell r="F398">
            <v>-1166.1199999999999</v>
          </cell>
          <cell r="G398">
            <v>39399</v>
          </cell>
          <cell r="H398">
            <v>39399</v>
          </cell>
        </row>
        <row r="399">
          <cell r="A399" t="str">
            <v>R2-009JJ-E004</v>
          </cell>
          <cell r="B399" t="str">
            <v>GOODS REC'D/INVOICE REC'D-NOT YET INVOICED</v>
          </cell>
          <cell r="C399" t="str">
            <v>REPAIR MTL &amp; SUPPLY</v>
          </cell>
          <cell r="D399" t="str">
            <v>69186,C60961,2.0</v>
          </cell>
          <cell r="E399" t="str">
            <v>8329136</v>
          </cell>
          <cell r="F399">
            <v>-760.97</v>
          </cell>
          <cell r="G399">
            <v>39399</v>
          </cell>
          <cell r="H399">
            <v>39399</v>
          </cell>
        </row>
        <row r="400">
          <cell r="A400" t="str">
            <v>R2-009JJ-E004</v>
          </cell>
          <cell r="B400" t="str">
            <v>GOODS REC'D/INVOICE REC'D-NOT YET INVOICED</v>
          </cell>
          <cell r="C400" t="str">
            <v>REPAIR MTL &amp; SUPPLY</v>
          </cell>
          <cell r="D400" t="str">
            <v>69186,C61564,1.0</v>
          </cell>
          <cell r="E400" t="str">
            <v>8330878</v>
          </cell>
          <cell r="F400">
            <v>-2334.94</v>
          </cell>
          <cell r="G400">
            <v>39400</v>
          </cell>
          <cell r="H400">
            <v>39400</v>
          </cell>
        </row>
        <row r="401">
          <cell r="A401" t="str">
            <v>R2-009JJ-E004</v>
          </cell>
          <cell r="B401" t="str">
            <v>GOODS REC'D/INVOICE REC'D-NOT YET INVOICED</v>
          </cell>
          <cell r="C401" t="str">
            <v>REPAIR MTL &amp; SUPPLY</v>
          </cell>
          <cell r="D401" t="str">
            <v>69186,C53628,1.0</v>
          </cell>
          <cell r="E401" t="str">
            <v>8339328</v>
          </cell>
          <cell r="F401">
            <v>-2157.16</v>
          </cell>
          <cell r="G401">
            <v>39407</v>
          </cell>
          <cell r="H401">
            <v>39407</v>
          </cell>
        </row>
        <row r="402">
          <cell r="A402" t="str">
            <v>R2-009JJ-E004</v>
          </cell>
          <cell r="B402" t="str">
            <v>GOODS REC'D/INVOICE REC'D-NOT YET INVOICED</v>
          </cell>
          <cell r="C402" t="str">
            <v>REPAIR MTL &amp; SUPPLY</v>
          </cell>
          <cell r="D402" t="str">
            <v>69186,C53628,1.0</v>
          </cell>
          <cell r="E402" t="str">
            <v>8339335</v>
          </cell>
          <cell r="F402">
            <v>-867.2</v>
          </cell>
          <cell r="G402">
            <v>39407</v>
          </cell>
          <cell r="H402">
            <v>39407</v>
          </cell>
        </row>
        <row r="403">
          <cell r="A403" t="str">
            <v>R2-009JJ-E004</v>
          </cell>
          <cell r="B403" t="str">
            <v>GOODS REC'D/INVOICE REC'D-NOT YET INVOICED</v>
          </cell>
          <cell r="C403" t="str">
            <v>REPAIR MTL &amp; SUPPLY</v>
          </cell>
          <cell r="D403" t="str">
            <v>69186,C53628,1.0</v>
          </cell>
          <cell r="E403" t="str">
            <v>8339337</v>
          </cell>
          <cell r="F403">
            <v>-2265.56</v>
          </cell>
          <cell r="G403">
            <v>39407</v>
          </cell>
          <cell r="H403">
            <v>39407</v>
          </cell>
        </row>
        <row r="404">
          <cell r="A404" t="str">
            <v>R2-009JJ-E004</v>
          </cell>
          <cell r="B404" t="str">
            <v>GOODS REC'D/INVOICE REC'D-NOT YET INVOICED</v>
          </cell>
          <cell r="C404" t="str">
            <v>REPAIR MTL &amp; SUPPLY</v>
          </cell>
          <cell r="D404" t="str">
            <v>69186,C53628,1.0</v>
          </cell>
          <cell r="E404" t="str">
            <v>8339339</v>
          </cell>
          <cell r="F404">
            <v>-189.7</v>
          </cell>
          <cell r="G404">
            <v>39407</v>
          </cell>
          <cell r="H404">
            <v>39407</v>
          </cell>
        </row>
        <row r="405">
          <cell r="A405" t="str">
            <v>R2-009JJ-E004</v>
          </cell>
          <cell r="B405" t="str">
            <v>GOODS REC'D/INVOICE REC'D-NOT YET INVOICED</v>
          </cell>
          <cell r="C405" t="str">
            <v>REPAIR MTL &amp; SUPPLY</v>
          </cell>
          <cell r="D405" t="str">
            <v>69186,C62170,1.0</v>
          </cell>
          <cell r="E405" t="str">
            <v>8339558</v>
          </cell>
          <cell r="F405">
            <v>12058.42</v>
          </cell>
          <cell r="G405">
            <v>39407</v>
          </cell>
          <cell r="H405">
            <v>39407</v>
          </cell>
        </row>
        <row r="406">
          <cell r="A406" t="str">
            <v>R2-009JJ-E004</v>
          </cell>
          <cell r="B406" t="str">
            <v>GOODS REC'D/INVOICE REC'D-NOT YET INVOICED</v>
          </cell>
          <cell r="C406" t="str">
            <v>REPAIR MTL &amp; SUPPLY</v>
          </cell>
          <cell r="D406" t="str">
            <v>69186,C62297,2.0</v>
          </cell>
          <cell r="E406" t="str">
            <v>8345524</v>
          </cell>
          <cell r="F406">
            <v>271</v>
          </cell>
          <cell r="G406">
            <v>39412</v>
          </cell>
          <cell r="H406">
            <v>39412</v>
          </cell>
        </row>
        <row r="407">
          <cell r="A407" t="str">
            <v>R2-009JJ-E004</v>
          </cell>
          <cell r="B407" t="str">
            <v>GOODS REC'D/INVOICE REC'D-NOT YET INVOICED</v>
          </cell>
          <cell r="C407" t="str">
            <v>REPAIR MTL &amp; SUPPLY</v>
          </cell>
          <cell r="D407" t="str">
            <v>69186,C62297,3.0</v>
          </cell>
          <cell r="E407" t="str">
            <v>8345525</v>
          </cell>
          <cell r="F407">
            <v>352.3</v>
          </cell>
          <cell r="G407">
            <v>39412</v>
          </cell>
          <cell r="H407">
            <v>39412</v>
          </cell>
        </row>
        <row r="408">
          <cell r="A408" t="str">
            <v>R2-009JJ-E004</v>
          </cell>
          <cell r="B408" t="str">
            <v>GOODS REC'D/INVOICE REC'D-NOT YET INVOICED</v>
          </cell>
          <cell r="C408" t="str">
            <v>REPAIR MTL &amp; SUPPLY</v>
          </cell>
          <cell r="D408" t="str">
            <v>69186,C62297,4.0</v>
          </cell>
          <cell r="E408" t="str">
            <v>8345526</v>
          </cell>
          <cell r="F408">
            <v>47.7</v>
          </cell>
          <cell r="G408">
            <v>39412</v>
          </cell>
          <cell r="H408">
            <v>39412</v>
          </cell>
        </row>
        <row r="409">
          <cell r="A409" t="str">
            <v>R2-009JJ-E004</v>
          </cell>
          <cell r="B409" t="str">
            <v>GOODS REC'D/INVOICE REC'D-NOT YET INVOICED</v>
          </cell>
          <cell r="C409" t="str">
            <v>REPAIR MTL &amp; SUPPLY</v>
          </cell>
          <cell r="D409" t="str">
            <v>69186,C62803,1.0</v>
          </cell>
          <cell r="E409" t="str">
            <v>8350860</v>
          </cell>
          <cell r="F409">
            <v>71</v>
          </cell>
          <cell r="G409">
            <v>39415</v>
          </cell>
          <cell r="H409">
            <v>39415</v>
          </cell>
        </row>
        <row r="410">
          <cell r="A410" t="str">
            <v>R2-009JJ-E004</v>
          </cell>
          <cell r="B410" t="str">
            <v>GOODS REC'D/INVOICE REC'D-NOT YET INVOICED</v>
          </cell>
          <cell r="C410" t="str">
            <v>REPAIR MTL &amp; SUPPLY</v>
          </cell>
          <cell r="D410" t="str">
            <v>69186,C53628,1.0</v>
          </cell>
          <cell r="E410" t="str">
            <v>8351247</v>
          </cell>
          <cell r="F410">
            <v>2157.16</v>
          </cell>
          <cell r="G410">
            <v>39415</v>
          </cell>
          <cell r="H410">
            <v>39415</v>
          </cell>
        </row>
        <row r="411">
          <cell r="A411" t="str">
            <v>R2-009JJ-E004</v>
          </cell>
          <cell r="B411" t="str">
            <v>GOODS REC'D/INVOICE REC'D-NOT YET INVOICED</v>
          </cell>
          <cell r="C411" t="str">
            <v>REPAIR MTL &amp; SUPPLY</v>
          </cell>
          <cell r="D411" t="str">
            <v>69186,C53628,1.0</v>
          </cell>
          <cell r="E411" t="str">
            <v>8351248</v>
          </cell>
          <cell r="F411">
            <v>867.2</v>
          </cell>
          <cell r="G411">
            <v>39415</v>
          </cell>
          <cell r="H411">
            <v>39415</v>
          </cell>
        </row>
        <row r="412">
          <cell r="A412" t="str">
            <v>R2-009JJ-E004</v>
          </cell>
          <cell r="B412" t="str">
            <v>GOODS REC'D/INVOICE REC'D-NOT YET INVOICED</v>
          </cell>
          <cell r="C412" t="str">
            <v>REPAIR MTL &amp; SUPPLY</v>
          </cell>
          <cell r="D412" t="str">
            <v>69186,C62828,1.0</v>
          </cell>
          <cell r="E412" t="str">
            <v>8359678</v>
          </cell>
          <cell r="F412">
            <v>19.02</v>
          </cell>
          <cell r="G412">
            <v>39420</v>
          </cell>
          <cell r="H412">
            <v>39420</v>
          </cell>
        </row>
        <row r="413">
          <cell r="A413" t="str">
            <v>R2-009JJ-E004</v>
          </cell>
          <cell r="B413" t="str">
            <v>GOODS REC'D/INVOICE REC'D-NOT YET INVOICED</v>
          </cell>
          <cell r="C413" t="str">
            <v>REPAIR MTL &amp; SUPPLY</v>
          </cell>
          <cell r="D413" t="str">
            <v>69186,C62828,2.0</v>
          </cell>
          <cell r="E413" t="str">
            <v>8359679</v>
          </cell>
          <cell r="F413">
            <v>665.23</v>
          </cell>
          <cell r="G413">
            <v>39420</v>
          </cell>
          <cell r="H413">
            <v>39420</v>
          </cell>
        </row>
        <row r="414">
          <cell r="A414" t="str">
            <v>R2-009JJ-E004</v>
          </cell>
          <cell r="B414" t="str">
            <v>GOODS REC'D/INVOICE REC'D-NOT YET INVOICED</v>
          </cell>
          <cell r="C414" t="str">
            <v>REPAIR MTL &amp; SUPPLY</v>
          </cell>
          <cell r="D414" t="str">
            <v>69186,C62828,3.0</v>
          </cell>
          <cell r="E414" t="str">
            <v>8359680</v>
          </cell>
          <cell r="F414">
            <v>1551.25</v>
          </cell>
          <cell r="G414">
            <v>39420</v>
          </cell>
          <cell r="H414">
            <v>39420</v>
          </cell>
        </row>
        <row r="415">
          <cell r="A415" t="str">
            <v>R2-009JJ-E004</v>
          </cell>
          <cell r="B415" t="str">
            <v>GOODS REC'D/INVOICE REC'D-NOT YET INVOICED</v>
          </cell>
          <cell r="C415" t="str">
            <v>REPAIR MTL &amp; SUPPLY</v>
          </cell>
          <cell r="D415" t="str">
            <v>69186,C62828,4.0</v>
          </cell>
          <cell r="E415" t="str">
            <v>8359681</v>
          </cell>
          <cell r="F415">
            <v>284.44</v>
          </cell>
          <cell r="G415">
            <v>39420</v>
          </cell>
          <cell r="H415">
            <v>39420</v>
          </cell>
        </row>
        <row r="416">
          <cell r="A416" t="str">
            <v>R2-009JJ-E004</v>
          </cell>
          <cell r="B416" t="str">
            <v>GOODS REC'D/INVOICE REC'D-NOT YET INVOICED</v>
          </cell>
          <cell r="C416" t="str">
            <v>REPAIR MTL &amp; SUPPLY</v>
          </cell>
          <cell r="D416" t="str">
            <v>69186,C62828,5.0</v>
          </cell>
          <cell r="E416" t="str">
            <v>8359682</v>
          </cell>
          <cell r="F416">
            <v>55.46</v>
          </cell>
          <cell r="G416">
            <v>39420</v>
          </cell>
          <cell r="H416">
            <v>39420</v>
          </cell>
        </row>
        <row r="417">
          <cell r="A417" t="str">
            <v>R2-009JJ-E004</v>
          </cell>
          <cell r="B417" t="str">
            <v>GOODS REC'D/INVOICE REC'D-NOT YET INVOICED</v>
          </cell>
          <cell r="C417" t="str">
            <v>REPAIR MTL &amp; SUPPLY</v>
          </cell>
          <cell r="D417" t="str">
            <v>69186,C62828,6.0</v>
          </cell>
          <cell r="E417" t="str">
            <v>8359683</v>
          </cell>
          <cell r="F417">
            <v>80.87</v>
          </cell>
          <cell r="G417">
            <v>39420</v>
          </cell>
          <cell r="H417">
            <v>39420</v>
          </cell>
        </row>
        <row r="418">
          <cell r="A418" t="str">
            <v>R2-009JJ-E004</v>
          </cell>
          <cell r="B418" t="str">
            <v>GOODS REC'D/INVOICE REC'D-NOT YET INVOICED</v>
          </cell>
          <cell r="C418" t="str">
            <v>REPAIR MTL &amp; SUPPLY</v>
          </cell>
          <cell r="D418" t="str">
            <v>69186,C62828,7.0</v>
          </cell>
          <cell r="E418" t="str">
            <v>8359684</v>
          </cell>
          <cell r="F418">
            <v>160.61000000000001</v>
          </cell>
          <cell r="G418">
            <v>39420</v>
          </cell>
          <cell r="H418">
            <v>39420</v>
          </cell>
        </row>
        <row r="419">
          <cell r="A419" t="str">
            <v>R2-009JJ-E004</v>
          </cell>
          <cell r="B419" t="str">
            <v>GOODS REC'D/INVOICE REC'D-NOT YET INVOICED</v>
          </cell>
          <cell r="C419" t="str">
            <v>REPAIR MTL &amp; SUPPLY</v>
          </cell>
          <cell r="D419" t="str">
            <v>69186,C62170,1.0</v>
          </cell>
          <cell r="E419" t="str">
            <v>8360180</v>
          </cell>
          <cell r="F419">
            <v>-12058.42</v>
          </cell>
          <cell r="G419">
            <v>39421</v>
          </cell>
          <cell r="H419">
            <v>39421</v>
          </cell>
        </row>
        <row r="420">
          <cell r="A420" t="str">
            <v>R2-009JJ-E004</v>
          </cell>
          <cell r="B420" t="str">
            <v>GOODS REC'D/INVOICE REC'D-NOT YET INVOICED</v>
          </cell>
          <cell r="C420" t="str">
            <v>REPAIR MTL &amp; SUPPLY</v>
          </cell>
          <cell r="D420" t="str">
            <v>69186,C53628,1.0</v>
          </cell>
          <cell r="E420" t="str">
            <v>8373295</v>
          </cell>
          <cell r="F420">
            <v>-2157.16</v>
          </cell>
          <cell r="G420">
            <v>39429</v>
          </cell>
          <cell r="H420">
            <v>39429</v>
          </cell>
        </row>
        <row r="421">
          <cell r="A421" t="str">
            <v>R2-009JJ-E004</v>
          </cell>
          <cell r="B421" t="str">
            <v>GOODS REC'D/INVOICE REC'D-NOT YET INVOICED</v>
          </cell>
          <cell r="C421" t="str">
            <v>REPAIR MTL &amp; SUPPLY</v>
          </cell>
          <cell r="D421" t="str">
            <v>69186,C53628,1.0</v>
          </cell>
          <cell r="E421" t="str">
            <v>8373297</v>
          </cell>
          <cell r="F421">
            <v>-867.2</v>
          </cell>
          <cell r="G421">
            <v>39429</v>
          </cell>
          <cell r="H421">
            <v>39429</v>
          </cell>
        </row>
        <row r="422">
          <cell r="A422" t="str">
            <v>R2-009JJ-E004</v>
          </cell>
          <cell r="B422" t="str">
            <v>GOODS REC'D/INVOICE REC'D-NOT YET INVOICED</v>
          </cell>
          <cell r="C422" t="str">
            <v>REPAIR MTL &amp; SUPPLY</v>
          </cell>
          <cell r="D422" t="str">
            <v>69186,C54310,1.0</v>
          </cell>
          <cell r="E422" t="str">
            <v>8373451</v>
          </cell>
          <cell r="F422">
            <v>136.08000000000001</v>
          </cell>
          <cell r="G422">
            <v>39429</v>
          </cell>
          <cell r="H422">
            <v>39429</v>
          </cell>
        </row>
        <row r="423">
          <cell r="A423" t="str">
            <v>R2-009JJ-E004</v>
          </cell>
          <cell r="B423" t="str">
            <v>GOODS REC'D/INVOICE REC'D-NOT YET INVOICED</v>
          </cell>
          <cell r="C423" t="str">
            <v>REPAIR MTL &amp; SUPPLY</v>
          </cell>
          <cell r="D423" t="str">
            <v>69186,C62803,1.0</v>
          </cell>
          <cell r="E423" t="str">
            <v>8374284</v>
          </cell>
          <cell r="F423">
            <v>-71</v>
          </cell>
          <cell r="G423">
            <v>39430</v>
          </cell>
          <cell r="H423">
            <v>39430</v>
          </cell>
        </row>
        <row r="424">
          <cell r="A424" t="str">
            <v>R2-009JJ-E004</v>
          </cell>
          <cell r="B424" t="str">
            <v>GOODS REC'D/INVOICE REC'D-NOT YET INVOICED</v>
          </cell>
          <cell r="C424" t="str">
            <v>REPAIR MTL &amp; SUPPLY</v>
          </cell>
          <cell r="D424" t="str">
            <v>69186,C60898,1.0</v>
          </cell>
          <cell r="E424" t="str">
            <v>8374994</v>
          </cell>
          <cell r="F424">
            <v>-10925.95</v>
          </cell>
          <cell r="G424">
            <v>39433</v>
          </cell>
          <cell r="H424">
            <v>39433</v>
          </cell>
        </row>
        <row r="425">
          <cell r="A425" t="str">
            <v>R2-009JJ-E004</v>
          </cell>
          <cell r="B425" t="str">
            <v>GOODS REC'D/INVOICE REC'D-NOT YET INVOICED</v>
          </cell>
          <cell r="C425" t="str">
            <v>REPAIR MTL &amp; SUPPLY</v>
          </cell>
          <cell r="D425" t="str">
            <v>69186,C60898,1.0</v>
          </cell>
          <cell r="E425" t="str">
            <v>8374992</v>
          </cell>
          <cell r="F425">
            <v>10.07</v>
          </cell>
          <cell r="G425">
            <v>39433</v>
          </cell>
          <cell r="H425">
            <v>39433</v>
          </cell>
        </row>
        <row r="426">
          <cell r="A426" t="str">
            <v>R2-009JJ-E004</v>
          </cell>
          <cell r="B426" t="str">
            <v>GOODS REC'D/INVOICE REC'D-NOT YET INVOICED</v>
          </cell>
          <cell r="C426" t="str">
            <v>REPAIR MTL &amp; SUPPLY</v>
          </cell>
          <cell r="D426" t="str">
            <v>69186,C63289,4.0</v>
          </cell>
          <cell r="E426" t="str">
            <v>8380650</v>
          </cell>
          <cell r="F426">
            <v>-39.1</v>
          </cell>
          <cell r="G426">
            <v>39434</v>
          </cell>
          <cell r="H426">
            <v>39434</v>
          </cell>
        </row>
        <row r="427">
          <cell r="A427" t="str">
            <v>R2-009JJ-E004</v>
          </cell>
          <cell r="B427" t="str">
            <v>GOODS REC'D/INVOICE REC'D-NOT YET INVOICED</v>
          </cell>
          <cell r="C427" t="str">
            <v>REPAIR MTL &amp; SUPPLY</v>
          </cell>
          <cell r="D427" t="str">
            <v>69186,C63289,1.0</v>
          </cell>
          <cell r="E427" t="str">
            <v>8380642</v>
          </cell>
          <cell r="F427">
            <v>26.61</v>
          </cell>
          <cell r="G427">
            <v>39434</v>
          </cell>
          <cell r="H427">
            <v>39434</v>
          </cell>
        </row>
        <row r="428">
          <cell r="A428" t="str">
            <v>R2-009JJ-E004</v>
          </cell>
          <cell r="B428" t="str">
            <v>GOODS REC'D/INVOICE REC'D-NOT YET INVOICED</v>
          </cell>
          <cell r="C428" t="str">
            <v>REPAIR MTL &amp; SUPPLY</v>
          </cell>
          <cell r="D428" t="str">
            <v>69186,C63289,2.0</v>
          </cell>
          <cell r="E428" t="str">
            <v>8380643</v>
          </cell>
          <cell r="F428">
            <v>4.9800000000000004</v>
          </cell>
          <cell r="G428">
            <v>39434</v>
          </cell>
          <cell r="H428">
            <v>39434</v>
          </cell>
        </row>
        <row r="429">
          <cell r="A429" t="str">
            <v>R2-009JJ-E004</v>
          </cell>
          <cell r="B429" t="str">
            <v>GOODS REC'D/INVOICE REC'D-NOT YET INVOICED</v>
          </cell>
          <cell r="C429" t="str">
            <v>REPAIR MTL &amp; SUPPLY</v>
          </cell>
          <cell r="D429" t="str">
            <v>69186,C63289,3.0</v>
          </cell>
          <cell r="E429" t="str">
            <v>8380644</v>
          </cell>
          <cell r="F429">
            <v>47.48</v>
          </cell>
          <cell r="G429">
            <v>39434</v>
          </cell>
          <cell r="H429">
            <v>39434</v>
          </cell>
        </row>
        <row r="430">
          <cell r="A430" t="str">
            <v>R2-009JJ-E004</v>
          </cell>
          <cell r="B430" t="str">
            <v>GOODS REC'D/INVOICE REC'D-NOT YET INVOICED</v>
          </cell>
          <cell r="C430" t="str">
            <v>REPAIR MTL &amp; SUPPLY</v>
          </cell>
          <cell r="D430" t="str">
            <v>69186,C63289,4.0</v>
          </cell>
          <cell r="E430" t="str">
            <v>8380645</v>
          </cell>
          <cell r="F430">
            <v>39.1</v>
          </cell>
          <cell r="G430">
            <v>39434</v>
          </cell>
          <cell r="H430">
            <v>39434</v>
          </cell>
        </row>
        <row r="431">
          <cell r="A431" t="str">
            <v>R2-009JJ-E004</v>
          </cell>
          <cell r="B431" t="str">
            <v>GOODS REC'D/INVOICE REC'D-NOT YET INVOICED</v>
          </cell>
          <cell r="C431" t="str">
            <v>REPAIR MTL &amp; SUPPLY</v>
          </cell>
          <cell r="D431" t="str">
            <v>69186,C63289,5.0</v>
          </cell>
          <cell r="E431" t="str">
            <v>8381845</v>
          </cell>
          <cell r="F431">
            <v>25.99</v>
          </cell>
          <cell r="G431">
            <v>39435</v>
          </cell>
          <cell r="H431">
            <v>39435</v>
          </cell>
        </row>
        <row r="432">
          <cell r="A432" t="str">
            <v>R2-009JJ-E004</v>
          </cell>
          <cell r="B432" t="str">
            <v>GOODS REC'D/INVOICE REC'D-NOT YET INVOICED</v>
          </cell>
          <cell r="C432" t="str">
            <v>REPAIR MTL &amp; SUPPLY</v>
          </cell>
          <cell r="D432" t="str">
            <v>69186,C60545,1.0</v>
          </cell>
          <cell r="E432" t="str">
            <v>8387574</v>
          </cell>
          <cell r="F432">
            <v>-1436.3</v>
          </cell>
          <cell r="G432">
            <v>39443</v>
          </cell>
          <cell r="H432">
            <v>39443</v>
          </cell>
        </row>
        <row r="433">
          <cell r="A433" t="str">
            <v>R2-009JJ-E004</v>
          </cell>
          <cell r="B433" t="str">
            <v>GOODS REC'D/INVOICE REC'D-NOT YET INVOICED</v>
          </cell>
          <cell r="C433" t="str">
            <v>REPAIR MTL &amp; SUPPLY</v>
          </cell>
          <cell r="D433" t="str">
            <v>69186,C60545,2.0</v>
          </cell>
          <cell r="E433" t="str">
            <v>8387576</v>
          </cell>
          <cell r="F433">
            <v>-834.69</v>
          </cell>
          <cell r="G433">
            <v>39443</v>
          </cell>
          <cell r="H433">
            <v>39443</v>
          </cell>
        </row>
        <row r="434">
          <cell r="A434" t="str">
            <v>R2-009JJ-E004</v>
          </cell>
          <cell r="B434" t="str">
            <v>GOODS REC'D/INVOICE REC'D-NOT YET INVOICED</v>
          </cell>
          <cell r="C434" t="str">
            <v>REPAIR MTL &amp; SUPPLY</v>
          </cell>
          <cell r="D434" t="str">
            <v>69186,C60545,2.0</v>
          </cell>
          <cell r="E434" t="str">
            <v>8387572</v>
          </cell>
          <cell r="F434">
            <v>0.01</v>
          </cell>
          <cell r="G434">
            <v>39443</v>
          </cell>
          <cell r="H434">
            <v>39443</v>
          </cell>
        </row>
        <row r="435">
          <cell r="A435" t="str">
            <v>R2-009JJ-E004</v>
          </cell>
          <cell r="B435" t="str">
            <v>GOODS REC'D/INVOICE REC'D-NOT YET INVOICED</v>
          </cell>
          <cell r="C435" t="str">
            <v>REPAIR MTL &amp; SUPPLY</v>
          </cell>
          <cell r="D435" t="str">
            <v>69996,C62728,1.0</v>
          </cell>
          <cell r="E435" t="str">
            <v>8390675</v>
          </cell>
          <cell r="F435">
            <v>867.2</v>
          </cell>
          <cell r="G435">
            <v>39443</v>
          </cell>
          <cell r="H435">
            <v>39443</v>
          </cell>
        </row>
        <row r="436">
          <cell r="A436" t="str">
            <v>R2-009JJ-E004</v>
          </cell>
          <cell r="B436" t="str">
            <v>GOODS REC'D/INVOICE REC'D-NOT YET INVOICED</v>
          </cell>
          <cell r="C436" t="str">
            <v>REPAIR MTL &amp; SUPPLY</v>
          </cell>
          <cell r="D436" t="str">
            <v>69186,C53628,1.0</v>
          </cell>
          <cell r="E436" t="str">
            <v>8390695</v>
          </cell>
          <cell r="F436">
            <v>2157.16</v>
          </cell>
          <cell r="G436">
            <v>39443</v>
          </cell>
          <cell r="H436">
            <v>39443</v>
          </cell>
        </row>
        <row r="437">
          <cell r="A437" t="str">
            <v>R2-009JJ-E004</v>
          </cell>
          <cell r="B437" t="str">
            <v>GOODS REC'D/INVOICE REC'D-NOT YET INVOICED</v>
          </cell>
          <cell r="C437" t="str">
            <v>REPAIR MTL &amp; SUPPLY</v>
          </cell>
          <cell r="D437" t="str">
            <v>69186,C53628,1.0</v>
          </cell>
          <cell r="E437" t="str">
            <v>8390696</v>
          </cell>
          <cell r="F437">
            <v>867.2</v>
          </cell>
          <cell r="G437">
            <v>39443</v>
          </cell>
          <cell r="H437">
            <v>39443</v>
          </cell>
        </row>
        <row r="438">
          <cell r="A438" t="str">
            <v>R2-009JJ-E004</v>
          </cell>
          <cell r="B438" t="str">
            <v>GOODS REC'D/INVOICE REC'D-NOT YET INVOICED</v>
          </cell>
          <cell r="C438" t="str">
            <v>REPAIR MTL &amp; SUPPLY</v>
          </cell>
          <cell r="D438" t="str">
            <v>69186,C63289,5.0</v>
          </cell>
          <cell r="E438" t="str">
            <v>8397985</v>
          </cell>
          <cell r="F438">
            <v>-25.99</v>
          </cell>
          <cell r="G438">
            <v>39451</v>
          </cell>
          <cell r="H438">
            <v>39451</v>
          </cell>
        </row>
        <row r="439">
          <cell r="A439" t="str">
            <v>R2-009JJ-E004</v>
          </cell>
          <cell r="B439" t="str">
            <v>GOODS REC'D/INVOICE REC'D-NOT YET INVOICED</v>
          </cell>
          <cell r="C439" t="str">
            <v>REPAIR MTL &amp; SUPPLY</v>
          </cell>
          <cell r="D439" t="str">
            <v>69186,C53628,1.0</v>
          </cell>
          <cell r="E439" t="str">
            <v>8403208</v>
          </cell>
          <cell r="F439">
            <v>-867.2</v>
          </cell>
          <cell r="G439">
            <v>39456</v>
          </cell>
          <cell r="H439">
            <v>39456</v>
          </cell>
        </row>
        <row r="440">
          <cell r="A440" t="str">
            <v>R2-009JJ-E004</v>
          </cell>
          <cell r="B440" t="str">
            <v>GOODS REC'D/INVOICE REC'D-NOT YET INVOICED</v>
          </cell>
          <cell r="C440" t="str">
            <v>REPAIR MTL &amp; SUPPLY</v>
          </cell>
          <cell r="D440" t="str">
            <v>69186,C53628,1.0</v>
          </cell>
          <cell r="E440" t="str">
            <v>8403210</v>
          </cell>
          <cell r="F440">
            <v>-2157.16</v>
          </cell>
          <cell r="G440">
            <v>39456</v>
          </cell>
          <cell r="H440">
            <v>39456</v>
          </cell>
        </row>
        <row r="441">
          <cell r="A441" t="str">
            <v>R2-009JJ-E004</v>
          </cell>
          <cell r="B441" t="str">
            <v>GOODS REC'D/INVOICE REC'D-NOT YET INVOICED</v>
          </cell>
          <cell r="C441" t="str">
            <v>REPAIR MTL &amp; SUPPLY</v>
          </cell>
          <cell r="D441" t="str">
            <v>69996,C62728,1.0</v>
          </cell>
          <cell r="E441" t="str">
            <v>8403242</v>
          </cell>
          <cell r="F441">
            <v>-867.2</v>
          </cell>
          <cell r="G441">
            <v>39456</v>
          </cell>
          <cell r="H441">
            <v>39456</v>
          </cell>
        </row>
        <row r="442">
          <cell r="A442" t="str">
            <v>R2-009JJ-E004</v>
          </cell>
          <cell r="B442" t="str">
            <v>GOODS REC'D/INVOICE REC'D-NOT YET INVOICED</v>
          </cell>
          <cell r="C442" t="str">
            <v>REPAIR MTL &amp; SUPPLY</v>
          </cell>
          <cell r="D442" t="str">
            <v>69186,C63127,1.0</v>
          </cell>
          <cell r="E442" t="str">
            <v>8404367</v>
          </cell>
          <cell r="F442">
            <v>963.68</v>
          </cell>
          <cell r="G442">
            <v>39456</v>
          </cell>
          <cell r="H442">
            <v>39456</v>
          </cell>
        </row>
        <row r="443">
          <cell r="A443" t="str">
            <v>R2-009JJ-E004</v>
          </cell>
          <cell r="B443" t="str">
            <v>GOODS REC'D/INVOICE REC'D-NOT YET INVOICED</v>
          </cell>
          <cell r="C443" t="str">
            <v>REPAIR MTL &amp; SUPPLY</v>
          </cell>
          <cell r="D443" t="str">
            <v>69186,C63127,2.0</v>
          </cell>
          <cell r="E443" t="str">
            <v>8404368</v>
          </cell>
          <cell r="F443">
            <v>257.99</v>
          </cell>
          <cell r="G443">
            <v>39456</v>
          </cell>
          <cell r="H443">
            <v>39456</v>
          </cell>
        </row>
        <row r="444">
          <cell r="A444" t="str">
            <v>R2-009JJ-E004</v>
          </cell>
          <cell r="B444" t="str">
            <v>GOODS REC'D/INVOICE REC'D-NOT YET INVOICED</v>
          </cell>
          <cell r="C444" t="str">
            <v>REPAIR MTL &amp; SUPPLY</v>
          </cell>
          <cell r="D444" t="str">
            <v>69186,C63127,3.0</v>
          </cell>
          <cell r="E444" t="str">
            <v>8404369</v>
          </cell>
          <cell r="F444">
            <v>74.8</v>
          </cell>
          <cell r="G444">
            <v>39456</v>
          </cell>
          <cell r="H444">
            <v>39456</v>
          </cell>
        </row>
        <row r="445">
          <cell r="A445" t="str">
            <v>R2-009JJ-E004</v>
          </cell>
          <cell r="B445" t="str">
            <v>GOODS REC'D/INVOICE REC'D-NOT YET INVOICED</v>
          </cell>
          <cell r="C445" t="str">
            <v>REPAIR MTL &amp; SUPPLY</v>
          </cell>
          <cell r="D445" t="str">
            <v>69186,C63127,4.0</v>
          </cell>
          <cell r="E445" t="str">
            <v>8404370</v>
          </cell>
          <cell r="F445">
            <v>278.58999999999997</v>
          </cell>
          <cell r="G445">
            <v>39456</v>
          </cell>
          <cell r="H445">
            <v>39456</v>
          </cell>
        </row>
        <row r="446">
          <cell r="A446" t="str">
            <v>R2-009JJ-E004</v>
          </cell>
          <cell r="B446" t="str">
            <v>GOODS REC'D/INVOICE REC'D-NOT YET INVOICED</v>
          </cell>
          <cell r="C446" t="str">
            <v>REPAIR MTL &amp; SUPPLY</v>
          </cell>
          <cell r="D446" t="str">
            <v>69186,C62005,1.0</v>
          </cell>
          <cell r="E446" t="str">
            <v>8404873</v>
          </cell>
          <cell r="F446">
            <v>-2659.75</v>
          </cell>
          <cell r="G446">
            <v>39457</v>
          </cell>
          <cell r="H446">
            <v>39457</v>
          </cell>
        </row>
        <row r="447">
          <cell r="A447" t="str">
            <v>R2-009JJ-E004</v>
          </cell>
          <cell r="B447" t="str">
            <v>GOODS REC'D/INVOICE REC'D-NOT YET INVOICED</v>
          </cell>
          <cell r="C447" t="str">
            <v>REPAIR MTL &amp; SUPPLY</v>
          </cell>
          <cell r="D447" t="str">
            <v>69186,C62005,2.0</v>
          </cell>
          <cell r="E447" t="str">
            <v>8404875</v>
          </cell>
          <cell r="F447">
            <v>-712.06</v>
          </cell>
          <cell r="G447">
            <v>39457</v>
          </cell>
          <cell r="H447">
            <v>39457</v>
          </cell>
        </row>
        <row r="448">
          <cell r="A448" t="str">
            <v>R2-009JJ-E004</v>
          </cell>
          <cell r="B448" t="str">
            <v>GOODS REC'D/INVOICE REC'D-NOT YET INVOICED</v>
          </cell>
          <cell r="C448" t="str">
            <v>REPAIR MTL &amp; SUPPLY</v>
          </cell>
          <cell r="D448" t="str">
            <v>69186,C62005,3.0</v>
          </cell>
          <cell r="E448" t="str">
            <v>8404877</v>
          </cell>
          <cell r="F448">
            <v>-206.44</v>
          </cell>
          <cell r="G448">
            <v>39457</v>
          </cell>
          <cell r="H448">
            <v>39457</v>
          </cell>
        </row>
        <row r="449">
          <cell r="A449" t="str">
            <v>R2-009JJ-E004</v>
          </cell>
          <cell r="B449" t="str">
            <v>GOODS REC'D/INVOICE REC'D-NOT YET INVOICED</v>
          </cell>
          <cell r="C449" t="str">
            <v>REPAIR MTL &amp; SUPPLY</v>
          </cell>
          <cell r="D449" t="str">
            <v>69186,C62005,4.0</v>
          </cell>
          <cell r="E449" t="str">
            <v>8404879</v>
          </cell>
          <cell r="F449">
            <v>-278.58999999999997</v>
          </cell>
          <cell r="G449">
            <v>39457</v>
          </cell>
          <cell r="H449">
            <v>39457</v>
          </cell>
        </row>
        <row r="450">
          <cell r="A450" t="str">
            <v>R2-009JJ-E004</v>
          </cell>
          <cell r="B450" t="str">
            <v>GOODS REC'D/INVOICE REC'D-NOT YET INVOICED</v>
          </cell>
          <cell r="C450" t="str">
            <v>REPAIR MTL &amp; SUPPLY</v>
          </cell>
          <cell r="D450" t="str">
            <v>69186,C63127,1.0</v>
          </cell>
          <cell r="E450" t="str">
            <v>8420255</v>
          </cell>
          <cell r="F450">
            <v>-963.68</v>
          </cell>
          <cell r="G450">
            <v>39470</v>
          </cell>
          <cell r="H450">
            <v>39470</v>
          </cell>
        </row>
        <row r="451">
          <cell r="A451" t="str">
            <v>R2-009JJ-E004</v>
          </cell>
          <cell r="B451" t="str">
            <v>GOODS REC'D/INVOICE REC'D-NOT YET INVOICED</v>
          </cell>
          <cell r="C451" t="str">
            <v>REPAIR MTL &amp; SUPPLY</v>
          </cell>
          <cell r="D451" t="str">
            <v>69186,C63127,2.0</v>
          </cell>
          <cell r="E451" t="str">
            <v>8420257</v>
          </cell>
          <cell r="F451">
            <v>-257.99</v>
          </cell>
          <cell r="G451">
            <v>39470</v>
          </cell>
          <cell r="H451">
            <v>39470</v>
          </cell>
        </row>
        <row r="452">
          <cell r="A452" t="str">
            <v>R2-009JJ-E004</v>
          </cell>
          <cell r="B452" t="str">
            <v>GOODS REC'D/INVOICE REC'D-NOT YET INVOICED</v>
          </cell>
          <cell r="C452" t="str">
            <v>REPAIR MTL &amp; SUPPLY</v>
          </cell>
          <cell r="D452" t="str">
            <v>69186,C63127,3.0</v>
          </cell>
          <cell r="E452" t="str">
            <v>8420259</v>
          </cell>
          <cell r="F452">
            <v>-91.17</v>
          </cell>
          <cell r="G452">
            <v>39470</v>
          </cell>
          <cell r="H452">
            <v>39470</v>
          </cell>
        </row>
        <row r="453">
          <cell r="A453" t="str">
            <v>R2-009JJ-E004</v>
          </cell>
          <cell r="B453" t="str">
            <v>GOODS REC'D/INVOICE REC'D-NOT YET INVOICED</v>
          </cell>
          <cell r="C453" t="str">
            <v>REPAIR MTL &amp; SUPPLY</v>
          </cell>
          <cell r="D453" t="str">
            <v>69186,C63127,4.0</v>
          </cell>
          <cell r="E453" t="str">
            <v>8420261</v>
          </cell>
          <cell r="F453">
            <v>-278.58999999999997</v>
          </cell>
          <cell r="G453">
            <v>39470</v>
          </cell>
          <cell r="H453">
            <v>39470</v>
          </cell>
        </row>
        <row r="454">
          <cell r="A454" t="str">
            <v>R2-009JJ-E004</v>
          </cell>
          <cell r="B454" t="str">
            <v>GOODS REC'D/INVOICE REC'D-NOT YET INVOICED</v>
          </cell>
          <cell r="C454" t="str">
            <v>REPAIR MTL &amp; SUPPLY</v>
          </cell>
          <cell r="D454" t="str">
            <v>69186,C53628,1.0</v>
          </cell>
          <cell r="E454" t="str">
            <v>8419848</v>
          </cell>
          <cell r="F454">
            <v>867.2</v>
          </cell>
          <cell r="G454">
            <v>39470</v>
          </cell>
          <cell r="H454">
            <v>39470</v>
          </cell>
        </row>
        <row r="455">
          <cell r="A455" t="str">
            <v>R2-009JJ-E004</v>
          </cell>
          <cell r="B455" t="str">
            <v>GOODS REC'D/INVOICE REC'D-NOT YET INVOICED</v>
          </cell>
          <cell r="C455" t="str">
            <v>REPAIR MTL &amp; SUPPLY</v>
          </cell>
          <cell r="D455" t="str">
            <v>69186,C53628,1.0</v>
          </cell>
          <cell r="E455" t="str">
            <v>8419849</v>
          </cell>
          <cell r="F455">
            <v>2157.16</v>
          </cell>
          <cell r="G455">
            <v>39470</v>
          </cell>
          <cell r="H455">
            <v>39470</v>
          </cell>
        </row>
        <row r="456">
          <cell r="A456" t="str">
            <v>R2-009JJ-E004</v>
          </cell>
          <cell r="B456" t="str">
            <v>GOODS REC'D/INVOICE REC'D-NOT YET INVOICED</v>
          </cell>
          <cell r="C456" t="str">
            <v>REPAIR MTL &amp; SUPPLY</v>
          </cell>
          <cell r="D456" t="str">
            <v>69186,C63127,3.0</v>
          </cell>
          <cell r="E456" t="str">
            <v>8420253</v>
          </cell>
          <cell r="F456">
            <v>16.37</v>
          </cell>
          <cell r="G456">
            <v>39470</v>
          </cell>
          <cell r="H456">
            <v>39470</v>
          </cell>
        </row>
        <row r="457">
          <cell r="A457" t="str">
            <v>R2-009JJ-E004</v>
          </cell>
          <cell r="B457" t="str">
            <v>GOODS REC'D/INVOICE REC'D-NOT YET INVOICED</v>
          </cell>
          <cell r="C457" t="str">
            <v>REPAIR MTL &amp; SUPPLY</v>
          </cell>
          <cell r="D457" t="str">
            <v>69186,C54310,1.0</v>
          </cell>
          <cell r="E457" t="str">
            <v>8420263</v>
          </cell>
          <cell r="F457">
            <v>136.08000000000001</v>
          </cell>
          <cell r="G457">
            <v>39470</v>
          </cell>
          <cell r="H457">
            <v>39470</v>
          </cell>
        </row>
        <row r="458">
          <cell r="A458" t="str">
            <v>R2-009JJ-E004</v>
          </cell>
          <cell r="B458" t="str">
            <v>GOODS REC'D/INVOICE REC'D-NOT YET INVOICED</v>
          </cell>
          <cell r="C458" t="str">
            <v>REPAIR MTL &amp; SUPPLY</v>
          </cell>
          <cell r="D458" t="str">
            <v>69186,C54310,1.0</v>
          </cell>
          <cell r="E458" t="str">
            <v>8421373</v>
          </cell>
          <cell r="F458">
            <v>136.08000000000001</v>
          </cell>
          <cell r="G458">
            <v>39471</v>
          </cell>
          <cell r="H458">
            <v>39471</v>
          </cell>
        </row>
        <row r="459">
          <cell r="A459" t="str">
            <v>R2-009JJ-E004</v>
          </cell>
          <cell r="B459" t="str">
            <v>GOODS REC'D/INVOICE REC'D-NOT YET INVOICED</v>
          </cell>
          <cell r="C459" t="str">
            <v>REPAIR MTL &amp; SUPPLY</v>
          </cell>
          <cell r="D459" t="str">
            <v>69186,C53628,1.0</v>
          </cell>
          <cell r="E459" t="str">
            <v>8427855</v>
          </cell>
          <cell r="F459">
            <v>-867.2</v>
          </cell>
          <cell r="G459">
            <v>39477</v>
          </cell>
          <cell r="H459">
            <v>39477</v>
          </cell>
        </row>
        <row r="460">
          <cell r="A460" t="str">
            <v>R2-009JJ-E004</v>
          </cell>
          <cell r="B460" t="str">
            <v>GOODS REC'D/INVOICE REC'D-NOT YET INVOICED</v>
          </cell>
          <cell r="C460" t="str">
            <v>REPAIR MTL &amp; SUPPLY</v>
          </cell>
          <cell r="D460" t="str">
            <v>69186,C53628,1.0</v>
          </cell>
          <cell r="E460" t="str">
            <v>8427857</v>
          </cell>
          <cell r="F460">
            <v>-2157.16</v>
          </cell>
          <cell r="G460">
            <v>39477</v>
          </cell>
          <cell r="H460">
            <v>39477</v>
          </cell>
        </row>
        <row r="461">
          <cell r="A461" t="str">
            <v>R2-009JJ-E004</v>
          </cell>
          <cell r="B461" t="str">
            <v>GOODS REC'D/INVOICE REC'D-NOT YET INVOICED</v>
          </cell>
          <cell r="C461" t="str">
            <v>REPAIR MTL &amp; SUPPLY</v>
          </cell>
          <cell r="D461" t="str">
            <v>69186,C54310,1.0</v>
          </cell>
          <cell r="E461" t="str">
            <v>8429005</v>
          </cell>
          <cell r="F461">
            <v>-136.58000000000001</v>
          </cell>
          <cell r="G461">
            <v>39477</v>
          </cell>
          <cell r="H461">
            <v>39477</v>
          </cell>
        </row>
        <row r="462">
          <cell r="A462" t="str">
            <v>R2-009JJ-E004</v>
          </cell>
          <cell r="B462" t="str">
            <v>GOODS REC'D/INVOICE REC'D-NOT YET INVOICED</v>
          </cell>
          <cell r="C462" t="str">
            <v>REPAIR MTL &amp; SUPPLY</v>
          </cell>
          <cell r="D462" t="str">
            <v>69186,C54310,1.0</v>
          </cell>
          <cell r="E462" t="str">
            <v>8429003</v>
          </cell>
          <cell r="F462">
            <v>0.5</v>
          </cell>
          <cell r="G462">
            <v>39477</v>
          </cell>
          <cell r="H462">
            <v>39477</v>
          </cell>
        </row>
        <row r="463">
          <cell r="B463" t="str">
            <v>GOODS REC'D/INVOICE REC'D-NOT YET INVOICED</v>
          </cell>
        </row>
        <row r="464">
          <cell r="A464" t="str">
            <v>R2-009JJ-E004</v>
          </cell>
          <cell r="B464" t="str">
            <v>HARDWARE SALES INC</v>
          </cell>
          <cell r="C464" t="str">
            <v>REPAIR MTL &amp; SUPPLY</v>
          </cell>
          <cell r="D464" t="str">
            <v>69186,C60911,1.0         FNID157076253</v>
          </cell>
          <cell r="E464" t="str">
            <v>192655</v>
          </cell>
          <cell r="F464">
            <v>2044.38</v>
          </cell>
          <cell r="G464">
            <v>39364</v>
          </cell>
          <cell r="H464">
            <v>39378</v>
          </cell>
        </row>
        <row r="465">
          <cell r="A465" t="str">
            <v>R2-009JJ-E004</v>
          </cell>
          <cell r="B465" t="str">
            <v>HARDWARE SALES INC</v>
          </cell>
          <cell r="C465" t="str">
            <v>REPAIR MTL &amp; SUPPLY</v>
          </cell>
          <cell r="D465" t="str">
            <v>69186,C60911,2.0         FNID157076253</v>
          </cell>
          <cell r="E465" t="str">
            <v>192655</v>
          </cell>
          <cell r="F465">
            <v>311.64999999999998</v>
          </cell>
          <cell r="G465">
            <v>39364</v>
          </cell>
          <cell r="H465">
            <v>39378</v>
          </cell>
        </row>
        <row r="466">
          <cell r="A466" t="str">
            <v>R2-009JJ-E004</v>
          </cell>
          <cell r="B466" t="str">
            <v>HARDWARE SALES INC</v>
          </cell>
          <cell r="C466" t="str">
            <v>REPAIR MTL &amp; SUPPLY</v>
          </cell>
          <cell r="D466" t="str">
            <v>69186,C62803,1.0         FNID321273645</v>
          </cell>
          <cell r="E466" t="str">
            <v>198810</v>
          </cell>
          <cell r="F466">
            <v>71</v>
          </cell>
          <cell r="G466">
            <v>39413</v>
          </cell>
          <cell r="H466">
            <v>39430</v>
          </cell>
        </row>
        <row r="467">
          <cell r="A467" t="str">
            <v>R2-009JJ-E004</v>
          </cell>
          <cell r="B467" t="str">
            <v>HARDWARE SALES INC</v>
          </cell>
          <cell r="C467" t="str">
            <v>REPAIR MTL &amp; SUPPLY</v>
          </cell>
          <cell r="D467" t="str">
            <v>69186,C63289,5.0         FNID321688133</v>
          </cell>
          <cell r="E467" t="str">
            <v>201066</v>
          </cell>
          <cell r="F467">
            <v>25.99</v>
          </cell>
          <cell r="G467">
            <v>39434</v>
          </cell>
          <cell r="H467">
            <v>39451</v>
          </cell>
        </row>
        <row r="468">
          <cell r="B468" t="str">
            <v>HARDWARE SALES INC</v>
          </cell>
        </row>
        <row r="469">
          <cell r="A469" t="str">
            <v>R2-009JJ-E004</v>
          </cell>
          <cell r="B469" t="str">
            <v>HERITAGE MODULAR COMPANY INC</v>
          </cell>
          <cell r="C469" t="str">
            <v>REPAIR MTL &amp; SUPPLY</v>
          </cell>
          <cell r="D469" t="str">
            <v>69186,C62170,1.0         FNID321008781</v>
          </cell>
          <cell r="E469" t="str">
            <v>197583</v>
          </cell>
          <cell r="F469">
            <v>12058.42</v>
          </cell>
          <cell r="G469">
            <v>39395</v>
          </cell>
          <cell r="H469">
            <v>39421</v>
          </cell>
        </row>
        <row r="470">
          <cell r="A470" t="str">
            <v>R2-009JJ-E004</v>
          </cell>
          <cell r="B470" t="str">
            <v>HERITAGE MODULAR COMPANY INC</v>
          </cell>
          <cell r="C470" t="str">
            <v>REPAIR MTL &amp; SUPPLY</v>
          </cell>
          <cell r="D470" t="str">
            <v>69186,C60898,1.0         FNID321285106</v>
          </cell>
          <cell r="E470" t="str">
            <v>199070</v>
          </cell>
          <cell r="F470">
            <v>10925.95</v>
          </cell>
          <cell r="G470">
            <v>39365</v>
          </cell>
          <cell r="H470">
            <v>39433</v>
          </cell>
        </row>
        <row r="471">
          <cell r="B471" t="str">
            <v>HERITAGE MODULAR COMPANY INC</v>
          </cell>
        </row>
        <row r="472">
          <cell r="A472" t="str">
            <v>R2-009JJ-E004</v>
          </cell>
          <cell r="B472" t="str">
            <v>INVEN-REPAIR/STOREHOUSE MATERIAL &amp; SUPPLIES-MANUAL</v>
          </cell>
          <cell r="C472" t="str">
            <v>REPAIR MTL &amp; SUPPLY</v>
          </cell>
          <cell r="D472" t="str">
            <v>69995,,0.0</v>
          </cell>
          <cell r="E472" t="str">
            <v>8100022</v>
          </cell>
          <cell r="F472">
            <v>96.55</v>
          </cell>
          <cell r="G472">
            <v>39273</v>
          </cell>
          <cell r="H472">
            <v>39273</v>
          </cell>
        </row>
        <row r="473">
          <cell r="A473" t="str">
            <v>R2-009JJ-E004</v>
          </cell>
          <cell r="B473" t="str">
            <v>INVEN-REPAIR/STOREHOUSE MATERIAL &amp; SUPPLIES-MANUAL</v>
          </cell>
          <cell r="C473" t="str">
            <v>REPAIR MTL &amp; SUPPLY</v>
          </cell>
          <cell r="D473" t="str">
            <v>69186,,0.0</v>
          </cell>
          <cell r="E473" t="str">
            <v>8104850</v>
          </cell>
          <cell r="F473">
            <v>31.4</v>
          </cell>
          <cell r="G473">
            <v>39275</v>
          </cell>
          <cell r="H473">
            <v>39275</v>
          </cell>
        </row>
        <row r="474">
          <cell r="A474" t="str">
            <v>R2-009JJ-E004</v>
          </cell>
          <cell r="B474" t="str">
            <v>INVEN-REPAIR/STOREHOUSE MATERIAL &amp; SUPPLIES-MANUAL</v>
          </cell>
          <cell r="C474" t="str">
            <v>REPAIR MTL &amp; SUPPLY</v>
          </cell>
          <cell r="D474" t="str">
            <v>69186,,0.0</v>
          </cell>
          <cell r="E474" t="str">
            <v>8104851</v>
          </cell>
          <cell r="F474">
            <v>2.2999999999999998</v>
          </cell>
          <cell r="G474">
            <v>39275</v>
          </cell>
          <cell r="H474">
            <v>39275</v>
          </cell>
        </row>
        <row r="475">
          <cell r="A475" t="str">
            <v>R2-009JJ-E004</v>
          </cell>
          <cell r="B475" t="str">
            <v>INVEN-REPAIR/STOREHOUSE MATERIAL &amp; SUPPLIES-MANUAL</v>
          </cell>
          <cell r="C475" t="str">
            <v>REPAIR MTL &amp; SUPPLY</v>
          </cell>
          <cell r="D475" t="str">
            <v>69186,,0.0</v>
          </cell>
          <cell r="E475" t="str">
            <v>8104852</v>
          </cell>
          <cell r="F475">
            <v>2.36</v>
          </cell>
          <cell r="G475">
            <v>39275</v>
          </cell>
          <cell r="H475">
            <v>39275</v>
          </cell>
        </row>
        <row r="476">
          <cell r="A476" t="str">
            <v>R2-009JJ-E004</v>
          </cell>
          <cell r="B476" t="str">
            <v>INVEN-REPAIR/STOREHOUSE MATERIAL &amp; SUPPLIES-MANUAL</v>
          </cell>
          <cell r="C476" t="str">
            <v>REPAIR MTL &amp; SUPPLY</v>
          </cell>
          <cell r="D476" t="str">
            <v>69186,,0.0</v>
          </cell>
          <cell r="E476" t="str">
            <v>8106802</v>
          </cell>
          <cell r="F476">
            <v>2.67</v>
          </cell>
          <cell r="G476">
            <v>39279</v>
          </cell>
          <cell r="H476">
            <v>39279</v>
          </cell>
        </row>
        <row r="477">
          <cell r="A477" t="str">
            <v>R2-009JJ-E004</v>
          </cell>
          <cell r="B477" t="str">
            <v>INVEN-REPAIR/STOREHOUSE MATERIAL &amp; SUPPLIES-MANUAL</v>
          </cell>
          <cell r="C477" t="str">
            <v>REPAIR MTL &amp; SUPPLY</v>
          </cell>
          <cell r="D477" t="str">
            <v>69186,,0.0</v>
          </cell>
          <cell r="E477" t="str">
            <v>8109526</v>
          </cell>
          <cell r="F477">
            <v>0.8</v>
          </cell>
          <cell r="G477">
            <v>39280</v>
          </cell>
          <cell r="H477">
            <v>39280</v>
          </cell>
        </row>
        <row r="478">
          <cell r="A478" t="str">
            <v>R2-009JJ-E004</v>
          </cell>
          <cell r="B478" t="str">
            <v>INVEN-REPAIR/STOREHOUSE MATERIAL &amp; SUPPLIES-MANUAL</v>
          </cell>
          <cell r="C478" t="str">
            <v>REPAIR MTL &amp; SUPPLY</v>
          </cell>
          <cell r="D478" t="str">
            <v>69186,,0.0</v>
          </cell>
          <cell r="E478" t="str">
            <v>8112012</v>
          </cell>
          <cell r="F478">
            <v>3.45</v>
          </cell>
          <cell r="G478">
            <v>39282</v>
          </cell>
          <cell r="H478">
            <v>39282</v>
          </cell>
        </row>
        <row r="479">
          <cell r="A479" t="str">
            <v>R2-009JJ-E004</v>
          </cell>
          <cell r="B479" t="str">
            <v>INVEN-REPAIR/STOREHOUSE MATERIAL &amp; SUPPLIES-MANUAL</v>
          </cell>
          <cell r="C479" t="str">
            <v>REPAIR MTL &amp; SUPPLY</v>
          </cell>
          <cell r="D479" t="str">
            <v>69186,,0.0</v>
          </cell>
          <cell r="E479" t="str">
            <v>8112142</v>
          </cell>
          <cell r="F479">
            <v>71.8</v>
          </cell>
          <cell r="G479">
            <v>39282</v>
          </cell>
          <cell r="H479">
            <v>39282</v>
          </cell>
        </row>
        <row r="480">
          <cell r="A480" t="str">
            <v>R2-009JJ-E004</v>
          </cell>
          <cell r="B480" t="str">
            <v>INVEN-REPAIR/STOREHOUSE MATERIAL &amp; SUPPLIES-MANUAL</v>
          </cell>
          <cell r="C480" t="str">
            <v>REPAIR MTL &amp; SUPPLY</v>
          </cell>
          <cell r="D480" t="str">
            <v>69186,,0.0</v>
          </cell>
          <cell r="E480" t="str">
            <v>8118006</v>
          </cell>
          <cell r="F480">
            <v>60.66</v>
          </cell>
          <cell r="G480">
            <v>39288</v>
          </cell>
          <cell r="H480">
            <v>39288</v>
          </cell>
        </row>
        <row r="481">
          <cell r="A481" t="str">
            <v>R2-009JJ-E004</v>
          </cell>
          <cell r="B481" t="str">
            <v>INVEN-REPAIR/STOREHOUSE MATERIAL &amp; SUPPLIES-MANUAL</v>
          </cell>
          <cell r="C481" t="str">
            <v>REPAIR MTL &amp; SUPPLY</v>
          </cell>
          <cell r="D481" t="str">
            <v>69186,,0.0</v>
          </cell>
          <cell r="E481" t="str">
            <v>8118007</v>
          </cell>
          <cell r="F481">
            <v>16.25</v>
          </cell>
          <cell r="G481">
            <v>39288</v>
          </cell>
          <cell r="H481">
            <v>39288</v>
          </cell>
        </row>
        <row r="482">
          <cell r="A482" t="str">
            <v>R2-009JJ-E004</v>
          </cell>
          <cell r="B482" t="str">
            <v>INVEN-REPAIR/STOREHOUSE MATERIAL &amp; SUPPLIES-MANUAL</v>
          </cell>
          <cell r="C482" t="str">
            <v>REPAIR MTL &amp; SUPPLY</v>
          </cell>
          <cell r="D482" t="str">
            <v>69186,,0.0</v>
          </cell>
          <cell r="E482" t="str">
            <v>8118238</v>
          </cell>
          <cell r="F482">
            <v>2.09</v>
          </cell>
          <cell r="G482">
            <v>39288</v>
          </cell>
          <cell r="H482">
            <v>39288</v>
          </cell>
        </row>
        <row r="483">
          <cell r="A483" t="str">
            <v>R2-009JJ-E004</v>
          </cell>
          <cell r="B483" t="str">
            <v>INVEN-REPAIR/STOREHOUSE MATERIAL &amp; SUPPLIES-MANUAL</v>
          </cell>
          <cell r="C483" t="str">
            <v>REPAIR MTL &amp; SUPPLY</v>
          </cell>
          <cell r="D483" t="str">
            <v>69186,,0.0</v>
          </cell>
          <cell r="E483" t="str">
            <v>8118239</v>
          </cell>
          <cell r="F483">
            <v>0.8</v>
          </cell>
          <cell r="G483">
            <v>39288</v>
          </cell>
          <cell r="H483">
            <v>39288</v>
          </cell>
        </row>
        <row r="484">
          <cell r="A484" t="str">
            <v>R2-009JJ-E004</v>
          </cell>
          <cell r="B484" t="str">
            <v>INVEN-REPAIR/STOREHOUSE MATERIAL &amp; SUPPLIES-MANUAL</v>
          </cell>
          <cell r="C484" t="str">
            <v>REPAIR MTL &amp; SUPPLY</v>
          </cell>
          <cell r="D484" t="str">
            <v>69186,,0.0</v>
          </cell>
          <cell r="E484" t="str">
            <v>8118240</v>
          </cell>
          <cell r="F484">
            <v>6.89</v>
          </cell>
          <cell r="G484">
            <v>39288</v>
          </cell>
          <cell r="H484">
            <v>39288</v>
          </cell>
        </row>
        <row r="485">
          <cell r="A485" t="str">
            <v>R2-009JJ-E004</v>
          </cell>
          <cell r="B485" t="str">
            <v>INVEN-REPAIR/STOREHOUSE MATERIAL &amp; SUPPLIES-MANUAL</v>
          </cell>
          <cell r="C485" t="str">
            <v>REPAIR MTL &amp; SUPPLY</v>
          </cell>
          <cell r="D485" t="str">
            <v>69997,,0.0</v>
          </cell>
          <cell r="E485" t="str">
            <v>8118890</v>
          </cell>
          <cell r="F485">
            <v>31.61</v>
          </cell>
          <cell r="G485">
            <v>39289</v>
          </cell>
          <cell r="H485">
            <v>39289</v>
          </cell>
        </row>
        <row r="486">
          <cell r="A486" t="str">
            <v>R2-009JJ-E004</v>
          </cell>
          <cell r="B486" t="str">
            <v>INVEN-REPAIR/STOREHOUSE MATERIAL &amp; SUPPLIES-MANUAL</v>
          </cell>
          <cell r="C486" t="str">
            <v>REPAIR MTL &amp; SUPPLY</v>
          </cell>
          <cell r="D486" t="str">
            <v>69997,,0.0</v>
          </cell>
          <cell r="E486" t="str">
            <v>8126806</v>
          </cell>
          <cell r="F486">
            <v>-46.01</v>
          </cell>
          <cell r="G486">
            <v>39295</v>
          </cell>
          <cell r="H486">
            <v>39295</v>
          </cell>
        </row>
        <row r="487">
          <cell r="A487" t="str">
            <v>R2-009JJ-E004</v>
          </cell>
          <cell r="B487" t="str">
            <v>INVEN-REPAIR/STOREHOUSE MATERIAL &amp; SUPPLIES-MANUAL</v>
          </cell>
          <cell r="C487" t="str">
            <v>REPAIR MTL &amp; SUPPLY</v>
          </cell>
          <cell r="D487" t="str">
            <v>69997,,0.0</v>
          </cell>
          <cell r="E487" t="str">
            <v>8127056</v>
          </cell>
          <cell r="F487">
            <v>-88.17</v>
          </cell>
          <cell r="G487">
            <v>39295</v>
          </cell>
          <cell r="H487">
            <v>39295</v>
          </cell>
        </row>
        <row r="488">
          <cell r="A488" t="str">
            <v>R2-009JJ-E004</v>
          </cell>
          <cell r="B488" t="str">
            <v>INVEN-REPAIR/STOREHOUSE MATERIAL &amp; SUPPLIES-MANUAL</v>
          </cell>
          <cell r="C488" t="str">
            <v>REPAIR MTL &amp; SUPPLY</v>
          </cell>
          <cell r="D488" t="str">
            <v>69997,,0.0</v>
          </cell>
          <cell r="E488" t="str">
            <v>8126803</v>
          </cell>
          <cell r="F488">
            <v>46.01</v>
          </cell>
          <cell r="G488">
            <v>39295</v>
          </cell>
          <cell r="H488">
            <v>39295</v>
          </cell>
        </row>
        <row r="489">
          <cell r="A489" t="str">
            <v>R2-009JJ-E004</v>
          </cell>
          <cell r="B489" t="str">
            <v>INVEN-REPAIR/STOREHOUSE MATERIAL &amp; SUPPLIES-MANUAL</v>
          </cell>
          <cell r="C489" t="str">
            <v>REPAIR MTL &amp; SUPPLY</v>
          </cell>
          <cell r="D489" t="str">
            <v>69997,,0.0</v>
          </cell>
          <cell r="E489" t="str">
            <v>8126804</v>
          </cell>
          <cell r="F489">
            <v>120.23</v>
          </cell>
          <cell r="G489">
            <v>39295</v>
          </cell>
          <cell r="H489">
            <v>39295</v>
          </cell>
        </row>
        <row r="490">
          <cell r="A490" t="str">
            <v>R2-009JJ-E004</v>
          </cell>
          <cell r="B490" t="str">
            <v>INVEN-REPAIR/STOREHOUSE MATERIAL &amp; SUPPLIES-MANUAL</v>
          </cell>
          <cell r="C490" t="str">
            <v>REPAIR MTL &amp; SUPPLY</v>
          </cell>
          <cell r="D490" t="str">
            <v>69997,,0.0</v>
          </cell>
          <cell r="E490" t="str">
            <v>8126828</v>
          </cell>
          <cell r="F490">
            <v>122.19</v>
          </cell>
          <cell r="G490">
            <v>39295</v>
          </cell>
          <cell r="H490">
            <v>39295</v>
          </cell>
        </row>
        <row r="491">
          <cell r="A491" t="str">
            <v>R2-009JJ-E004</v>
          </cell>
          <cell r="B491" t="str">
            <v>INVEN-REPAIR/STOREHOUSE MATERIAL &amp; SUPPLIES-MANUAL</v>
          </cell>
          <cell r="C491" t="str">
            <v>REPAIR MTL &amp; SUPPLY</v>
          </cell>
          <cell r="D491" t="str">
            <v>69997,,0.0</v>
          </cell>
          <cell r="E491" t="str">
            <v>8127626</v>
          </cell>
          <cell r="F491">
            <v>8.15</v>
          </cell>
          <cell r="G491">
            <v>39296</v>
          </cell>
          <cell r="H491">
            <v>39296</v>
          </cell>
        </row>
        <row r="492">
          <cell r="A492" t="str">
            <v>R2-009JJ-E004</v>
          </cell>
          <cell r="B492" t="str">
            <v>INVEN-REPAIR/STOREHOUSE MATERIAL &amp; SUPPLIES-MANUAL</v>
          </cell>
          <cell r="C492" t="str">
            <v>REPAIR MTL &amp; SUPPLY</v>
          </cell>
          <cell r="D492" t="str">
            <v>69996,,0.0</v>
          </cell>
          <cell r="E492" t="str">
            <v>8130113</v>
          </cell>
          <cell r="F492">
            <v>24.78</v>
          </cell>
          <cell r="G492">
            <v>39300</v>
          </cell>
          <cell r="H492">
            <v>39300</v>
          </cell>
        </row>
        <row r="493">
          <cell r="A493" t="str">
            <v>R2-009JJ-E004</v>
          </cell>
          <cell r="B493" t="str">
            <v>INVEN-REPAIR/STOREHOUSE MATERIAL &amp; SUPPLIES-MANUAL</v>
          </cell>
          <cell r="C493" t="str">
            <v>REPAIR MTL &amp; SUPPLY</v>
          </cell>
          <cell r="D493" t="str">
            <v>69997,,0.0</v>
          </cell>
          <cell r="E493" t="str">
            <v>8130849</v>
          </cell>
          <cell r="F493">
            <v>24.78</v>
          </cell>
          <cell r="G493">
            <v>39301</v>
          </cell>
          <cell r="H493">
            <v>39301</v>
          </cell>
        </row>
        <row r="494">
          <cell r="A494" t="str">
            <v>R2-009JJ-E004</v>
          </cell>
          <cell r="B494" t="str">
            <v>INVEN-REPAIR/STOREHOUSE MATERIAL &amp; SUPPLIES-MANUAL</v>
          </cell>
          <cell r="C494" t="str">
            <v>REPAIR MTL &amp; SUPPLY</v>
          </cell>
          <cell r="D494" t="str">
            <v>69997,,0.0</v>
          </cell>
          <cell r="E494" t="str">
            <v>8131285</v>
          </cell>
          <cell r="F494">
            <v>1.25</v>
          </cell>
          <cell r="G494">
            <v>39302</v>
          </cell>
          <cell r="H494">
            <v>39302</v>
          </cell>
        </row>
        <row r="495">
          <cell r="A495" t="str">
            <v>R2-009JJ-E004</v>
          </cell>
          <cell r="B495" t="str">
            <v>INVEN-REPAIR/STOREHOUSE MATERIAL &amp; SUPPLIES-MANUAL</v>
          </cell>
          <cell r="C495" t="str">
            <v>REPAIR MTL &amp; SUPPLY</v>
          </cell>
          <cell r="D495" t="str">
            <v>69186,,0.0</v>
          </cell>
          <cell r="E495" t="str">
            <v>8132450</v>
          </cell>
          <cell r="F495">
            <v>3.45</v>
          </cell>
          <cell r="G495">
            <v>39303</v>
          </cell>
          <cell r="H495">
            <v>39303</v>
          </cell>
        </row>
        <row r="496">
          <cell r="A496" t="str">
            <v>R2-009JJ-E004</v>
          </cell>
          <cell r="B496" t="str">
            <v>INVEN-REPAIR/STOREHOUSE MATERIAL &amp; SUPPLIES-MANUAL</v>
          </cell>
          <cell r="C496" t="str">
            <v>REPAIR MTL &amp; SUPPLY</v>
          </cell>
          <cell r="D496" t="str">
            <v>69186,,0.0</v>
          </cell>
          <cell r="E496" t="str">
            <v>8132470</v>
          </cell>
          <cell r="F496">
            <v>0.8</v>
          </cell>
          <cell r="G496">
            <v>39303</v>
          </cell>
          <cell r="H496">
            <v>39303</v>
          </cell>
        </row>
        <row r="497">
          <cell r="A497" t="str">
            <v>R2-009JJ-E004</v>
          </cell>
          <cell r="B497" t="str">
            <v>INVEN-REPAIR/STOREHOUSE MATERIAL &amp; SUPPLIES-MANUAL</v>
          </cell>
          <cell r="C497" t="str">
            <v>REPAIR MTL &amp; SUPPLY</v>
          </cell>
          <cell r="D497" t="str">
            <v>69997,,0.0</v>
          </cell>
          <cell r="E497" t="str">
            <v>8137953</v>
          </cell>
          <cell r="F497">
            <v>31.61</v>
          </cell>
          <cell r="G497">
            <v>39307</v>
          </cell>
          <cell r="H497">
            <v>39307</v>
          </cell>
        </row>
        <row r="498">
          <cell r="A498" t="str">
            <v>R2-009JJ-E004</v>
          </cell>
          <cell r="B498" t="str">
            <v>INVEN-REPAIR/STOREHOUSE MATERIAL &amp; SUPPLIES-MANUAL</v>
          </cell>
          <cell r="C498" t="str">
            <v>REPAIR MTL &amp; SUPPLY</v>
          </cell>
          <cell r="D498" t="str">
            <v>69997,,0.0</v>
          </cell>
          <cell r="E498" t="str">
            <v>8148327</v>
          </cell>
          <cell r="F498">
            <v>20.51</v>
          </cell>
          <cell r="G498">
            <v>39315</v>
          </cell>
          <cell r="H498">
            <v>39315</v>
          </cell>
        </row>
        <row r="499">
          <cell r="A499" t="str">
            <v>R2-009JJ-E004</v>
          </cell>
          <cell r="B499" t="str">
            <v>INVEN-REPAIR/STOREHOUSE MATERIAL &amp; SUPPLIES-MANUAL</v>
          </cell>
          <cell r="C499" t="str">
            <v>REPAIR MTL &amp; SUPPLY</v>
          </cell>
          <cell r="D499" t="str">
            <v>69997,,0.0</v>
          </cell>
          <cell r="E499" t="str">
            <v>8150872</v>
          </cell>
          <cell r="F499">
            <v>6.5</v>
          </cell>
          <cell r="G499">
            <v>39317</v>
          </cell>
          <cell r="H499">
            <v>39317</v>
          </cell>
        </row>
        <row r="500">
          <cell r="A500" t="str">
            <v>R2-009JJ-E004</v>
          </cell>
          <cell r="B500" t="str">
            <v>INVEN-REPAIR/STOREHOUSE MATERIAL &amp; SUPPLIES-MANUAL</v>
          </cell>
          <cell r="C500" t="str">
            <v>REPAIR MTL &amp; SUPPLY</v>
          </cell>
          <cell r="D500" t="str">
            <v>69997,,0.0</v>
          </cell>
          <cell r="E500" t="str">
            <v>8152779</v>
          </cell>
          <cell r="F500">
            <v>27.71</v>
          </cell>
          <cell r="G500">
            <v>39321</v>
          </cell>
          <cell r="H500">
            <v>39321</v>
          </cell>
        </row>
        <row r="501">
          <cell r="A501" t="str">
            <v>R2-009JJ-E004</v>
          </cell>
          <cell r="B501" t="str">
            <v>INVEN-REPAIR/STOREHOUSE MATERIAL &amp; SUPPLIES-MANUAL</v>
          </cell>
          <cell r="C501" t="str">
            <v>REPAIR MTL &amp; SUPPLY</v>
          </cell>
          <cell r="D501" t="str">
            <v>69918,,0.0</v>
          </cell>
          <cell r="E501" t="str">
            <v>8157579</v>
          </cell>
          <cell r="F501">
            <v>3.45</v>
          </cell>
          <cell r="G501">
            <v>39324</v>
          </cell>
          <cell r="H501">
            <v>39324</v>
          </cell>
        </row>
        <row r="502">
          <cell r="A502" t="str">
            <v>R2-009JJ-E004</v>
          </cell>
          <cell r="B502" t="str">
            <v>INVEN-REPAIR/STOREHOUSE MATERIAL &amp; SUPPLIES-MANUAL</v>
          </cell>
          <cell r="C502" t="str">
            <v>REPAIR MTL &amp; SUPPLY</v>
          </cell>
          <cell r="D502" t="str">
            <v>69918,,0.0</v>
          </cell>
          <cell r="E502" t="str">
            <v>8157650</v>
          </cell>
          <cell r="F502">
            <v>79.98</v>
          </cell>
          <cell r="G502">
            <v>39324</v>
          </cell>
          <cell r="H502">
            <v>39324</v>
          </cell>
        </row>
        <row r="503">
          <cell r="A503" t="str">
            <v>R2-009JJ-E004</v>
          </cell>
          <cell r="B503" t="str">
            <v>INVEN-REPAIR/STOREHOUSE MATERIAL &amp; SUPPLIES-MANUAL</v>
          </cell>
          <cell r="C503" t="str">
            <v>REPAIR MTL &amp; SUPPLY</v>
          </cell>
          <cell r="D503" t="str">
            <v>69918,,0.0</v>
          </cell>
          <cell r="E503" t="str">
            <v>8163003</v>
          </cell>
          <cell r="F503">
            <v>3.45</v>
          </cell>
          <cell r="G503">
            <v>39330</v>
          </cell>
          <cell r="H503">
            <v>39330</v>
          </cell>
        </row>
        <row r="504">
          <cell r="A504" t="str">
            <v>R2-009JJ-E004</v>
          </cell>
          <cell r="B504" t="str">
            <v>INVEN-REPAIR/STOREHOUSE MATERIAL &amp; SUPPLIES-MANUAL</v>
          </cell>
          <cell r="C504" t="str">
            <v>REPAIR MTL &amp; SUPPLY</v>
          </cell>
          <cell r="D504" t="str">
            <v>69997,,0.0</v>
          </cell>
          <cell r="E504" t="str">
            <v>8163118</v>
          </cell>
          <cell r="F504">
            <v>10.51</v>
          </cell>
          <cell r="G504">
            <v>39330</v>
          </cell>
          <cell r="H504">
            <v>39330</v>
          </cell>
        </row>
        <row r="505">
          <cell r="A505" t="str">
            <v>R2-009JJ-E004</v>
          </cell>
          <cell r="B505" t="str">
            <v>INVEN-REPAIR/STOREHOUSE MATERIAL &amp; SUPPLIES-MANUAL</v>
          </cell>
          <cell r="C505" t="str">
            <v>REPAIR MTL &amp; SUPPLY</v>
          </cell>
          <cell r="D505" t="str">
            <v>69918,,0.0</v>
          </cell>
          <cell r="E505" t="str">
            <v>8167335</v>
          </cell>
          <cell r="F505">
            <v>0.7</v>
          </cell>
          <cell r="G505">
            <v>39335</v>
          </cell>
          <cell r="H505">
            <v>39335</v>
          </cell>
        </row>
        <row r="506">
          <cell r="A506" t="str">
            <v>R2-009JJ-E004</v>
          </cell>
          <cell r="B506" t="str">
            <v>INVEN-REPAIR/STOREHOUSE MATERIAL &amp; SUPPLIES-MANUAL</v>
          </cell>
          <cell r="C506" t="str">
            <v>REPAIR MTL &amp; SUPPLY</v>
          </cell>
          <cell r="D506" t="str">
            <v>69918,,0.0</v>
          </cell>
          <cell r="E506" t="str">
            <v>8167770</v>
          </cell>
          <cell r="F506">
            <v>14.95</v>
          </cell>
          <cell r="G506">
            <v>39335</v>
          </cell>
          <cell r="H506">
            <v>39335</v>
          </cell>
        </row>
        <row r="507">
          <cell r="A507" t="str">
            <v>R2-009JJ-E004</v>
          </cell>
          <cell r="B507" t="str">
            <v>INVEN-REPAIR/STOREHOUSE MATERIAL &amp; SUPPLIES-MANUAL</v>
          </cell>
          <cell r="C507" t="str">
            <v>REPAIR MTL &amp; SUPPLY</v>
          </cell>
          <cell r="D507" t="str">
            <v>69918,,0.0</v>
          </cell>
          <cell r="E507" t="str">
            <v>8172747</v>
          </cell>
          <cell r="F507">
            <v>6.89</v>
          </cell>
          <cell r="G507">
            <v>39337</v>
          </cell>
          <cell r="H507">
            <v>39337</v>
          </cell>
        </row>
        <row r="508">
          <cell r="A508" t="str">
            <v>R2-009JJ-E004</v>
          </cell>
          <cell r="B508" t="str">
            <v>INVEN-REPAIR/STOREHOUSE MATERIAL &amp; SUPPLIES-MANUAL</v>
          </cell>
          <cell r="C508" t="str">
            <v>REPAIR MTL &amp; SUPPLY</v>
          </cell>
          <cell r="D508" t="str">
            <v>69918,,0.0</v>
          </cell>
          <cell r="E508" t="str">
            <v>8178688</v>
          </cell>
          <cell r="F508">
            <v>57.3</v>
          </cell>
          <cell r="G508">
            <v>39342</v>
          </cell>
          <cell r="H508">
            <v>39342</v>
          </cell>
        </row>
        <row r="509">
          <cell r="A509" t="str">
            <v>R2-009JJ-E004</v>
          </cell>
          <cell r="B509" t="str">
            <v>INVEN-REPAIR/STOREHOUSE MATERIAL &amp; SUPPLIES-MANUAL</v>
          </cell>
          <cell r="C509" t="str">
            <v>REPAIR MTL &amp; SUPPLY</v>
          </cell>
          <cell r="D509" t="str">
            <v>69918,,0.0</v>
          </cell>
          <cell r="E509" t="str">
            <v>8178922</v>
          </cell>
          <cell r="F509">
            <v>10.72</v>
          </cell>
          <cell r="G509">
            <v>39342</v>
          </cell>
          <cell r="H509">
            <v>39342</v>
          </cell>
        </row>
        <row r="510">
          <cell r="A510" t="str">
            <v>R2-009JJ-E004</v>
          </cell>
          <cell r="B510" t="str">
            <v>INVEN-REPAIR/STOREHOUSE MATERIAL &amp; SUPPLIES-MANUAL</v>
          </cell>
          <cell r="C510" t="str">
            <v>REPAIR MTL &amp; SUPPLY</v>
          </cell>
          <cell r="D510" t="str">
            <v>69918,,0.0</v>
          </cell>
          <cell r="E510" t="str">
            <v>8184688</v>
          </cell>
          <cell r="F510">
            <v>2.67</v>
          </cell>
          <cell r="G510">
            <v>39349</v>
          </cell>
          <cell r="H510">
            <v>39349</v>
          </cell>
        </row>
        <row r="511">
          <cell r="A511" t="str">
            <v>R2-009JJ-E004</v>
          </cell>
          <cell r="B511" t="str">
            <v>INVEN-REPAIR/STOREHOUSE MATERIAL &amp; SUPPLIES-MANUAL</v>
          </cell>
          <cell r="C511" t="str">
            <v>REPAIR MTL &amp; SUPPLY</v>
          </cell>
          <cell r="D511" t="str">
            <v>69186,,0.0</v>
          </cell>
          <cell r="E511" t="str">
            <v>8252943</v>
          </cell>
          <cell r="F511">
            <v>71.8</v>
          </cell>
          <cell r="G511">
            <v>39366</v>
          </cell>
          <cell r="H511">
            <v>39366</v>
          </cell>
        </row>
        <row r="512">
          <cell r="A512" t="str">
            <v>R2-009JJ-E004</v>
          </cell>
          <cell r="B512" t="str">
            <v>INVEN-REPAIR/STOREHOUSE MATERIAL &amp; SUPPLIES-MANUAL</v>
          </cell>
          <cell r="C512" t="str">
            <v>REPAIR MTL &amp; SUPPLY</v>
          </cell>
          <cell r="D512" t="str">
            <v>69186,,0.0</v>
          </cell>
          <cell r="E512" t="str">
            <v>8257885</v>
          </cell>
          <cell r="F512">
            <v>96.47</v>
          </cell>
          <cell r="G512">
            <v>39370</v>
          </cell>
          <cell r="H512">
            <v>39370</v>
          </cell>
        </row>
        <row r="513">
          <cell r="A513" t="str">
            <v>R2-009JJ-E004</v>
          </cell>
          <cell r="B513" t="str">
            <v>INVEN-REPAIR/STOREHOUSE MATERIAL &amp; SUPPLIES-MANUAL</v>
          </cell>
          <cell r="C513" t="str">
            <v>REPAIR MTL &amp; SUPPLY</v>
          </cell>
          <cell r="D513" t="str">
            <v>69186,,0.0</v>
          </cell>
          <cell r="E513" t="str">
            <v>8269683</v>
          </cell>
          <cell r="F513">
            <v>65.040000000000006</v>
          </cell>
          <cell r="G513">
            <v>39373</v>
          </cell>
          <cell r="H513">
            <v>39373</v>
          </cell>
        </row>
        <row r="514">
          <cell r="A514" t="str">
            <v>R2-009JJ-E004</v>
          </cell>
          <cell r="B514" t="str">
            <v>INVEN-REPAIR/STOREHOUSE MATERIAL &amp; SUPPLIES-MANUAL</v>
          </cell>
          <cell r="C514" t="str">
            <v>REPAIR MTL &amp; SUPPLY</v>
          </cell>
          <cell r="D514" t="str">
            <v>69998,,0.0</v>
          </cell>
          <cell r="E514" t="str">
            <v>8270609</v>
          </cell>
          <cell r="F514">
            <v>295.02999999999997</v>
          </cell>
          <cell r="G514">
            <v>39373</v>
          </cell>
          <cell r="H514">
            <v>39373</v>
          </cell>
        </row>
        <row r="515">
          <cell r="A515" t="str">
            <v>R2-009JJ-E004</v>
          </cell>
          <cell r="B515" t="str">
            <v>INVEN-REPAIR/STOREHOUSE MATERIAL &amp; SUPPLIES-MANUAL</v>
          </cell>
          <cell r="C515" t="str">
            <v>REPAIR MTL &amp; SUPPLY</v>
          </cell>
          <cell r="D515" t="str">
            <v>69186,,0.0</v>
          </cell>
          <cell r="E515" t="str">
            <v>8305611</v>
          </cell>
          <cell r="F515">
            <v>-17.59</v>
          </cell>
          <cell r="G515">
            <v>39385</v>
          </cell>
          <cell r="H515">
            <v>39385</v>
          </cell>
        </row>
        <row r="516">
          <cell r="A516" t="str">
            <v>R2-009JJ-E004</v>
          </cell>
          <cell r="B516" t="str">
            <v>INVEN-REPAIR/STOREHOUSE MATERIAL &amp; SUPPLIES-MANUAL</v>
          </cell>
          <cell r="C516" t="str">
            <v>REPAIR MTL &amp; SUPPLY</v>
          </cell>
          <cell r="D516" t="str">
            <v>69186,,0.0</v>
          </cell>
          <cell r="E516" t="str">
            <v>8305612</v>
          </cell>
          <cell r="F516">
            <v>-26.39</v>
          </cell>
          <cell r="G516">
            <v>39385</v>
          </cell>
          <cell r="H516">
            <v>39385</v>
          </cell>
        </row>
        <row r="517">
          <cell r="A517" t="str">
            <v>R2-009JJ-E004</v>
          </cell>
          <cell r="B517" t="str">
            <v>INVEN-REPAIR/STOREHOUSE MATERIAL &amp; SUPPLIES-MANUAL</v>
          </cell>
          <cell r="C517" t="str">
            <v>REPAIR MTL &amp; SUPPLY</v>
          </cell>
          <cell r="D517" t="str">
            <v>69186,,0.0</v>
          </cell>
          <cell r="E517" t="str">
            <v>8305016</v>
          </cell>
          <cell r="F517">
            <v>19.84</v>
          </cell>
          <cell r="G517">
            <v>39385</v>
          </cell>
          <cell r="H517">
            <v>39385</v>
          </cell>
        </row>
        <row r="518">
          <cell r="A518" t="str">
            <v>R2-009JJ-E004</v>
          </cell>
          <cell r="B518" t="str">
            <v>INVEN-REPAIR/STOREHOUSE MATERIAL &amp; SUPPLIES-MANUAL</v>
          </cell>
          <cell r="C518" t="str">
            <v>REPAIR MTL &amp; SUPPLY</v>
          </cell>
          <cell r="D518" t="str">
            <v>69186,,0.0</v>
          </cell>
          <cell r="E518" t="str">
            <v>8305018</v>
          </cell>
          <cell r="F518">
            <v>1.41</v>
          </cell>
          <cell r="G518">
            <v>39385</v>
          </cell>
          <cell r="H518">
            <v>39385</v>
          </cell>
        </row>
        <row r="519">
          <cell r="A519" t="str">
            <v>R2-009JJ-E004</v>
          </cell>
          <cell r="B519" t="str">
            <v>INVEN-REPAIR/STOREHOUSE MATERIAL &amp; SUPPLIES-MANUAL</v>
          </cell>
          <cell r="C519" t="str">
            <v>REPAIR MTL &amp; SUPPLY</v>
          </cell>
          <cell r="D519" t="str">
            <v>69186,,0.0</v>
          </cell>
          <cell r="E519" t="str">
            <v>8305465</v>
          </cell>
          <cell r="F519">
            <v>26.39</v>
          </cell>
          <cell r="G519">
            <v>39385</v>
          </cell>
          <cell r="H519">
            <v>39385</v>
          </cell>
        </row>
        <row r="520">
          <cell r="A520" t="str">
            <v>R2-009JJ-E004</v>
          </cell>
          <cell r="B520" t="str">
            <v>INVEN-REPAIR/STOREHOUSE MATERIAL &amp; SUPPLIES-MANUAL</v>
          </cell>
          <cell r="C520" t="str">
            <v>REPAIR MTL &amp; SUPPLY</v>
          </cell>
          <cell r="D520" t="str">
            <v>69186,,0.0</v>
          </cell>
          <cell r="E520" t="str">
            <v>8305460</v>
          </cell>
          <cell r="F520">
            <v>17.59</v>
          </cell>
          <cell r="G520">
            <v>39385</v>
          </cell>
          <cell r="H520">
            <v>39385</v>
          </cell>
        </row>
        <row r="521">
          <cell r="A521" t="str">
            <v>R2-009JJ-E004</v>
          </cell>
          <cell r="B521" t="str">
            <v>INVEN-REPAIR/STOREHOUSE MATERIAL &amp; SUPPLIES-MANUAL</v>
          </cell>
          <cell r="C521" t="str">
            <v>REPAIR MTL &amp; SUPPLY</v>
          </cell>
          <cell r="D521" t="str">
            <v>69186,,0.0</v>
          </cell>
          <cell r="E521" t="str">
            <v>8308240</v>
          </cell>
          <cell r="F521">
            <v>21.48</v>
          </cell>
          <cell r="G521">
            <v>39387</v>
          </cell>
          <cell r="H521">
            <v>39387</v>
          </cell>
        </row>
        <row r="522">
          <cell r="A522" t="str">
            <v>R2-009JJ-E004</v>
          </cell>
          <cell r="B522" t="str">
            <v>INVEN-REPAIR/STOREHOUSE MATERIAL &amp; SUPPLIES-MANUAL</v>
          </cell>
          <cell r="C522" t="str">
            <v>REPAIR MTL &amp; SUPPLY</v>
          </cell>
          <cell r="D522" t="str">
            <v>69186,,0.0</v>
          </cell>
          <cell r="E522" t="str">
            <v>8315327</v>
          </cell>
          <cell r="F522">
            <v>6.6</v>
          </cell>
          <cell r="G522">
            <v>39391</v>
          </cell>
          <cell r="H522">
            <v>39391</v>
          </cell>
        </row>
        <row r="523">
          <cell r="A523" t="str">
            <v>R2-009JJ-E004</v>
          </cell>
          <cell r="B523" t="str">
            <v>INVEN-REPAIR/STOREHOUSE MATERIAL &amp; SUPPLIES-MANUAL</v>
          </cell>
          <cell r="C523" t="str">
            <v>REPAIR MTL &amp; SUPPLY</v>
          </cell>
          <cell r="D523" t="str">
            <v>69186,,0.0</v>
          </cell>
          <cell r="E523" t="str">
            <v>8318864</v>
          </cell>
          <cell r="F523">
            <v>-114.78</v>
          </cell>
          <cell r="G523">
            <v>39392</v>
          </cell>
          <cell r="H523">
            <v>39392</v>
          </cell>
        </row>
        <row r="524">
          <cell r="A524" t="str">
            <v>R2-009JJ-E004</v>
          </cell>
          <cell r="B524" t="str">
            <v>INVEN-REPAIR/STOREHOUSE MATERIAL &amp; SUPPLIES-MANUAL</v>
          </cell>
          <cell r="C524" t="str">
            <v>REPAIR MTL &amp; SUPPLY</v>
          </cell>
          <cell r="D524" t="str">
            <v>69186,,0.0</v>
          </cell>
          <cell r="E524" t="str">
            <v>8318470</v>
          </cell>
          <cell r="F524">
            <v>14.85</v>
          </cell>
          <cell r="G524">
            <v>39392</v>
          </cell>
          <cell r="H524">
            <v>39392</v>
          </cell>
        </row>
        <row r="525">
          <cell r="A525" t="str">
            <v>R2-009JJ-E004</v>
          </cell>
          <cell r="B525" t="str">
            <v>INVEN-REPAIR/STOREHOUSE MATERIAL &amp; SUPPLIES-MANUAL</v>
          </cell>
          <cell r="C525" t="str">
            <v>REPAIR MTL &amp; SUPPLY</v>
          </cell>
          <cell r="D525" t="str">
            <v>69186,,0.0</v>
          </cell>
          <cell r="E525" t="str">
            <v>8318471</v>
          </cell>
          <cell r="F525">
            <v>9.39</v>
          </cell>
          <cell r="G525">
            <v>39392</v>
          </cell>
          <cell r="H525">
            <v>39392</v>
          </cell>
        </row>
        <row r="526">
          <cell r="A526" t="str">
            <v>R2-009JJ-E004</v>
          </cell>
          <cell r="B526" t="str">
            <v>INVEN-REPAIR/STOREHOUSE MATERIAL &amp; SUPPLIES-MANUAL</v>
          </cell>
          <cell r="C526" t="str">
            <v>REPAIR MTL &amp; SUPPLY</v>
          </cell>
          <cell r="D526" t="str">
            <v>69186,,0.0</v>
          </cell>
          <cell r="E526" t="str">
            <v>8318688</v>
          </cell>
          <cell r="F526">
            <v>21.48</v>
          </cell>
          <cell r="G526">
            <v>39392</v>
          </cell>
          <cell r="H526">
            <v>39392</v>
          </cell>
        </row>
        <row r="527">
          <cell r="A527" t="str">
            <v>R2-009JJ-E004</v>
          </cell>
          <cell r="B527" t="str">
            <v>INVEN-REPAIR/STOREHOUSE MATERIAL &amp; SUPPLIES-MANUAL</v>
          </cell>
          <cell r="C527" t="str">
            <v>REPAIR MTL &amp; SUPPLY</v>
          </cell>
          <cell r="D527" t="str">
            <v>69186,,0.0</v>
          </cell>
          <cell r="E527" t="str">
            <v>8318728</v>
          </cell>
          <cell r="F527">
            <v>14.85</v>
          </cell>
          <cell r="G527">
            <v>39392</v>
          </cell>
          <cell r="H527">
            <v>39392</v>
          </cell>
        </row>
        <row r="528">
          <cell r="A528" t="str">
            <v>R2-009JJ-E004</v>
          </cell>
          <cell r="B528" t="str">
            <v>INVEN-REPAIR/STOREHOUSE MATERIAL &amp; SUPPLIES-MANUAL</v>
          </cell>
          <cell r="C528" t="str">
            <v>REPAIR MTL &amp; SUPPLY</v>
          </cell>
          <cell r="D528" t="str">
            <v>69186,,0.0</v>
          </cell>
          <cell r="E528" t="str">
            <v>8318839</v>
          </cell>
          <cell r="F528">
            <v>114.78</v>
          </cell>
          <cell r="G528">
            <v>39392</v>
          </cell>
          <cell r="H528">
            <v>39392</v>
          </cell>
        </row>
        <row r="529">
          <cell r="A529" t="str">
            <v>R2-009JJ-E004</v>
          </cell>
          <cell r="B529" t="str">
            <v>INVEN-REPAIR/STOREHOUSE MATERIAL &amp; SUPPLIES-MANUAL</v>
          </cell>
          <cell r="C529" t="str">
            <v>REPAIR MTL &amp; SUPPLY</v>
          </cell>
          <cell r="D529" t="str">
            <v>69186,,0.0</v>
          </cell>
          <cell r="E529" t="str">
            <v>8318865</v>
          </cell>
          <cell r="F529">
            <v>74.8</v>
          </cell>
          <cell r="G529">
            <v>39392</v>
          </cell>
          <cell r="H529">
            <v>39392</v>
          </cell>
        </row>
        <row r="530">
          <cell r="A530" t="str">
            <v>R2-009JJ-E004</v>
          </cell>
          <cell r="B530" t="str">
            <v>INVEN-REPAIR/STOREHOUSE MATERIAL &amp; SUPPLIES-MANUAL</v>
          </cell>
          <cell r="C530" t="str">
            <v>REPAIR MTL &amp; SUPPLY</v>
          </cell>
          <cell r="D530" t="str">
            <v>69186,,0.0</v>
          </cell>
          <cell r="E530" t="str">
            <v>8331014</v>
          </cell>
          <cell r="F530">
            <v>168.79</v>
          </cell>
          <cell r="G530">
            <v>39400</v>
          </cell>
          <cell r="H530">
            <v>39400</v>
          </cell>
        </row>
        <row r="531">
          <cell r="A531" t="str">
            <v>R2-009JJ-E004</v>
          </cell>
          <cell r="B531" t="str">
            <v>INVEN-REPAIR/STOREHOUSE MATERIAL &amp; SUPPLIES-MANUAL</v>
          </cell>
          <cell r="C531" t="str">
            <v>REPAIR MTL &amp; SUPPLY</v>
          </cell>
          <cell r="D531" t="str">
            <v>69186,,0.0</v>
          </cell>
          <cell r="E531" t="str">
            <v>8331016</v>
          </cell>
          <cell r="F531">
            <v>40.590000000000003</v>
          </cell>
          <cell r="G531">
            <v>39400</v>
          </cell>
          <cell r="H531">
            <v>39400</v>
          </cell>
        </row>
        <row r="532">
          <cell r="A532" t="str">
            <v>R2-009JJ-E004</v>
          </cell>
          <cell r="B532" t="str">
            <v>INVEN-REPAIR/STOREHOUSE MATERIAL &amp; SUPPLIES-MANUAL</v>
          </cell>
          <cell r="C532" t="str">
            <v>REPAIR MTL &amp; SUPPLY</v>
          </cell>
          <cell r="D532" t="str">
            <v>69186,,0.0</v>
          </cell>
          <cell r="E532" t="str">
            <v>8331017</v>
          </cell>
          <cell r="F532">
            <v>60.66</v>
          </cell>
          <cell r="G532">
            <v>39400</v>
          </cell>
          <cell r="H532">
            <v>39400</v>
          </cell>
        </row>
        <row r="533">
          <cell r="A533" t="str">
            <v>R2-009JJ-E004</v>
          </cell>
          <cell r="B533" t="str">
            <v>INVEN-REPAIR/STOREHOUSE MATERIAL &amp; SUPPLIES-MANUAL</v>
          </cell>
          <cell r="C533" t="str">
            <v>REPAIR MTL &amp; SUPPLY</v>
          </cell>
          <cell r="D533" t="str">
            <v>69186,,0.0</v>
          </cell>
          <cell r="E533" t="str">
            <v>8331018</v>
          </cell>
          <cell r="F533">
            <v>14.95</v>
          </cell>
          <cell r="G533">
            <v>39400</v>
          </cell>
          <cell r="H533">
            <v>39400</v>
          </cell>
        </row>
        <row r="534">
          <cell r="A534" t="str">
            <v>R2-009JJ-E004</v>
          </cell>
          <cell r="B534" t="str">
            <v>INVEN-REPAIR/STOREHOUSE MATERIAL &amp; SUPPLIES-MANUAL</v>
          </cell>
          <cell r="C534" t="str">
            <v>REPAIR MTL &amp; SUPPLY</v>
          </cell>
          <cell r="D534" t="str">
            <v>69186,,0.0</v>
          </cell>
          <cell r="E534" t="str">
            <v>8338329</v>
          </cell>
          <cell r="F534">
            <v>53.71</v>
          </cell>
          <cell r="G534">
            <v>39406</v>
          </cell>
          <cell r="H534">
            <v>39406</v>
          </cell>
        </row>
        <row r="535">
          <cell r="A535" t="str">
            <v>R2-009JJ-E004</v>
          </cell>
          <cell r="B535" t="str">
            <v>INVEN-REPAIR/STOREHOUSE MATERIAL &amp; SUPPLIES-MANUAL</v>
          </cell>
          <cell r="C535" t="str">
            <v>REPAIR MTL &amp; SUPPLY</v>
          </cell>
          <cell r="D535" t="str">
            <v>69186,,0.0</v>
          </cell>
          <cell r="E535" t="str">
            <v>8338330</v>
          </cell>
          <cell r="F535">
            <v>0.7</v>
          </cell>
          <cell r="G535">
            <v>39406</v>
          </cell>
          <cell r="H535">
            <v>39406</v>
          </cell>
        </row>
        <row r="536">
          <cell r="A536" t="str">
            <v>R2-009JJ-E004</v>
          </cell>
          <cell r="B536" t="str">
            <v>INVEN-REPAIR/STOREHOUSE MATERIAL &amp; SUPPLIES-MANUAL</v>
          </cell>
          <cell r="C536" t="str">
            <v>REPAIR MTL &amp; SUPPLY</v>
          </cell>
          <cell r="D536" t="str">
            <v>69186,,0.0</v>
          </cell>
          <cell r="E536" t="str">
            <v>8346495</v>
          </cell>
          <cell r="F536">
            <v>16.39</v>
          </cell>
          <cell r="G536">
            <v>39413</v>
          </cell>
          <cell r="H536">
            <v>39413</v>
          </cell>
        </row>
        <row r="537">
          <cell r="A537" t="str">
            <v>R2-009JJ-E004</v>
          </cell>
          <cell r="B537" t="str">
            <v>INVEN-REPAIR/STOREHOUSE MATERIAL &amp; SUPPLIES-MANUAL</v>
          </cell>
          <cell r="C537" t="str">
            <v>REPAIR MTL &amp; SUPPLY</v>
          </cell>
          <cell r="D537" t="str">
            <v>69186,,0.0</v>
          </cell>
          <cell r="E537" t="str">
            <v>8351379</v>
          </cell>
          <cell r="F537">
            <v>17.5</v>
          </cell>
          <cell r="G537">
            <v>39415</v>
          </cell>
          <cell r="H537">
            <v>39415</v>
          </cell>
        </row>
        <row r="538">
          <cell r="A538" t="str">
            <v>R2-009JJ-E004</v>
          </cell>
          <cell r="B538" t="str">
            <v>INVEN-REPAIR/STOREHOUSE MATERIAL &amp; SUPPLIES-MANUAL</v>
          </cell>
          <cell r="C538" t="str">
            <v>REPAIR MTL &amp; SUPPLY</v>
          </cell>
          <cell r="D538" t="str">
            <v>69186,,0.0</v>
          </cell>
          <cell r="E538" t="str">
            <v>8362324</v>
          </cell>
          <cell r="F538">
            <v>26.48</v>
          </cell>
          <cell r="G538">
            <v>39422</v>
          </cell>
          <cell r="H538">
            <v>39422</v>
          </cell>
        </row>
        <row r="539">
          <cell r="A539" t="str">
            <v>R2-009JJ-E004</v>
          </cell>
          <cell r="B539" t="str">
            <v>INVEN-REPAIR/STOREHOUSE MATERIAL &amp; SUPPLIES-MANUAL</v>
          </cell>
          <cell r="C539" t="str">
            <v>REPAIR MTL &amp; SUPPLY</v>
          </cell>
          <cell r="D539" t="str">
            <v>69186,,0.0</v>
          </cell>
          <cell r="E539" t="str">
            <v>8362325</v>
          </cell>
          <cell r="F539">
            <v>1035.21</v>
          </cell>
          <cell r="G539">
            <v>39422</v>
          </cell>
          <cell r="H539">
            <v>39422</v>
          </cell>
        </row>
        <row r="540">
          <cell r="A540" t="str">
            <v>R2-009JJ-E004</v>
          </cell>
          <cell r="B540" t="str">
            <v>INVEN-REPAIR/STOREHOUSE MATERIAL &amp; SUPPLIES-MANUAL</v>
          </cell>
          <cell r="C540" t="str">
            <v>REPAIR MTL &amp; SUPPLY</v>
          </cell>
          <cell r="D540" t="str">
            <v>69186,,0.0</v>
          </cell>
          <cell r="E540" t="str">
            <v>8362338</v>
          </cell>
          <cell r="F540">
            <v>122.86</v>
          </cell>
          <cell r="G540">
            <v>39422</v>
          </cell>
          <cell r="H540">
            <v>39422</v>
          </cell>
        </row>
        <row r="541">
          <cell r="A541" t="str">
            <v>R2-009JJ-E004</v>
          </cell>
          <cell r="B541" t="str">
            <v>INVEN-REPAIR/STOREHOUSE MATERIAL &amp; SUPPLIES-MANUAL</v>
          </cell>
          <cell r="C541" t="str">
            <v>REPAIR MTL &amp; SUPPLY</v>
          </cell>
          <cell r="D541" t="str">
            <v>69186,,0.0</v>
          </cell>
          <cell r="E541" t="str">
            <v>8362340</v>
          </cell>
          <cell r="F541">
            <v>11.82</v>
          </cell>
          <cell r="G541">
            <v>39422</v>
          </cell>
          <cell r="H541">
            <v>39422</v>
          </cell>
        </row>
        <row r="542">
          <cell r="A542" t="str">
            <v>R2-009JJ-E004</v>
          </cell>
          <cell r="B542" t="str">
            <v>INVEN-REPAIR/STOREHOUSE MATERIAL &amp; SUPPLIES-MANUAL</v>
          </cell>
          <cell r="C542" t="str">
            <v>REPAIR MTL &amp; SUPPLY</v>
          </cell>
          <cell r="D542" t="str">
            <v>69186,,0.0</v>
          </cell>
          <cell r="E542" t="str">
            <v>8369433</v>
          </cell>
          <cell r="F542">
            <v>-1015.68</v>
          </cell>
          <cell r="G542">
            <v>39427</v>
          </cell>
          <cell r="H542">
            <v>39427</v>
          </cell>
        </row>
        <row r="543">
          <cell r="A543" t="str">
            <v>R2-009JJ-E004</v>
          </cell>
          <cell r="B543" t="str">
            <v>INVEN-REPAIR/STOREHOUSE MATERIAL &amp; SUPPLIES-MANUAL</v>
          </cell>
          <cell r="C543" t="str">
            <v>REPAIR MTL &amp; SUPPLY</v>
          </cell>
          <cell r="D543" t="str">
            <v>69186,,0.0</v>
          </cell>
          <cell r="E543" t="str">
            <v>8380723</v>
          </cell>
          <cell r="F543">
            <v>-93.52</v>
          </cell>
          <cell r="G543">
            <v>39434</v>
          </cell>
          <cell r="H543">
            <v>39434</v>
          </cell>
        </row>
        <row r="544">
          <cell r="A544" t="str">
            <v>R2-009JJ-E004</v>
          </cell>
          <cell r="B544" t="str">
            <v>INVEN-REPAIR/STOREHOUSE MATERIAL &amp; SUPPLIES-MANUAL</v>
          </cell>
          <cell r="C544" t="str">
            <v>REPAIR MTL &amp; SUPPLY</v>
          </cell>
          <cell r="D544" t="str">
            <v>69186,,0.0</v>
          </cell>
          <cell r="E544" t="str">
            <v>8380724</v>
          </cell>
          <cell r="F544">
            <v>-32.83</v>
          </cell>
          <cell r="G544">
            <v>39434</v>
          </cell>
          <cell r="H544">
            <v>39434</v>
          </cell>
        </row>
        <row r="545">
          <cell r="A545" t="str">
            <v>R2-009JJ-E004</v>
          </cell>
          <cell r="B545" t="str">
            <v>INVEN-REPAIR/STOREHOUSE MATERIAL &amp; SUPPLIES-MANUAL</v>
          </cell>
          <cell r="C545" t="str">
            <v>REPAIR MTL &amp; SUPPLY</v>
          </cell>
          <cell r="D545" t="str">
            <v>69186,,0.0</v>
          </cell>
          <cell r="E545" t="str">
            <v>8378797</v>
          </cell>
          <cell r="F545">
            <v>16.91</v>
          </cell>
          <cell r="G545">
            <v>39434</v>
          </cell>
          <cell r="H545">
            <v>39434</v>
          </cell>
        </row>
        <row r="546">
          <cell r="A546" t="str">
            <v>R2-009JJ-E004</v>
          </cell>
          <cell r="B546" t="str">
            <v>INVEN-REPAIR/STOREHOUSE MATERIAL &amp; SUPPLIES-MANUAL</v>
          </cell>
          <cell r="C546" t="str">
            <v>REPAIR MTL &amp; SUPPLY</v>
          </cell>
          <cell r="D546" t="str">
            <v>69186,,0.0</v>
          </cell>
          <cell r="E546" t="str">
            <v>8378798</v>
          </cell>
          <cell r="F546">
            <v>16</v>
          </cell>
          <cell r="G546">
            <v>39434</v>
          </cell>
          <cell r="H546">
            <v>39434</v>
          </cell>
        </row>
        <row r="547">
          <cell r="A547" t="str">
            <v>R2-009JJ-E004</v>
          </cell>
          <cell r="B547" t="str">
            <v>INVEN-REPAIR/STOREHOUSE MATERIAL &amp; SUPPLIES-MANUAL</v>
          </cell>
          <cell r="C547" t="str">
            <v>REPAIR MTL &amp; SUPPLY</v>
          </cell>
          <cell r="D547" t="str">
            <v>69186,,0.0</v>
          </cell>
          <cell r="E547" t="str">
            <v>8380713</v>
          </cell>
          <cell r="F547">
            <v>32.83</v>
          </cell>
          <cell r="G547">
            <v>39434</v>
          </cell>
          <cell r="H547">
            <v>39434</v>
          </cell>
        </row>
        <row r="548">
          <cell r="A548" t="str">
            <v>R2-009JJ-E004</v>
          </cell>
          <cell r="B548" t="str">
            <v>INVEN-REPAIR/STOREHOUSE MATERIAL &amp; SUPPLIES-MANUAL</v>
          </cell>
          <cell r="C548" t="str">
            <v>REPAIR MTL &amp; SUPPLY</v>
          </cell>
          <cell r="D548" t="str">
            <v>69186,,0.0</v>
          </cell>
          <cell r="E548" t="str">
            <v>8380714</v>
          </cell>
          <cell r="F548">
            <v>93.52</v>
          </cell>
          <cell r="G548">
            <v>39434</v>
          </cell>
          <cell r="H548">
            <v>39434</v>
          </cell>
        </row>
        <row r="549">
          <cell r="A549" t="str">
            <v>R2-009JJ-E004</v>
          </cell>
          <cell r="B549" t="str">
            <v>INVEN-REPAIR/STOREHOUSE MATERIAL &amp; SUPPLIES-MANUAL</v>
          </cell>
          <cell r="C549" t="str">
            <v>REPAIR MTL &amp; SUPPLY</v>
          </cell>
          <cell r="D549" t="str">
            <v>69186,,0.0</v>
          </cell>
          <cell r="E549" t="str">
            <v>8380716</v>
          </cell>
          <cell r="F549">
            <v>16.91</v>
          </cell>
          <cell r="G549">
            <v>39434</v>
          </cell>
          <cell r="H549">
            <v>39434</v>
          </cell>
        </row>
        <row r="550">
          <cell r="A550" t="str">
            <v>R2-009JJ-E004</v>
          </cell>
          <cell r="B550" t="str">
            <v>INVEN-REPAIR/STOREHOUSE MATERIAL &amp; SUPPLIES-MANUAL</v>
          </cell>
          <cell r="C550" t="str">
            <v>REPAIR MTL &amp; SUPPLY</v>
          </cell>
          <cell r="D550" t="str">
            <v>69186,,0.0</v>
          </cell>
          <cell r="E550" t="str">
            <v>8380729</v>
          </cell>
          <cell r="F550">
            <v>40.700000000000003</v>
          </cell>
          <cell r="G550">
            <v>39434</v>
          </cell>
          <cell r="H550">
            <v>39434</v>
          </cell>
        </row>
        <row r="551">
          <cell r="A551" t="str">
            <v>R2-009JJ-E004</v>
          </cell>
          <cell r="B551" t="str">
            <v>INVEN-REPAIR/STOREHOUSE MATERIAL &amp; SUPPLIES-MANUAL</v>
          </cell>
          <cell r="C551" t="str">
            <v>REPAIR MTL &amp; SUPPLY</v>
          </cell>
          <cell r="D551" t="str">
            <v>69186,,0.0</v>
          </cell>
          <cell r="E551" t="str">
            <v>8380740</v>
          </cell>
          <cell r="F551">
            <v>19.84</v>
          </cell>
          <cell r="G551">
            <v>39434</v>
          </cell>
          <cell r="H551">
            <v>39434</v>
          </cell>
        </row>
        <row r="552">
          <cell r="A552" t="str">
            <v>R2-009JJ-E004</v>
          </cell>
          <cell r="B552" t="str">
            <v>INVEN-REPAIR/STOREHOUSE MATERIAL &amp; SUPPLIES-MANUAL</v>
          </cell>
          <cell r="C552" t="str">
            <v>REPAIR MTL &amp; SUPPLY</v>
          </cell>
          <cell r="D552" t="str">
            <v>69186,,0.0</v>
          </cell>
          <cell r="E552" t="str">
            <v>8381551</v>
          </cell>
          <cell r="F552">
            <v>12.07</v>
          </cell>
          <cell r="G552">
            <v>39435</v>
          </cell>
          <cell r="H552">
            <v>39435</v>
          </cell>
        </row>
        <row r="553">
          <cell r="A553" t="str">
            <v>R2-009JJ-E004</v>
          </cell>
          <cell r="B553" t="str">
            <v>INVEN-REPAIR/STOREHOUSE MATERIAL &amp; SUPPLIES-MANUAL</v>
          </cell>
          <cell r="C553" t="str">
            <v>REPAIR MTL &amp; SUPPLY</v>
          </cell>
          <cell r="D553" t="str">
            <v>69186,,0.0</v>
          </cell>
          <cell r="E553" t="str">
            <v>8381937</v>
          </cell>
          <cell r="F553">
            <v>5.95</v>
          </cell>
          <cell r="G553">
            <v>39435</v>
          </cell>
          <cell r="H553">
            <v>39435</v>
          </cell>
        </row>
        <row r="554">
          <cell r="A554" t="str">
            <v>R2-009JJ-E004</v>
          </cell>
          <cell r="B554" t="str">
            <v>INVEN-REPAIR/STOREHOUSE MATERIAL &amp; SUPPLIES-MANUAL</v>
          </cell>
          <cell r="C554" t="str">
            <v>REPAIR MTL &amp; SUPPLY</v>
          </cell>
          <cell r="D554" t="str">
            <v>69186,,0.0</v>
          </cell>
          <cell r="E554" t="str">
            <v>8381955</v>
          </cell>
          <cell r="F554">
            <v>90.44</v>
          </cell>
          <cell r="G554">
            <v>39435</v>
          </cell>
          <cell r="H554">
            <v>39435</v>
          </cell>
        </row>
        <row r="555">
          <cell r="A555" t="str">
            <v>R2-009JJ-E004</v>
          </cell>
          <cell r="B555" t="str">
            <v>INVEN-REPAIR/STOREHOUSE MATERIAL &amp; SUPPLIES-MANUAL</v>
          </cell>
          <cell r="C555" t="str">
            <v>REPAIR MTL &amp; SUPPLY</v>
          </cell>
          <cell r="D555" t="str">
            <v>69186,,0.0</v>
          </cell>
          <cell r="E555" t="str">
            <v>8386784</v>
          </cell>
          <cell r="F555">
            <v>26.48</v>
          </cell>
          <cell r="G555">
            <v>39442</v>
          </cell>
          <cell r="H555">
            <v>39442</v>
          </cell>
        </row>
        <row r="556">
          <cell r="A556" t="str">
            <v>R2-009JJ-E004</v>
          </cell>
          <cell r="B556" t="str">
            <v>INVEN-REPAIR/STOREHOUSE MATERIAL &amp; SUPPLIES-MANUAL</v>
          </cell>
          <cell r="C556" t="str">
            <v>REPAIR MTL &amp; SUPPLY</v>
          </cell>
          <cell r="D556" t="str">
            <v>69186,,0.0</v>
          </cell>
          <cell r="E556" t="str">
            <v>8399146</v>
          </cell>
          <cell r="F556">
            <v>132.4</v>
          </cell>
          <cell r="G556">
            <v>39454</v>
          </cell>
          <cell r="H556">
            <v>39454</v>
          </cell>
        </row>
        <row r="557">
          <cell r="A557" t="str">
            <v>R2-009JJ-E004</v>
          </cell>
          <cell r="B557" t="str">
            <v>INVEN-REPAIR/STOREHOUSE MATERIAL &amp; SUPPLIES-MANUAL</v>
          </cell>
          <cell r="C557" t="str">
            <v>REPAIR MTL &amp; SUPPLY</v>
          </cell>
          <cell r="D557" t="str">
            <v>69186,,0.0</v>
          </cell>
          <cell r="E557" t="str">
            <v>8405206</v>
          </cell>
          <cell r="F557">
            <v>55.54</v>
          </cell>
          <cell r="G557">
            <v>39457</v>
          </cell>
          <cell r="H557">
            <v>39457</v>
          </cell>
        </row>
        <row r="558">
          <cell r="A558" t="str">
            <v>R2-009JJ-E004</v>
          </cell>
          <cell r="B558" t="str">
            <v>INVEN-REPAIR/STOREHOUSE MATERIAL &amp; SUPPLIES-MANUAL</v>
          </cell>
          <cell r="C558" t="str">
            <v>REPAIR MTL &amp; SUPPLY</v>
          </cell>
          <cell r="D558" t="str">
            <v>69186,,0.0</v>
          </cell>
          <cell r="E558" t="str">
            <v>8420459</v>
          </cell>
          <cell r="F558">
            <v>21.27</v>
          </cell>
          <cell r="G558">
            <v>39470</v>
          </cell>
          <cell r="H558">
            <v>39470</v>
          </cell>
        </row>
        <row r="559">
          <cell r="A559" t="str">
            <v>R2-009JJ-E004</v>
          </cell>
          <cell r="B559" t="str">
            <v>INVEN-REPAIR/STOREHOUSE MATERIAL &amp; SUPPLIES-MANUAL</v>
          </cell>
          <cell r="C559" t="str">
            <v>REPAIR MTL &amp; SUPPLY</v>
          </cell>
          <cell r="D559" t="str">
            <v>69186,,0.0</v>
          </cell>
          <cell r="E559" t="str">
            <v>8421075</v>
          </cell>
          <cell r="F559">
            <v>21.27</v>
          </cell>
          <cell r="G559">
            <v>39471</v>
          </cell>
          <cell r="H559">
            <v>39471</v>
          </cell>
        </row>
        <row r="560">
          <cell r="B560" t="str">
            <v>INVEN-REPAIR/STOREHOUSE MATERIAL &amp; SUPPLIES-MANUAL</v>
          </cell>
        </row>
        <row r="561">
          <cell r="A561" t="str">
            <v>R2-009JJ-E004</v>
          </cell>
          <cell r="B561" t="str">
            <v>MATRIX SERVICE INC.</v>
          </cell>
          <cell r="C561" t="str">
            <v>CONTR SRV AGMT - M/R</v>
          </cell>
          <cell r="D561" t="str">
            <v>69186,C52590,2.0         FNID</v>
          </cell>
          <cell r="E561" t="str">
            <v>183717</v>
          </cell>
          <cell r="F561">
            <v>21531.01</v>
          </cell>
          <cell r="G561">
            <v>39274</v>
          </cell>
          <cell r="H561">
            <v>39281</v>
          </cell>
        </row>
        <row r="562">
          <cell r="A562" t="str">
            <v>R2-009JJ-E004</v>
          </cell>
          <cell r="B562" t="str">
            <v>MATRIX SERVICE INC.</v>
          </cell>
          <cell r="C562" t="str">
            <v>CONTR SRV AGMT - M/R</v>
          </cell>
          <cell r="D562" t="str">
            <v>69995,C52590,10.0        FNID</v>
          </cell>
          <cell r="E562" t="str">
            <v>183717</v>
          </cell>
          <cell r="F562">
            <v>5347.67</v>
          </cell>
          <cell r="G562">
            <v>39274</v>
          </cell>
          <cell r="H562">
            <v>39281</v>
          </cell>
        </row>
        <row r="563">
          <cell r="A563" t="str">
            <v>R2-009JJ-E004</v>
          </cell>
          <cell r="B563" t="str">
            <v>MATRIX SERVICE INC.</v>
          </cell>
          <cell r="C563" t="str">
            <v>CONTR SRV AGMT - M/R</v>
          </cell>
          <cell r="D563" t="str">
            <v>69186,C52590,2.0         FNID</v>
          </cell>
          <cell r="E563" t="str">
            <v>183719</v>
          </cell>
          <cell r="F563">
            <v>1522.46</v>
          </cell>
          <cell r="G563">
            <v>39274</v>
          </cell>
          <cell r="H563">
            <v>39281</v>
          </cell>
        </row>
        <row r="564">
          <cell r="A564" t="str">
            <v>R2-009JJ-E004</v>
          </cell>
          <cell r="B564" t="str">
            <v>MATRIX SERVICE INC.</v>
          </cell>
          <cell r="C564" t="str">
            <v>CONTR SRV AGMT - M/R</v>
          </cell>
          <cell r="D564" t="str">
            <v>69186,C52590,2.0         FNID</v>
          </cell>
          <cell r="E564" t="str">
            <v>184786</v>
          </cell>
          <cell r="F564">
            <v>34470.019999999997</v>
          </cell>
          <cell r="G564">
            <v>39286</v>
          </cell>
          <cell r="H564">
            <v>39295</v>
          </cell>
        </row>
        <row r="565">
          <cell r="A565" t="str">
            <v>R2-009JJ-E004</v>
          </cell>
          <cell r="B565" t="str">
            <v>MATRIX SERVICE INC.</v>
          </cell>
          <cell r="C565" t="str">
            <v>CONTR SRV AGMT - M/R</v>
          </cell>
          <cell r="D565" t="str">
            <v>69995,C52590,10.0        FNID</v>
          </cell>
          <cell r="E565" t="str">
            <v>184786</v>
          </cell>
          <cell r="F565">
            <v>3808.1</v>
          </cell>
          <cell r="G565">
            <v>39286</v>
          </cell>
          <cell r="H565">
            <v>39295</v>
          </cell>
        </row>
        <row r="566">
          <cell r="A566" t="str">
            <v>R2-009JJ-E004</v>
          </cell>
          <cell r="B566" t="str">
            <v>MATRIX SERVICE INC.</v>
          </cell>
          <cell r="C566" t="str">
            <v>CONTR SRV AGMT - M/R</v>
          </cell>
          <cell r="D566" t="str">
            <v>69186,C52590,2.0         FNID</v>
          </cell>
          <cell r="E566" t="str">
            <v>184787</v>
          </cell>
          <cell r="F566">
            <v>2131.4699999999998</v>
          </cell>
          <cell r="G566">
            <v>39286</v>
          </cell>
          <cell r="H566">
            <v>39295</v>
          </cell>
        </row>
        <row r="567">
          <cell r="A567" t="str">
            <v>R2-009JJ-E004</v>
          </cell>
          <cell r="B567" t="str">
            <v>MATRIX SERVICE INC.</v>
          </cell>
          <cell r="C567" t="str">
            <v>CONTR SRV AGMT - M/R</v>
          </cell>
          <cell r="D567" t="str">
            <v>69186,C52590,2.0         FNID</v>
          </cell>
          <cell r="E567" t="str">
            <v>184788</v>
          </cell>
          <cell r="F567">
            <v>8693.4500000000007</v>
          </cell>
          <cell r="G567">
            <v>39289</v>
          </cell>
          <cell r="H567">
            <v>39295</v>
          </cell>
        </row>
        <row r="568">
          <cell r="A568" t="str">
            <v>R2-009JJ-E004</v>
          </cell>
          <cell r="B568" t="str">
            <v>MATRIX SERVICE INC.</v>
          </cell>
          <cell r="C568" t="str">
            <v>CONTR SRV AGMT - M/R</v>
          </cell>
          <cell r="D568" t="str">
            <v>69186,C52590,2.0         FNID</v>
          </cell>
          <cell r="E568" t="str">
            <v>185502</v>
          </cell>
          <cell r="F568">
            <v>19004.419999999998</v>
          </cell>
          <cell r="G568">
            <v>39300</v>
          </cell>
          <cell r="H568">
            <v>39302</v>
          </cell>
        </row>
        <row r="569">
          <cell r="A569" t="str">
            <v>R2-009JJ-E004</v>
          </cell>
          <cell r="B569" t="str">
            <v>MATRIX SERVICE INC.</v>
          </cell>
          <cell r="C569" t="str">
            <v>CONTR SRV AGMT - M/R</v>
          </cell>
          <cell r="D569" t="str">
            <v>69995,C52590,10.0        FNID</v>
          </cell>
          <cell r="E569" t="str">
            <v>185502</v>
          </cell>
          <cell r="F569">
            <v>1803.19</v>
          </cell>
          <cell r="G569">
            <v>39300</v>
          </cell>
          <cell r="H569">
            <v>39302</v>
          </cell>
        </row>
        <row r="570">
          <cell r="A570" t="str">
            <v>R2-009JJ-E004</v>
          </cell>
          <cell r="B570" t="str">
            <v>MATRIX SERVICE INC.</v>
          </cell>
          <cell r="C570" t="str">
            <v>CONTR SRV AGMT - M/R</v>
          </cell>
          <cell r="D570" t="str">
            <v>69186,C52590,2.0         FNID</v>
          </cell>
          <cell r="E570" t="str">
            <v>185503</v>
          </cell>
          <cell r="F570">
            <v>1217.98</v>
          </cell>
          <cell r="G570">
            <v>39300</v>
          </cell>
          <cell r="H570">
            <v>39302</v>
          </cell>
        </row>
        <row r="571">
          <cell r="A571" t="str">
            <v>R2-009JJ-E004</v>
          </cell>
          <cell r="B571" t="str">
            <v>MATRIX SERVICE INC.</v>
          </cell>
          <cell r="C571" t="str">
            <v>CONTR SRV AGMT - M/R</v>
          </cell>
          <cell r="D571" t="str">
            <v>69186,C52590,2.0         FNID</v>
          </cell>
          <cell r="E571" t="str">
            <v>185505</v>
          </cell>
          <cell r="F571">
            <v>100.94</v>
          </cell>
          <cell r="G571">
            <v>39300</v>
          </cell>
          <cell r="H571">
            <v>39302</v>
          </cell>
        </row>
        <row r="572">
          <cell r="A572" t="str">
            <v>R2-009JJ-E004</v>
          </cell>
          <cell r="B572" t="str">
            <v>MATRIX SERVICE INC.</v>
          </cell>
          <cell r="C572" t="str">
            <v>CONTR SRV AGMT - M/R</v>
          </cell>
          <cell r="D572" t="str">
            <v>69186,C52590,2.0         FNID</v>
          </cell>
          <cell r="E572" t="str">
            <v>185984</v>
          </cell>
          <cell r="F572">
            <v>18942.13</v>
          </cell>
          <cell r="G572">
            <v>39301</v>
          </cell>
          <cell r="H572">
            <v>39309</v>
          </cell>
        </row>
        <row r="573">
          <cell r="A573" t="str">
            <v>R2-009JJ-E004</v>
          </cell>
          <cell r="B573" t="str">
            <v>MATRIX SERVICE INC.</v>
          </cell>
          <cell r="C573" t="str">
            <v>CONTR SRV AGMT - M/R</v>
          </cell>
          <cell r="D573" t="str">
            <v>69995,C52590,10.0        FNID</v>
          </cell>
          <cell r="E573" t="str">
            <v>185984</v>
          </cell>
          <cell r="F573">
            <v>1212.04</v>
          </cell>
          <cell r="G573">
            <v>39301</v>
          </cell>
          <cell r="H573">
            <v>39309</v>
          </cell>
        </row>
        <row r="574">
          <cell r="A574" t="str">
            <v>R2-009JJ-E004</v>
          </cell>
          <cell r="B574" t="str">
            <v>MATRIX SERVICE INC.</v>
          </cell>
          <cell r="C574" t="str">
            <v>CONTR SRV AGMT - M/R</v>
          </cell>
          <cell r="D574" t="str">
            <v>69186,C52590,2.0         FNID</v>
          </cell>
          <cell r="E574" t="str">
            <v>185985</v>
          </cell>
          <cell r="F574">
            <v>1217.98</v>
          </cell>
          <cell r="G574">
            <v>39301</v>
          </cell>
          <cell r="H574">
            <v>39309</v>
          </cell>
        </row>
        <row r="575">
          <cell r="A575" t="str">
            <v>R2-009JJ-E004</v>
          </cell>
          <cell r="B575" t="str">
            <v>MATRIX SERVICE INC.</v>
          </cell>
          <cell r="C575" t="str">
            <v>CONTR SRV AGMT - M/R</v>
          </cell>
          <cell r="D575" t="str">
            <v>69186,C52590,2.0         FNID</v>
          </cell>
          <cell r="E575" t="str">
            <v>185986</v>
          </cell>
          <cell r="F575">
            <v>4598.74</v>
          </cell>
          <cell r="G575">
            <v>39301</v>
          </cell>
          <cell r="H575">
            <v>39309</v>
          </cell>
        </row>
        <row r="576">
          <cell r="A576" t="str">
            <v>R2-009JJ-E004</v>
          </cell>
          <cell r="B576" t="str">
            <v>MATRIX SERVICE INC.</v>
          </cell>
          <cell r="C576" t="str">
            <v>CONTR SRV AGMT - M/R</v>
          </cell>
          <cell r="D576" t="str">
            <v>69186,C52590,2.0         FNID</v>
          </cell>
          <cell r="E576" t="str">
            <v>186617</v>
          </cell>
          <cell r="F576">
            <v>15560.67</v>
          </cell>
          <cell r="G576">
            <v>39310</v>
          </cell>
          <cell r="H576">
            <v>39316</v>
          </cell>
        </row>
        <row r="577">
          <cell r="A577" t="str">
            <v>R2-009JJ-E004</v>
          </cell>
          <cell r="B577" t="str">
            <v>MATRIX SERVICE INC.</v>
          </cell>
          <cell r="C577" t="str">
            <v>CONTR SRV AGMT - M/R</v>
          </cell>
          <cell r="D577" t="str">
            <v>69186,C52590,2.0         FNID</v>
          </cell>
          <cell r="E577" t="str">
            <v>186618</v>
          </cell>
          <cell r="F577">
            <v>1217.98</v>
          </cell>
          <cell r="G577">
            <v>39310</v>
          </cell>
          <cell r="H577">
            <v>39316</v>
          </cell>
        </row>
        <row r="578">
          <cell r="A578" t="str">
            <v>R2-009JJ-E004</v>
          </cell>
          <cell r="B578" t="str">
            <v>MATRIX SERVICE INC.</v>
          </cell>
          <cell r="C578" t="str">
            <v>CONTR SRV AGMT - M/R</v>
          </cell>
          <cell r="D578" t="str">
            <v>69186,C52590,2.0         FNID</v>
          </cell>
          <cell r="E578" t="str">
            <v>186619</v>
          </cell>
          <cell r="F578">
            <v>28.41</v>
          </cell>
          <cell r="G578">
            <v>39310</v>
          </cell>
          <cell r="H578">
            <v>39316</v>
          </cell>
        </row>
        <row r="579">
          <cell r="A579" t="str">
            <v>R2-009JJ-E004</v>
          </cell>
          <cell r="B579" t="str">
            <v>MATRIX SERVICE INC.</v>
          </cell>
          <cell r="C579" t="str">
            <v>CONTR SRV AGMT - M/R</v>
          </cell>
          <cell r="D579" t="str">
            <v>69186,C52590,2.0         FNID</v>
          </cell>
          <cell r="E579" t="str">
            <v>187224</v>
          </cell>
          <cell r="F579">
            <v>7116.97</v>
          </cell>
          <cell r="G579">
            <v>39315</v>
          </cell>
          <cell r="H579">
            <v>39323</v>
          </cell>
        </row>
        <row r="580">
          <cell r="A580" t="str">
            <v>R2-009JJ-E004</v>
          </cell>
          <cell r="B580" t="str">
            <v>MATRIX SERVICE INC.</v>
          </cell>
          <cell r="C580" t="str">
            <v>CONTR SRV AGMT - M/R</v>
          </cell>
          <cell r="D580" t="str">
            <v>69186,C52590,2.0         FNID</v>
          </cell>
          <cell r="E580" t="str">
            <v>187225</v>
          </cell>
          <cell r="F580">
            <v>456.73</v>
          </cell>
          <cell r="G580">
            <v>39315</v>
          </cell>
          <cell r="H580">
            <v>39323</v>
          </cell>
        </row>
        <row r="581">
          <cell r="A581" t="str">
            <v>R2-009JJ-E004</v>
          </cell>
          <cell r="B581" t="str">
            <v>MATRIX SERVICE INC.</v>
          </cell>
          <cell r="C581" t="str">
            <v>CONTR SRV AGMT - M/R</v>
          </cell>
          <cell r="D581" t="str">
            <v>69186,C52590,2.0         FNID</v>
          </cell>
          <cell r="E581" t="str">
            <v>187226</v>
          </cell>
          <cell r="F581">
            <v>2050.9299999999998</v>
          </cell>
          <cell r="G581">
            <v>39315</v>
          </cell>
          <cell r="H581">
            <v>39323</v>
          </cell>
        </row>
        <row r="582">
          <cell r="A582" t="str">
            <v>R2-009JJ-E004</v>
          </cell>
          <cell r="B582" t="str">
            <v>MATRIX SERVICE INC.</v>
          </cell>
          <cell r="C582" t="str">
            <v>CONTR SRV AGMT - M/R</v>
          </cell>
          <cell r="D582" t="str">
            <v>69186,C52590,2.0         FNID</v>
          </cell>
          <cell r="E582" t="str">
            <v>187602</v>
          </cell>
          <cell r="F582">
            <v>4892.7</v>
          </cell>
          <cell r="G582">
            <v>39322</v>
          </cell>
          <cell r="H582">
            <v>39330</v>
          </cell>
        </row>
        <row r="583">
          <cell r="A583" t="str">
            <v>R2-009JJ-E004</v>
          </cell>
          <cell r="B583" t="str">
            <v>MATRIX SERVICE INC.</v>
          </cell>
          <cell r="C583" t="str">
            <v>CONTR SRV AGMT - M/R</v>
          </cell>
          <cell r="D583" t="str">
            <v>69918,C52590,20.0        FNID</v>
          </cell>
          <cell r="E583" t="str">
            <v>187602</v>
          </cell>
          <cell r="F583">
            <v>8126.82</v>
          </cell>
          <cell r="G583">
            <v>39322</v>
          </cell>
          <cell r="H583">
            <v>39330</v>
          </cell>
        </row>
        <row r="584">
          <cell r="A584" t="str">
            <v>R2-009JJ-E004</v>
          </cell>
          <cell r="B584" t="str">
            <v>MATRIX SERVICE INC.</v>
          </cell>
          <cell r="C584" t="str">
            <v>CONTR SRV AGMT - M/R</v>
          </cell>
          <cell r="D584" t="str">
            <v>69186,C52590,2.0         FNID</v>
          </cell>
          <cell r="E584" t="str">
            <v>187603</v>
          </cell>
          <cell r="F584">
            <v>395.84</v>
          </cell>
          <cell r="G584">
            <v>39322</v>
          </cell>
          <cell r="H584">
            <v>39330</v>
          </cell>
        </row>
        <row r="585">
          <cell r="A585" t="str">
            <v>R2-009JJ-E004</v>
          </cell>
          <cell r="B585" t="str">
            <v>MATRIX SERVICE INC.</v>
          </cell>
          <cell r="C585" t="str">
            <v>CONTR SRV AGMT - M/R</v>
          </cell>
          <cell r="D585" t="str">
            <v>69918,C52590,20.0        FNID</v>
          </cell>
          <cell r="E585" t="str">
            <v>187603</v>
          </cell>
          <cell r="F585">
            <v>487.19</v>
          </cell>
          <cell r="G585">
            <v>39322</v>
          </cell>
          <cell r="H585">
            <v>39330</v>
          </cell>
        </row>
        <row r="586">
          <cell r="A586" t="str">
            <v>R2-009JJ-E004</v>
          </cell>
          <cell r="B586" t="str">
            <v>MATRIX SERVICE INC.</v>
          </cell>
          <cell r="C586" t="str">
            <v>CONTR SRV AGMT - M/R</v>
          </cell>
          <cell r="D586" t="str">
            <v>69186,C52590,2.0         FNID</v>
          </cell>
          <cell r="E586" t="str">
            <v>187604</v>
          </cell>
          <cell r="F586">
            <v>1465.48</v>
          </cell>
          <cell r="G586">
            <v>39322</v>
          </cell>
          <cell r="H586">
            <v>39330</v>
          </cell>
        </row>
        <row r="587">
          <cell r="A587" t="str">
            <v>R2-009JJ-E004</v>
          </cell>
          <cell r="B587" t="str">
            <v>MATRIX SERVICE INC.</v>
          </cell>
          <cell r="C587" t="str">
            <v>CONTR SRV AGMT - M/R</v>
          </cell>
          <cell r="D587" t="str">
            <v>69186,C52590,2.0         FNID</v>
          </cell>
          <cell r="E587" t="str">
            <v>188266</v>
          </cell>
          <cell r="F587">
            <v>76.14</v>
          </cell>
          <cell r="G587">
            <v>39330</v>
          </cell>
          <cell r="H587">
            <v>39336</v>
          </cell>
        </row>
        <row r="588">
          <cell r="A588" t="str">
            <v>R2-009JJ-E004</v>
          </cell>
          <cell r="B588" t="str">
            <v>MATRIX SERVICE INC.</v>
          </cell>
          <cell r="C588" t="str">
            <v>CONTR SRV AGMT - M/R</v>
          </cell>
          <cell r="D588" t="str">
            <v>69918,C52590,20.0        FNID</v>
          </cell>
          <cell r="E588" t="str">
            <v>188266</v>
          </cell>
          <cell r="F588">
            <v>532.89</v>
          </cell>
          <cell r="G588">
            <v>39330</v>
          </cell>
          <cell r="H588">
            <v>39336</v>
          </cell>
        </row>
        <row r="589">
          <cell r="A589" t="str">
            <v>R2-009JJ-E004</v>
          </cell>
          <cell r="B589" t="str">
            <v>MATRIX SERVICE INC.</v>
          </cell>
          <cell r="C589" t="str">
            <v>CONTR SRV AGMT - M/R</v>
          </cell>
          <cell r="D589" t="str">
            <v>69998,C52590,12.0        FNID</v>
          </cell>
          <cell r="E589" t="str">
            <v>188267</v>
          </cell>
          <cell r="F589">
            <v>1172.77</v>
          </cell>
          <cell r="G589">
            <v>39330</v>
          </cell>
          <cell r="H589">
            <v>39336</v>
          </cell>
        </row>
        <row r="590">
          <cell r="A590" t="str">
            <v>R2-009JJ-E004</v>
          </cell>
          <cell r="B590" t="str">
            <v>MATRIX SERVICE INC.</v>
          </cell>
          <cell r="C590" t="str">
            <v>CONTR SRV AGMT - M/R</v>
          </cell>
          <cell r="D590" t="str">
            <v>69186,C52590,2.0         FNID</v>
          </cell>
          <cell r="E590" t="str">
            <v>188264</v>
          </cell>
          <cell r="F590">
            <v>1018.47</v>
          </cell>
          <cell r="G590">
            <v>39330</v>
          </cell>
          <cell r="H590">
            <v>39336</v>
          </cell>
        </row>
        <row r="591">
          <cell r="A591" t="str">
            <v>R2-009JJ-E004</v>
          </cell>
          <cell r="B591" t="str">
            <v>MATRIX SERVICE INC.</v>
          </cell>
          <cell r="C591" t="str">
            <v>CONTR SRV AGMT - M/R</v>
          </cell>
          <cell r="D591" t="str">
            <v>69918,C52590,20.0        FNID</v>
          </cell>
          <cell r="E591" t="str">
            <v>188264</v>
          </cell>
          <cell r="F591">
            <v>10429.69</v>
          </cell>
          <cell r="G591">
            <v>39330</v>
          </cell>
          <cell r="H591">
            <v>39336</v>
          </cell>
        </row>
        <row r="592">
          <cell r="A592" t="str">
            <v>R2-009JJ-E004</v>
          </cell>
          <cell r="B592" t="str">
            <v>MATRIX SERVICE INC.</v>
          </cell>
          <cell r="C592" t="str">
            <v>CONTR SRV AGMT - M/R</v>
          </cell>
          <cell r="D592" t="str">
            <v>69918,C52590,20.0        FNID</v>
          </cell>
          <cell r="E592" t="str">
            <v>188955</v>
          </cell>
          <cell r="F592">
            <v>7442.05</v>
          </cell>
          <cell r="G592">
            <v>39337</v>
          </cell>
          <cell r="H592">
            <v>39343</v>
          </cell>
        </row>
        <row r="593">
          <cell r="A593" t="str">
            <v>R2-009JJ-E004</v>
          </cell>
          <cell r="B593" t="str">
            <v>MATRIX SERVICE INC.</v>
          </cell>
          <cell r="C593" t="str">
            <v>CONTR SRV AGMT - M/R</v>
          </cell>
          <cell r="D593" t="str">
            <v>69918,C52590,20.0        FNID</v>
          </cell>
          <cell r="E593" t="str">
            <v>188958</v>
          </cell>
          <cell r="F593">
            <v>456.74</v>
          </cell>
          <cell r="G593">
            <v>39337</v>
          </cell>
          <cell r="H593">
            <v>39343</v>
          </cell>
        </row>
        <row r="594">
          <cell r="A594" t="str">
            <v>R2-009JJ-E004</v>
          </cell>
          <cell r="B594" t="str">
            <v>MATRIX SERVICE INC.</v>
          </cell>
          <cell r="C594" t="str">
            <v>CONTR SRV AGMT - M/R</v>
          </cell>
          <cell r="D594" t="str">
            <v>69186,C52590,2.0         FNID</v>
          </cell>
          <cell r="E594" t="str">
            <v>188962</v>
          </cell>
          <cell r="F594">
            <v>3284.41</v>
          </cell>
          <cell r="G594">
            <v>39337</v>
          </cell>
          <cell r="H594">
            <v>39343</v>
          </cell>
        </row>
        <row r="595">
          <cell r="A595" t="str">
            <v>R2-009JJ-E004</v>
          </cell>
          <cell r="B595" t="str">
            <v>MATRIX SERVICE INC.</v>
          </cell>
          <cell r="C595" t="str">
            <v>CONTR SRV AGMT - M/R</v>
          </cell>
          <cell r="D595" t="str">
            <v>69186,C52590,2.0         FNID</v>
          </cell>
          <cell r="E595" t="str">
            <v>189591</v>
          </cell>
          <cell r="F595">
            <v>6071.44</v>
          </cell>
          <cell r="G595">
            <v>39344</v>
          </cell>
          <cell r="H595">
            <v>39350</v>
          </cell>
        </row>
        <row r="596">
          <cell r="A596" t="str">
            <v>R2-009JJ-E004</v>
          </cell>
          <cell r="B596" t="str">
            <v>MATRIX SERVICE INC.</v>
          </cell>
          <cell r="C596" t="str">
            <v>CONTR SRV AGMT - M/R</v>
          </cell>
          <cell r="D596" t="str">
            <v>69918,C52590,20.0        FNID</v>
          </cell>
          <cell r="E596" t="str">
            <v>189591</v>
          </cell>
          <cell r="F596">
            <v>3435.86</v>
          </cell>
          <cell r="G596">
            <v>39344</v>
          </cell>
          <cell r="H596">
            <v>39350</v>
          </cell>
        </row>
        <row r="597">
          <cell r="A597" t="str">
            <v>R2-009JJ-E004</v>
          </cell>
          <cell r="B597" t="str">
            <v>MATRIX SERVICE INC.</v>
          </cell>
          <cell r="C597" t="str">
            <v>CONTR SRV AGMT - M/R</v>
          </cell>
          <cell r="D597" t="str">
            <v>69186,C52590,2.0         FNID</v>
          </cell>
          <cell r="E597" t="str">
            <v>189592</v>
          </cell>
          <cell r="F597">
            <v>152.25</v>
          </cell>
          <cell r="G597">
            <v>39344</v>
          </cell>
          <cell r="H597">
            <v>39350</v>
          </cell>
        </row>
        <row r="598">
          <cell r="A598" t="str">
            <v>R2-009JJ-E004</v>
          </cell>
          <cell r="B598" t="str">
            <v>MATRIX SERVICE INC.</v>
          </cell>
          <cell r="C598" t="str">
            <v>CONTR SRV AGMT - M/R</v>
          </cell>
          <cell r="D598" t="str">
            <v>69918,C52590,20.0        FNID</v>
          </cell>
          <cell r="E598" t="str">
            <v>189592</v>
          </cell>
          <cell r="F598">
            <v>456.74</v>
          </cell>
          <cell r="G598">
            <v>39344</v>
          </cell>
          <cell r="H598">
            <v>39350</v>
          </cell>
        </row>
        <row r="599">
          <cell r="A599" t="str">
            <v>R2-009JJ-E004</v>
          </cell>
          <cell r="B599" t="str">
            <v>MATRIX SERVICE INC.</v>
          </cell>
          <cell r="C599" t="str">
            <v>CONTR SRV AGMT - M/R</v>
          </cell>
          <cell r="D599" t="str">
            <v>69186,C52590,2.0         FNID</v>
          </cell>
          <cell r="E599" t="str">
            <v>191185</v>
          </cell>
          <cell r="F599">
            <v>21655.02</v>
          </cell>
          <cell r="G599">
            <v>39342</v>
          </cell>
          <cell r="H599">
            <v>39365</v>
          </cell>
        </row>
        <row r="600">
          <cell r="A600" t="str">
            <v>R2-009JJ-E004</v>
          </cell>
          <cell r="B600" t="str">
            <v>MATRIX SERVICE INC.</v>
          </cell>
          <cell r="C600" t="str">
            <v>CONTR SRV AGMT - M/R</v>
          </cell>
          <cell r="D600" t="str">
            <v>69918,C52590,20.0        FNID</v>
          </cell>
          <cell r="E600" t="str">
            <v>191185</v>
          </cell>
          <cell r="F600">
            <v>3154.53</v>
          </cell>
          <cell r="G600">
            <v>39342</v>
          </cell>
          <cell r="H600">
            <v>39365</v>
          </cell>
        </row>
        <row r="601">
          <cell r="A601" t="str">
            <v>R2-009JJ-E004</v>
          </cell>
          <cell r="B601" t="str">
            <v>MATRIX SERVICE INC.</v>
          </cell>
          <cell r="C601" t="str">
            <v>CONTR SRV AGMT - M/R</v>
          </cell>
          <cell r="D601" t="str">
            <v>69186,C52590,2.0         FNID</v>
          </cell>
          <cell r="E601" t="str">
            <v>191188</v>
          </cell>
          <cell r="F601">
            <v>1217.98</v>
          </cell>
          <cell r="G601">
            <v>39342</v>
          </cell>
          <cell r="H601">
            <v>39365</v>
          </cell>
        </row>
        <row r="602">
          <cell r="A602" t="str">
            <v>R2-009JJ-E004</v>
          </cell>
          <cell r="B602" t="str">
            <v>MATRIX SERVICE INC.</v>
          </cell>
          <cell r="C602" t="str">
            <v>CONTR SRV AGMT - M/R</v>
          </cell>
          <cell r="D602" t="str">
            <v>69918,C52590,20.0        FNID</v>
          </cell>
          <cell r="E602" t="str">
            <v>191188</v>
          </cell>
          <cell r="F602">
            <v>456.74</v>
          </cell>
          <cell r="G602">
            <v>39342</v>
          </cell>
          <cell r="H602">
            <v>39365</v>
          </cell>
        </row>
        <row r="603">
          <cell r="A603" t="str">
            <v>R2-009JJ-E004</v>
          </cell>
          <cell r="B603" t="str">
            <v>MATRIX SERVICE INC.</v>
          </cell>
          <cell r="C603" t="str">
            <v>CONTR SRV AGMT - M/R</v>
          </cell>
          <cell r="D603" t="str">
            <v>69186,C52590,2.0         FNID</v>
          </cell>
          <cell r="E603" t="str">
            <v>191900</v>
          </cell>
          <cell r="F603">
            <v>5081.93</v>
          </cell>
          <cell r="G603">
            <v>39364</v>
          </cell>
          <cell r="H603">
            <v>39372</v>
          </cell>
        </row>
        <row r="604">
          <cell r="A604" t="str">
            <v>R2-009JJ-E004</v>
          </cell>
          <cell r="B604" t="str">
            <v>MATRIX SERVICE INC.</v>
          </cell>
          <cell r="C604" t="str">
            <v>CONTR SRV AGMT - M/R</v>
          </cell>
          <cell r="D604" t="str">
            <v>69918,C52590,20.0        FNID</v>
          </cell>
          <cell r="E604" t="str">
            <v>191900</v>
          </cell>
          <cell r="F604">
            <v>839.99</v>
          </cell>
          <cell r="G604">
            <v>39364</v>
          </cell>
          <cell r="H604">
            <v>39372</v>
          </cell>
        </row>
        <row r="605">
          <cell r="A605" t="str">
            <v>R2-009JJ-E004</v>
          </cell>
          <cell r="B605" t="str">
            <v>MATRIX SERVICE INC.</v>
          </cell>
          <cell r="C605" t="str">
            <v>CONTR SRV AGMT - M/R</v>
          </cell>
          <cell r="D605" t="str">
            <v>69186,C52590,2.0         FNID</v>
          </cell>
          <cell r="E605" t="str">
            <v>191901</v>
          </cell>
          <cell r="F605">
            <v>532.88</v>
          </cell>
          <cell r="G605">
            <v>39364</v>
          </cell>
          <cell r="H605">
            <v>39372</v>
          </cell>
        </row>
        <row r="606">
          <cell r="A606" t="str">
            <v>R2-009JJ-E004</v>
          </cell>
          <cell r="B606" t="str">
            <v>MATRIX SERVICE INC.</v>
          </cell>
          <cell r="C606" t="str">
            <v>CONTR SRV AGMT - M/R</v>
          </cell>
          <cell r="D606" t="str">
            <v>69918,C52590,20.0        FNID</v>
          </cell>
          <cell r="E606" t="str">
            <v>191901</v>
          </cell>
          <cell r="F606">
            <v>76.14</v>
          </cell>
          <cell r="G606">
            <v>39364</v>
          </cell>
          <cell r="H606">
            <v>39372</v>
          </cell>
        </row>
        <row r="607">
          <cell r="A607" t="str">
            <v>R2-009JJ-E004</v>
          </cell>
          <cell r="B607" t="str">
            <v>MATRIX SERVICE INC.</v>
          </cell>
          <cell r="C607" t="str">
            <v>CONTR SRV AGMT - M/R</v>
          </cell>
          <cell r="D607" t="str">
            <v>69186,C52590,2.0         FNID</v>
          </cell>
          <cell r="E607" t="str">
            <v>191903</v>
          </cell>
          <cell r="F607">
            <v>1188.8699999999999</v>
          </cell>
          <cell r="G607">
            <v>39364</v>
          </cell>
          <cell r="H607">
            <v>39372</v>
          </cell>
        </row>
        <row r="608">
          <cell r="A608" t="str">
            <v>R2-009JJ-E004</v>
          </cell>
          <cell r="B608" t="str">
            <v>MATRIX SERVICE INC.</v>
          </cell>
          <cell r="C608" t="str">
            <v>CONTR SRV AGMT - M/R</v>
          </cell>
          <cell r="D608" t="str">
            <v>69918,C52590,20.0        FNID</v>
          </cell>
          <cell r="E608" t="str">
            <v>191903</v>
          </cell>
          <cell r="F608">
            <v>243.9</v>
          </cell>
          <cell r="G608">
            <v>39364</v>
          </cell>
          <cell r="H608">
            <v>39372</v>
          </cell>
        </row>
        <row r="609">
          <cell r="A609" t="str">
            <v>R2-009JJ-E004</v>
          </cell>
          <cell r="B609" t="str">
            <v>MATRIX SERVICE INC.</v>
          </cell>
          <cell r="C609" t="str">
            <v>CONTR SRV AGMT - M/R</v>
          </cell>
          <cell r="D609" t="str">
            <v>69186,C52590,2.0         FNID</v>
          </cell>
          <cell r="E609" t="str">
            <v>193764</v>
          </cell>
          <cell r="F609">
            <v>9163.26</v>
          </cell>
          <cell r="G609">
            <v>39385</v>
          </cell>
          <cell r="H609">
            <v>39386</v>
          </cell>
        </row>
        <row r="610">
          <cell r="A610" t="str">
            <v>R2-009JJ-E004</v>
          </cell>
          <cell r="B610" t="str">
            <v>MATRIX SERVICE INC.</v>
          </cell>
          <cell r="C610" t="str">
            <v>CONTR SRV AGMT - M/R</v>
          </cell>
          <cell r="D610" t="str">
            <v>69186,C52590,2.0         FNID</v>
          </cell>
          <cell r="E610" t="str">
            <v>193765</v>
          </cell>
          <cell r="F610">
            <v>304.48</v>
          </cell>
          <cell r="G610">
            <v>39385</v>
          </cell>
          <cell r="H610">
            <v>39386</v>
          </cell>
        </row>
        <row r="611">
          <cell r="A611" t="str">
            <v>R2-009JJ-E004</v>
          </cell>
          <cell r="B611" t="str">
            <v>MATRIX SERVICE INC.</v>
          </cell>
          <cell r="C611" t="str">
            <v>CONTR SRV AGMT - M/R</v>
          </cell>
          <cell r="D611" t="str">
            <v>69186,C52590,2.0         FNID</v>
          </cell>
          <cell r="E611" t="str">
            <v>193767</v>
          </cell>
          <cell r="F611">
            <v>413.26</v>
          </cell>
          <cell r="G611">
            <v>39385</v>
          </cell>
          <cell r="H611">
            <v>39386</v>
          </cell>
        </row>
        <row r="612">
          <cell r="A612" t="str">
            <v>R2-009JJ-E004</v>
          </cell>
          <cell r="B612" t="str">
            <v>MATRIX SERVICE INC.</v>
          </cell>
          <cell r="C612" t="str">
            <v>CONTR SRV AGMT - M/R</v>
          </cell>
          <cell r="D612" t="str">
            <v>69998,C52590,12.0        FNID</v>
          </cell>
          <cell r="E612" t="str">
            <v>193767</v>
          </cell>
          <cell r="F612">
            <v>96.57</v>
          </cell>
          <cell r="G612">
            <v>39385</v>
          </cell>
          <cell r="H612">
            <v>39386</v>
          </cell>
        </row>
        <row r="613">
          <cell r="A613" t="str">
            <v>R2-009JJ-E004</v>
          </cell>
          <cell r="B613" t="str">
            <v>MATRIX SERVICE INC.</v>
          </cell>
          <cell r="C613" t="str">
            <v>CONTR SRV AGMT - M/R</v>
          </cell>
          <cell r="D613" t="str">
            <v>69918,C52590,20.0        FNID</v>
          </cell>
          <cell r="E613" t="str">
            <v>193767</v>
          </cell>
          <cell r="F613">
            <v>20.49</v>
          </cell>
          <cell r="G613">
            <v>39385</v>
          </cell>
          <cell r="H613">
            <v>39386</v>
          </cell>
        </row>
        <row r="614">
          <cell r="A614" t="str">
            <v>R2-009JJ-E004</v>
          </cell>
          <cell r="B614" t="str">
            <v>MATRIX SERVICE INC.</v>
          </cell>
          <cell r="C614" t="str">
            <v>CONTR SRV AGMT - M/R</v>
          </cell>
          <cell r="D614" t="str">
            <v>69186,C52590,2.0         FNID</v>
          </cell>
          <cell r="E614" t="str">
            <v>194638</v>
          </cell>
          <cell r="F614">
            <v>8128.43</v>
          </cell>
          <cell r="G614">
            <v>39391</v>
          </cell>
          <cell r="H614">
            <v>39393</v>
          </cell>
        </row>
        <row r="615">
          <cell r="A615" t="str">
            <v>R2-009JJ-E004</v>
          </cell>
          <cell r="B615" t="str">
            <v>MATRIX SERVICE INC.</v>
          </cell>
          <cell r="C615" t="str">
            <v>CONTR SRV AGMT - M/R</v>
          </cell>
          <cell r="D615" t="str">
            <v>69186,C52590,2.0         FNID</v>
          </cell>
          <cell r="E615" t="str">
            <v>194639</v>
          </cell>
          <cell r="F615">
            <v>456.73</v>
          </cell>
          <cell r="G615">
            <v>39391</v>
          </cell>
          <cell r="H615">
            <v>39393</v>
          </cell>
        </row>
        <row r="616">
          <cell r="A616" t="str">
            <v>R2-009JJ-E004</v>
          </cell>
          <cell r="B616" t="str">
            <v>MATRIX SERVICE INC.</v>
          </cell>
          <cell r="C616" t="str">
            <v>CONTR SRV AGMT - M/R</v>
          </cell>
          <cell r="D616" t="str">
            <v>69186,C52590,2.0         FNID</v>
          </cell>
          <cell r="E616" t="str">
            <v>195506</v>
          </cell>
          <cell r="F616">
            <v>11283.94</v>
          </cell>
          <cell r="G616">
            <v>39393</v>
          </cell>
          <cell r="H616">
            <v>39401</v>
          </cell>
        </row>
        <row r="617">
          <cell r="A617" t="str">
            <v>R2-009JJ-E004</v>
          </cell>
          <cell r="B617" t="str">
            <v>MATRIX SERVICE INC.</v>
          </cell>
          <cell r="C617" t="str">
            <v>CONTR SRV AGMT - M/R</v>
          </cell>
          <cell r="D617" t="str">
            <v>69186,C52590,2.0         FNID</v>
          </cell>
          <cell r="E617" t="str">
            <v>195508</v>
          </cell>
          <cell r="F617">
            <v>609</v>
          </cell>
          <cell r="G617">
            <v>39393</v>
          </cell>
          <cell r="H617">
            <v>39401</v>
          </cell>
        </row>
        <row r="618">
          <cell r="A618" t="str">
            <v>R2-009JJ-E004</v>
          </cell>
          <cell r="B618" t="str">
            <v>MATRIX SERVICE INC.</v>
          </cell>
          <cell r="C618" t="str">
            <v>CONTR SRV AGMT - M/R</v>
          </cell>
          <cell r="D618" t="str">
            <v>69186,C52590,2.0         FNID</v>
          </cell>
          <cell r="E618" t="str">
            <v>196296</v>
          </cell>
          <cell r="F618">
            <v>12111.22</v>
          </cell>
          <cell r="G618">
            <v>39400</v>
          </cell>
          <cell r="H618">
            <v>39406</v>
          </cell>
        </row>
        <row r="619">
          <cell r="A619" t="str">
            <v>R2-009JJ-E004</v>
          </cell>
          <cell r="B619" t="str">
            <v>MATRIX SERVICE INC.</v>
          </cell>
          <cell r="C619" t="str">
            <v>CONTR SRV AGMT - M/R</v>
          </cell>
          <cell r="D619" t="str">
            <v>69186,C52590,2.0         FNID</v>
          </cell>
          <cell r="E619" t="str">
            <v>196297</v>
          </cell>
          <cell r="F619">
            <v>456.73</v>
          </cell>
          <cell r="G619">
            <v>39400</v>
          </cell>
          <cell r="H619">
            <v>39406</v>
          </cell>
        </row>
        <row r="620">
          <cell r="A620" t="str">
            <v>R2-009JJ-E004</v>
          </cell>
          <cell r="B620" t="str">
            <v>MATRIX SERVICE INC.</v>
          </cell>
          <cell r="C620" t="str">
            <v>CONTR SRV AGMT - M/R</v>
          </cell>
          <cell r="D620" t="str">
            <v>69186,C52590,2.0         FNID</v>
          </cell>
          <cell r="E620" t="str">
            <v>196971</v>
          </cell>
          <cell r="F620">
            <v>8065.46</v>
          </cell>
          <cell r="G620">
            <v>39405</v>
          </cell>
          <cell r="H620">
            <v>39414</v>
          </cell>
        </row>
        <row r="621">
          <cell r="A621" t="str">
            <v>R2-009JJ-E004</v>
          </cell>
          <cell r="B621" t="str">
            <v>MATRIX SERVICE INC.</v>
          </cell>
          <cell r="C621" t="str">
            <v>CONTR SRV AGMT - M/R</v>
          </cell>
          <cell r="D621" t="str">
            <v>69186,C52590,2.0         FNID</v>
          </cell>
          <cell r="E621" t="str">
            <v>196972</v>
          </cell>
          <cell r="F621">
            <v>456.73</v>
          </cell>
          <cell r="G621">
            <v>39405</v>
          </cell>
          <cell r="H621">
            <v>39414</v>
          </cell>
        </row>
        <row r="622">
          <cell r="A622" t="str">
            <v>R2-009JJ-E004</v>
          </cell>
          <cell r="B622" t="str">
            <v>MATRIX SERVICE INC.</v>
          </cell>
          <cell r="C622" t="str">
            <v>CONTR SRV AGMT - M/R</v>
          </cell>
          <cell r="D622" t="str">
            <v>69186,C52590,2.0         FNID</v>
          </cell>
          <cell r="E622" t="str">
            <v>197727</v>
          </cell>
          <cell r="F622">
            <v>5679.62</v>
          </cell>
          <cell r="G622">
            <v>39414</v>
          </cell>
          <cell r="H622">
            <v>39421</v>
          </cell>
        </row>
        <row r="623">
          <cell r="A623" t="str">
            <v>R2-009JJ-E004</v>
          </cell>
          <cell r="B623" t="str">
            <v>MATRIX SERVICE INC.</v>
          </cell>
          <cell r="C623" t="str">
            <v>CONTR SRV AGMT - M/R</v>
          </cell>
          <cell r="D623" t="str">
            <v>69186,C52590,2.0         FNID</v>
          </cell>
          <cell r="E623" t="str">
            <v>197730</v>
          </cell>
          <cell r="F623">
            <v>304.49</v>
          </cell>
          <cell r="G623">
            <v>39414</v>
          </cell>
          <cell r="H623">
            <v>39421</v>
          </cell>
        </row>
        <row r="624">
          <cell r="A624" t="str">
            <v>R2-009JJ-E004</v>
          </cell>
          <cell r="B624" t="str">
            <v>MATRIX SERVICE INC.</v>
          </cell>
          <cell r="C624" t="str">
            <v>CONTR SRV AGMT - M/R</v>
          </cell>
          <cell r="D624" t="str">
            <v>69186,C52590,2.0         FNID</v>
          </cell>
          <cell r="E624" t="str">
            <v>198619</v>
          </cell>
          <cell r="F624">
            <v>6277.83</v>
          </cell>
          <cell r="G624">
            <v>39426</v>
          </cell>
          <cell r="H624">
            <v>39428</v>
          </cell>
        </row>
        <row r="625">
          <cell r="A625" t="str">
            <v>R2-009JJ-E004</v>
          </cell>
          <cell r="B625" t="str">
            <v>MATRIX SERVICE INC.</v>
          </cell>
          <cell r="C625" t="str">
            <v>CONTR SRV AGMT - M/R</v>
          </cell>
          <cell r="D625" t="str">
            <v>69186,C52590,2.0         FNID</v>
          </cell>
          <cell r="E625" t="str">
            <v>198620</v>
          </cell>
          <cell r="F625">
            <v>456.73</v>
          </cell>
          <cell r="G625">
            <v>39426</v>
          </cell>
          <cell r="H625">
            <v>39428</v>
          </cell>
        </row>
        <row r="626">
          <cell r="A626" t="str">
            <v>R2-009JJ-E004</v>
          </cell>
          <cell r="B626" t="str">
            <v>MATRIX SERVICE INC.</v>
          </cell>
          <cell r="C626" t="str">
            <v>CONTR SRV AGMT - M/R</v>
          </cell>
          <cell r="D626" t="str">
            <v>69186,C52590,2.0         FNID</v>
          </cell>
          <cell r="E626" t="str">
            <v>198622</v>
          </cell>
          <cell r="F626">
            <v>1086.83</v>
          </cell>
          <cell r="G626">
            <v>39426</v>
          </cell>
          <cell r="H626">
            <v>39428</v>
          </cell>
        </row>
        <row r="627">
          <cell r="A627" t="str">
            <v>R2-009JJ-E004</v>
          </cell>
          <cell r="B627" t="str">
            <v>MATRIX SERVICE INC.</v>
          </cell>
          <cell r="C627" t="str">
            <v>CONTR SRV AGMT - M/R</v>
          </cell>
          <cell r="D627" t="str">
            <v>69186,C52590,2.0         FNID</v>
          </cell>
          <cell r="E627" t="str">
            <v>199297</v>
          </cell>
          <cell r="F627">
            <v>11112.88</v>
          </cell>
          <cell r="G627">
            <v>39428</v>
          </cell>
          <cell r="H627">
            <v>39434</v>
          </cell>
        </row>
        <row r="628">
          <cell r="A628" t="str">
            <v>R2-009JJ-E004</v>
          </cell>
          <cell r="B628" t="str">
            <v>MATRIX SERVICE INC.</v>
          </cell>
          <cell r="C628" t="str">
            <v>CONTR SRV AGMT - M/R</v>
          </cell>
          <cell r="D628" t="str">
            <v>69186,C52590,2.0         FNID</v>
          </cell>
          <cell r="E628" t="str">
            <v>199299</v>
          </cell>
          <cell r="F628">
            <v>456.73</v>
          </cell>
          <cell r="G628">
            <v>39428</v>
          </cell>
          <cell r="H628">
            <v>39434</v>
          </cell>
        </row>
        <row r="629">
          <cell r="A629" t="str">
            <v>R2-009JJ-E004</v>
          </cell>
          <cell r="B629" t="str">
            <v>MATRIX SERVICE INC.</v>
          </cell>
          <cell r="C629" t="str">
            <v>CONTR SRV AGMT - M/R</v>
          </cell>
          <cell r="D629" t="str">
            <v>69186,C52590,2.0         FNID</v>
          </cell>
          <cell r="E629" t="str">
            <v>199788</v>
          </cell>
          <cell r="F629">
            <v>10206.459999999999</v>
          </cell>
          <cell r="G629">
            <v>39435</v>
          </cell>
          <cell r="H629">
            <v>39437</v>
          </cell>
        </row>
        <row r="630">
          <cell r="A630" t="str">
            <v>R2-009JJ-E004</v>
          </cell>
          <cell r="B630" t="str">
            <v>MATRIX SERVICE INC.</v>
          </cell>
          <cell r="C630" t="str">
            <v>CONTR SRV AGMT - M/R</v>
          </cell>
          <cell r="D630" t="str">
            <v>69186,C52590,2.0         FNID</v>
          </cell>
          <cell r="E630" t="str">
            <v>199790</v>
          </cell>
          <cell r="F630">
            <v>609.01</v>
          </cell>
          <cell r="G630">
            <v>39435</v>
          </cell>
          <cell r="H630">
            <v>39437</v>
          </cell>
        </row>
        <row r="631">
          <cell r="A631" t="str">
            <v>R2-009JJ-E004</v>
          </cell>
          <cell r="B631" t="str">
            <v>MATRIX SERVICE INC.</v>
          </cell>
          <cell r="C631" t="str">
            <v>CONTR SRV AGMT - M/R</v>
          </cell>
          <cell r="D631" t="str">
            <v>69186,C52590,2.0         FNID</v>
          </cell>
          <cell r="E631" t="str">
            <v>199931</v>
          </cell>
          <cell r="F631">
            <v>169.42</v>
          </cell>
          <cell r="G631">
            <v>39433</v>
          </cell>
          <cell r="H631">
            <v>39440</v>
          </cell>
        </row>
        <row r="632">
          <cell r="A632" t="str">
            <v>R2-009JJ-E004</v>
          </cell>
          <cell r="B632" t="str">
            <v>MATRIX SERVICE INC.</v>
          </cell>
          <cell r="C632" t="str">
            <v>CONTR SRV AGMT - M/R</v>
          </cell>
          <cell r="D632" t="str">
            <v>69186,C52590,2.0         FNID</v>
          </cell>
          <cell r="E632" t="str">
            <v>200269</v>
          </cell>
          <cell r="F632">
            <v>8198.17</v>
          </cell>
          <cell r="G632">
            <v>39440</v>
          </cell>
          <cell r="H632">
            <v>39443</v>
          </cell>
        </row>
        <row r="633">
          <cell r="A633" t="str">
            <v>R2-009JJ-E004</v>
          </cell>
          <cell r="B633" t="str">
            <v>MATRIX SERVICE INC.</v>
          </cell>
          <cell r="C633" t="str">
            <v>CONTR SRV AGMT - M/R</v>
          </cell>
          <cell r="D633" t="str">
            <v>69186,C52590,2.0         FNID</v>
          </cell>
          <cell r="E633" t="str">
            <v>200270</v>
          </cell>
          <cell r="F633">
            <v>609.01</v>
          </cell>
          <cell r="G633">
            <v>39440</v>
          </cell>
          <cell r="H633">
            <v>39443</v>
          </cell>
        </row>
        <row r="634">
          <cell r="A634" t="str">
            <v>R2-009JJ-E004</v>
          </cell>
          <cell r="B634" t="str">
            <v>MATRIX SERVICE INC.</v>
          </cell>
          <cell r="C634" t="str">
            <v>CONTR SRV AGMT - M/R</v>
          </cell>
          <cell r="D634" t="str">
            <v>69186,C52590,2.0         FNID</v>
          </cell>
          <cell r="E634" t="str">
            <v>200936</v>
          </cell>
          <cell r="F634">
            <v>4111.25</v>
          </cell>
          <cell r="G634">
            <v>39447</v>
          </cell>
          <cell r="H634">
            <v>39450</v>
          </cell>
        </row>
        <row r="635">
          <cell r="A635" t="str">
            <v>R2-009JJ-E004</v>
          </cell>
          <cell r="B635" t="str">
            <v>MATRIX SERVICE INC.</v>
          </cell>
          <cell r="C635" t="str">
            <v>CONTR SRV AGMT - M/R</v>
          </cell>
          <cell r="D635" t="str">
            <v>69186,C52590,2.0         FNID</v>
          </cell>
          <cell r="E635" t="str">
            <v>200937</v>
          </cell>
          <cell r="F635">
            <v>304.5</v>
          </cell>
          <cell r="G635">
            <v>39447</v>
          </cell>
          <cell r="H635">
            <v>39450</v>
          </cell>
        </row>
        <row r="636">
          <cell r="A636" t="str">
            <v>R2-009JJ-E004</v>
          </cell>
          <cell r="B636" t="str">
            <v>MATRIX SERVICE INC.</v>
          </cell>
          <cell r="C636" t="str">
            <v>CONTR SRV AGMT - M/R</v>
          </cell>
          <cell r="D636" t="str">
            <v>69186,C52590,2.0         FNID</v>
          </cell>
          <cell r="E636" t="str">
            <v>202019</v>
          </cell>
          <cell r="F636">
            <v>7023.22</v>
          </cell>
          <cell r="G636">
            <v>39456</v>
          </cell>
          <cell r="H636">
            <v>39463</v>
          </cell>
        </row>
        <row r="637">
          <cell r="A637" t="str">
            <v>R2-009JJ-E004</v>
          </cell>
          <cell r="B637" t="str">
            <v>MATRIX SERVICE INC.</v>
          </cell>
          <cell r="C637" t="str">
            <v>CONTR SRV AGMT - M/R</v>
          </cell>
          <cell r="D637" t="str">
            <v>69186,C52590,2.0         FNID</v>
          </cell>
          <cell r="E637" t="str">
            <v>202020</v>
          </cell>
          <cell r="F637">
            <v>456.74</v>
          </cell>
          <cell r="G637">
            <v>39456</v>
          </cell>
          <cell r="H637">
            <v>39463</v>
          </cell>
        </row>
        <row r="638">
          <cell r="B638" t="str">
            <v>MATRIX SERVICE INC.</v>
          </cell>
        </row>
        <row r="639">
          <cell r="A639" t="str">
            <v>R2-009JJ-E004</v>
          </cell>
          <cell r="B639" t="str">
            <v>MORSE STEEL SERVICE</v>
          </cell>
          <cell r="C639" t="str">
            <v>REPAIR MTL &amp; SUPPLY</v>
          </cell>
          <cell r="D639" t="str">
            <v>69186,C60882,1.0         FNID320186114</v>
          </cell>
          <cell r="E639" t="str">
            <v>194037</v>
          </cell>
          <cell r="F639">
            <v>622.89</v>
          </cell>
          <cell r="G639">
            <v>39373</v>
          </cell>
          <cell r="H639">
            <v>39387</v>
          </cell>
        </row>
        <row r="640">
          <cell r="B640" t="str">
            <v>MORSE STEEL SERVICE</v>
          </cell>
        </row>
        <row r="641">
          <cell r="A641" t="str">
            <v>R2-009JJ-E004</v>
          </cell>
          <cell r="B641" t="str">
            <v>NORTHWEST CASCADE</v>
          </cell>
          <cell r="C641" t="str">
            <v>CONTR SRV AGMT - M/R</v>
          </cell>
          <cell r="D641" t="str">
            <v>69186,C53079,12.0        FNID</v>
          </cell>
          <cell r="E641" t="str">
            <v>183155</v>
          </cell>
          <cell r="F641">
            <v>469</v>
          </cell>
          <cell r="G641">
            <v>39259</v>
          </cell>
          <cell r="H641">
            <v>39274</v>
          </cell>
        </row>
        <row r="642">
          <cell r="A642" t="str">
            <v>R2-009JJ-E004</v>
          </cell>
          <cell r="B642" t="str">
            <v>NORTHWEST CASCADE</v>
          </cell>
          <cell r="C642" t="str">
            <v>CONTR SRV AGMT - M/R</v>
          </cell>
          <cell r="D642" t="str">
            <v>69186,C53079,12.0        FNID</v>
          </cell>
          <cell r="E642" t="str">
            <v>186027</v>
          </cell>
          <cell r="F642">
            <v>469</v>
          </cell>
          <cell r="G642">
            <v>39301</v>
          </cell>
          <cell r="H642">
            <v>39309</v>
          </cell>
        </row>
        <row r="643">
          <cell r="A643" t="str">
            <v>R2-009JJ-E004</v>
          </cell>
          <cell r="B643" t="str">
            <v>NORTHWEST CASCADE</v>
          </cell>
          <cell r="C643" t="str">
            <v>CONTR SRV AGMT - M/R</v>
          </cell>
          <cell r="D643" t="str">
            <v>69186,C53079,12.0        FNID</v>
          </cell>
          <cell r="E643" t="str">
            <v>187632</v>
          </cell>
          <cell r="F643">
            <v>469</v>
          </cell>
          <cell r="G643">
            <v>39322</v>
          </cell>
          <cell r="H643">
            <v>39329</v>
          </cell>
        </row>
        <row r="644">
          <cell r="A644" t="str">
            <v>R2-009JJ-E004</v>
          </cell>
          <cell r="B644" t="str">
            <v>NORTHWEST CASCADE</v>
          </cell>
          <cell r="C644" t="str">
            <v>CONTR SRV AGMT - M/R</v>
          </cell>
          <cell r="D644" t="str">
            <v>69186,C53079,12.0        FNID</v>
          </cell>
          <cell r="E644" t="str">
            <v>189043</v>
          </cell>
          <cell r="F644">
            <v>469</v>
          </cell>
          <cell r="G644">
            <v>39322</v>
          </cell>
          <cell r="H644">
            <v>39343</v>
          </cell>
        </row>
        <row r="645">
          <cell r="A645" t="str">
            <v>R2-009JJ-E004</v>
          </cell>
          <cell r="B645" t="str">
            <v>NORTHWEST CASCADE</v>
          </cell>
          <cell r="C645" t="str">
            <v>CONTR SRV AGMT - M/R</v>
          </cell>
          <cell r="D645" t="str">
            <v>69186,C53079,12.0        FNID</v>
          </cell>
          <cell r="E645" t="str">
            <v>191231</v>
          </cell>
          <cell r="F645">
            <v>469</v>
          </cell>
          <cell r="G645">
            <v>39360</v>
          </cell>
          <cell r="H645">
            <v>39365</v>
          </cell>
        </row>
        <row r="646">
          <cell r="A646" t="str">
            <v>R2-009JJ-E004</v>
          </cell>
          <cell r="B646" t="str">
            <v>NORTHWEST CASCADE</v>
          </cell>
          <cell r="C646" t="str">
            <v>CONTR SRV AGMT - M/R</v>
          </cell>
          <cell r="D646" t="str">
            <v>69186,C53079,12.0        FNID</v>
          </cell>
          <cell r="E646" t="str">
            <v>196351</v>
          </cell>
          <cell r="F646">
            <v>469</v>
          </cell>
          <cell r="G646">
            <v>39399</v>
          </cell>
          <cell r="H646">
            <v>39406</v>
          </cell>
        </row>
        <row r="647">
          <cell r="A647" t="str">
            <v>R2-009JJ-E004</v>
          </cell>
          <cell r="B647" t="str">
            <v>NORTHWEST CASCADE</v>
          </cell>
          <cell r="C647" t="str">
            <v>CONTR SRV AGMT - M/R</v>
          </cell>
          <cell r="D647" t="str">
            <v>69186,C53079,12.0        FNID</v>
          </cell>
          <cell r="E647" t="str">
            <v>199404</v>
          </cell>
          <cell r="F647">
            <v>469</v>
          </cell>
          <cell r="G647">
            <v>39427</v>
          </cell>
          <cell r="H647">
            <v>39434</v>
          </cell>
        </row>
        <row r="648">
          <cell r="A648" t="str">
            <v>R2-009JJ-E004</v>
          </cell>
          <cell r="B648" t="str">
            <v>NORTHWEST CASCADE</v>
          </cell>
          <cell r="C648" t="str">
            <v>CONTR SRV AGMT - M/R</v>
          </cell>
          <cell r="D648" t="str">
            <v>69186,C53079,12.0        FNID</v>
          </cell>
          <cell r="E648" t="str">
            <v>201475</v>
          </cell>
          <cell r="F648">
            <v>469</v>
          </cell>
          <cell r="G648">
            <v>39451</v>
          </cell>
          <cell r="H648">
            <v>39455</v>
          </cell>
        </row>
        <row r="649">
          <cell r="B649" t="str">
            <v>NORTHWEST CASCADE</v>
          </cell>
        </row>
        <row r="650">
          <cell r="A650" t="str">
            <v>R2-009JJ-E004</v>
          </cell>
          <cell r="B650" t="str">
            <v>OFFICE SUPPLIES</v>
          </cell>
          <cell r="C650" t="str">
            <v>REPAIR MTL &amp; SUPPLY</v>
          </cell>
          <cell r="D650" t="str">
            <v>69186,,0.0</v>
          </cell>
          <cell r="E650" t="str">
            <v>8178569</v>
          </cell>
          <cell r="F650">
            <v>106.72</v>
          </cell>
          <cell r="G650">
            <v>39342</v>
          </cell>
          <cell r="H650">
            <v>39342</v>
          </cell>
        </row>
        <row r="651">
          <cell r="A651" t="str">
            <v>R2-009JJ-E004</v>
          </cell>
          <cell r="B651" t="str">
            <v>OFFICE SUPPLIES</v>
          </cell>
          <cell r="C651" t="str">
            <v>REPAIR MTL &amp; SUPPLY</v>
          </cell>
          <cell r="D651" t="str">
            <v>69186,,0.0</v>
          </cell>
          <cell r="E651" t="str">
            <v>8178574</v>
          </cell>
          <cell r="F651">
            <v>59.7</v>
          </cell>
          <cell r="G651">
            <v>39342</v>
          </cell>
          <cell r="H651">
            <v>39342</v>
          </cell>
        </row>
        <row r="652">
          <cell r="A652" t="str">
            <v>R2-009JJ-E004</v>
          </cell>
          <cell r="B652" t="str">
            <v>OFFICE SUPPLIES</v>
          </cell>
          <cell r="C652" t="str">
            <v>REPAIR MTL &amp; SUPPLY</v>
          </cell>
          <cell r="D652" t="str">
            <v>69186,,0.0</v>
          </cell>
          <cell r="E652" t="str">
            <v>8178576</v>
          </cell>
          <cell r="F652">
            <v>280.01</v>
          </cell>
          <cell r="G652">
            <v>39342</v>
          </cell>
          <cell r="H652">
            <v>39342</v>
          </cell>
        </row>
        <row r="653">
          <cell r="A653" t="str">
            <v>R2-009JJ-E004</v>
          </cell>
          <cell r="B653" t="str">
            <v>OFFICE SUPPLIES</v>
          </cell>
          <cell r="C653" t="str">
            <v>REPAIR MTL &amp; SUPPLY</v>
          </cell>
          <cell r="D653" t="str">
            <v>69186,,0.0</v>
          </cell>
          <cell r="E653" t="str">
            <v>8318306</v>
          </cell>
          <cell r="F653">
            <v>203.93</v>
          </cell>
          <cell r="G653">
            <v>39392</v>
          </cell>
          <cell r="H653">
            <v>39392</v>
          </cell>
        </row>
        <row r="654">
          <cell r="A654" t="str">
            <v>R2-009JJ-E004</v>
          </cell>
          <cell r="B654" t="str">
            <v>OFFICE SUPPLIES</v>
          </cell>
          <cell r="C654" t="str">
            <v>REPAIR MTL &amp; SUPPLY</v>
          </cell>
          <cell r="D654" t="str">
            <v>69186,,0.0</v>
          </cell>
          <cell r="E654" t="str">
            <v>8318309</v>
          </cell>
          <cell r="F654">
            <v>235.01</v>
          </cell>
          <cell r="G654">
            <v>39392</v>
          </cell>
          <cell r="H654">
            <v>39392</v>
          </cell>
        </row>
        <row r="655">
          <cell r="B655" t="str">
            <v>OFFICE SUPPLIES</v>
          </cell>
        </row>
        <row r="656">
          <cell r="A656" t="str">
            <v>R2-009JJ-E004</v>
          </cell>
          <cell r="B656" t="str">
            <v>OSO LUMBER &amp; HARDWARE INC</v>
          </cell>
          <cell r="C656" t="str">
            <v>REPAIR MTL &amp; SUPPLY</v>
          </cell>
          <cell r="D656" t="str">
            <v>69918,C59882,1.0         FNID156812370</v>
          </cell>
          <cell r="E656" t="str">
            <v>191427</v>
          </cell>
          <cell r="F656">
            <v>740.4</v>
          </cell>
          <cell r="G656">
            <v>39336</v>
          </cell>
          <cell r="H656">
            <v>39371</v>
          </cell>
        </row>
        <row r="657">
          <cell r="A657" t="str">
            <v>R2-009JJ-E004</v>
          </cell>
          <cell r="B657" t="str">
            <v>OSO LUMBER &amp; HARDWARE INC</v>
          </cell>
          <cell r="C657" t="str">
            <v>REPAIR MTL &amp; SUPPLY</v>
          </cell>
          <cell r="D657" t="str">
            <v>69186,C61268,1.0         FNID320540381</v>
          </cell>
          <cell r="E657" t="str">
            <v>195198</v>
          </cell>
          <cell r="F657">
            <v>1004.51</v>
          </cell>
          <cell r="G657">
            <v>39385</v>
          </cell>
          <cell r="H657">
            <v>39399</v>
          </cell>
        </row>
        <row r="658">
          <cell r="A658" t="str">
            <v>R2-009JJ-E004</v>
          </cell>
          <cell r="B658" t="str">
            <v>OSO LUMBER &amp; HARDWARE INC</v>
          </cell>
          <cell r="C658" t="str">
            <v>REPAIR MTL &amp; SUPPLY</v>
          </cell>
          <cell r="D658" t="str">
            <v>69186,C60961,1.0         FNID320540382</v>
          </cell>
          <cell r="E658" t="str">
            <v>195199</v>
          </cell>
          <cell r="F658">
            <v>1166.1199999999999</v>
          </cell>
          <cell r="G658">
            <v>39374</v>
          </cell>
          <cell r="H658">
            <v>39399</v>
          </cell>
        </row>
        <row r="659">
          <cell r="A659" t="str">
            <v>R2-009JJ-E004</v>
          </cell>
          <cell r="B659" t="str">
            <v>OSO LUMBER &amp; HARDWARE INC</v>
          </cell>
          <cell r="C659" t="str">
            <v>REPAIR MTL &amp; SUPPLY</v>
          </cell>
          <cell r="D659" t="str">
            <v>69186,C60961,2.0         FNID320540382</v>
          </cell>
          <cell r="E659" t="str">
            <v>195199</v>
          </cell>
          <cell r="F659">
            <v>760.97</v>
          </cell>
          <cell r="G659">
            <v>39374</v>
          </cell>
          <cell r="H659">
            <v>39399</v>
          </cell>
        </row>
        <row r="660">
          <cell r="B660" t="str">
            <v>OSO LUMBER &amp; HARDWARE INC</v>
          </cell>
        </row>
        <row r="661">
          <cell r="A661" t="str">
            <v>R2-009JJ-E004</v>
          </cell>
          <cell r="B661" t="str">
            <v>OTHER MATERIALS AND SUPPLIES</v>
          </cell>
          <cell r="C661" t="str">
            <v>REPAIR MTL &amp; SUPPLY</v>
          </cell>
          <cell r="D661" t="str">
            <v>69186,,0.0</v>
          </cell>
          <cell r="E661" t="str">
            <v>8089327</v>
          </cell>
          <cell r="F661">
            <v>4335.47</v>
          </cell>
          <cell r="G661">
            <v>39261</v>
          </cell>
          <cell r="H661">
            <v>39261</v>
          </cell>
        </row>
        <row r="662">
          <cell r="A662" t="str">
            <v>R2-009JJ-E004</v>
          </cell>
          <cell r="B662" t="str">
            <v>OTHER MATERIALS AND SUPPLIES</v>
          </cell>
          <cell r="C662" t="str">
            <v>REPAIR MTL &amp; SUPPLY</v>
          </cell>
          <cell r="D662" t="str">
            <v>69186,,0.0</v>
          </cell>
          <cell r="E662" t="str">
            <v>8089334</v>
          </cell>
          <cell r="F662">
            <v>74878.83</v>
          </cell>
          <cell r="G662">
            <v>39261</v>
          </cell>
          <cell r="H662">
            <v>39261</v>
          </cell>
        </row>
        <row r="663">
          <cell r="A663" t="str">
            <v>R2-009JJ-E004</v>
          </cell>
          <cell r="B663" t="str">
            <v>OTHER MATERIALS AND SUPPLIES</v>
          </cell>
          <cell r="C663" t="str">
            <v>REPAIR MTL &amp; SUPPLY</v>
          </cell>
          <cell r="D663" t="str">
            <v>69186,,0.0</v>
          </cell>
          <cell r="E663" t="str">
            <v>8090711</v>
          </cell>
          <cell r="F663">
            <v>29752.48</v>
          </cell>
          <cell r="G663">
            <v>39262</v>
          </cell>
          <cell r="H663">
            <v>39262</v>
          </cell>
        </row>
        <row r="664">
          <cell r="A664" t="str">
            <v>R2-009JJ-E004</v>
          </cell>
          <cell r="B664" t="str">
            <v>OTHER MATERIALS AND SUPPLIES</v>
          </cell>
          <cell r="C664" t="str">
            <v>REPAIR MTL &amp; SUPPLY</v>
          </cell>
          <cell r="D664" t="str">
            <v>69995,,0.0</v>
          </cell>
          <cell r="E664" t="str">
            <v>8177383</v>
          </cell>
          <cell r="F664">
            <v>29.6</v>
          </cell>
          <cell r="G664">
            <v>39342</v>
          </cell>
          <cell r="H664">
            <v>39342</v>
          </cell>
        </row>
        <row r="665">
          <cell r="A665" t="str">
            <v>R2-009JJ-E004</v>
          </cell>
          <cell r="B665" t="str">
            <v>OTHER MATERIALS AND SUPPLIES</v>
          </cell>
          <cell r="C665" t="str">
            <v>REPAIR MTL &amp; SUPPLY</v>
          </cell>
          <cell r="D665" t="str">
            <v>69186,,0.0</v>
          </cell>
          <cell r="E665" t="str">
            <v>8177640</v>
          </cell>
          <cell r="F665">
            <v>7.89</v>
          </cell>
          <cell r="G665">
            <v>39342</v>
          </cell>
          <cell r="H665">
            <v>39342</v>
          </cell>
        </row>
        <row r="666">
          <cell r="A666" t="str">
            <v>R2-009JJ-E004</v>
          </cell>
          <cell r="B666" t="str">
            <v>OTHER MATERIALS AND SUPPLIES</v>
          </cell>
          <cell r="C666" t="str">
            <v>REPAIR MTL &amp; SUPPLY</v>
          </cell>
          <cell r="D666" t="str">
            <v>69186,,0.0</v>
          </cell>
          <cell r="E666" t="str">
            <v>8177757</v>
          </cell>
          <cell r="F666">
            <v>11.84</v>
          </cell>
          <cell r="G666">
            <v>39342</v>
          </cell>
          <cell r="H666">
            <v>39342</v>
          </cell>
        </row>
        <row r="667">
          <cell r="A667" t="str">
            <v>R2-009JJ-E004</v>
          </cell>
          <cell r="B667" t="str">
            <v>OTHER MATERIALS AND SUPPLIES</v>
          </cell>
          <cell r="C667" t="str">
            <v>REPAIR MTL &amp; SUPPLY</v>
          </cell>
          <cell r="D667" t="str">
            <v>69186,,0.0</v>
          </cell>
          <cell r="E667" t="str">
            <v>8177957</v>
          </cell>
          <cell r="F667">
            <v>84.21</v>
          </cell>
          <cell r="G667">
            <v>39342</v>
          </cell>
          <cell r="H667">
            <v>39342</v>
          </cell>
        </row>
        <row r="668">
          <cell r="A668" t="str">
            <v>R2-009JJ-E004</v>
          </cell>
          <cell r="B668" t="str">
            <v>OTHER MATERIALS AND SUPPLIES</v>
          </cell>
          <cell r="C668" t="str">
            <v>REPAIR MTL &amp; SUPPLY</v>
          </cell>
          <cell r="D668" t="str">
            <v>69186,,0.0</v>
          </cell>
          <cell r="E668" t="str">
            <v>8178433</v>
          </cell>
          <cell r="F668">
            <v>36.700000000000003</v>
          </cell>
          <cell r="G668">
            <v>39342</v>
          </cell>
          <cell r="H668">
            <v>39342</v>
          </cell>
        </row>
        <row r="669">
          <cell r="A669" t="str">
            <v>R2-009JJ-E004</v>
          </cell>
          <cell r="B669" t="str">
            <v>OTHER MATERIALS AND SUPPLIES</v>
          </cell>
          <cell r="C669" t="str">
            <v>REPAIR MTL &amp; SUPPLY</v>
          </cell>
          <cell r="D669" t="str">
            <v>69186,,0.0</v>
          </cell>
          <cell r="E669" t="str">
            <v>8215115</v>
          </cell>
          <cell r="F669">
            <v>7.68</v>
          </cell>
          <cell r="G669">
            <v>39358</v>
          </cell>
          <cell r="H669">
            <v>39358</v>
          </cell>
        </row>
        <row r="670">
          <cell r="A670" t="str">
            <v>R2-009JJ-E004</v>
          </cell>
          <cell r="B670" t="str">
            <v>OTHER MATERIALS AND SUPPLIES</v>
          </cell>
          <cell r="C670" t="str">
            <v>REPAIR MTL &amp; SUPPLY</v>
          </cell>
          <cell r="D670" t="str">
            <v>69997,,0.0</v>
          </cell>
          <cell r="E670" t="str">
            <v>8215621</v>
          </cell>
          <cell r="F670">
            <v>2.61</v>
          </cell>
          <cell r="G670">
            <v>39358</v>
          </cell>
          <cell r="H670">
            <v>39358</v>
          </cell>
        </row>
        <row r="671">
          <cell r="A671" t="str">
            <v>R2-009JJ-E004</v>
          </cell>
          <cell r="B671" t="str">
            <v>OTHER MATERIALS AND SUPPLIES</v>
          </cell>
          <cell r="C671" t="str">
            <v>REPAIR MTL &amp; SUPPLY</v>
          </cell>
          <cell r="D671" t="str">
            <v>69186,,0.0</v>
          </cell>
          <cell r="E671" t="str">
            <v>8215657</v>
          </cell>
          <cell r="F671">
            <v>19.510000000000002</v>
          </cell>
          <cell r="G671">
            <v>39358</v>
          </cell>
          <cell r="H671">
            <v>39358</v>
          </cell>
        </row>
        <row r="672">
          <cell r="A672" t="str">
            <v>R2-009JJ-E004</v>
          </cell>
          <cell r="B672" t="str">
            <v>OTHER MATERIALS AND SUPPLIES</v>
          </cell>
          <cell r="C672" t="str">
            <v>REPAIR MTL &amp; SUPPLY</v>
          </cell>
          <cell r="D672" t="str">
            <v>69186,,0.0</v>
          </cell>
          <cell r="E672" t="str">
            <v>8215832</v>
          </cell>
          <cell r="F672">
            <v>65.83</v>
          </cell>
          <cell r="G672">
            <v>39358</v>
          </cell>
          <cell r="H672">
            <v>39358</v>
          </cell>
        </row>
        <row r="673">
          <cell r="A673" t="str">
            <v>R2-009JJ-E004</v>
          </cell>
          <cell r="B673" t="str">
            <v>OTHER MATERIALS AND SUPPLIES</v>
          </cell>
          <cell r="C673" t="str">
            <v>REPAIR MTL &amp; SUPPLY</v>
          </cell>
          <cell r="D673" t="str">
            <v>69997,,0.0</v>
          </cell>
          <cell r="E673" t="str">
            <v>8215953</v>
          </cell>
          <cell r="F673">
            <v>14.63</v>
          </cell>
          <cell r="G673">
            <v>39358</v>
          </cell>
          <cell r="H673">
            <v>39358</v>
          </cell>
        </row>
        <row r="674">
          <cell r="A674" t="str">
            <v>R2-009JJ-E004</v>
          </cell>
          <cell r="B674" t="str">
            <v>OTHER MATERIALS AND SUPPLIES</v>
          </cell>
          <cell r="C674" t="str">
            <v>REPAIR MTL &amp; SUPPLY</v>
          </cell>
          <cell r="D674" t="str">
            <v>69186,,0.0</v>
          </cell>
          <cell r="E674" t="str">
            <v>8216352</v>
          </cell>
          <cell r="F674">
            <v>494.59</v>
          </cell>
          <cell r="G674">
            <v>39358</v>
          </cell>
          <cell r="H674">
            <v>39358</v>
          </cell>
        </row>
        <row r="675">
          <cell r="A675" t="str">
            <v>R2-009JJ-E004</v>
          </cell>
          <cell r="B675" t="str">
            <v>OTHER MATERIALS AND SUPPLIES</v>
          </cell>
          <cell r="C675" t="str">
            <v>REPAIR MTL &amp; SUPPLY</v>
          </cell>
          <cell r="D675" t="str">
            <v>69997,,0.0</v>
          </cell>
          <cell r="E675" t="str">
            <v>8317258</v>
          </cell>
          <cell r="F675">
            <v>45.56</v>
          </cell>
          <cell r="G675">
            <v>39392</v>
          </cell>
          <cell r="H675">
            <v>39392</v>
          </cell>
        </row>
        <row r="676">
          <cell r="A676" t="str">
            <v>R2-009JJ-E004</v>
          </cell>
          <cell r="B676" t="str">
            <v>OTHER MATERIALS AND SUPPLIES</v>
          </cell>
          <cell r="C676" t="str">
            <v>REPAIR MTL &amp; SUPPLY</v>
          </cell>
          <cell r="D676" t="str">
            <v>69997,,0.0</v>
          </cell>
          <cell r="E676" t="str">
            <v>8317405</v>
          </cell>
          <cell r="F676">
            <v>8.32</v>
          </cell>
          <cell r="G676">
            <v>39392</v>
          </cell>
          <cell r="H676">
            <v>39392</v>
          </cell>
        </row>
        <row r="677">
          <cell r="A677" t="str">
            <v>R2-009JJ-E004</v>
          </cell>
          <cell r="B677" t="str">
            <v>OTHER MATERIALS AND SUPPLIES</v>
          </cell>
          <cell r="C677" t="str">
            <v>REPAIR MTL &amp; SUPPLY</v>
          </cell>
          <cell r="D677" t="str">
            <v>69918,,0.0</v>
          </cell>
          <cell r="E677" t="str">
            <v>8317756</v>
          </cell>
          <cell r="F677">
            <v>21.36</v>
          </cell>
          <cell r="G677">
            <v>39392</v>
          </cell>
          <cell r="H677">
            <v>39392</v>
          </cell>
        </row>
        <row r="678">
          <cell r="B678" t="str">
            <v>OTHER MATERIALS AND SUPPLIES</v>
          </cell>
        </row>
        <row r="679">
          <cell r="A679" t="str">
            <v>R2-009JJ-E004</v>
          </cell>
          <cell r="B679" t="str">
            <v>OTHER RENTALS</v>
          </cell>
          <cell r="C679" t="str">
            <v>CONTR SRV AGMT - M/R</v>
          </cell>
          <cell r="D679" t="str">
            <v>69186,,0.0</v>
          </cell>
          <cell r="E679" t="str">
            <v>8090702</v>
          </cell>
          <cell r="F679">
            <v>170651.83</v>
          </cell>
          <cell r="G679">
            <v>39262</v>
          </cell>
          <cell r="H679">
            <v>39262</v>
          </cell>
        </row>
        <row r="680">
          <cell r="B680" t="str">
            <v>OTHER RENTALS</v>
          </cell>
        </row>
        <row r="681">
          <cell r="A681" t="str">
            <v>R2-009JJ-E004</v>
          </cell>
          <cell r="B681" t="str">
            <v>PACIFIC MOBILE</v>
          </cell>
          <cell r="C681" t="str">
            <v>REPAIR MTL &amp; SUPPLY</v>
          </cell>
          <cell r="D681" t="str">
            <v>69186,C60545,3.0         FNID157039029</v>
          </cell>
          <cell r="E681" t="str">
            <v>192525</v>
          </cell>
          <cell r="F681">
            <v>308.95</v>
          </cell>
          <cell r="G681">
            <v>39359</v>
          </cell>
          <cell r="H681">
            <v>39378</v>
          </cell>
        </row>
        <row r="682">
          <cell r="A682" t="str">
            <v>R2-009JJ-E004</v>
          </cell>
          <cell r="B682" t="str">
            <v>PACIFIC MOBILE</v>
          </cell>
          <cell r="C682" t="str">
            <v>REPAIR MTL &amp; SUPPLY</v>
          </cell>
          <cell r="D682" t="str">
            <v>69186,C60545,1.0         FNID321518418</v>
          </cell>
          <cell r="E682" t="str">
            <v>200124</v>
          </cell>
          <cell r="F682">
            <v>1436.31</v>
          </cell>
          <cell r="G682">
            <v>39346</v>
          </cell>
          <cell r="H682">
            <v>39443</v>
          </cell>
        </row>
        <row r="683">
          <cell r="A683" t="str">
            <v>R2-009JJ-E004</v>
          </cell>
          <cell r="B683" t="str">
            <v>PACIFIC MOBILE</v>
          </cell>
          <cell r="C683" t="str">
            <v>REPAIR MTL &amp; SUPPLY</v>
          </cell>
          <cell r="D683" t="str">
            <v>69186,C60545,2.0         FNID321518418</v>
          </cell>
          <cell r="E683" t="str">
            <v>200124</v>
          </cell>
          <cell r="F683">
            <v>834.68</v>
          </cell>
          <cell r="G683">
            <v>39346</v>
          </cell>
          <cell r="H683">
            <v>39443</v>
          </cell>
        </row>
        <row r="684">
          <cell r="A684" t="str">
            <v>R2-009JJ-E004</v>
          </cell>
          <cell r="B684" t="str">
            <v>PACIFIC MOBILE</v>
          </cell>
          <cell r="C684" t="str">
            <v>REPAIR MTL &amp; SUPPLY</v>
          </cell>
          <cell r="D684" t="str">
            <v>69186,C62005,1.0         FNID321817000</v>
          </cell>
          <cell r="E684" t="str">
            <v>201697</v>
          </cell>
          <cell r="F684">
            <v>2659.75</v>
          </cell>
          <cell r="G684">
            <v>39387</v>
          </cell>
          <cell r="H684">
            <v>39457</v>
          </cell>
        </row>
        <row r="685">
          <cell r="A685" t="str">
            <v>R2-009JJ-E004</v>
          </cell>
          <cell r="B685" t="str">
            <v>PACIFIC MOBILE</v>
          </cell>
          <cell r="C685" t="str">
            <v>REPAIR MTL &amp; SUPPLY</v>
          </cell>
          <cell r="D685" t="str">
            <v>69186,C62005,2.0         FNID321817000</v>
          </cell>
          <cell r="E685" t="str">
            <v>201697</v>
          </cell>
          <cell r="F685">
            <v>712.06</v>
          </cell>
          <cell r="G685">
            <v>39387</v>
          </cell>
          <cell r="H685">
            <v>39457</v>
          </cell>
        </row>
        <row r="686">
          <cell r="A686" t="str">
            <v>R2-009JJ-E004</v>
          </cell>
          <cell r="B686" t="str">
            <v>PACIFIC MOBILE</v>
          </cell>
          <cell r="C686" t="str">
            <v>REPAIR MTL &amp; SUPPLY</v>
          </cell>
          <cell r="D686" t="str">
            <v>69186,C62005,3.0         FNID321817000</v>
          </cell>
          <cell r="E686" t="str">
            <v>201697</v>
          </cell>
          <cell r="F686">
            <v>206.45</v>
          </cell>
          <cell r="G686">
            <v>39387</v>
          </cell>
          <cell r="H686">
            <v>39457</v>
          </cell>
        </row>
        <row r="687">
          <cell r="A687" t="str">
            <v>R2-009JJ-E004</v>
          </cell>
          <cell r="B687" t="str">
            <v>PACIFIC MOBILE</v>
          </cell>
          <cell r="C687" t="str">
            <v>REPAIR MTL &amp; SUPPLY</v>
          </cell>
          <cell r="D687" t="str">
            <v>69186,C62005,4.0         FNID321817000</v>
          </cell>
          <cell r="E687" t="str">
            <v>201697</v>
          </cell>
          <cell r="F687">
            <v>278.58999999999997</v>
          </cell>
          <cell r="G687">
            <v>39387</v>
          </cell>
          <cell r="H687">
            <v>39457</v>
          </cell>
        </row>
        <row r="688">
          <cell r="A688" t="str">
            <v>R2-009JJ-E004</v>
          </cell>
          <cell r="B688" t="str">
            <v>PACIFIC MOBILE</v>
          </cell>
          <cell r="C688" t="str">
            <v>REPAIR MTL &amp; SUPPLY</v>
          </cell>
          <cell r="D688" t="str">
            <v>69186,C63127,1.0         FNID322147087</v>
          </cell>
          <cell r="E688" t="str">
            <v>202577</v>
          </cell>
          <cell r="F688">
            <v>963.69</v>
          </cell>
          <cell r="G688">
            <v>39428</v>
          </cell>
          <cell r="H688">
            <v>39470</v>
          </cell>
        </row>
        <row r="689">
          <cell r="A689" t="str">
            <v>R2-009JJ-E004</v>
          </cell>
          <cell r="B689" t="str">
            <v>PACIFIC MOBILE</v>
          </cell>
          <cell r="C689" t="str">
            <v>REPAIR MTL &amp; SUPPLY</v>
          </cell>
          <cell r="D689" t="str">
            <v>69186,C63127,2.0         FNID322147087</v>
          </cell>
          <cell r="E689" t="str">
            <v>202577</v>
          </cell>
          <cell r="F689">
            <v>257.99</v>
          </cell>
          <cell r="G689">
            <v>39428</v>
          </cell>
          <cell r="H689">
            <v>39470</v>
          </cell>
        </row>
        <row r="690">
          <cell r="A690" t="str">
            <v>R2-009JJ-E004</v>
          </cell>
          <cell r="B690" t="str">
            <v>PACIFIC MOBILE</v>
          </cell>
          <cell r="C690" t="str">
            <v>REPAIR MTL &amp; SUPPLY</v>
          </cell>
          <cell r="D690" t="str">
            <v>69186,C63127,3.0         FNID322147087</v>
          </cell>
          <cell r="E690" t="str">
            <v>202577</v>
          </cell>
          <cell r="F690">
            <v>91.16</v>
          </cell>
          <cell r="G690">
            <v>39428</v>
          </cell>
          <cell r="H690">
            <v>39470</v>
          </cell>
        </row>
        <row r="691">
          <cell r="A691" t="str">
            <v>R2-009JJ-E004</v>
          </cell>
          <cell r="B691" t="str">
            <v>PACIFIC MOBILE</v>
          </cell>
          <cell r="C691" t="str">
            <v>REPAIR MTL &amp; SUPPLY</v>
          </cell>
          <cell r="D691" t="str">
            <v>69186,C63127,4.0         FNID322147087</v>
          </cell>
          <cell r="E691" t="str">
            <v>202577</v>
          </cell>
          <cell r="F691">
            <v>278.58999999999997</v>
          </cell>
          <cell r="G691">
            <v>39428</v>
          </cell>
          <cell r="H691">
            <v>39470</v>
          </cell>
        </row>
        <row r="692">
          <cell r="B692" t="str">
            <v>PACIFIC MOBILE</v>
          </cell>
        </row>
        <row r="693">
          <cell r="A693" t="str">
            <v>R2-009JJ-E004</v>
          </cell>
          <cell r="B693" t="str">
            <v>POWERTEK ELECTRIC</v>
          </cell>
          <cell r="C693" t="str">
            <v>CONTR SRV AGMT - M/R</v>
          </cell>
          <cell r="D693" t="str">
            <v>69995,C58237,1.0         FNID</v>
          </cell>
          <cell r="E693" t="str">
            <v>183087</v>
          </cell>
          <cell r="F693">
            <v>623.76</v>
          </cell>
          <cell r="G693">
            <v>39266</v>
          </cell>
          <cell r="H693">
            <v>39274</v>
          </cell>
        </row>
        <row r="694">
          <cell r="A694" t="str">
            <v>R2-009JJ-E004</v>
          </cell>
          <cell r="B694" t="str">
            <v>POWERTEK ELECTRIC</v>
          </cell>
          <cell r="C694" t="str">
            <v>CONTR SRV AGMT - M/R</v>
          </cell>
          <cell r="D694" t="str">
            <v>69997,C58237,2.0         FNID</v>
          </cell>
          <cell r="E694" t="str">
            <v>183087</v>
          </cell>
          <cell r="F694">
            <v>2937.95</v>
          </cell>
          <cell r="G694">
            <v>39266</v>
          </cell>
          <cell r="H694">
            <v>39274</v>
          </cell>
        </row>
        <row r="695">
          <cell r="A695" t="str">
            <v>R2-009JJ-E004</v>
          </cell>
          <cell r="B695" t="str">
            <v>POWERTEK ELECTRIC</v>
          </cell>
          <cell r="C695" t="str">
            <v>CONTR SRV AGMT - M/R</v>
          </cell>
          <cell r="D695" t="str">
            <v>69995,C58237,1.0         FNID</v>
          </cell>
          <cell r="E695" t="str">
            <v>183092</v>
          </cell>
          <cell r="F695">
            <v>11.38</v>
          </cell>
          <cell r="G695">
            <v>39266</v>
          </cell>
          <cell r="H695">
            <v>39274</v>
          </cell>
        </row>
        <row r="696">
          <cell r="A696" t="str">
            <v>R2-009JJ-E004</v>
          </cell>
          <cell r="B696" t="str">
            <v>POWERTEK ELECTRIC</v>
          </cell>
          <cell r="C696" t="str">
            <v>CONTR SRV AGMT - M/R</v>
          </cell>
          <cell r="D696" t="str">
            <v>69997,C58237,2.0         FNID</v>
          </cell>
          <cell r="E696" t="str">
            <v>183092</v>
          </cell>
          <cell r="F696">
            <v>104.07</v>
          </cell>
          <cell r="G696">
            <v>39266</v>
          </cell>
          <cell r="H696">
            <v>39274</v>
          </cell>
        </row>
        <row r="697">
          <cell r="A697" t="str">
            <v>R2-009JJ-E004</v>
          </cell>
          <cell r="B697" t="str">
            <v>POWERTEK ELECTRIC</v>
          </cell>
          <cell r="C697" t="str">
            <v>CONTR SRV AGMT - M/R</v>
          </cell>
          <cell r="D697" t="str">
            <v>69995,C58237,1.0         FNID</v>
          </cell>
          <cell r="E697" t="str">
            <v>183726</v>
          </cell>
          <cell r="F697">
            <v>2034.08</v>
          </cell>
          <cell r="G697">
            <v>39273</v>
          </cell>
          <cell r="H697">
            <v>39281</v>
          </cell>
        </row>
        <row r="698">
          <cell r="A698" t="str">
            <v>R2-009JJ-E004</v>
          </cell>
          <cell r="B698" t="str">
            <v>POWERTEK ELECTRIC</v>
          </cell>
          <cell r="C698" t="str">
            <v>CONTR SRV AGMT - M/R</v>
          </cell>
          <cell r="D698" t="str">
            <v>69997,C58237,2.0         FNID</v>
          </cell>
          <cell r="E698" t="str">
            <v>183726</v>
          </cell>
          <cell r="F698">
            <v>11607.31</v>
          </cell>
          <cell r="G698">
            <v>39273</v>
          </cell>
          <cell r="H698">
            <v>39281</v>
          </cell>
        </row>
        <row r="699">
          <cell r="A699" t="str">
            <v>R2-009JJ-E004</v>
          </cell>
          <cell r="B699" t="str">
            <v>POWERTEK ELECTRIC</v>
          </cell>
          <cell r="C699" t="str">
            <v>CONTR SRV AGMT - M/R</v>
          </cell>
          <cell r="D699" t="str">
            <v>69995,C58237,1.0         FNID</v>
          </cell>
          <cell r="E699" t="str">
            <v>183732</v>
          </cell>
          <cell r="F699">
            <v>60.72</v>
          </cell>
          <cell r="G699">
            <v>39273</v>
          </cell>
          <cell r="H699">
            <v>39281</v>
          </cell>
        </row>
        <row r="700">
          <cell r="A700" t="str">
            <v>R2-009JJ-E004</v>
          </cell>
          <cell r="B700" t="str">
            <v>POWERTEK ELECTRIC</v>
          </cell>
          <cell r="C700" t="str">
            <v>CONTR SRV AGMT - M/R</v>
          </cell>
          <cell r="D700" t="str">
            <v>69997,C58237,2.0         FNID</v>
          </cell>
          <cell r="E700" t="str">
            <v>183732</v>
          </cell>
          <cell r="F700">
            <v>408.44</v>
          </cell>
          <cell r="G700">
            <v>39273</v>
          </cell>
          <cell r="H700">
            <v>39281</v>
          </cell>
        </row>
        <row r="701">
          <cell r="A701" t="str">
            <v>R2-009JJ-E004</v>
          </cell>
          <cell r="B701" t="str">
            <v>POWERTEK ELECTRIC</v>
          </cell>
          <cell r="C701" t="str">
            <v>CONTR SRV AGMT - M/R</v>
          </cell>
          <cell r="D701" t="str">
            <v>69997,C58237,2.0         FNID</v>
          </cell>
          <cell r="E701" t="str">
            <v>183737</v>
          </cell>
          <cell r="F701">
            <v>1669.32</v>
          </cell>
          <cell r="G701">
            <v>39275</v>
          </cell>
          <cell r="H701">
            <v>39281</v>
          </cell>
        </row>
        <row r="702">
          <cell r="A702" t="str">
            <v>R2-009JJ-E004</v>
          </cell>
          <cell r="B702" t="str">
            <v>POWERTEK ELECTRIC</v>
          </cell>
          <cell r="C702" t="str">
            <v>CONTR SRV AGMT - M/R</v>
          </cell>
          <cell r="D702" t="str">
            <v>69995,C58237,1.0         FNID</v>
          </cell>
          <cell r="E702" t="str">
            <v>184145</v>
          </cell>
          <cell r="F702">
            <v>2194.9</v>
          </cell>
          <cell r="G702">
            <v>39280</v>
          </cell>
          <cell r="H702">
            <v>39288</v>
          </cell>
        </row>
        <row r="703">
          <cell r="A703" t="str">
            <v>R2-009JJ-E004</v>
          </cell>
          <cell r="B703" t="str">
            <v>POWERTEK ELECTRIC</v>
          </cell>
          <cell r="C703" t="str">
            <v>CONTR SRV AGMT - M/R</v>
          </cell>
          <cell r="D703" t="str">
            <v>69997,C58237,2.0         FNID</v>
          </cell>
          <cell r="E703" t="str">
            <v>184145</v>
          </cell>
          <cell r="F703">
            <v>11889.95</v>
          </cell>
          <cell r="G703">
            <v>39280</v>
          </cell>
          <cell r="H703">
            <v>39288</v>
          </cell>
        </row>
        <row r="704">
          <cell r="A704" t="str">
            <v>R2-009JJ-E004</v>
          </cell>
          <cell r="B704" t="str">
            <v>POWERTEK ELECTRIC</v>
          </cell>
          <cell r="C704" t="str">
            <v>CONTR SRV AGMT - M/R</v>
          </cell>
          <cell r="D704" t="str">
            <v>69995,C58237,1.0         FNID</v>
          </cell>
          <cell r="E704" t="str">
            <v>184150</v>
          </cell>
          <cell r="F704">
            <v>69.650000000000006</v>
          </cell>
          <cell r="G704">
            <v>39280</v>
          </cell>
          <cell r="H704">
            <v>39288</v>
          </cell>
        </row>
        <row r="705">
          <cell r="A705" t="str">
            <v>R2-009JJ-E004</v>
          </cell>
          <cell r="B705" t="str">
            <v>POWERTEK ELECTRIC</v>
          </cell>
          <cell r="C705" t="str">
            <v>CONTR SRV AGMT - M/R</v>
          </cell>
          <cell r="D705" t="str">
            <v>69997,C58237,2.0         FNID</v>
          </cell>
          <cell r="E705" t="str">
            <v>184150</v>
          </cell>
          <cell r="F705">
            <v>364.74</v>
          </cell>
          <cell r="G705">
            <v>39280</v>
          </cell>
          <cell r="H705">
            <v>39288</v>
          </cell>
        </row>
        <row r="706">
          <cell r="A706" t="str">
            <v>R2-009JJ-E004</v>
          </cell>
          <cell r="B706" t="str">
            <v>POWERTEK ELECTRIC</v>
          </cell>
          <cell r="C706" t="str">
            <v>CONTR SRV AGMT - M/R</v>
          </cell>
          <cell r="D706" t="str">
            <v>69997,C58237,2.0         FNID</v>
          </cell>
          <cell r="E706" t="str">
            <v>184154</v>
          </cell>
          <cell r="F706">
            <v>7702.34</v>
          </cell>
          <cell r="G706">
            <v>39280</v>
          </cell>
          <cell r="H706">
            <v>39288</v>
          </cell>
        </row>
        <row r="707">
          <cell r="A707" t="str">
            <v>R2-009JJ-E004</v>
          </cell>
          <cell r="B707" t="str">
            <v>POWERTEK ELECTRIC</v>
          </cell>
          <cell r="C707" t="str">
            <v>CONTR SRV AGMT - M/R</v>
          </cell>
          <cell r="D707" t="str">
            <v>69995,C58237,1.0         FNID</v>
          </cell>
          <cell r="E707" t="str">
            <v>184799</v>
          </cell>
          <cell r="F707">
            <v>1456.02</v>
          </cell>
          <cell r="G707">
            <v>39287</v>
          </cell>
          <cell r="H707">
            <v>39295</v>
          </cell>
        </row>
        <row r="708">
          <cell r="A708" t="str">
            <v>R2-009JJ-E004</v>
          </cell>
          <cell r="B708" t="str">
            <v>POWERTEK ELECTRIC</v>
          </cell>
          <cell r="C708" t="str">
            <v>CONTR SRV AGMT - M/R</v>
          </cell>
          <cell r="D708" t="str">
            <v>69997,C58237,2.0         FNID</v>
          </cell>
          <cell r="E708" t="str">
            <v>184799</v>
          </cell>
          <cell r="F708">
            <v>14205.94</v>
          </cell>
          <cell r="G708">
            <v>39287</v>
          </cell>
          <cell r="H708">
            <v>39295</v>
          </cell>
        </row>
        <row r="709">
          <cell r="A709" t="str">
            <v>R2-009JJ-E004</v>
          </cell>
          <cell r="B709" t="str">
            <v>POWERTEK ELECTRIC</v>
          </cell>
          <cell r="C709" t="str">
            <v>CONTR SRV AGMT - M/R</v>
          </cell>
          <cell r="D709" t="str">
            <v>69995,C58237,1.0         FNID</v>
          </cell>
          <cell r="E709" t="str">
            <v>184803</v>
          </cell>
          <cell r="F709">
            <v>44.08</v>
          </cell>
          <cell r="G709">
            <v>39287</v>
          </cell>
          <cell r="H709">
            <v>39295</v>
          </cell>
        </row>
        <row r="710">
          <cell r="A710" t="str">
            <v>R2-009JJ-E004</v>
          </cell>
          <cell r="B710" t="str">
            <v>POWERTEK ELECTRIC</v>
          </cell>
          <cell r="C710" t="str">
            <v>CONTR SRV AGMT - M/R</v>
          </cell>
          <cell r="D710" t="str">
            <v>69997,C58237,2.0         FNID</v>
          </cell>
          <cell r="E710" t="str">
            <v>184803</v>
          </cell>
          <cell r="F710">
            <v>610.98</v>
          </cell>
          <cell r="G710">
            <v>39287</v>
          </cell>
          <cell r="H710">
            <v>39295</v>
          </cell>
        </row>
        <row r="711">
          <cell r="A711" t="str">
            <v>R2-009JJ-E004</v>
          </cell>
          <cell r="B711" t="str">
            <v>POWERTEK ELECTRIC</v>
          </cell>
          <cell r="C711" t="str">
            <v>CONTR SRV AGMT - M/R</v>
          </cell>
          <cell r="D711" t="str">
            <v>69997,C58237,2.0         FNID</v>
          </cell>
          <cell r="E711" t="str">
            <v>184808</v>
          </cell>
          <cell r="F711">
            <v>305.7</v>
          </cell>
          <cell r="G711">
            <v>39287</v>
          </cell>
          <cell r="H711">
            <v>39295</v>
          </cell>
        </row>
        <row r="712">
          <cell r="A712" t="str">
            <v>R2-009JJ-E004</v>
          </cell>
          <cell r="B712" t="str">
            <v>POWERTEK ELECTRIC</v>
          </cell>
          <cell r="C712" t="str">
            <v>CONTR SRV AGMT - M/R</v>
          </cell>
          <cell r="D712" t="str">
            <v>69995,C58237,1.0         FNID</v>
          </cell>
          <cell r="E712" t="str">
            <v>185512</v>
          </cell>
          <cell r="F712">
            <v>75.86</v>
          </cell>
          <cell r="G712">
            <v>39294</v>
          </cell>
          <cell r="H712">
            <v>39302</v>
          </cell>
        </row>
        <row r="713">
          <cell r="A713" t="str">
            <v>R2-009JJ-E004</v>
          </cell>
          <cell r="B713" t="str">
            <v>POWERTEK ELECTRIC</v>
          </cell>
          <cell r="C713" t="str">
            <v>CONTR SRV AGMT - M/R</v>
          </cell>
          <cell r="D713" t="str">
            <v>69997,C58237,2.0         FNID</v>
          </cell>
          <cell r="E713" t="str">
            <v>185512</v>
          </cell>
          <cell r="F713">
            <v>7514.2</v>
          </cell>
          <cell r="G713">
            <v>39294</v>
          </cell>
          <cell r="H713">
            <v>39302</v>
          </cell>
        </row>
        <row r="714">
          <cell r="A714" t="str">
            <v>R2-009JJ-E004</v>
          </cell>
          <cell r="B714" t="str">
            <v>POWERTEK ELECTRIC</v>
          </cell>
          <cell r="C714" t="str">
            <v>CONTR SRV AGMT - M/R</v>
          </cell>
          <cell r="D714" t="str">
            <v>69997,C58237,2.0         FNID</v>
          </cell>
          <cell r="E714" t="str">
            <v>185519</v>
          </cell>
          <cell r="F714">
            <v>320.58999999999997</v>
          </cell>
          <cell r="G714">
            <v>39294</v>
          </cell>
          <cell r="H714">
            <v>39302</v>
          </cell>
        </row>
        <row r="715">
          <cell r="A715" t="str">
            <v>R2-009JJ-E004</v>
          </cell>
          <cell r="B715" t="str">
            <v>POWERTEK ELECTRIC</v>
          </cell>
          <cell r="C715" t="str">
            <v>CONTR SRV AGMT - M/R</v>
          </cell>
          <cell r="D715" t="str">
            <v>69997,C58237,2.0         FNID</v>
          </cell>
          <cell r="E715" t="str">
            <v>185526</v>
          </cell>
          <cell r="F715">
            <v>2661.51</v>
          </cell>
          <cell r="G715">
            <v>39294</v>
          </cell>
          <cell r="H715">
            <v>39302</v>
          </cell>
        </row>
        <row r="716">
          <cell r="A716" t="str">
            <v>R2-009JJ-E004</v>
          </cell>
          <cell r="B716" t="str">
            <v>POWERTEK ELECTRIC</v>
          </cell>
          <cell r="C716" t="str">
            <v>CONTR SRV AGMT - M/R</v>
          </cell>
          <cell r="D716" t="str">
            <v>69995,C58237,1.0         FNID</v>
          </cell>
          <cell r="E716" t="str">
            <v>185997</v>
          </cell>
          <cell r="F716">
            <v>1203.3800000000001</v>
          </cell>
          <cell r="G716">
            <v>39301</v>
          </cell>
          <cell r="H716">
            <v>39309</v>
          </cell>
        </row>
        <row r="717">
          <cell r="A717" t="str">
            <v>R2-009JJ-E004</v>
          </cell>
          <cell r="B717" t="str">
            <v>POWERTEK ELECTRIC</v>
          </cell>
          <cell r="C717" t="str">
            <v>CONTR SRV AGMT - M/R</v>
          </cell>
          <cell r="D717" t="str">
            <v>69997,C58237,2.0         FNID</v>
          </cell>
          <cell r="E717" t="str">
            <v>185997</v>
          </cell>
          <cell r="F717">
            <v>6348.25</v>
          </cell>
          <cell r="G717">
            <v>39301</v>
          </cell>
          <cell r="H717">
            <v>39309</v>
          </cell>
        </row>
        <row r="718">
          <cell r="A718" t="str">
            <v>R2-009JJ-E004</v>
          </cell>
          <cell r="B718" t="str">
            <v>POWERTEK ELECTRIC</v>
          </cell>
          <cell r="C718" t="str">
            <v>CONTR SRV AGMT - M/R</v>
          </cell>
          <cell r="D718" t="str">
            <v>69995,C58237,1.0         FNID</v>
          </cell>
          <cell r="E718" t="str">
            <v>186002</v>
          </cell>
          <cell r="F718">
            <v>42.69</v>
          </cell>
          <cell r="G718">
            <v>39301</v>
          </cell>
          <cell r="H718">
            <v>39309</v>
          </cell>
        </row>
        <row r="719">
          <cell r="A719" t="str">
            <v>R2-009JJ-E004</v>
          </cell>
          <cell r="B719" t="str">
            <v>POWERTEK ELECTRIC</v>
          </cell>
          <cell r="C719" t="str">
            <v>CONTR SRV AGMT - M/R</v>
          </cell>
          <cell r="D719" t="str">
            <v>69997,C58237,2.0         FNID</v>
          </cell>
          <cell r="E719" t="str">
            <v>186002</v>
          </cell>
          <cell r="F719">
            <v>222.55</v>
          </cell>
          <cell r="G719">
            <v>39301</v>
          </cell>
          <cell r="H719">
            <v>39309</v>
          </cell>
        </row>
        <row r="720">
          <cell r="A720" t="str">
            <v>R2-009JJ-E004</v>
          </cell>
          <cell r="B720" t="str">
            <v>POWERTEK ELECTRIC</v>
          </cell>
          <cell r="C720" t="str">
            <v>CONTR SRV AGMT - M/R</v>
          </cell>
          <cell r="D720" t="str">
            <v>69997,C58237,2.0         FNID</v>
          </cell>
          <cell r="E720" t="str">
            <v>186006</v>
          </cell>
          <cell r="F720">
            <v>2060.4899999999998</v>
          </cell>
          <cell r="G720">
            <v>39301</v>
          </cell>
          <cell r="H720">
            <v>39309</v>
          </cell>
        </row>
        <row r="721">
          <cell r="A721" t="str">
            <v>R2-009JJ-E004</v>
          </cell>
          <cell r="B721" t="str">
            <v>POWERTEK ELECTRIC</v>
          </cell>
          <cell r="C721" t="str">
            <v>CONTR SRV AGMT - M/R</v>
          </cell>
          <cell r="D721" t="str">
            <v>69995,C58237,1.0         FNID</v>
          </cell>
          <cell r="E721" t="str">
            <v>186632</v>
          </cell>
          <cell r="F721">
            <v>113.1</v>
          </cell>
          <cell r="G721">
            <v>39308</v>
          </cell>
          <cell r="H721">
            <v>39316</v>
          </cell>
        </row>
        <row r="722">
          <cell r="A722" t="str">
            <v>R2-009JJ-E004</v>
          </cell>
          <cell r="B722" t="str">
            <v>POWERTEK ELECTRIC</v>
          </cell>
          <cell r="C722" t="str">
            <v>CONTR SRV AGMT - M/R</v>
          </cell>
          <cell r="D722" t="str">
            <v>69997,C58237,2.0         FNID</v>
          </cell>
          <cell r="E722" t="str">
            <v>186632</v>
          </cell>
          <cell r="F722">
            <v>797.54</v>
          </cell>
          <cell r="G722">
            <v>39308</v>
          </cell>
          <cell r="H722">
            <v>39316</v>
          </cell>
        </row>
        <row r="723">
          <cell r="A723" t="str">
            <v>R2-009JJ-E004</v>
          </cell>
          <cell r="B723" t="str">
            <v>POWERTEK ELECTRIC</v>
          </cell>
          <cell r="C723" t="str">
            <v>CONTR SRV AGMT - M/R</v>
          </cell>
          <cell r="D723" t="str">
            <v>69997,C58237,2.0         FNID</v>
          </cell>
          <cell r="E723" t="str">
            <v>186634</v>
          </cell>
          <cell r="F723">
            <v>193.37</v>
          </cell>
          <cell r="G723">
            <v>39308</v>
          </cell>
          <cell r="H723">
            <v>39316</v>
          </cell>
        </row>
        <row r="724">
          <cell r="A724" t="str">
            <v>R2-009JJ-E004</v>
          </cell>
          <cell r="B724" t="str">
            <v>POWERTEK ELECTRIC</v>
          </cell>
          <cell r="C724" t="str">
            <v>CONTR SRV AGMT - M/R</v>
          </cell>
          <cell r="D724" t="str">
            <v>69997,C58237,2.0         FNID</v>
          </cell>
          <cell r="E724" t="str">
            <v>186637</v>
          </cell>
          <cell r="F724">
            <v>363.57</v>
          </cell>
          <cell r="G724">
            <v>39309</v>
          </cell>
          <cell r="H724">
            <v>39316</v>
          </cell>
        </row>
        <row r="725">
          <cell r="A725" t="str">
            <v>R2-009JJ-E004</v>
          </cell>
          <cell r="B725" t="str">
            <v>POWERTEK ELECTRIC</v>
          </cell>
          <cell r="C725" t="str">
            <v>CONTR SRV AGMT - M/R</v>
          </cell>
          <cell r="D725" t="str">
            <v>69995,C58237,1.0         FNID</v>
          </cell>
          <cell r="E725" t="str">
            <v>187228</v>
          </cell>
          <cell r="F725">
            <v>299.94</v>
          </cell>
          <cell r="G725">
            <v>39315</v>
          </cell>
          <cell r="H725">
            <v>39323</v>
          </cell>
        </row>
        <row r="726">
          <cell r="A726" t="str">
            <v>R2-009JJ-E004</v>
          </cell>
          <cell r="B726" t="str">
            <v>POWERTEK ELECTRIC</v>
          </cell>
          <cell r="C726" t="str">
            <v>CONTR SRV AGMT - M/R</v>
          </cell>
          <cell r="D726" t="str">
            <v>69997,C58237,2.0         FNID</v>
          </cell>
          <cell r="E726" t="str">
            <v>187228</v>
          </cell>
          <cell r="F726">
            <v>2556.92</v>
          </cell>
          <cell r="G726">
            <v>39315</v>
          </cell>
          <cell r="H726">
            <v>39323</v>
          </cell>
        </row>
        <row r="727">
          <cell r="A727" t="str">
            <v>R2-009JJ-E004</v>
          </cell>
          <cell r="B727" t="str">
            <v>POWERTEK ELECTRIC</v>
          </cell>
          <cell r="C727" t="str">
            <v>CONTR SRV AGMT - M/R</v>
          </cell>
          <cell r="D727" t="str">
            <v>69995,C58237,1.0         FNID</v>
          </cell>
          <cell r="E727" t="str">
            <v>187230</v>
          </cell>
          <cell r="F727">
            <v>3.79</v>
          </cell>
          <cell r="G727">
            <v>39315</v>
          </cell>
          <cell r="H727">
            <v>39323</v>
          </cell>
        </row>
        <row r="728">
          <cell r="A728" t="str">
            <v>R2-009JJ-E004</v>
          </cell>
          <cell r="B728" t="str">
            <v>POWERTEK ELECTRIC</v>
          </cell>
          <cell r="C728" t="str">
            <v>CONTR SRV AGMT - M/R</v>
          </cell>
          <cell r="D728" t="str">
            <v>69997,C58237,2.0         FNID</v>
          </cell>
          <cell r="E728" t="str">
            <v>187230</v>
          </cell>
          <cell r="F728">
            <v>92.68</v>
          </cell>
          <cell r="G728">
            <v>39315</v>
          </cell>
          <cell r="H728">
            <v>39323</v>
          </cell>
        </row>
        <row r="729">
          <cell r="A729" t="str">
            <v>R2-009JJ-E004</v>
          </cell>
          <cell r="B729" t="str">
            <v>POWERTEK ELECTRIC</v>
          </cell>
          <cell r="C729" t="str">
            <v>CONTR SRV AGMT - M/R</v>
          </cell>
          <cell r="D729" t="str">
            <v>69997,C58237,2.0         FNID</v>
          </cell>
          <cell r="E729" t="str">
            <v>187231</v>
          </cell>
          <cell r="F729">
            <v>556.27</v>
          </cell>
          <cell r="G729">
            <v>39315</v>
          </cell>
          <cell r="H729">
            <v>39323</v>
          </cell>
        </row>
        <row r="730">
          <cell r="A730" t="str">
            <v>R2-009JJ-E004</v>
          </cell>
          <cell r="B730" t="str">
            <v>POWERTEK ELECTRIC</v>
          </cell>
          <cell r="C730" t="str">
            <v>CONTR SRV AGMT - M/R</v>
          </cell>
          <cell r="D730" t="str">
            <v>69995,C58237,1.0         FNID</v>
          </cell>
          <cell r="E730" t="str">
            <v>187605</v>
          </cell>
          <cell r="F730">
            <v>646.07000000000005</v>
          </cell>
          <cell r="G730">
            <v>39323</v>
          </cell>
          <cell r="H730">
            <v>39330</v>
          </cell>
        </row>
        <row r="731">
          <cell r="A731" t="str">
            <v>R2-009JJ-E004</v>
          </cell>
          <cell r="B731" t="str">
            <v>POWERTEK ELECTRIC</v>
          </cell>
          <cell r="C731" t="str">
            <v>CONTR SRV AGMT - M/R</v>
          </cell>
          <cell r="D731" t="str">
            <v>69997,C58237,2.0         FNID</v>
          </cell>
          <cell r="E731" t="str">
            <v>187605</v>
          </cell>
          <cell r="F731">
            <v>2335.64</v>
          </cell>
          <cell r="G731">
            <v>39323</v>
          </cell>
          <cell r="H731">
            <v>39330</v>
          </cell>
        </row>
        <row r="732">
          <cell r="A732" t="str">
            <v>R2-009JJ-E004</v>
          </cell>
          <cell r="B732" t="str">
            <v>POWERTEK ELECTRIC</v>
          </cell>
          <cell r="C732" t="str">
            <v>CONTR SRV AGMT - M/R</v>
          </cell>
          <cell r="D732" t="str">
            <v>69995,C58237,1.0         FNID</v>
          </cell>
          <cell r="E732" t="str">
            <v>187607</v>
          </cell>
          <cell r="F732">
            <v>30.35</v>
          </cell>
          <cell r="G732">
            <v>39323</v>
          </cell>
          <cell r="H732">
            <v>39330</v>
          </cell>
        </row>
        <row r="733">
          <cell r="A733" t="str">
            <v>R2-009JJ-E004</v>
          </cell>
          <cell r="B733" t="str">
            <v>POWERTEK ELECTRIC</v>
          </cell>
          <cell r="C733" t="str">
            <v>CONTR SRV AGMT - M/R</v>
          </cell>
          <cell r="D733" t="str">
            <v>69997,C58237,2.0         FNID</v>
          </cell>
          <cell r="E733" t="str">
            <v>187607</v>
          </cell>
          <cell r="F733">
            <v>85.64</v>
          </cell>
          <cell r="G733">
            <v>39323</v>
          </cell>
          <cell r="H733">
            <v>39330</v>
          </cell>
        </row>
        <row r="734">
          <cell r="A734" t="str">
            <v>R2-009JJ-E004</v>
          </cell>
          <cell r="B734" t="str">
            <v>POWERTEK ELECTRIC</v>
          </cell>
          <cell r="C734" t="str">
            <v>CONTR SRV AGMT - M/R</v>
          </cell>
          <cell r="D734" t="str">
            <v>69997,C58237,2.0         FNID</v>
          </cell>
          <cell r="E734" t="str">
            <v>187609</v>
          </cell>
          <cell r="F734">
            <v>837.85</v>
          </cell>
          <cell r="G734">
            <v>39322</v>
          </cell>
          <cell r="H734">
            <v>39330</v>
          </cell>
        </row>
        <row r="735">
          <cell r="A735" t="str">
            <v>R2-009JJ-E004</v>
          </cell>
          <cell r="B735" t="str">
            <v>POWERTEK ELECTRIC</v>
          </cell>
          <cell r="C735" t="str">
            <v>CONTR SRV AGMT - M/R</v>
          </cell>
          <cell r="D735" t="str">
            <v>69997,C58237,2.0         FNID</v>
          </cell>
          <cell r="E735" t="str">
            <v>188285</v>
          </cell>
          <cell r="F735">
            <v>1068.77</v>
          </cell>
          <cell r="G735">
            <v>39329</v>
          </cell>
          <cell r="H735">
            <v>39336</v>
          </cell>
        </row>
        <row r="736">
          <cell r="A736" t="str">
            <v>R2-009JJ-E004</v>
          </cell>
          <cell r="B736" t="str">
            <v>POWERTEK ELECTRIC</v>
          </cell>
          <cell r="C736" t="str">
            <v>CONTR SRV AGMT - M/R</v>
          </cell>
          <cell r="D736" t="str">
            <v>69998,C58237,5.0         FNID</v>
          </cell>
          <cell r="E736" t="str">
            <v>188986</v>
          </cell>
          <cell r="F736">
            <v>293.3</v>
          </cell>
          <cell r="G736">
            <v>39335</v>
          </cell>
          <cell r="H736">
            <v>39343</v>
          </cell>
        </row>
        <row r="737">
          <cell r="A737" t="str">
            <v>R2-009JJ-E004</v>
          </cell>
          <cell r="B737" t="str">
            <v>POWERTEK ELECTRIC</v>
          </cell>
          <cell r="C737" t="str">
            <v>CONTR SRV AGMT - M/R</v>
          </cell>
          <cell r="D737" t="str">
            <v>69997,C58237,2.0         FNID</v>
          </cell>
          <cell r="E737" t="str">
            <v>189606</v>
          </cell>
          <cell r="F737">
            <v>371.62</v>
          </cell>
          <cell r="G737">
            <v>39343</v>
          </cell>
          <cell r="H737">
            <v>39350</v>
          </cell>
        </row>
        <row r="738">
          <cell r="A738" t="str">
            <v>R2-009JJ-E004</v>
          </cell>
          <cell r="B738" t="str">
            <v>POWERTEK ELECTRIC</v>
          </cell>
          <cell r="C738" t="str">
            <v>CONTR SRV AGMT - M/R</v>
          </cell>
          <cell r="D738" t="str">
            <v>69997,C58237,2.0         FNID</v>
          </cell>
          <cell r="E738" t="str">
            <v>189610</v>
          </cell>
          <cell r="F738">
            <v>20.81</v>
          </cell>
          <cell r="G738">
            <v>39343</v>
          </cell>
          <cell r="H738">
            <v>39350</v>
          </cell>
        </row>
        <row r="739">
          <cell r="A739" t="str">
            <v>R2-009JJ-E004</v>
          </cell>
          <cell r="B739" t="str">
            <v>POWERTEK ELECTRIC</v>
          </cell>
          <cell r="C739" t="str">
            <v>CONTR SRV AGMT - M/R</v>
          </cell>
          <cell r="D739" t="str">
            <v>69997,C58237,2.0         FNID</v>
          </cell>
          <cell r="E739" t="str">
            <v>189612</v>
          </cell>
          <cell r="F739">
            <v>15.78</v>
          </cell>
          <cell r="G739">
            <v>39343</v>
          </cell>
          <cell r="H739">
            <v>39350</v>
          </cell>
        </row>
        <row r="740">
          <cell r="A740" t="str">
            <v>R2-009JJ-E004</v>
          </cell>
          <cell r="B740" t="str">
            <v>POWERTEK ELECTRIC</v>
          </cell>
          <cell r="C740" t="str">
            <v>CONTR SRV AGMT - M/R</v>
          </cell>
          <cell r="D740" t="str">
            <v>69186,C52533,12.0        FNID</v>
          </cell>
          <cell r="E740" t="str">
            <v>191196</v>
          </cell>
          <cell r="F740">
            <v>2665.33</v>
          </cell>
          <cell r="G740">
            <v>39351</v>
          </cell>
          <cell r="H740">
            <v>39365</v>
          </cell>
        </row>
        <row r="741">
          <cell r="A741" t="str">
            <v>R2-009JJ-E004</v>
          </cell>
          <cell r="B741" t="str">
            <v>POWERTEK ELECTRIC</v>
          </cell>
          <cell r="C741" t="str">
            <v>CONTR SRV AGMT - M/R</v>
          </cell>
          <cell r="D741" t="str">
            <v>69995,C58237,1.0         FNID</v>
          </cell>
          <cell r="E741" t="str">
            <v>191198</v>
          </cell>
          <cell r="F741">
            <v>197.23</v>
          </cell>
          <cell r="G741">
            <v>39351</v>
          </cell>
          <cell r="H741">
            <v>39365</v>
          </cell>
        </row>
        <row r="742">
          <cell r="A742" t="str">
            <v>R2-009JJ-E004</v>
          </cell>
          <cell r="B742" t="str">
            <v>POWERTEK ELECTRIC</v>
          </cell>
          <cell r="C742" t="str">
            <v>CONTR SRV AGMT - M/R</v>
          </cell>
          <cell r="D742" t="str">
            <v>69998,C58237,5.0         FNID</v>
          </cell>
          <cell r="E742" t="str">
            <v>191198</v>
          </cell>
          <cell r="F742">
            <v>1030.17</v>
          </cell>
          <cell r="G742">
            <v>39351</v>
          </cell>
          <cell r="H742">
            <v>39365</v>
          </cell>
        </row>
        <row r="743">
          <cell r="A743" t="str">
            <v>R2-009JJ-E004</v>
          </cell>
          <cell r="B743" t="str">
            <v>POWERTEK ELECTRIC</v>
          </cell>
          <cell r="C743" t="str">
            <v>CONTR SRV AGMT - M/R</v>
          </cell>
          <cell r="D743" t="str">
            <v>69186,C52533,12.0        FNID</v>
          </cell>
          <cell r="E743" t="str">
            <v>191200</v>
          </cell>
          <cell r="F743">
            <v>91.17</v>
          </cell>
          <cell r="G743">
            <v>39352</v>
          </cell>
          <cell r="H743">
            <v>39365</v>
          </cell>
        </row>
        <row r="744">
          <cell r="A744" t="str">
            <v>R2-009JJ-E004</v>
          </cell>
          <cell r="B744" t="str">
            <v>POWERTEK ELECTRIC</v>
          </cell>
          <cell r="C744" t="str">
            <v>CONTR SRV AGMT - M/R</v>
          </cell>
          <cell r="D744" t="str">
            <v>69995,C58237,1.0         FNID</v>
          </cell>
          <cell r="E744" t="str">
            <v>191202</v>
          </cell>
          <cell r="F744">
            <v>7.59</v>
          </cell>
          <cell r="G744">
            <v>39351</v>
          </cell>
          <cell r="H744">
            <v>39365</v>
          </cell>
        </row>
        <row r="745">
          <cell r="A745" t="str">
            <v>R2-009JJ-E004</v>
          </cell>
          <cell r="B745" t="str">
            <v>POWERTEK ELECTRIC</v>
          </cell>
          <cell r="C745" t="str">
            <v>CONTR SRV AGMT - M/R</v>
          </cell>
          <cell r="D745" t="str">
            <v>69998,C58237,5.0         FNID</v>
          </cell>
          <cell r="E745" t="str">
            <v>191202</v>
          </cell>
          <cell r="F745">
            <v>100.01</v>
          </cell>
          <cell r="G745">
            <v>39351</v>
          </cell>
          <cell r="H745">
            <v>39365</v>
          </cell>
        </row>
        <row r="746">
          <cell r="A746" t="str">
            <v>R2-009JJ-E004</v>
          </cell>
          <cell r="B746" t="str">
            <v>POWERTEK ELECTRIC</v>
          </cell>
          <cell r="C746" t="str">
            <v>CONTR SRV AGMT - M/R</v>
          </cell>
          <cell r="D746" t="str">
            <v>69186,C52533,12.0        FNID</v>
          </cell>
          <cell r="E746" t="str">
            <v>191203</v>
          </cell>
          <cell r="F746">
            <v>600.04</v>
          </cell>
          <cell r="G746">
            <v>39356</v>
          </cell>
          <cell r="H746">
            <v>39365</v>
          </cell>
        </row>
        <row r="747">
          <cell r="A747" t="str">
            <v>R2-009JJ-E004</v>
          </cell>
          <cell r="B747" t="str">
            <v>POWERTEK ELECTRIC</v>
          </cell>
          <cell r="C747" t="str">
            <v>CONTR SRV AGMT - M/R</v>
          </cell>
          <cell r="D747" t="str">
            <v>69998,C58237,5.0         FNID</v>
          </cell>
          <cell r="E747" t="str">
            <v>191206</v>
          </cell>
          <cell r="F747">
            <v>516.79999999999995</v>
          </cell>
          <cell r="G747">
            <v>39349</v>
          </cell>
          <cell r="H747">
            <v>39365</v>
          </cell>
        </row>
        <row r="748">
          <cell r="A748" t="str">
            <v>R2-009JJ-E004</v>
          </cell>
          <cell r="B748" t="str">
            <v>POWERTEK ELECTRIC</v>
          </cell>
          <cell r="C748" t="str">
            <v>CONTR SRV AGMT - M/R</v>
          </cell>
          <cell r="D748" t="str">
            <v>69186,C52533,12.0        FNID</v>
          </cell>
          <cell r="E748" t="str">
            <v>191904</v>
          </cell>
          <cell r="F748">
            <v>672.46</v>
          </cell>
          <cell r="G748">
            <v>39367</v>
          </cell>
          <cell r="H748">
            <v>39372</v>
          </cell>
        </row>
        <row r="749">
          <cell r="A749" t="str">
            <v>R2-009JJ-E004</v>
          </cell>
          <cell r="B749" t="str">
            <v>POWERTEK ELECTRIC</v>
          </cell>
          <cell r="C749" t="str">
            <v>CONTR SRV AGMT - M/R</v>
          </cell>
          <cell r="D749" t="str">
            <v>69186,C52533,12.0        FNID</v>
          </cell>
          <cell r="E749" t="str">
            <v>191908</v>
          </cell>
          <cell r="F749">
            <v>34.15</v>
          </cell>
          <cell r="G749">
            <v>39367</v>
          </cell>
          <cell r="H749">
            <v>39372</v>
          </cell>
        </row>
        <row r="750">
          <cell r="A750" t="str">
            <v>R2-009JJ-E004</v>
          </cell>
          <cell r="B750" t="str">
            <v>POWERTEK ELECTRIC</v>
          </cell>
          <cell r="C750" t="str">
            <v>CONTR SRV AGMT - M/R</v>
          </cell>
          <cell r="D750" t="str">
            <v>69186,C52533,12.0        FNID</v>
          </cell>
          <cell r="E750" t="str">
            <v>192930</v>
          </cell>
          <cell r="F750">
            <v>3281.32</v>
          </cell>
          <cell r="G750">
            <v>39373</v>
          </cell>
          <cell r="H750">
            <v>39379</v>
          </cell>
        </row>
        <row r="751">
          <cell r="A751" t="str">
            <v>R2-009JJ-E004</v>
          </cell>
          <cell r="B751" t="str">
            <v>POWERTEK ELECTRIC</v>
          </cell>
          <cell r="C751" t="str">
            <v>CONTR SRV AGMT - M/R</v>
          </cell>
          <cell r="D751" t="str">
            <v>69995,C58237,1.0         FNID</v>
          </cell>
          <cell r="E751" t="str">
            <v>192933</v>
          </cell>
          <cell r="F751">
            <v>106.59</v>
          </cell>
          <cell r="G751">
            <v>39371</v>
          </cell>
          <cell r="H751">
            <v>39379</v>
          </cell>
        </row>
        <row r="752">
          <cell r="A752" t="str">
            <v>R2-009JJ-E004</v>
          </cell>
          <cell r="B752" t="str">
            <v>POWERTEK ELECTRIC</v>
          </cell>
          <cell r="C752" t="str">
            <v>CONTR SRV AGMT - M/R</v>
          </cell>
          <cell r="D752" t="str">
            <v>69186,C52533,12.0        FNID</v>
          </cell>
          <cell r="E752" t="str">
            <v>192937</v>
          </cell>
          <cell r="F752">
            <v>115.45</v>
          </cell>
          <cell r="G752">
            <v>39371</v>
          </cell>
          <cell r="H752">
            <v>39379</v>
          </cell>
        </row>
        <row r="753">
          <cell r="A753" t="str">
            <v>R2-009JJ-E004</v>
          </cell>
          <cell r="B753" t="str">
            <v>POWERTEK ELECTRIC</v>
          </cell>
          <cell r="C753" t="str">
            <v>CONTR SRV AGMT - M/R</v>
          </cell>
          <cell r="D753" t="str">
            <v>69995,C58237,1.0         FNID</v>
          </cell>
          <cell r="E753" t="str">
            <v>192940</v>
          </cell>
          <cell r="F753">
            <v>3.79</v>
          </cell>
          <cell r="G753">
            <v>39371</v>
          </cell>
          <cell r="H753">
            <v>39379</v>
          </cell>
        </row>
        <row r="754">
          <cell r="A754" t="str">
            <v>R2-009JJ-E004</v>
          </cell>
          <cell r="B754" t="str">
            <v>POWERTEK ELECTRIC</v>
          </cell>
          <cell r="C754" t="str">
            <v>CONTR SRV AGMT - M/R</v>
          </cell>
          <cell r="D754" t="str">
            <v>69186,C52533,12.0        FNID</v>
          </cell>
          <cell r="E754" t="str">
            <v>192944</v>
          </cell>
          <cell r="F754">
            <v>12.58</v>
          </cell>
          <cell r="G754">
            <v>39373</v>
          </cell>
          <cell r="H754">
            <v>39379</v>
          </cell>
        </row>
        <row r="755">
          <cell r="A755" t="str">
            <v>R2-009JJ-E004</v>
          </cell>
          <cell r="B755" t="str">
            <v>POWERTEK ELECTRIC</v>
          </cell>
          <cell r="C755" t="str">
            <v>CONTR SRV AGMT - M/R</v>
          </cell>
          <cell r="D755" t="str">
            <v>69186,C52533,12.0        FNID</v>
          </cell>
          <cell r="E755" t="str">
            <v>193776</v>
          </cell>
          <cell r="F755">
            <v>6135.94</v>
          </cell>
          <cell r="G755">
            <v>39378</v>
          </cell>
          <cell r="H755">
            <v>39386</v>
          </cell>
        </row>
        <row r="756">
          <cell r="A756" t="str">
            <v>R2-009JJ-E004</v>
          </cell>
          <cell r="B756" t="str">
            <v>POWERTEK ELECTRIC</v>
          </cell>
          <cell r="C756" t="str">
            <v>CONTR SRV AGMT - M/R</v>
          </cell>
          <cell r="D756" t="str">
            <v>69995,C58237,1.0         FNID</v>
          </cell>
          <cell r="E756" t="str">
            <v>193778</v>
          </cell>
          <cell r="F756">
            <v>516.24</v>
          </cell>
          <cell r="G756">
            <v>39378</v>
          </cell>
          <cell r="H756">
            <v>39386</v>
          </cell>
        </row>
        <row r="757">
          <cell r="A757" t="str">
            <v>R2-009JJ-E004</v>
          </cell>
          <cell r="B757" t="str">
            <v>POWERTEK ELECTRIC</v>
          </cell>
          <cell r="C757" t="str">
            <v>CONTR SRV AGMT - M/R</v>
          </cell>
          <cell r="D757" t="str">
            <v>69186,C52533,12.0        FNID</v>
          </cell>
          <cell r="E757" t="str">
            <v>193780</v>
          </cell>
          <cell r="F757">
            <v>147.59</v>
          </cell>
          <cell r="G757">
            <v>39378</v>
          </cell>
          <cell r="H757">
            <v>39386</v>
          </cell>
        </row>
        <row r="758">
          <cell r="A758" t="str">
            <v>R2-009JJ-E004</v>
          </cell>
          <cell r="B758" t="str">
            <v>POWERTEK ELECTRIC</v>
          </cell>
          <cell r="C758" t="str">
            <v>CONTR SRV AGMT - M/R</v>
          </cell>
          <cell r="D758" t="str">
            <v>69995,C58237,1.0         FNID</v>
          </cell>
          <cell r="E758" t="str">
            <v>193782</v>
          </cell>
          <cell r="F758">
            <v>15.18</v>
          </cell>
          <cell r="G758">
            <v>39378</v>
          </cell>
          <cell r="H758">
            <v>39386</v>
          </cell>
        </row>
        <row r="759">
          <cell r="A759" t="str">
            <v>R2-009JJ-E004</v>
          </cell>
          <cell r="B759" t="str">
            <v>POWERTEK ELECTRIC</v>
          </cell>
          <cell r="C759" t="str">
            <v>CONTR SRV AGMT - M/R</v>
          </cell>
          <cell r="D759" t="str">
            <v>69186,C52533,12.0        FNID</v>
          </cell>
          <cell r="E759" t="str">
            <v>193785</v>
          </cell>
          <cell r="F759">
            <v>725.49</v>
          </cell>
          <cell r="G759">
            <v>39378</v>
          </cell>
          <cell r="H759">
            <v>39386</v>
          </cell>
        </row>
        <row r="760">
          <cell r="A760" t="str">
            <v>R2-009JJ-E004</v>
          </cell>
          <cell r="B760" t="str">
            <v>POWERTEK ELECTRIC</v>
          </cell>
          <cell r="C760" t="str">
            <v>CONTR SRV AGMT - M/R</v>
          </cell>
          <cell r="D760" t="str">
            <v>69186,C52533,12.0        FNID</v>
          </cell>
          <cell r="E760" t="str">
            <v>194645</v>
          </cell>
          <cell r="F760">
            <v>18391.84</v>
          </cell>
          <cell r="G760">
            <v>39385</v>
          </cell>
          <cell r="H760">
            <v>39393</v>
          </cell>
        </row>
        <row r="761">
          <cell r="A761" t="str">
            <v>R2-009JJ-E004</v>
          </cell>
          <cell r="B761" t="str">
            <v>POWERTEK ELECTRIC</v>
          </cell>
          <cell r="C761" t="str">
            <v>CONTR SRV AGMT - M/R</v>
          </cell>
          <cell r="D761" t="str">
            <v>69995,C58237,1.0         FNID</v>
          </cell>
          <cell r="E761" t="str">
            <v>194647</v>
          </cell>
          <cell r="F761">
            <v>1242.94</v>
          </cell>
          <cell r="G761">
            <v>39385</v>
          </cell>
          <cell r="H761">
            <v>39393</v>
          </cell>
        </row>
        <row r="762">
          <cell r="A762" t="str">
            <v>R2-009JJ-E004</v>
          </cell>
          <cell r="B762" t="str">
            <v>POWERTEK ELECTRIC</v>
          </cell>
          <cell r="C762" t="str">
            <v>CONTR SRV AGMT - M/R</v>
          </cell>
          <cell r="D762" t="str">
            <v>69186,C52533,12.0        FNID</v>
          </cell>
          <cell r="E762" t="str">
            <v>194651</v>
          </cell>
          <cell r="F762">
            <v>241.44</v>
          </cell>
          <cell r="G762">
            <v>39385</v>
          </cell>
          <cell r="H762">
            <v>39393</v>
          </cell>
        </row>
        <row r="763">
          <cell r="A763" t="str">
            <v>R2-009JJ-E004</v>
          </cell>
          <cell r="B763" t="str">
            <v>POWERTEK ELECTRIC</v>
          </cell>
          <cell r="C763" t="str">
            <v>CONTR SRV AGMT - M/R</v>
          </cell>
          <cell r="D763" t="str">
            <v>69995,C58237,1.0         FNID</v>
          </cell>
          <cell r="E763" t="str">
            <v>194653</v>
          </cell>
          <cell r="F763">
            <v>41.74</v>
          </cell>
          <cell r="G763">
            <v>39385</v>
          </cell>
          <cell r="H763">
            <v>39393</v>
          </cell>
        </row>
        <row r="764">
          <cell r="A764" t="str">
            <v>R2-009JJ-E004</v>
          </cell>
          <cell r="B764" t="str">
            <v>POWERTEK ELECTRIC</v>
          </cell>
          <cell r="C764" t="str">
            <v>CONTR SRV AGMT - M/R</v>
          </cell>
          <cell r="D764" t="str">
            <v>69186,C52533,12.0        FNID</v>
          </cell>
          <cell r="E764" t="str">
            <v>194657</v>
          </cell>
          <cell r="F764">
            <v>6800.55</v>
          </cell>
          <cell r="G764">
            <v>39385</v>
          </cell>
          <cell r="H764">
            <v>39393</v>
          </cell>
        </row>
        <row r="765">
          <cell r="A765" t="str">
            <v>R2-009JJ-E004</v>
          </cell>
          <cell r="B765" t="str">
            <v>POWERTEK ELECTRIC</v>
          </cell>
          <cell r="C765" t="str">
            <v>CONTR SRV AGMT - M/R</v>
          </cell>
          <cell r="D765" t="str">
            <v>69186,C52533,12.0        FNID</v>
          </cell>
          <cell r="E765" t="str">
            <v>195542</v>
          </cell>
          <cell r="F765">
            <v>12619.07</v>
          </cell>
          <cell r="G765">
            <v>39388</v>
          </cell>
          <cell r="H765">
            <v>39401</v>
          </cell>
        </row>
        <row r="766">
          <cell r="A766" t="str">
            <v>R2-009JJ-E004</v>
          </cell>
          <cell r="B766" t="str">
            <v>POWERTEK ELECTRIC</v>
          </cell>
          <cell r="C766" t="str">
            <v>CONTR SRV AGMT - M/R</v>
          </cell>
          <cell r="D766" t="str">
            <v>69995,C58237,1.0         FNID</v>
          </cell>
          <cell r="E766" t="str">
            <v>195546</v>
          </cell>
          <cell r="F766">
            <v>1750.64</v>
          </cell>
          <cell r="G766">
            <v>39393</v>
          </cell>
          <cell r="H766">
            <v>39401</v>
          </cell>
        </row>
        <row r="767">
          <cell r="A767" t="str">
            <v>R2-009JJ-E004</v>
          </cell>
          <cell r="B767" t="str">
            <v>POWERTEK ELECTRIC</v>
          </cell>
          <cell r="C767" t="str">
            <v>CONTR SRV AGMT - M/R</v>
          </cell>
          <cell r="D767" t="str">
            <v>69186,C52533,12.0        FNID</v>
          </cell>
          <cell r="E767" t="str">
            <v>195554</v>
          </cell>
          <cell r="F767">
            <v>77.430000000000007</v>
          </cell>
          <cell r="G767">
            <v>39388</v>
          </cell>
          <cell r="H767">
            <v>39401</v>
          </cell>
        </row>
        <row r="768">
          <cell r="A768" t="str">
            <v>R2-009JJ-E004</v>
          </cell>
          <cell r="B768" t="str">
            <v>POWERTEK ELECTRIC</v>
          </cell>
          <cell r="C768" t="str">
            <v>CONTR SRV AGMT - M/R</v>
          </cell>
          <cell r="D768" t="str">
            <v>69995,C58237,1.0         FNID</v>
          </cell>
          <cell r="E768" t="str">
            <v>195556</v>
          </cell>
          <cell r="F768">
            <v>72.09</v>
          </cell>
          <cell r="G768">
            <v>39393</v>
          </cell>
          <cell r="H768">
            <v>39401</v>
          </cell>
        </row>
        <row r="769">
          <cell r="A769" t="str">
            <v>R2-009JJ-E004</v>
          </cell>
          <cell r="B769" t="str">
            <v>POWERTEK ELECTRIC</v>
          </cell>
          <cell r="C769" t="str">
            <v>CONTR SRV AGMT - M/R</v>
          </cell>
          <cell r="D769" t="str">
            <v>69186,C52533,12.0        FNID</v>
          </cell>
          <cell r="E769" t="str">
            <v>195564</v>
          </cell>
          <cell r="F769">
            <v>5978.39</v>
          </cell>
          <cell r="G769">
            <v>39393</v>
          </cell>
          <cell r="H769">
            <v>39401</v>
          </cell>
        </row>
        <row r="770">
          <cell r="A770" t="str">
            <v>R2-009JJ-E004</v>
          </cell>
          <cell r="B770" t="str">
            <v>POWERTEK ELECTRIC</v>
          </cell>
          <cell r="C770" t="str">
            <v>CONTR SRV AGMT - M/R</v>
          </cell>
          <cell r="D770" t="str">
            <v>69186,C52533,12.0        FNID</v>
          </cell>
          <cell r="E770" t="str">
            <v>196298</v>
          </cell>
          <cell r="F770">
            <v>5863.26</v>
          </cell>
          <cell r="G770">
            <v>39399</v>
          </cell>
          <cell r="H770">
            <v>39406</v>
          </cell>
        </row>
        <row r="771">
          <cell r="A771" t="str">
            <v>R2-009JJ-E004</v>
          </cell>
          <cell r="B771" t="str">
            <v>POWERTEK ELECTRIC</v>
          </cell>
          <cell r="C771" t="str">
            <v>CONTR SRV AGMT - M/R</v>
          </cell>
          <cell r="D771" t="str">
            <v>69995,C58237,1.0         FNID</v>
          </cell>
          <cell r="E771" t="str">
            <v>196300</v>
          </cell>
          <cell r="F771">
            <v>702.78</v>
          </cell>
          <cell r="G771">
            <v>39399</v>
          </cell>
          <cell r="H771">
            <v>39406</v>
          </cell>
        </row>
        <row r="772">
          <cell r="A772" t="str">
            <v>R2-009JJ-E004</v>
          </cell>
          <cell r="B772" t="str">
            <v>POWERTEK ELECTRIC</v>
          </cell>
          <cell r="C772" t="str">
            <v>CONTR SRV AGMT - M/R</v>
          </cell>
          <cell r="D772" t="str">
            <v>69186,C52533,12.0        FNID</v>
          </cell>
          <cell r="E772" t="str">
            <v>196304</v>
          </cell>
          <cell r="F772">
            <v>62.05</v>
          </cell>
          <cell r="G772">
            <v>39399</v>
          </cell>
          <cell r="H772">
            <v>39406</v>
          </cell>
        </row>
        <row r="773">
          <cell r="A773" t="str">
            <v>R2-009JJ-E004</v>
          </cell>
          <cell r="B773" t="str">
            <v>POWERTEK ELECTRIC</v>
          </cell>
          <cell r="C773" t="str">
            <v>CONTR SRV AGMT - M/R</v>
          </cell>
          <cell r="D773" t="str">
            <v>69995,C58237,1.0         FNID</v>
          </cell>
          <cell r="E773" t="str">
            <v>196305</v>
          </cell>
          <cell r="F773">
            <v>15.18</v>
          </cell>
          <cell r="G773">
            <v>39399</v>
          </cell>
          <cell r="H773">
            <v>39406</v>
          </cell>
        </row>
        <row r="774">
          <cell r="A774" t="str">
            <v>R2-009JJ-E004</v>
          </cell>
          <cell r="B774" t="str">
            <v>POWERTEK ELECTRIC</v>
          </cell>
          <cell r="C774" t="str">
            <v>CONTR SRV AGMT - M/R</v>
          </cell>
          <cell r="D774" t="str">
            <v>69186,C52533,12.0        FNID</v>
          </cell>
          <cell r="E774" t="str">
            <v>196309</v>
          </cell>
          <cell r="F774">
            <v>1367.82</v>
          </cell>
          <cell r="G774">
            <v>39399</v>
          </cell>
          <cell r="H774">
            <v>39406</v>
          </cell>
        </row>
        <row r="775">
          <cell r="A775" t="str">
            <v>R2-009JJ-E004</v>
          </cell>
          <cell r="B775" t="str">
            <v>POWERTEK ELECTRIC</v>
          </cell>
          <cell r="C775" t="str">
            <v>CONTR SRV AGMT - M/R</v>
          </cell>
          <cell r="D775" t="str">
            <v>69186,C52533,12.0        FNID</v>
          </cell>
          <cell r="E775" t="str">
            <v>196979</v>
          </cell>
          <cell r="F775">
            <v>7280.68</v>
          </cell>
          <cell r="G775">
            <v>39406</v>
          </cell>
          <cell r="H775">
            <v>39414</v>
          </cell>
        </row>
        <row r="776">
          <cell r="A776" t="str">
            <v>R2-009JJ-E004</v>
          </cell>
          <cell r="B776" t="str">
            <v>POWERTEK ELECTRIC</v>
          </cell>
          <cell r="C776" t="str">
            <v>CONTR SRV AGMT - M/R</v>
          </cell>
          <cell r="D776" t="str">
            <v>69995,C58237,1.0         FNID</v>
          </cell>
          <cell r="E776" t="str">
            <v>196980</v>
          </cell>
          <cell r="F776">
            <v>87.73</v>
          </cell>
          <cell r="G776">
            <v>39406</v>
          </cell>
          <cell r="H776">
            <v>39414</v>
          </cell>
        </row>
        <row r="777">
          <cell r="A777" t="str">
            <v>R2-009JJ-E004</v>
          </cell>
          <cell r="B777" t="str">
            <v>POWERTEK ELECTRIC</v>
          </cell>
          <cell r="C777" t="str">
            <v>CONTR SRV AGMT - M/R</v>
          </cell>
          <cell r="D777" t="str">
            <v>69186,C52533,12.0        FNID</v>
          </cell>
          <cell r="E777" t="str">
            <v>196983</v>
          </cell>
          <cell r="F777">
            <v>99.73</v>
          </cell>
          <cell r="G777">
            <v>39406</v>
          </cell>
          <cell r="H777">
            <v>39414</v>
          </cell>
        </row>
        <row r="778">
          <cell r="A778" t="str">
            <v>R2-009JJ-E004</v>
          </cell>
          <cell r="B778" t="str">
            <v>POWERTEK ELECTRIC</v>
          </cell>
          <cell r="C778" t="str">
            <v>CONTR SRV AGMT - M/R</v>
          </cell>
          <cell r="D778" t="str">
            <v>69186,C52533,12.0        FNID</v>
          </cell>
          <cell r="E778" t="str">
            <v>196987</v>
          </cell>
          <cell r="F778">
            <v>5601.49</v>
          </cell>
          <cell r="G778">
            <v>39405</v>
          </cell>
          <cell r="H778">
            <v>39414</v>
          </cell>
        </row>
        <row r="779">
          <cell r="A779" t="str">
            <v>R2-009JJ-E004</v>
          </cell>
          <cell r="B779" t="str">
            <v>POWERTEK ELECTRIC</v>
          </cell>
          <cell r="C779" t="str">
            <v>CONTR SRV AGMT - M/R</v>
          </cell>
          <cell r="D779" t="str">
            <v>69186,C52533,12.0        FNID</v>
          </cell>
          <cell r="E779" t="str">
            <v>197738</v>
          </cell>
          <cell r="F779">
            <v>5175.9399999999996</v>
          </cell>
          <cell r="G779">
            <v>39413</v>
          </cell>
          <cell r="H779">
            <v>39421</v>
          </cell>
        </row>
        <row r="780">
          <cell r="A780" t="str">
            <v>R2-009JJ-E004</v>
          </cell>
          <cell r="B780" t="str">
            <v>POWERTEK ELECTRIC</v>
          </cell>
          <cell r="C780" t="str">
            <v>CONTR SRV AGMT - M/R</v>
          </cell>
          <cell r="D780" t="str">
            <v>69995,C58237,1.0         FNID</v>
          </cell>
          <cell r="E780" t="str">
            <v>197740</v>
          </cell>
          <cell r="F780">
            <v>488.55</v>
          </cell>
          <cell r="G780">
            <v>39413</v>
          </cell>
          <cell r="H780">
            <v>39421</v>
          </cell>
        </row>
        <row r="781">
          <cell r="A781" t="str">
            <v>R2-009JJ-E004</v>
          </cell>
          <cell r="B781" t="str">
            <v>POWERTEK ELECTRIC</v>
          </cell>
          <cell r="C781" t="str">
            <v>CONTR SRV AGMT - M/R</v>
          </cell>
          <cell r="D781" t="str">
            <v>69998,C58237,5.0         FNID</v>
          </cell>
          <cell r="E781" t="str">
            <v>197740</v>
          </cell>
          <cell r="F781">
            <v>1673.09</v>
          </cell>
          <cell r="G781">
            <v>39413</v>
          </cell>
          <cell r="H781">
            <v>39421</v>
          </cell>
        </row>
        <row r="782">
          <cell r="A782" t="str">
            <v>R2-009JJ-E004</v>
          </cell>
          <cell r="B782" t="str">
            <v>POWERTEK ELECTRIC</v>
          </cell>
          <cell r="C782" t="str">
            <v>CONTR SRV AGMT - M/R</v>
          </cell>
          <cell r="D782" t="str">
            <v>69186,C52533,12.0        FNID</v>
          </cell>
          <cell r="E782" t="str">
            <v>197743</v>
          </cell>
          <cell r="F782">
            <v>90.41</v>
          </cell>
          <cell r="G782">
            <v>39413</v>
          </cell>
          <cell r="H782">
            <v>39421</v>
          </cell>
        </row>
        <row r="783">
          <cell r="A783" t="str">
            <v>R2-009JJ-E004</v>
          </cell>
          <cell r="B783" t="str">
            <v>POWERTEK ELECTRIC</v>
          </cell>
          <cell r="C783" t="str">
            <v>CONTR SRV AGMT - M/R</v>
          </cell>
          <cell r="D783" t="str">
            <v>69995,C58237,1.0         FNID</v>
          </cell>
          <cell r="E783" t="str">
            <v>197745</v>
          </cell>
          <cell r="F783">
            <v>22.78</v>
          </cell>
          <cell r="G783">
            <v>39413</v>
          </cell>
          <cell r="H783">
            <v>39421</v>
          </cell>
        </row>
        <row r="784">
          <cell r="A784" t="str">
            <v>R2-009JJ-E004</v>
          </cell>
          <cell r="B784" t="str">
            <v>POWERTEK ELECTRIC</v>
          </cell>
          <cell r="C784" t="str">
            <v>CONTR SRV AGMT - M/R</v>
          </cell>
          <cell r="D784" t="str">
            <v>69998,C58237,5.0         FNID</v>
          </cell>
          <cell r="E784" t="str">
            <v>197745</v>
          </cell>
          <cell r="F784">
            <v>72.52</v>
          </cell>
          <cell r="G784">
            <v>39413</v>
          </cell>
          <cell r="H784">
            <v>39421</v>
          </cell>
        </row>
        <row r="785">
          <cell r="A785" t="str">
            <v>R2-009JJ-E004</v>
          </cell>
          <cell r="B785" t="str">
            <v>POWERTEK ELECTRIC</v>
          </cell>
          <cell r="C785" t="str">
            <v>CONTR SRV AGMT - M/R</v>
          </cell>
          <cell r="D785" t="str">
            <v>69186,C52533,12.0        FNID</v>
          </cell>
          <cell r="E785" t="str">
            <v>197748</v>
          </cell>
          <cell r="F785">
            <v>3782.68</v>
          </cell>
          <cell r="G785">
            <v>39413</v>
          </cell>
          <cell r="H785">
            <v>39421</v>
          </cell>
        </row>
        <row r="786">
          <cell r="A786" t="str">
            <v>R2-009JJ-E004</v>
          </cell>
          <cell r="B786" t="str">
            <v>POWERTEK ELECTRIC</v>
          </cell>
          <cell r="C786" t="str">
            <v>CONTR SRV AGMT - M/R</v>
          </cell>
          <cell r="D786" t="str">
            <v>69186,C52533,12.0        FNID</v>
          </cell>
          <cell r="E786" t="str">
            <v>198624</v>
          </cell>
          <cell r="F786">
            <v>6846.04</v>
          </cell>
          <cell r="G786">
            <v>39393</v>
          </cell>
          <cell r="H786">
            <v>39428</v>
          </cell>
        </row>
        <row r="787">
          <cell r="A787" t="str">
            <v>R2-009JJ-E004</v>
          </cell>
          <cell r="B787" t="str">
            <v>POWERTEK ELECTRIC</v>
          </cell>
          <cell r="C787" t="str">
            <v>CONTR SRV AGMT - M/R</v>
          </cell>
          <cell r="D787" t="str">
            <v>69995,C58237,1.0         FNID</v>
          </cell>
          <cell r="E787" t="str">
            <v>198625</v>
          </cell>
          <cell r="F787">
            <v>594.23</v>
          </cell>
          <cell r="G787">
            <v>39420</v>
          </cell>
          <cell r="H787">
            <v>39428</v>
          </cell>
        </row>
        <row r="788">
          <cell r="A788" t="str">
            <v>R2-009JJ-E004</v>
          </cell>
          <cell r="B788" t="str">
            <v>POWERTEK ELECTRIC</v>
          </cell>
          <cell r="C788" t="str">
            <v>CONTR SRV AGMT - M/R</v>
          </cell>
          <cell r="D788" t="str">
            <v>69186,C52533,12.0        FNID</v>
          </cell>
          <cell r="E788" t="str">
            <v>198633</v>
          </cell>
          <cell r="F788">
            <v>35.01</v>
          </cell>
          <cell r="G788">
            <v>39393</v>
          </cell>
          <cell r="H788">
            <v>39428</v>
          </cell>
        </row>
        <row r="789">
          <cell r="A789" t="str">
            <v>R2-009JJ-E004</v>
          </cell>
          <cell r="B789" t="str">
            <v>POWERTEK ELECTRIC</v>
          </cell>
          <cell r="C789" t="str">
            <v>CONTR SRV AGMT - M/R</v>
          </cell>
          <cell r="D789" t="str">
            <v>69995,C58237,1.0         FNID</v>
          </cell>
          <cell r="E789" t="str">
            <v>198634</v>
          </cell>
          <cell r="F789">
            <v>22.77</v>
          </cell>
          <cell r="G789">
            <v>39420</v>
          </cell>
          <cell r="H789">
            <v>39428</v>
          </cell>
        </row>
        <row r="790">
          <cell r="A790" t="str">
            <v>R2-009JJ-E004</v>
          </cell>
          <cell r="B790" t="str">
            <v>POWERTEK ELECTRIC</v>
          </cell>
          <cell r="C790" t="str">
            <v>CONTR SRV AGMT - M/R</v>
          </cell>
          <cell r="D790" t="str">
            <v>69186,C52533,12.0        FNID</v>
          </cell>
          <cell r="E790" t="str">
            <v>199321</v>
          </cell>
          <cell r="F790">
            <v>8987.16</v>
          </cell>
          <cell r="G790">
            <v>39426</v>
          </cell>
          <cell r="H790">
            <v>39434</v>
          </cell>
        </row>
        <row r="791">
          <cell r="A791" t="str">
            <v>R2-009JJ-E004</v>
          </cell>
          <cell r="B791" t="str">
            <v>POWERTEK ELECTRIC</v>
          </cell>
          <cell r="C791" t="str">
            <v>CONTR SRV AGMT - M/R</v>
          </cell>
          <cell r="D791" t="str">
            <v>69995,C58237,1.0         FNID</v>
          </cell>
          <cell r="E791" t="str">
            <v>199325</v>
          </cell>
          <cell r="F791">
            <v>1073.53</v>
          </cell>
          <cell r="G791">
            <v>39427</v>
          </cell>
          <cell r="H791">
            <v>39434</v>
          </cell>
        </row>
        <row r="792">
          <cell r="A792" t="str">
            <v>R2-009JJ-E004</v>
          </cell>
          <cell r="B792" t="str">
            <v>POWERTEK ELECTRIC</v>
          </cell>
          <cell r="C792" t="str">
            <v>CONTR SRV AGMT - M/R</v>
          </cell>
          <cell r="D792" t="str">
            <v>69998,C58237,5.0         FNID</v>
          </cell>
          <cell r="E792" t="str">
            <v>199325</v>
          </cell>
          <cell r="F792">
            <v>306.76</v>
          </cell>
          <cell r="G792">
            <v>39427</v>
          </cell>
          <cell r="H792">
            <v>39434</v>
          </cell>
        </row>
        <row r="793">
          <cell r="A793" t="str">
            <v>R2-009JJ-E004</v>
          </cell>
          <cell r="B793" t="str">
            <v>POWERTEK ELECTRIC</v>
          </cell>
          <cell r="C793" t="str">
            <v>CONTR SRV AGMT - M/R</v>
          </cell>
          <cell r="D793" t="str">
            <v>69186,C52533,12.0        FNID</v>
          </cell>
          <cell r="E793" t="str">
            <v>199335</v>
          </cell>
          <cell r="F793">
            <v>106.99</v>
          </cell>
          <cell r="G793">
            <v>39426</v>
          </cell>
          <cell r="H793">
            <v>39434</v>
          </cell>
        </row>
        <row r="794">
          <cell r="A794" t="str">
            <v>R2-009JJ-E004</v>
          </cell>
          <cell r="B794" t="str">
            <v>POWERTEK ELECTRIC</v>
          </cell>
          <cell r="C794" t="str">
            <v>CONTR SRV AGMT - M/R</v>
          </cell>
          <cell r="D794" t="str">
            <v>69995,C58237,1.0         FNID</v>
          </cell>
          <cell r="E794" t="str">
            <v>199338</v>
          </cell>
          <cell r="F794">
            <v>34.15</v>
          </cell>
          <cell r="G794">
            <v>39427</v>
          </cell>
          <cell r="H794">
            <v>39434</v>
          </cell>
        </row>
        <row r="795">
          <cell r="A795" t="str">
            <v>R2-009JJ-E004</v>
          </cell>
          <cell r="B795" t="str">
            <v>POWERTEK ELECTRIC</v>
          </cell>
          <cell r="C795" t="str">
            <v>CONTR SRV AGMT - M/R</v>
          </cell>
          <cell r="D795" t="str">
            <v>69998,C58237,5.0         FNID</v>
          </cell>
          <cell r="E795" t="str">
            <v>199338</v>
          </cell>
          <cell r="F795">
            <v>10.39</v>
          </cell>
          <cell r="G795">
            <v>39427</v>
          </cell>
          <cell r="H795">
            <v>39434</v>
          </cell>
        </row>
        <row r="796">
          <cell r="A796" t="str">
            <v>R2-009JJ-E004</v>
          </cell>
          <cell r="B796" t="str">
            <v>POWERTEK ELECTRIC</v>
          </cell>
          <cell r="C796" t="str">
            <v>CONTR SRV AGMT - M/R</v>
          </cell>
          <cell r="D796" t="str">
            <v>69186,C52533,12.0        FNID</v>
          </cell>
          <cell r="E796" t="str">
            <v>199346</v>
          </cell>
          <cell r="F796">
            <v>2397.27</v>
          </cell>
          <cell r="G796">
            <v>39422</v>
          </cell>
          <cell r="H796">
            <v>39434</v>
          </cell>
        </row>
        <row r="797">
          <cell r="A797" t="str">
            <v>R2-009JJ-E004</v>
          </cell>
          <cell r="B797" t="str">
            <v>POWERTEK ELECTRIC</v>
          </cell>
          <cell r="C797" t="str">
            <v>CONTR SRV AGMT - M/R</v>
          </cell>
          <cell r="D797" t="str">
            <v>69186,C52533,12.0        FNID</v>
          </cell>
          <cell r="E797" t="str">
            <v>199799</v>
          </cell>
          <cell r="F797">
            <v>6860.17</v>
          </cell>
          <cell r="G797">
            <v>39434</v>
          </cell>
          <cell r="H797">
            <v>39437</v>
          </cell>
        </row>
        <row r="798">
          <cell r="A798" t="str">
            <v>R2-009JJ-E004</v>
          </cell>
          <cell r="B798" t="str">
            <v>POWERTEK ELECTRIC</v>
          </cell>
          <cell r="C798" t="str">
            <v>CONTR SRV AGMT - M/R</v>
          </cell>
          <cell r="D798" t="str">
            <v>69995,C58237,1.0         FNID</v>
          </cell>
          <cell r="E798" t="str">
            <v>199803</v>
          </cell>
          <cell r="F798">
            <v>832.25</v>
          </cell>
          <cell r="G798">
            <v>39434</v>
          </cell>
          <cell r="H798">
            <v>39437</v>
          </cell>
        </row>
        <row r="799">
          <cell r="A799" t="str">
            <v>R2-009JJ-E004</v>
          </cell>
          <cell r="B799" t="str">
            <v>POWERTEK ELECTRIC</v>
          </cell>
          <cell r="C799" t="str">
            <v>CONTR SRV AGMT - M/R</v>
          </cell>
          <cell r="D799" t="str">
            <v>69186,C52533,12.0        FNID</v>
          </cell>
          <cell r="E799" t="str">
            <v>199808</v>
          </cell>
          <cell r="F799">
            <v>75.88</v>
          </cell>
          <cell r="G799">
            <v>39434</v>
          </cell>
          <cell r="H799">
            <v>39437</v>
          </cell>
        </row>
        <row r="800">
          <cell r="A800" t="str">
            <v>R2-009JJ-E004</v>
          </cell>
          <cell r="B800" t="str">
            <v>POWERTEK ELECTRIC</v>
          </cell>
          <cell r="C800" t="str">
            <v>CONTR SRV AGMT - M/R</v>
          </cell>
          <cell r="D800" t="str">
            <v>69995,C58237,1.0         FNID</v>
          </cell>
          <cell r="E800" t="str">
            <v>199811</v>
          </cell>
          <cell r="F800">
            <v>30.36</v>
          </cell>
          <cell r="G800">
            <v>39434</v>
          </cell>
          <cell r="H800">
            <v>39437</v>
          </cell>
        </row>
        <row r="801">
          <cell r="A801" t="str">
            <v>R2-009JJ-E004</v>
          </cell>
          <cell r="B801" t="str">
            <v>POWERTEK ELECTRIC</v>
          </cell>
          <cell r="C801" t="str">
            <v>CONTR SRV AGMT - M/R</v>
          </cell>
          <cell r="D801" t="str">
            <v>69186,C52533,12.0        FNID</v>
          </cell>
          <cell r="E801" t="str">
            <v>199817</v>
          </cell>
          <cell r="F801">
            <v>112.08</v>
          </cell>
          <cell r="G801">
            <v>39434</v>
          </cell>
          <cell r="H801">
            <v>39437</v>
          </cell>
        </row>
        <row r="802">
          <cell r="A802" t="str">
            <v>R2-009JJ-E004</v>
          </cell>
          <cell r="B802" t="str">
            <v>POWERTEK ELECTRIC</v>
          </cell>
          <cell r="C802" t="str">
            <v>CONTR SRV AGMT - M/R</v>
          </cell>
          <cell r="D802" t="str">
            <v>69186,C52533,12.0        FNID</v>
          </cell>
          <cell r="E802" t="str">
            <v>200290</v>
          </cell>
          <cell r="F802">
            <v>1719.62</v>
          </cell>
          <cell r="G802">
            <v>39436</v>
          </cell>
          <cell r="H802">
            <v>39443</v>
          </cell>
        </row>
        <row r="803">
          <cell r="A803" t="str">
            <v>R2-009JJ-E004</v>
          </cell>
          <cell r="B803" t="str">
            <v>POWERTEK ELECTRIC</v>
          </cell>
          <cell r="C803" t="str">
            <v>CONTR SRV AGMT - M/R</v>
          </cell>
          <cell r="D803" t="str">
            <v>69995,C58237,1.0         FNID</v>
          </cell>
          <cell r="E803" t="str">
            <v>200295</v>
          </cell>
          <cell r="F803">
            <v>229.13</v>
          </cell>
          <cell r="G803">
            <v>39442</v>
          </cell>
          <cell r="H803">
            <v>39443</v>
          </cell>
        </row>
        <row r="804">
          <cell r="A804" t="str">
            <v>R2-009JJ-E004</v>
          </cell>
          <cell r="B804" t="str">
            <v>POWERTEK ELECTRIC</v>
          </cell>
          <cell r="C804" t="str">
            <v>CONTR SRV AGMT - M/R</v>
          </cell>
          <cell r="D804" t="str">
            <v>69186,C52533,12.0        FNID</v>
          </cell>
          <cell r="E804" t="str">
            <v>200300</v>
          </cell>
          <cell r="F804">
            <v>25.59</v>
          </cell>
          <cell r="G804">
            <v>39436</v>
          </cell>
          <cell r="H804">
            <v>39443</v>
          </cell>
        </row>
        <row r="805">
          <cell r="A805" t="str">
            <v>R2-009JJ-E004</v>
          </cell>
          <cell r="B805" t="str">
            <v>POWERTEK ELECTRIC</v>
          </cell>
          <cell r="C805" t="str">
            <v>CONTR SRV AGMT - M/R</v>
          </cell>
          <cell r="D805" t="str">
            <v>69995,C58237,1.0         FNID</v>
          </cell>
          <cell r="E805" t="str">
            <v>200304</v>
          </cell>
          <cell r="F805">
            <v>7.59</v>
          </cell>
          <cell r="G805">
            <v>39442</v>
          </cell>
          <cell r="H805">
            <v>39443</v>
          </cell>
        </row>
        <row r="806">
          <cell r="A806" t="str">
            <v>R2-009JJ-E004</v>
          </cell>
          <cell r="B806" t="str">
            <v>POWERTEK ELECTRIC</v>
          </cell>
          <cell r="C806" t="str">
            <v>CONTR SRV AGMT - M/R</v>
          </cell>
          <cell r="D806" t="str">
            <v>69186,C52533,12.0        FNID</v>
          </cell>
          <cell r="E806" t="str">
            <v>200308</v>
          </cell>
          <cell r="F806">
            <v>13</v>
          </cell>
          <cell r="G806">
            <v>39433</v>
          </cell>
          <cell r="H806">
            <v>39443</v>
          </cell>
        </row>
        <row r="807">
          <cell r="A807" t="str">
            <v>R2-009JJ-E004</v>
          </cell>
          <cell r="B807" t="str">
            <v>POWERTEK ELECTRIC</v>
          </cell>
          <cell r="C807" t="str">
            <v>CONTR SRV AGMT - M/R</v>
          </cell>
          <cell r="D807" t="str">
            <v>69186,C52533,12.0        FNID</v>
          </cell>
          <cell r="E807" t="str">
            <v>200642</v>
          </cell>
          <cell r="F807">
            <v>2709.94</v>
          </cell>
          <cell r="G807">
            <v>39436</v>
          </cell>
          <cell r="H807">
            <v>39444</v>
          </cell>
        </row>
        <row r="808">
          <cell r="A808" t="str">
            <v>R2-009JJ-E004</v>
          </cell>
          <cell r="B808" t="str">
            <v>POWERTEK ELECTRIC</v>
          </cell>
          <cell r="C808" t="str">
            <v>CONTR SRV AGMT - M/R</v>
          </cell>
          <cell r="D808" t="str">
            <v>69995,C58237,1.0         FNID</v>
          </cell>
          <cell r="E808" t="str">
            <v>200646</v>
          </cell>
          <cell r="F808">
            <v>127.6</v>
          </cell>
          <cell r="G808">
            <v>39443</v>
          </cell>
          <cell r="H808">
            <v>39444</v>
          </cell>
        </row>
        <row r="809">
          <cell r="A809" t="str">
            <v>R2-009JJ-E004</v>
          </cell>
          <cell r="B809" t="str">
            <v>POWERTEK ELECTRIC</v>
          </cell>
          <cell r="C809" t="str">
            <v>CONTR SRV AGMT - M/R</v>
          </cell>
          <cell r="D809" t="str">
            <v>69186,C52533,12.0        FNID</v>
          </cell>
          <cell r="E809" t="str">
            <v>200651</v>
          </cell>
          <cell r="F809">
            <v>67.209999999999994</v>
          </cell>
          <cell r="G809">
            <v>39436</v>
          </cell>
          <cell r="H809">
            <v>39444</v>
          </cell>
        </row>
        <row r="810">
          <cell r="A810" t="str">
            <v>R2-009JJ-E004</v>
          </cell>
          <cell r="B810" t="str">
            <v>POWERTEK ELECTRIC</v>
          </cell>
          <cell r="C810" t="str">
            <v>CONTR SRV AGMT - M/R</v>
          </cell>
          <cell r="D810" t="str">
            <v>69186,C52533,12.0        FNID</v>
          </cell>
          <cell r="E810" t="str">
            <v>200938</v>
          </cell>
          <cell r="F810">
            <v>1519</v>
          </cell>
          <cell r="G810">
            <v>39442</v>
          </cell>
          <cell r="H810">
            <v>39450</v>
          </cell>
        </row>
        <row r="811">
          <cell r="A811" t="str">
            <v>R2-009JJ-E004</v>
          </cell>
          <cell r="B811" t="str">
            <v>POWERTEK ELECTRIC</v>
          </cell>
          <cell r="C811" t="str">
            <v>CONTR SRV AGMT - M/R</v>
          </cell>
          <cell r="D811" t="str">
            <v>69995,C58237,1.0         FNID</v>
          </cell>
          <cell r="E811" t="str">
            <v>200940</v>
          </cell>
          <cell r="F811">
            <v>179.77</v>
          </cell>
          <cell r="G811">
            <v>39447</v>
          </cell>
          <cell r="H811">
            <v>39450</v>
          </cell>
        </row>
        <row r="812">
          <cell r="A812" t="str">
            <v>R2-009JJ-E004</v>
          </cell>
          <cell r="B812" t="str">
            <v>POWERTEK ELECTRIC</v>
          </cell>
          <cell r="C812" t="str">
            <v>CONTR SRV AGMT - M/R</v>
          </cell>
          <cell r="D812" t="str">
            <v>69186,C52533,12.0        FNID</v>
          </cell>
          <cell r="E812" t="str">
            <v>200941</v>
          </cell>
          <cell r="F812">
            <v>40.65</v>
          </cell>
          <cell r="G812">
            <v>39442</v>
          </cell>
          <cell r="H812">
            <v>39450</v>
          </cell>
        </row>
        <row r="813">
          <cell r="A813" t="str">
            <v>R2-009JJ-E004</v>
          </cell>
          <cell r="B813" t="str">
            <v>POWERTEK ELECTRIC</v>
          </cell>
          <cell r="C813" t="str">
            <v>CONTR SRV AGMT - M/R</v>
          </cell>
          <cell r="D813" t="str">
            <v>69186,C52533,12.0        FNID</v>
          </cell>
          <cell r="E813" t="str">
            <v>200944</v>
          </cell>
          <cell r="F813">
            <v>502.65</v>
          </cell>
          <cell r="G813">
            <v>39447</v>
          </cell>
          <cell r="H813">
            <v>39450</v>
          </cell>
        </row>
        <row r="814">
          <cell r="A814" t="str">
            <v>R2-009JJ-E004</v>
          </cell>
          <cell r="B814" t="str">
            <v>POWERTEK ELECTRIC</v>
          </cell>
          <cell r="C814" t="str">
            <v>CONTR SRV AGMT - M/R</v>
          </cell>
          <cell r="D814" t="str">
            <v>69186,C52533,12.0        FNID</v>
          </cell>
          <cell r="E814" t="str">
            <v>201434</v>
          </cell>
          <cell r="F814">
            <v>2820.15</v>
          </cell>
          <cell r="G814">
            <v>39449</v>
          </cell>
          <cell r="H814">
            <v>39455</v>
          </cell>
        </row>
        <row r="815">
          <cell r="A815" t="str">
            <v>R2-009JJ-E004</v>
          </cell>
          <cell r="B815" t="str">
            <v>POWERTEK ELECTRIC</v>
          </cell>
          <cell r="C815" t="str">
            <v>CONTR SRV AGMT - M/R</v>
          </cell>
          <cell r="D815" t="str">
            <v>69995,C58237,1.0         FNID</v>
          </cell>
          <cell r="E815" t="str">
            <v>201437</v>
          </cell>
          <cell r="F815">
            <v>214.65</v>
          </cell>
          <cell r="G815">
            <v>39449</v>
          </cell>
          <cell r="H815">
            <v>39455</v>
          </cell>
        </row>
        <row r="816">
          <cell r="A816" t="str">
            <v>R2-009JJ-E004</v>
          </cell>
          <cell r="B816" t="str">
            <v>POWERTEK ELECTRIC</v>
          </cell>
          <cell r="C816" t="str">
            <v>CONTR SRV AGMT - M/R</v>
          </cell>
          <cell r="D816" t="str">
            <v>69186,C52533,12.0        FNID</v>
          </cell>
          <cell r="E816" t="str">
            <v>201443</v>
          </cell>
          <cell r="F816">
            <v>112.94</v>
          </cell>
          <cell r="G816">
            <v>39449</v>
          </cell>
          <cell r="H816">
            <v>39455</v>
          </cell>
        </row>
        <row r="817">
          <cell r="A817" t="str">
            <v>R2-009JJ-E004</v>
          </cell>
          <cell r="B817" t="str">
            <v>POWERTEK ELECTRIC</v>
          </cell>
          <cell r="C817" t="str">
            <v>CONTR SRV AGMT - M/R</v>
          </cell>
          <cell r="D817" t="str">
            <v>69995,C58237,1.0         FNID</v>
          </cell>
          <cell r="E817" t="str">
            <v>201447</v>
          </cell>
          <cell r="F817">
            <v>4.55</v>
          </cell>
          <cell r="G817">
            <v>39449</v>
          </cell>
          <cell r="H817">
            <v>39455</v>
          </cell>
        </row>
        <row r="818">
          <cell r="A818" t="str">
            <v>R2-009JJ-E004</v>
          </cell>
          <cell r="B818" t="str">
            <v>POWERTEK ELECTRIC</v>
          </cell>
          <cell r="C818" t="str">
            <v>CONTR SRV AGMT - M/R</v>
          </cell>
          <cell r="D818" t="str">
            <v>69186,C52533,12.0        FNID</v>
          </cell>
          <cell r="E818" t="str">
            <v>202026</v>
          </cell>
          <cell r="F818">
            <v>6441.5</v>
          </cell>
          <cell r="G818">
            <v>39456</v>
          </cell>
          <cell r="H818">
            <v>39463</v>
          </cell>
        </row>
        <row r="819">
          <cell r="A819" t="str">
            <v>R2-009JJ-E004</v>
          </cell>
          <cell r="B819" t="str">
            <v>POWERTEK ELECTRIC</v>
          </cell>
          <cell r="C819" t="str">
            <v>CONTR SRV AGMT - M/R</v>
          </cell>
          <cell r="D819" t="str">
            <v>69995,C58237,1.0         FNID</v>
          </cell>
          <cell r="E819" t="str">
            <v>202027</v>
          </cell>
          <cell r="F819">
            <v>513.33000000000004</v>
          </cell>
          <cell r="G819">
            <v>39456</v>
          </cell>
          <cell r="H819">
            <v>39463</v>
          </cell>
        </row>
        <row r="820">
          <cell r="A820" t="str">
            <v>R2-009JJ-E004</v>
          </cell>
          <cell r="B820" t="str">
            <v>POWERTEK ELECTRIC</v>
          </cell>
          <cell r="C820" t="str">
            <v>CONTR SRV AGMT - M/R</v>
          </cell>
          <cell r="D820" t="str">
            <v>69998,C58237,5.0         FNID</v>
          </cell>
          <cell r="E820" t="str">
            <v>202027</v>
          </cell>
          <cell r="F820">
            <v>517.62</v>
          </cell>
          <cell r="G820">
            <v>39456</v>
          </cell>
          <cell r="H820">
            <v>39463</v>
          </cell>
        </row>
        <row r="821">
          <cell r="A821" t="str">
            <v>R2-009JJ-E004</v>
          </cell>
          <cell r="B821" t="str">
            <v>POWERTEK ELECTRIC</v>
          </cell>
          <cell r="C821" t="str">
            <v>CONTR SRV AGMT - M/R</v>
          </cell>
          <cell r="D821" t="str">
            <v>69186,C52533,12.0        FNID</v>
          </cell>
          <cell r="E821" t="str">
            <v>202033</v>
          </cell>
          <cell r="F821">
            <v>221.18</v>
          </cell>
          <cell r="G821">
            <v>39456</v>
          </cell>
          <cell r="H821">
            <v>39463</v>
          </cell>
        </row>
        <row r="822">
          <cell r="A822" t="str">
            <v>R2-009JJ-E004</v>
          </cell>
          <cell r="B822" t="str">
            <v>POWERTEK ELECTRIC</v>
          </cell>
          <cell r="C822" t="str">
            <v>CONTR SRV AGMT - M/R</v>
          </cell>
          <cell r="D822" t="str">
            <v>69995,C58237,1.0         FNID</v>
          </cell>
          <cell r="E822" t="str">
            <v>202034</v>
          </cell>
          <cell r="F822">
            <v>21.89</v>
          </cell>
          <cell r="G822">
            <v>39456</v>
          </cell>
          <cell r="H822">
            <v>39463</v>
          </cell>
        </row>
        <row r="823">
          <cell r="A823" t="str">
            <v>R2-009JJ-E004</v>
          </cell>
          <cell r="B823" t="str">
            <v>POWERTEK ELECTRIC</v>
          </cell>
          <cell r="C823" t="str">
            <v>CONTR SRV AGMT - M/R</v>
          </cell>
          <cell r="D823" t="str">
            <v>69998,C58237,5.0         FNID</v>
          </cell>
          <cell r="E823" t="str">
            <v>202034</v>
          </cell>
          <cell r="F823">
            <v>21.69</v>
          </cell>
          <cell r="G823">
            <v>39456</v>
          </cell>
          <cell r="H823">
            <v>39463</v>
          </cell>
        </row>
        <row r="824">
          <cell r="A824" t="str">
            <v>R2-009JJ-E004</v>
          </cell>
          <cell r="B824" t="str">
            <v>POWERTEK ELECTRIC</v>
          </cell>
          <cell r="C824" t="str">
            <v>CONTR SRV AGMT - M/R</v>
          </cell>
          <cell r="D824" t="str">
            <v>69186,C52533,12.0        FNID</v>
          </cell>
          <cell r="E824" t="str">
            <v>202039</v>
          </cell>
          <cell r="F824">
            <v>3174.38</v>
          </cell>
          <cell r="G824">
            <v>39456</v>
          </cell>
          <cell r="H824">
            <v>39463</v>
          </cell>
        </row>
        <row r="825">
          <cell r="B825" t="str">
            <v>POWERTEK ELECTRIC</v>
          </cell>
        </row>
        <row r="826">
          <cell r="A826" t="str">
            <v>R2-009JJ-E004</v>
          </cell>
          <cell r="B826" t="str">
            <v>PRINTING &amp; PHOTOCOPYING</v>
          </cell>
          <cell r="C826" t="str">
            <v>REPAIR MTL &amp; SUPPLY</v>
          </cell>
          <cell r="D826" t="str">
            <v>69186,,0.0</v>
          </cell>
          <cell r="E826" t="str">
            <v>8216325</v>
          </cell>
          <cell r="F826">
            <v>25.49</v>
          </cell>
          <cell r="G826">
            <v>39358</v>
          </cell>
          <cell r="H826">
            <v>39358</v>
          </cell>
        </row>
        <row r="827">
          <cell r="B827" t="str">
            <v>PRINTING &amp; PHOTOCOPYING</v>
          </cell>
        </row>
        <row r="828">
          <cell r="A828" t="str">
            <v>R2-009JJ-E004</v>
          </cell>
          <cell r="B828" t="str">
            <v>REPAIR MATERIALS AND SUPPLIES</v>
          </cell>
          <cell r="C828" t="str">
            <v>REPAIR MTL &amp; SUPPLY</v>
          </cell>
          <cell r="D828" t="str">
            <v>69186,,0.0</v>
          </cell>
          <cell r="E828" t="str">
            <v>8089317</v>
          </cell>
          <cell r="F828">
            <v>406.5</v>
          </cell>
          <cell r="G828">
            <v>39261</v>
          </cell>
          <cell r="H828">
            <v>39261</v>
          </cell>
        </row>
        <row r="829">
          <cell r="A829" t="str">
            <v>R2-009JJ-E004</v>
          </cell>
          <cell r="B829" t="str">
            <v>REPAIR MATERIALS AND SUPPLIES</v>
          </cell>
          <cell r="C829" t="str">
            <v>REPAIR MTL &amp; SUPPLY</v>
          </cell>
          <cell r="D829" t="str">
            <v>69186,,0.0</v>
          </cell>
          <cell r="E829" t="str">
            <v>8089329</v>
          </cell>
          <cell r="F829">
            <v>2076.13</v>
          </cell>
          <cell r="G829">
            <v>39261</v>
          </cell>
          <cell r="H829">
            <v>39261</v>
          </cell>
        </row>
        <row r="830">
          <cell r="A830" t="str">
            <v>R2-009JJ-E004</v>
          </cell>
          <cell r="B830" t="str">
            <v>REPAIR MATERIALS AND SUPPLIES</v>
          </cell>
          <cell r="C830" t="str">
            <v>REPAIR MTL &amp; SUPPLY</v>
          </cell>
          <cell r="D830" t="str">
            <v>69186,,0.0</v>
          </cell>
          <cell r="E830" t="str">
            <v>8178570</v>
          </cell>
          <cell r="F830">
            <v>2462.41</v>
          </cell>
          <cell r="G830">
            <v>39342</v>
          </cell>
          <cell r="H830">
            <v>39342</v>
          </cell>
        </row>
        <row r="831">
          <cell r="A831" t="str">
            <v>R2-009JJ-E004</v>
          </cell>
          <cell r="B831" t="str">
            <v>REPAIR MATERIALS AND SUPPLIES</v>
          </cell>
          <cell r="C831" t="str">
            <v>REPAIR MTL &amp; SUPPLY</v>
          </cell>
          <cell r="D831" t="str">
            <v>69186,,0.0</v>
          </cell>
          <cell r="E831" t="str">
            <v>8178571</v>
          </cell>
          <cell r="F831">
            <v>3.4</v>
          </cell>
          <cell r="G831">
            <v>39342</v>
          </cell>
          <cell r="H831">
            <v>39342</v>
          </cell>
        </row>
        <row r="832">
          <cell r="A832" t="str">
            <v>R2-009JJ-E004</v>
          </cell>
          <cell r="B832" t="str">
            <v>REPAIR MATERIALS AND SUPPLIES</v>
          </cell>
          <cell r="C832" t="str">
            <v>REPAIR MTL &amp; SUPPLY</v>
          </cell>
          <cell r="D832" t="str">
            <v>69186,,0.0</v>
          </cell>
          <cell r="E832" t="str">
            <v>8216324</v>
          </cell>
          <cell r="F832">
            <v>65.95</v>
          </cell>
          <cell r="G832">
            <v>39358</v>
          </cell>
          <cell r="H832">
            <v>39358</v>
          </cell>
        </row>
        <row r="833">
          <cell r="A833" t="str">
            <v>R2-009JJ-E004</v>
          </cell>
          <cell r="B833" t="str">
            <v>REPAIR MATERIALS AND SUPPLIES</v>
          </cell>
          <cell r="C833" t="str">
            <v>REPAIR MTL &amp; SUPPLY</v>
          </cell>
          <cell r="D833" t="str">
            <v>69186,,0.0</v>
          </cell>
          <cell r="E833" t="str">
            <v>8216326</v>
          </cell>
          <cell r="F833">
            <v>1436.3</v>
          </cell>
          <cell r="G833">
            <v>39358</v>
          </cell>
          <cell r="H833">
            <v>39358</v>
          </cell>
        </row>
        <row r="834">
          <cell r="A834" t="str">
            <v>R2-009JJ-E004</v>
          </cell>
          <cell r="B834" t="str">
            <v>REPAIR MATERIALS AND SUPPLIES</v>
          </cell>
          <cell r="C834" t="str">
            <v>REPAIR MTL &amp; SUPPLY</v>
          </cell>
          <cell r="D834" t="str">
            <v>69186,,0.0</v>
          </cell>
          <cell r="E834" t="str">
            <v>8216330</v>
          </cell>
          <cell r="F834">
            <v>110.83</v>
          </cell>
          <cell r="G834">
            <v>39358</v>
          </cell>
          <cell r="H834">
            <v>39358</v>
          </cell>
        </row>
        <row r="835">
          <cell r="A835" t="str">
            <v>R2-009JJ-E004</v>
          </cell>
          <cell r="B835" t="str">
            <v>REPAIR MATERIALS AND SUPPLIES</v>
          </cell>
          <cell r="C835" t="str">
            <v>REPAIR MTL &amp; SUPPLY</v>
          </cell>
          <cell r="D835" t="str">
            <v>69186,,0.0</v>
          </cell>
          <cell r="E835" t="str">
            <v>8318307</v>
          </cell>
          <cell r="F835">
            <v>26.02</v>
          </cell>
          <cell r="G835">
            <v>39392</v>
          </cell>
          <cell r="H835">
            <v>39392</v>
          </cell>
        </row>
        <row r="836">
          <cell r="A836" t="str">
            <v>R2-009JJ-E004</v>
          </cell>
          <cell r="B836" t="str">
            <v>REPAIR MATERIALS AND SUPPLIES</v>
          </cell>
          <cell r="C836" t="str">
            <v>REPAIR MTL &amp; SUPPLY</v>
          </cell>
          <cell r="D836" t="str">
            <v>69186,,0.0</v>
          </cell>
          <cell r="E836" t="str">
            <v>8318302</v>
          </cell>
          <cell r="F836">
            <v>52.03</v>
          </cell>
          <cell r="G836">
            <v>39392</v>
          </cell>
          <cell r="H836">
            <v>39392</v>
          </cell>
        </row>
        <row r="837">
          <cell r="A837" t="str">
            <v>R2-009JJ-E004</v>
          </cell>
          <cell r="B837" t="str">
            <v>REPAIR MATERIALS AND SUPPLIES</v>
          </cell>
          <cell r="C837" t="str">
            <v>REPAIR MTL &amp; SUPPLY</v>
          </cell>
          <cell r="D837" t="str">
            <v>69186,,0.0</v>
          </cell>
          <cell r="E837" t="str">
            <v>8318304</v>
          </cell>
          <cell r="F837">
            <v>22.98</v>
          </cell>
          <cell r="G837">
            <v>39392</v>
          </cell>
          <cell r="H837">
            <v>39392</v>
          </cell>
        </row>
        <row r="838">
          <cell r="A838" t="str">
            <v>R2-009JJ-E004</v>
          </cell>
          <cell r="B838" t="str">
            <v>REPAIR MATERIALS AND SUPPLIES</v>
          </cell>
          <cell r="C838" t="str">
            <v>REPAIR MTL &amp; SUPPLY</v>
          </cell>
          <cell r="D838" t="str">
            <v>69186,,0.0</v>
          </cell>
          <cell r="E838" t="str">
            <v>8318310</v>
          </cell>
          <cell r="F838">
            <v>2250</v>
          </cell>
          <cell r="G838">
            <v>39392</v>
          </cell>
          <cell r="H838">
            <v>39392</v>
          </cell>
        </row>
        <row r="839">
          <cell r="A839" t="str">
            <v>R2-009JJ-E004</v>
          </cell>
          <cell r="B839" t="str">
            <v>REPAIR MATERIALS AND SUPPLIES</v>
          </cell>
          <cell r="C839" t="str">
            <v>REPAIR MTL &amp; SUPPLY</v>
          </cell>
          <cell r="D839" t="str">
            <v>69186,,0.0</v>
          </cell>
          <cell r="E839" t="str">
            <v>8318315</v>
          </cell>
          <cell r="F839">
            <v>126.83</v>
          </cell>
          <cell r="G839">
            <v>39392</v>
          </cell>
          <cell r="H839">
            <v>39392</v>
          </cell>
        </row>
        <row r="840">
          <cell r="A840" t="str">
            <v>R2-009JJ-E004</v>
          </cell>
          <cell r="B840" t="str">
            <v>REPAIR MATERIALS AND SUPPLIES</v>
          </cell>
          <cell r="C840" t="str">
            <v>REPAIR MTL &amp; SUPPLY</v>
          </cell>
          <cell r="D840" t="str">
            <v>69186,,0.0</v>
          </cell>
          <cell r="E840" t="str">
            <v>8318316</v>
          </cell>
          <cell r="F840">
            <v>298.10000000000002</v>
          </cell>
          <cell r="G840">
            <v>39392</v>
          </cell>
          <cell r="H840">
            <v>39392</v>
          </cell>
        </row>
        <row r="841">
          <cell r="A841" t="str">
            <v>R2-009JJ-E004</v>
          </cell>
          <cell r="B841" t="str">
            <v>REPAIR MATERIALS AND SUPPLIES</v>
          </cell>
          <cell r="C841" t="str">
            <v>REPAIR MTL &amp; SUPPLY</v>
          </cell>
          <cell r="D841" t="str">
            <v>69186,,0.0</v>
          </cell>
          <cell r="E841" t="str">
            <v>8318318</v>
          </cell>
          <cell r="F841">
            <v>148.30000000000001</v>
          </cell>
          <cell r="G841">
            <v>39392</v>
          </cell>
          <cell r="H841">
            <v>39392</v>
          </cell>
        </row>
        <row r="842">
          <cell r="A842" t="str">
            <v>R2-009JJ-E004</v>
          </cell>
          <cell r="B842" t="str">
            <v>REPAIR MATERIALS AND SUPPLIES</v>
          </cell>
          <cell r="C842" t="str">
            <v>REPAIR MTL &amp; SUPPLY</v>
          </cell>
          <cell r="D842" t="str">
            <v>71204,,0.0</v>
          </cell>
          <cell r="E842" t="str">
            <v>8390663</v>
          </cell>
          <cell r="F842">
            <v>-37820.93</v>
          </cell>
          <cell r="G842">
            <v>39443</v>
          </cell>
          <cell r="H842">
            <v>39443</v>
          </cell>
        </row>
        <row r="843">
          <cell r="B843" t="str">
            <v>REPAIR MATERIALS AND SUPPLIES</v>
          </cell>
        </row>
        <row r="844">
          <cell r="A844" t="str">
            <v>R2-009JJ-E004</v>
          </cell>
          <cell r="B844" t="str">
            <v>SICKLESTEEL CRANES INC</v>
          </cell>
          <cell r="C844" t="str">
            <v>CONTR SRV AGMT - M/R</v>
          </cell>
          <cell r="D844" t="str">
            <v>69186,C52416,41.0        FNID</v>
          </cell>
          <cell r="E844" t="str">
            <v>199534</v>
          </cell>
          <cell r="F844">
            <v>4971.22</v>
          </cell>
          <cell r="G844">
            <v>39429</v>
          </cell>
          <cell r="H844">
            <v>39435</v>
          </cell>
        </row>
        <row r="845">
          <cell r="B845" t="str">
            <v>SICKLESTEEL CRANES INC</v>
          </cell>
        </row>
        <row r="846">
          <cell r="A846" t="str">
            <v>R2-009JJ-E004</v>
          </cell>
          <cell r="B846" t="str">
            <v>SOUTHCOAST FILTRATION INC</v>
          </cell>
          <cell r="C846" t="str">
            <v>REPAIR MTL &amp; SUPPLY</v>
          </cell>
          <cell r="D846" t="str">
            <v>69186,C54310,1.0         FNID156119360</v>
          </cell>
          <cell r="E846" t="str">
            <v>188054</v>
          </cell>
          <cell r="F846">
            <v>126</v>
          </cell>
          <cell r="G846">
            <v>39315</v>
          </cell>
          <cell r="H846">
            <v>39339</v>
          </cell>
        </row>
        <row r="847">
          <cell r="A847" t="str">
            <v>R2-009JJ-E004</v>
          </cell>
          <cell r="B847" t="str">
            <v>SOUTHCOAST FILTRATION INC</v>
          </cell>
          <cell r="C847" t="str">
            <v>REPAIR MTL &amp; SUPPLY</v>
          </cell>
          <cell r="D847" t="str">
            <v>69186,C54310,1.0         FNID156119360</v>
          </cell>
          <cell r="E847" t="str">
            <v>188054</v>
          </cell>
          <cell r="F847">
            <v>-126</v>
          </cell>
          <cell r="G847">
            <v>39315</v>
          </cell>
          <cell r="H847">
            <v>39380</v>
          </cell>
        </row>
        <row r="848">
          <cell r="B848" t="str">
            <v>SOUTHCOAST FILTRATION INC</v>
          </cell>
        </row>
        <row r="849">
          <cell r="A849" t="str">
            <v>R2-009JJ-E004</v>
          </cell>
          <cell r="B849" t="str">
            <v>THYSSENKRUPP SAFWAY INC</v>
          </cell>
          <cell r="C849" t="str">
            <v>CONTR SRV AGMT - M/R</v>
          </cell>
          <cell r="D849" t="str">
            <v>69918,C58468,24.0        FNID</v>
          </cell>
          <cell r="E849" t="str">
            <v>187241</v>
          </cell>
          <cell r="F849">
            <v>1252.3399999999999</v>
          </cell>
          <cell r="G849">
            <v>39318</v>
          </cell>
          <cell r="H849">
            <v>39323</v>
          </cell>
        </row>
        <row r="850">
          <cell r="A850" t="str">
            <v>R2-009JJ-E004</v>
          </cell>
          <cell r="B850" t="str">
            <v>THYSSENKRUPP SAFWAY INC</v>
          </cell>
          <cell r="C850" t="str">
            <v>CONTR SRV AGMT - M/R</v>
          </cell>
          <cell r="D850" t="str">
            <v>69918,C58468,24.0        FNID</v>
          </cell>
          <cell r="E850" t="str">
            <v>187243</v>
          </cell>
          <cell r="F850">
            <v>220.45</v>
          </cell>
          <cell r="G850">
            <v>39318</v>
          </cell>
          <cell r="H850">
            <v>39323</v>
          </cell>
        </row>
        <row r="851">
          <cell r="A851" t="str">
            <v>R2-009JJ-E004</v>
          </cell>
          <cell r="B851" t="str">
            <v>THYSSENKRUPP SAFWAY INC</v>
          </cell>
          <cell r="C851" t="str">
            <v>CONTR SRV AGMT - M/R</v>
          </cell>
          <cell r="D851" t="str">
            <v>69918,C58468,24.0        FNID</v>
          </cell>
          <cell r="E851" t="str">
            <v>187247</v>
          </cell>
          <cell r="F851">
            <v>201.97</v>
          </cell>
          <cell r="G851">
            <v>39318</v>
          </cell>
          <cell r="H851">
            <v>39323</v>
          </cell>
        </row>
        <row r="852">
          <cell r="A852" t="str">
            <v>R2-009JJ-E004</v>
          </cell>
          <cell r="B852" t="str">
            <v>THYSSENKRUPP SAFWAY INC</v>
          </cell>
          <cell r="C852" t="str">
            <v>CONTR SRV AGMT - M/R</v>
          </cell>
          <cell r="D852" t="str">
            <v>69918,C58468,24.0        FNID</v>
          </cell>
          <cell r="E852" t="str">
            <v>189010</v>
          </cell>
          <cell r="F852">
            <v>1135.08</v>
          </cell>
          <cell r="G852">
            <v>39331</v>
          </cell>
          <cell r="H852">
            <v>39343</v>
          </cell>
        </row>
        <row r="853">
          <cell r="A853" t="str">
            <v>R2-009JJ-E004</v>
          </cell>
          <cell r="B853" t="str">
            <v>THYSSENKRUPP SAFWAY INC</v>
          </cell>
          <cell r="C853" t="str">
            <v>CONTR SRV AGMT - M/R</v>
          </cell>
          <cell r="D853" t="str">
            <v>69918,C58468,24.0        FNID</v>
          </cell>
          <cell r="E853" t="str">
            <v>189016</v>
          </cell>
          <cell r="F853">
            <v>197.83</v>
          </cell>
          <cell r="G853">
            <v>39331</v>
          </cell>
          <cell r="H853">
            <v>39343</v>
          </cell>
        </row>
        <row r="854">
          <cell r="A854" t="str">
            <v>R2-009JJ-E004</v>
          </cell>
          <cell r="B854" t="str">
            <v>THYSSENKRUPP SAFWAY INC</v>
          </cell>
          <cell r="C854" t="str">
            <v>CONTR SRV AGMT - M/R</v>
          </cell>
          <cell r="D854" t="str">
            <v>69918,C58468,24.0        FNID</v>
          </cell>
          <cell r="E854" t="str">
            <v>189022</v>
          </cell>
          <cell r="F854">
            <v>92.5</v>
          </cell>
          <cell r="G854">
            <v>39331</v>
          </cell>
          <cell r="H854">
            <v>39343</v>
          </cell>
        </row>
        <row r="855">
          <cell r="A855" t="str">
            <v>R2-009JJ-E004</v>
          </cell>
          <cell r="B855" t="str">
            <v>THYSSENKRUPP SAFWAY INC</v>
          </cell>
          <cell r="C855" t="str">
            <v>CONTR SRV AGMT - M/R</v>
          </cell>
          <cell r="D855" t="str">
            <v>69918,C58468,24.0        FNID</v>
          </cell>
          <cell r="E855" t="str">
            <v>191215</v>
          </cell>
          <cell r="F855">
            <v>1372.96</v>
          </cell>
          <cell r="G855">
            <v>39349</v>
          </cell>
          <cell r="H855">
            <v>39365</v>
          </cell>
        </row>
        <row r="856">
          <cell r="A856" t="str">
            <v>R2-009JJ-E004</v>
          </cell>
          <cell r="B856" t="str">
            <v>THYSSENKRUPP SAFWAY INC</v>
          </cell>
          <cell r="C856" t="str">
            <v>CONTR SRV AGMT - M/R</v>
          </cell>
          <cell r="D856" t="str">
            <v>69918,C58468,24.0        FNID</v>
          </cell>
          <cell r="E856" t="str">
            <v>191219</v>
          </cell>
          <cell r="F856">
            <v>450.7</v>
          </cell>
          <cell r="G856">
            <v>39349</v>
          </cell>
          <cell r="H856">
            <v>39365</v>
          </cell>
        </row>
        <row r="857">
          <cell r="B857" t="str">
            <v>THYSSENKRUPP SAFWAY INC</v>
          </cell>
        </row>
        <row r="858">
          <cell r="A858" t="str">
            <v>R2-009JJ-E004</v>
          </cell>
          <cell r="B858" t="str">
            <v>TRI-COUNTY OFFICE INTERIORS</v>
          </cell>
          <cell r="C858" t="str">
            <v>REPAIR MTL &amp; SUPPLY</v>
          </cell>
          <cell r="D858" t="str">
            <v>69186,C58419,1.0         FNID155306115</v>
          </cell>
          <cell r="E858" t="str">
            <v>184700</v>
          </cell>
          <cell r="F858">
            <v>108.4</v>
          </cell>
          <cell r="G858">
            <v>39276</v>
          </cell>
          <cell r="H858">
            <v>39295</v>
          </cell>
        </row>
        <row r="859">
          <cell r="A859" t="str">
            <v>R2-009JJ-E004</v>
          </cell>
          <cell r="B859" t="str">
            <v>TRI-COUNTY OFFICE INTERIORS</v>
          </cell>
          <cell r="C859" t="str">
            <v>REPAIR MTL &amp; SUPPLY</v>
          </cell>
          <cell r="D859" t="str">
            <v>69186,C58419,2.0         FNID155306115</v>
          </cell>
          <cell r="E859" t="str">
            <v>184700</v>
          </cell>
          <cell r="F859">
            <v>649.32000000000005</v>
          </cell>
          <cell r="G859">
            <v>39276</v>
          </cell>
          <cell r="H859">
            <v>39295</v>
          </cell>
        </row>
        <row r="860">
          <cell r="A860" t="str">
            <v>R2-009JJ-E004</v>
          </cell>
          <cell r="B860" t="str">
            <v>TRI-COUNTY OFFICE INTERIORS</v>
          </cell>
          <cell r="C860" t="str">
            <v>REPAIR MTL &amp; SUPPLY</v>
          </cell>
          <cell r="D860" t="str">
            <v>69186,C58419,3.0         FNID155306115</v>
          </cell>
          <cell r="E860" t="str">
            <v>184700</v>
          </cell>
          <cell r="F860">
            <v>796.74</v>
          </cell>
          <cell r="G860">
            <v>39276</v>
          </cell>
          <cell r="H860">
            <v>39295</v>
          </cell>
        </row>
        <row r="861">
          <cell r="A861" t="str">
            <v>R2-009JJ-E004</v>
          </cell>
          <cell r="B861" t="str">
            <v>TRI-COUNTY OFFICE INTERIORS</v>
          </cell>
          <cell r="C861" t="str">
            <v>REPAIR MTL &amp; SUPPLY</v>
          </cell>
          <cell r="D861" t="str">
            <v>69186,C58403,1.0         FNID156587002</v>
          </cell>
          <cell r="E861" t="str">
            <v>189965</v>
          </cell>
          <cell r="F861">
            <v>705.68</v>
          </cell>
          <cell r="G861">
            <v>39337</v>
          </cell>
          <cell r="H861">
            <v>39353</v>
          </cell>
        </row>
        <row r="862">
          <cell r="A862" t="str">
            <v>R2-009JJ-E004</v>
          </cell>
          <cell r="B862" t="str">
            <v>TRI-COUNTY OFFICE INTERIORS</v>
          </cell>
          <cell r="C862" t="str">
            <v>REPAIR MTL &amp; SUPPLY</v>
          </cell>
          <cell r="D862" t="str">
            <v>69186,C58403,2.0         FNID156587002</v>
          </cell>
          <cell r="E862" t="str">
            <v>189965</v>
          </cell>
          <cell r="F862">
            <v>321.95</v>
          </cell>
          <cell r="G862">
            <v>39337</v>
          </cell>
          <cell r="H862">
            <v>39353</v>
          </cell>
        </row>
        <row r="863">
          <cell r="A863" t="str">
            <v>R2-009JJ-E004</v>
          </cell>
          <cell r="B863" t="str">
            <v>TRI-COUNTY OFFICE INTERIORS</v>
          </cell>
          <cell r="C863" t="str">
            <v>REPAIR MTL &amp; SUPPLY</v>
          </cell>
          <cell r="D863" t="str">
            <v>69186,C58403,3.0         FNID156587002</v>
          </cell>
          <cell r="E863" t="str">
            <v>189965</v>
          </cell>
          <cell r="F863">
            <v>61.79</v>
          </cell>
          <cell r="G863">
            <v>39337</v>
          </cell>
          <cell r="H863">
            <v>39353</v>
          </cell>
        </row>
        <row r="864">
          <cell r="A864" t="str">
            <v>R2-009JJ-E004</v>
          </cell>
          <cell r="B864" t="str">
            <v>TRI-COUNTY OFFICE INTERIORS</v>
          </cell>
          <cell r="C864" t="str">
            <v>REPAIR MTL &amp; SUPPLY</v>
          </cell>
          <cell r="D864" t="str">
            <v>69186,C58403,4.0         FNID156587002</v>
          </cell>
          <cell r="E864" t="str">
            <v>189965</v>
          </cell>
          <cell r="F864">
            <v>108.4</v>
          </cell>
          <cell r="G864">
            <v>39337</v>
          </cell>
          <cell r="H864">
            <v>39353</v>
          </cell>
        </row>
        <row r="865">
          <cell r="A865" t="str">
            <v>R2-009JJ-E004</v>
          </cell>
          <cell r="B865" t="str">
            <v>TRI-COUNTY OFFICE INTERIORS</v>
          </cell>
          <cell r="C865" t="str">
            <v>REPAIR MTL &amp; SUPPLY</v>
          </cell>
          <cell r="D865" t="str">
            <v>69186,C59381,1.0         FNID156586143</v>
          </cell>
          <cell r="E865" t="str">
            <v>190205</v>
          </cell>
          <cell r="F865">
            <v>1350.66</v>
          </cell>
          <cell r="G865">
            <v>39336</v>
          </cell>
          <cell r="H865">
            <v>39357</v>
          </cell>
        </row>
        <row r="866">
          <cell r="A866" t="str">
            <v>R2-009JJ-E004</v>
          </cell>
          <cell r="B866" t="str">
            <v>TRI-COUNTY OFFICE INTERIORS</v>
          </cell>
          <cell r="C866" t="str">
            <v>REPAIR MTL &amp; SUPPLY</v>
          </cell>
          <cell r="D866" t="str">
            <v>69186,C59381,2.0         FNID156586143</v>
          </cell>
          <cell r="E866" t="str">
            <v>190205</v>
          </cell>
          <cell r="F866">
            <v>1350.66</v>
          </cell>
          <cell r="G866">
            <v>39336</v>
          </cell>
          <cell r="H866">
            <v>39357</v>
          </cell>
        </row>
        <row r="867">
          <cell r="A867" t="str">
            <v>R2-009JJ-E004</v>
          </cell>
          <cell r="B867" t="str">
            <v>TRI-COUNTY OFFICE INTERIORS</v>
          </cell>
          <cell r="C867" t="str">
            <v>REPAIR MTL &amp; SUPPLY</v>
          </cell>
          <cell r="D867" t="str">
            <v>69186,C59381,3.0         FNID156586143</v>
          </cell>
          <cell r="E867" t="str">
            <v>190205</v>
          </cell>
          <cell r="F867">
            <v>2701.33</v>
          </cell>
          <cell r="G867">
            <v>39336</v>
          </cell>
          <cell r="H867">
            <v>39357</v>
          </cell>
        </row>
        <row r="868">
          <cell r="A868" t="str">
            <v>R2-009JJ-E004</v>
          </cell>
          <cell r="B868" t="str">
            <v>TRI-COUNTY OFFICE INTERIORS</v>
          </cell>
          <cell r="C868" t="str">
            <v>REPAIR MTL &amp; SUPPLY</v>
          </cell>
          <cell r="D868" t="str">
            <v>69186,C59381,4.0         FNID156586143</v>
          </cell>
          <cell r="E868" t="str">
            <v>190205</v>
          </cell>
          <cell r="F868">
            <v>1440.64</v>
          </cell>
          <cell r="G868">
            <v>39336</v>
          </cell>
          <cell r="H868">
            <v>39357</v>
          </cell>
        </row>
        <row r="869">
          <cell r="A869" t="str">
            <v>R2-009JJ-E004</v>
          </cell>
          <cell r="B869" t="str">
            <v>TRI-COUNTY OFFICE INTERIORS</v>
          </cell>
          <cell r="C869" t="str">
            <v>REPAIR MTL &amp; SUPPLY</v>
          </cell>
          <cell r="D869" t="str">
            <v>69186,C59381,5.0         FNID156586143</v>
          </cell>
          <cell r="E869" t="str">
            <v>190205</v>
          </cell>
          <cell r="F869">
            <v>1295.3800000000001</v>
          </cell>
          <cell r="G869">
            <v>39336</v>
          </cell>
          <cell r="H869">
            <v>39357</v>
          </cell>
        </row>
        <row r="870">
          <cell r="A870" t="str">
            <v>R2-009JJ-E004</v>
          </cell>
          <cell r="B870" t="str">
            <v>TRI-COUNTY OFFICE INTERIORS</v>
          </cell>
          <cell r="C870" t="str">
            <v>REPAIR MTL &amp; SUPPLY</v>
          </cell>
          <cell r="D870" t="str">
            <v>69186,C59381,6.0         FNID156586143</v>
          </cell>
          <cell r="E870" t="str">
            <v>190205</v>
          </cell>
          <cell r="F870">
            <v>1012.46</v>
          </cell>
          <cell r="G870">
            <v>39336</v>
          </cell>
          <cell r="H870">
            <v>39357</v>
          </cell>
        </row>
        <row r="871">
          <cell r="A871" t="str">
            <v>R2-009JJ-E004</v>
          </cell>
          <cell r="B871" t="str">
            <v>TRI-COUNTY OFFICE INTERIORS</v>
          </cell>
          <cell r="C871" t="str">
            <v>REPAIR MTL &amp; SUPPLY</v>
          </cell>
          <cell r="D871" t="str">
            <v>69186,C59381,7.0         FNID156586143</v>
          </cell>
          <cell r="E871" t="str">
            <v>190205</v>
          </cell>
          <cell r="F871">
            <v>1949.03</v>
          </cell>
          <cell r="G871">
            <v>39336</v>
          </cell>
          <cell r="H871">
            <v>39357</v>
          </cell>
        </row>
        <row r="872">
          <cell r="A872" t="str">
            <v>R2-009JJ-E004</v>
          </cell>
          <cell r="B872" t="str">
            <v>TRI-COUNTY OFFICE INTERIORS</v>
          </cell>
          <cell r="C872" t="str">
            <v>REPAIR MTL &amp; SUPPLY</v>
          </cell>
          <cell r="D872" t="str">
            <v>69186,C59381,8.0         FNID156586143</v>
          </cell>
          <cell r="E872" t="str">
            <v>190205</v>
          </cell>
          <cell r="F872">
            <v>1478.58</v>
          </cell>
          <cell r="G872">
            <v>39336</v>
          </cell>
          <cell r="H872">
            <v>39357</v>
          </cell>
        </row>
        <row r="873">
          <cell r="A873" t="str">
            <v>R2-009JJ-E004</v>
          </cell>
          <cell r="B873" t="str">
            <v>TRI-COUNTY OFFICE INTERIORS</v>
          </cell>
          <cell r="C873" t="str">
            <v>REPAIR MTL &amp; SUPPLY</v>
          </cell>
          <cell r="D873" t="str">
            <v>69186,C59381,9.0         FNID156586143</v>
          </cell>
          <cell r="E873" t="str">
            <v>190205</v>
          </cell>
          <cell r="F873">
            <v>644.98</v>
          </cell>
          <cell r="G873">
            <v>39336</v>
          </cell>
          <cell r="H873">
            <v>39357</v>
          </cell>
        </row>
        <row r="874">
          <cell r="A874" t="str">
            <v>R2-009JJ-E004</v>
          </cell>
          <cell r="B874" t="str">
            <v>TRI-COUNTY OFFICE INTERIORS</v>
          </cell>
          <cell r="C874" t="str">
            <v>REPAIR MTL &amp; SUPPLY</v>
          </cell>
          <cell r="D874" t="str">
            <v>69186,C59381,10.0        FNID156586143</v>
          </cell>
          <cell r="E874" t="str">
            <v>190205</v>
          </cell>
          <cell r="F874">
            <v>1864.48</v>
          </cell>
          <cell r="G874">
            <v>39336</v>
          </cell>
          <cell r="H874">
            <v>39357</v>
          </cell>
        </row>
        <row r="875">
          <cell r="A875" t="str">
            <v>R2-009JJ-E004</v>
          </cell>
          <cell r="B875" t="str">
            <v>TRI-COUNTY OFFICE INTERIORS</v>
          </cell>
          <cell r="C875" t="str">
            <v>REPAIR MTL &amp; SUPPLY</v>
          </cell>
          <cell r="D875" t="str">
            <v>69186,C59381,11.0        FNID156586143</v>
          </cell>
          <cell r="E875" t="str">
            <v>190205</v>
          </cell>
          <cell r="F875">
            <v>1550.11</v>
          </cell>
          <cell r="G875">
            <v>39336</v>
          </cell>
          <cell r="H875">
            <v>39357</v>
          </cell>
        </row>
        <row r="876">
          <cell r="A876" t="str">
            <v>R2-009JJ-E004</v>
          </cell>
          <cell r="B876" t="str">
            <v>TRI-COUNTY OFFICE INTERIORS</v>
          </cell>
          <cell r="C876" t="str">
            <v>REPAIR MTL &amp; SUPPLY</v>
          </cell>
          <cell r="D876" t="str">
            <v>69186,C59381,12.0        FNID156586143</v>
          </cell>
          <cell r="E876" t="str">
            <v>190205</v>
          </cell>
          <cell r="F876">
            <v>960.42</v>
          </cell>
          <cell r="G876">
            <v>39336</v>
          </cell>
          <cell r="H876">
            <v>39357</v>
          </cell>
        </row>
        <row r="877">
          <cell r="A877" t="str">
            <v>R2-009JJ-E004</v>
          </cell>
          <cell r="B877" t="str">
            <v>TRI-COUNTY OFFICE INTERIORS</v>
          </cell>
          <cell r="C877" t="str">
            <v>REPAIR MTL &amp; SUPPLY</v>
          </cell>
          <cell r="D877" t="str">
            <v>69186,C59381,13.0        FNID156586143</v>
          </cell>
          <cell r="E877" t="str">
            <v>190205</v>
          </cell>
          <cell r="F877">
            <v>437.94</v>
          </cell>
          <cell r="G877">
            <v>39336</v>
          </cell>
          <cell r="H877">
            <v>39357</v>
          </cell>
        </row>
        <row r="878">
          <cell r="A878" t="str">
            <v>R2-009JJ-E004</v>
          </cell>
          <cell r="B878" t="str">
            <v>TRI-COUNTY OFFICE INTERIORS</v>
          </cell>
          <cell r="C878" t="str">
            <v>REPAIR MTL &amp; SUPPLY</v>
          </cell>
          <cell r="D878" t="str">
            <v>69186,C59381,14.0        FNID156586143</v>
          </cell>
          <cell r="E878" t="str">
            <v>190205</v>
          </cell>
          <cell r="F878">
            <v>2276.4</v>
          </cell>
          <cell r="G878">
            <v>39336</v>
          </cell>
          <cell r="H878">
            <v>39357</v>
          </cell>
        </row>
        <row r="879">
          <cell r="A879" t="str">
            <v>R2-009JJ-E004</v>
          </cell>
          <cell r="B879" t="str">
            <v>TRI-COUNTY OFFICE INTERIORS</v>
          </cell>
          <cell r="C879" t="str">
            <v>REPAIR MTL &amp; SUPPLY</v>
          </cell>
          <cell r="D879" t="str">
            <v>69186,C59381,15.0        FNID156586143</v>
          </cell>
          <cell r="E879" t="str">
            <v>190205</v>
          </cell>
          <cell r="F879">
            <v>813</v>
          </cell>
          <cell r="G879">
            <v>39336</v>
          </cell>
          <cell r="H879">
            <v>39357</v>
          </cell>
        </row>
        <row r="880">
          <cell r="A880" t="str">
            <v>R2-009JJ-E004</v>
          </cell>
          <cell r="B880" t="str">
            <v>TRI-COUNTY OFFICE INTERIORS</v>
          </cell>
          <cell r="C880" t="str">
            <v>REPAIR MTL &amp; SUPPLY</v>
          </cell>
          <cell r="D880" t="str">
            <v>69186,C59381,16.0        FNID156586143</v>
          </cell>
          <cell r="E880" t="str">
            <v>190205</v>
          </cell>
          <cell r="F880">
            <v>1478.58</v>
          </cell>
          <cell r="G880">
            <v>39336</v>
          </cell>
          <cell r="H880">
            <v>39357</v>
          </cell>
        </row>
        <row r="881">
          <cell r="A881" t="str">
            <v>R2-009JJ-E004</v>
          </cell>
          <cell r="B881" t="str">
            <v>TRI-COUNTY OFFICE INTERIORS</v>
          </cell>
          <cell r="C881" t="str">
            <v>REPAIR MTL &amp; SUPPLY</v>
          </cell>
          <cell r="D881" t="str">
            <v>69186,C59382,1.0         FNID156751022</v>
          </cell>
          <cell r="E881" t="str">
            <v>191001</v>
          </cell>
          <cell r="F881">
            <v>184.28</v>
          </cell>
          <cell r="G881">
            <v>39351</v>
          </cell>
          <cell r="H881">
            <v>39364</v>
          </cell>
        </row>
        <row r="882">
          <cell r="A882" t="str">
            <v>R2-009JJ-E004</v>
          </cell>
          <cell r="B882" t="str">
            <v>TRI-COUNTY OFFICE INTERIORS</v>
          </cell>
          <cell r="C882" t="str">
            <v>REPAIR MTL &amp; SUPPLY</v>
          </cell>
          <cell r="D882" t="str">
            <v>69186,C60450,1.0         FNID320282829</v>
          </cell>
          <cell r="E882" t="str">
            <v>194230</v>
          </cell>
          <cell r="F882">
            <v>34308.6</v>
          </cell>
          <cell r="G882">
            <v>39377</v>
          </cell>
          <cell r="H882">
            <v>39395</v>
          </cell>
        </row>
        <row r="883">
          <cell r="A883" t="str">
            <v>R2-009JJ-E004</v>
          </cell>
          <cell r="B883" t="str">
            <v>TRI-COUNTY OFFICE INTERIORS</v>
          </cell>
          <cell r="C883" t="str">
            <v>REPAIR MTL &amp; SUPPLY</v>
          </cell>
          <cell r="D883" t="str">
            <v>69186,C61564,1.0         FNID320568766</v>
          </cell>
          <cell r="E883" t="str">
            <v>195445</v>
          </cell>
          <cell r="F883">
            <v>2334.94</v>
          </cell>
          <cell r="G883">
            <v>39388</v>
          </cell>
          <cell r="H883">
            <v>39400</v>
          </cell>
        </row>
        <row r="884">
          <cell r="B884" t="str">
            <v>TRI-COUNTY OFFICE INTERIORS</v>
          </cell>
        </row>
        <row r="885">
          <cell r="A885" t="str">
            <v>R2-009JJ-E004</v>
          </cell>
          <cell r="B885" t="str">
            <v>WESTERN REFINERY SERVICES INC</v>
          </cell>
          <cell r="C885" t="str">
            <v>CONTR SRV AGMT - M/R</v>
          </cell>
          <cell r="D885" t="str">
            <v>69186,C52537,16.0        FNID</v>
          </cell>
          <cell r="E885" t="str">
            <v>184177</v>
          </cell>
          <cell r="F885">
            <v>688.89</v>
          </cell>
          <cell r="G885">
            <v>39281</v>
          </cell>
          <cell r="H885">
            <v>39287</v>
          </cell>
        </row>
        <row r="886">
          <cell r="A886" t="str">
            <v>R2-009JJ-E004</v>
          </cell>
          <cell r="B886" t="str">
            <v>WESTERN REFINERY SERVICES INC</v>
          </cell>
          <cell r="C886" t="str">
            <v>CONTR SRV AGMT - M/R</v>
          </cell>
          <cell r="D886" t="str">
            <v>69186,C52537,16.0        FNID</v>
          </cell>
          <cell r="E886" t="str">
            <v>184179</v>
          </cell>
          <cell r="F886">
            <v>142.59</v>
          </cell>
          <cell r="G886">
            <v>39281</v>
          </cell>
          <cell r="H886">
            <v>39287</v>
          </cell>
        </row>
        <row r="887">
          <cell r="A887" t="str">
            <v>R2-009JJ-E004</v>
          </cell>
          <cell r="B887" t="str">
            <v>WESTERN REFINERY SERVICES INC</v>
          </cell>
          <cell r="C887" t="str">
            <v>CONTR SRV AGMT - M/R</v>
          </cell>
          <cell r="D887" t="str">
            <v>69186,C52537,16.0        FNID</v>
          </cell>
          <cell r="E887" t="str">
            <v>184181</v>
          </cell>
          <cell r="F887">
            <v>333.95</v>
          </cell>
          <cell r="G887">
            <v>39283</v>
          </cell>
          <cell r="H887">
            <v>39287</v>
          </cell>
        </row>
        <row r="888">
          <cell r="A888" t="str">
            <v>R2-009JJ-E004</v>
          </cell>
          <cell r="B888" t="str">
            <v>WESTERN REFINERY SERVICES INC</v>
          </cell>
          <cell r="C888" t="str">
            <v>CONTR SRV AGMT - M/R</v>
          </cell>
          <cell r="D888" t="str">
            <v>69186,C52537,16.0        FNID</v>
          </cell>
          <cell r="E888" t="str">
            <v>189038</v>
          </cell>
          <cell r="F888">
            <v>244.54</v>
          </cell>
          <cell r="G888">
            <v>39325</v>
          </cell>
          <cell r="H888">
            <v>39343</v>
          </cell>
        </row>
        <row r="889">
          <cell r="A889" t="str">
            <v>R2-009JJ-E004</v>
          </cell>
          <cell r="B889" t="str">
            <v>WESTERN REFINERY SERVICES INC</v>
          </cell>
          <cell r="C889" t="str">
            <v>CONTR SRV AGMT - M/R</v>
          </cell>
          <cell r="D889" t="str">
            <v>69186,C52537,16.0        FNID</v>
          </cell>
          <cell r="E889" t="str">
            <v>189035</v>
          </cell>
          <cell r="F889">
            <v>887.26</v>
          </cell>
          <cell r="G889">
            <v>39325</v>
          </cell>
          <cell r="H889">
            <v>39343</v>
          </cell>
        </row>
        <row r="890">
          <cell r="A890" t="str">
            <v>R2-009JJ-E004</v>
          </cell>
          <cell r="B890" t="str">
            <v>WESTERN REFINERY SERVICES INC</v>
          </cell>
          <cell r="C890" t="str">
            <v>CONTR SRV AGMT - M/R</v>
          </cell>
          <cell r="D890" t="str">
            <v>69186,C52537,16.0        FNID</v>
          </cell>
          <cell r="E890" t="str">
            <v>189640</v>
          </cell>
          <cell r="F890">
            <v>170.46</v>
          </cell>
          <cell r="G890">
            <v>39343</v>
          </cell>
          <cell r="H890">
            <v>39350</v>
          </cell>
        </row>
        <row r="891">
          <cell r="A891" t="str">
            <v>R2-009JJ-E004</v>
          </cell>
          <cell r="B891" t="str">
            <v>WESTERN REFINERY SERVICES INC</v>
          </cell>
          <cell r="C891" t="str">
            <v>CONTR SRV AGMT - M/R</v>
          </cell>
          <cell r="D891" t="str">
            <v>69186,C52537,16.0        FNID</v>
          </cell>
          <cell r="E891" t="str">
            <v>189642</v>
          </cell>
          <cell r="F891">
            <v>295.93</v>
          </cell>
          <cell r="G891">
            <v>39343</v>
          </cell>
          <cell r="H891">
            <v>39350</v>
          </cell>
        </row>
        <row r="892">
          <cell r="A892" t="str">
            <v>R2-009JJ-E004</v>
          </cell>
          <cell r="B892" t="str">
            <v>WESTERN REFINERY SERVICES INC</v>
          </cell>
          <cell r="C892" t="str">
            <v>CONTR SRV AGMT - M/R</v>
          </cell>
          <cell r="D892" t="str">
            <v>69186,C52537,16.0        FNID</v>
          </cell>
          <cell r="E892" t="str">
            <v>189644</v>
          </cell>
          <cell r="F892">
            <v>449.72</v>
          </cell>
          <cell r="G892">
            <v>39346</v>
          </cell>
          <cell r="H892">
            <v>39350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50">
          <cell r="P50">
            <v>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REGISTER"/>
      <sheetName val="LISTS"/>
    </sheetNames>
    <sheetDataSet>
      <sheetData sheetId="0"/>
      <sheetData sheetId="1">
        <row r="3">
          <cell r="B3" t="str">
            <v>Construction</v>
          </cell>
          <cell r="D3" t="str">
            <v>Design</v>
          </cell>
          <cell r="F3">
            <v>0.1</v>
          </cell>
          <cell r="H3">
            <v>1</v>
          </cell>
          <cell r="J3" t="str">
            <v>Owner</v>
          </cell>
        </row>
        <row r="4">
          <cell r="B4" t="str">
            <v>Delay (material)</v>
          </cell>
          <cell r="D4" t="str">
            <v>Engineering</v>
          </cell>
          <cell r="F4">
            <v>0.25</v>
          </cell>
          <cell r="H4">
            <v>2</v>
          </cell>
          <cell r="J4" t="str">
            <v>Engineer</v>
          </cell>
        </row>
        <row r="5">
          <cell r="B5" t="str">
            <v>Other</v>
          </cell>
          <cell r="D5" t="str">
            <v>Civil</v>
          </cell>
          <cell r="F5">
            <v>0.5</v>
          </cell>
          <cell r="H5">
            <v>3</v>
          </cell>
          <cell r="J5" t="str">
            <v>Contractor</v>
          </cell>
        </row>
        <row r="6">
          <cell r="B6" t="str">
            <v>Owner</v>
          </cell>
          <cell r="D6" t="str">
            <v>Mechanical</v>
          </cell>
          <cell r="F6">
            <v>0.75</v>
          </cell>
          <cell r="H6">
            <v>-1</v>
          </cell>
          <cell r="J6" t="str">
            <v>Other</v>
          </cell>
        </row>
        <row r="7">
          <cell r="B7" t="str">
            <v>Performance</v>
          </cell>
          <cell r="D7" t="str">
            <v>Structural</v>
          </cell>
          <cell r="F7">
            <v>0.9</v>
          </cell>
          <cell r="H7">
            <v>-2</v>
          </cell>
        </row>
        <row r="8">
          <cell r="B8" t="str">
            <v>Vendor</v>
          </cell>
          <cell r="D8" t="str">
            <v>Piping</v>
          </cell>
          <cell r="F8">
            <v>1</v>
          </cell>
          <cell r="H8">
            <v>-3</v>
          </cell>
        </row>
        <row r="9">
          <cell r="B9" t="str">
            <v>Weather</v>
          </cell>
          <cell r="D9" t="str">
            <v>Electrical</v>
          </cell>
        </row>
        <row r="10">
          <cell r="B10" t="str">
            <v>Production Rates</v>
          </cell>
        </row>
        <row r="11">
          <cell r="B11" t="str">
            <v>Lake Draw-Down Issues</v>
          </cell>
        </row>
        <row r="12">
          <cell r="B12" t="str">
            <v>OPPORTUNITY</v>
          </cell>
          <cell r="D12" t="str">
            <v>Instrumentation</v>
          </cell>
        </row>
        <row r="13">
          <cell r="D13" t="str">
            <v>Buildings</v>
          </cell>
        </row>
        <row r="14">
          <cell r="D14" t="str">
            <v>I &amp; E</v>
          </cell>
        </row>
        <row r="15">
          <cell r="D15" t="str">
            <v>Scaffolding</v>
          </cell>
        </row>
        <row r="16">
          <cell r="D16" t="str">
            <v>Insulation</v>
          </cell>
        </row>
        <row r="17">
          <cell r="D17" t="str">
            <v>Painting</v>
          </cell>
        </row>
        <row r="18">
          <cell r="D18" t="str">
            <v>Operations</v>
          </cell>
        </row>
        <row r="19">
          <cell r="D19" t="str">
            <v>Constructability</v>
          </cell>
        </row>
        <row r="20">
          <cell r="D20" t="str">
            <v>Env. Compliance</v>
          </cell>
        </row>
        <row r="21">
          <cell r="D21" t="str">
            <v>General</v>
          </cell>
        </row>
        <row r="22">
          <cell r="D22" t="str">
            <v>Mitigation</v>
          </cell>
        </row>
        <row r="23">
          <cell r="D23" t="str">
            <v>Timing</v>
          </cell>
        </row>
        <row r="24">
          <cell r="D24" t="str">
            <v>Incidental &amp; Environ.</v>
          </cell>
        </row>
        <row r="25">
          <cell r="D25" t="str">
            <v>Materials</v>
          </cell>
        </row>
        <row r="26">
          <cell r="D26" t="str">
            <v>O&amp;M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- OBL"/>
      <sheetName val="Master - IBL"/>
      <sheetName val="Cash Flow"/>
      <sheetName val="Data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Project Services</v>
          </cell>
          <cell r="B4" t="str">
            <v>243 Major Equipment</v>
          </cell>
          <cell r="C4" t="str">
            <v>000 Contract Inspection</v>
          </cell>
          <cell r="E4" t="str">
            <v>A</v>
          </cell>
        </row>
        <row r="5">
          <cell r="A5" t="str">
            <v>Materials</v>
          </cell>
          <cell r="B5" t="str">
            <v>243 Major Equipment</v>
          </cell>
          <cell r="C5" t="str">
            <v>000 Other</v>
          </cell>
          <cell r="E5" t="str">
            <v>S</v>
          </cell>
        </row>
        <row r="6">
          <cell r="A6" t="str">
            <v>Field Services</v>
          </cell>
          <cell r="B6" t="str">
            <v>244 Civil</v>
          </cell>
          <cell r="C6" t="str">
            <v>001 Engineered Purchase Order</v>
          </cell>
          <cell r="E6" t="str">
            <v>D</v>
          </cell>
        </row>
        <row r="7">
          <cell r="A7" t="str">
            <v>Other</v>
          </cell>
          <cell r="B7" t="str">
            <v>246 Structural</v>
          </cell>
          <cell r="C7" t="str">
            <v>002 Field Labor, Equipment &amp; Materials</v>
          </cell>
          <cell r="E7" t="str">
            <v>E</v>
          </cell>
        </row>
        <row r="8">
          <cell r="B8" t="str">
            <v>246 Structural</v>
          </cell>
          <cell r="C8" t="str">
            <v>003 Scaffolding</v>
          </cell>
          <cell r="E8" t="str">
            <v>O</v>
          </cell>
        </row>
        <row r="9">
          <cell r="B9" t="str">
            <v>248 Piping</v>
          </cell>
          <cell r="C9" t="str">
            <v>004 Insulation</v>
          </cell>
        </row>
        <row r="10">
          <cell r="B10" t="str">
            <v>248 Piping</v>
          </cell>
          <cell r="C10" t="str">
            <v>005 Painting</v>
          </cell>
        </row>
        <row r="11">
          <cell r="B11" t="str">
            <v>250 Specialty Contractors</v>
          </cell>
          <cell r="C11" t="str">
            <v>006 Industrial Cleaning</v>
          </cell>
        </row>
        <row r="12">
          <cell r="B12" t="str">
            <v>252 Instrument</v>
          </cell>
          <cell r="C12" t="str">
            <v>007 Cranes</v>
          </cell>
        </row>
        <row r="13">
          <cell r="B13" t="str">
            <v>254 Electrical</v>
          </cell>
          <cell r="C13" t="str">
            <v>009 Vessels</v>
          </cell>
        </row>
        <row r="14">
          <cell r="B14" t="str">
            <v>353 BP Costs</v>
          </cell>
          <cell r="C14" t="str">
            <v>010 Towers</v>
          </cell>
        </row>
        <row r="15">
          <cell r="B15" t="str">
            <v>354 Distributed Program Services</v>
          </cell>
          <cell r="C15" t="str">
            <v>011 Reactors</v>
          </cell>
        </row>
        <row r="16">
          <cell r="B16" t="str">
            <v>379 Contract Engineering</v>
          </cell>
          <cell r="C16" t="str">
            <v>012 Exchangers</v>
          </cell>
        </row>
        <row r="17">
          <cell r="B17" t="str">
            <v>380 Contract Inspection</v>
          </cell>
          <cell r="C17" t="str">
            <v>013 Air Coolers</v>
          </cell>
        </row>
        <row r="18">
          <cell r="B18" t="str">
            <v>412 Distributed Field Indirects</v>
          </cell>
          <cell r="C18" t="str">
            <v>014 Filters/Coalescers/Other Pressure Vessels</v>
          </cell>
        </row>
        <row r="19">
          <cell r="B19" t="str">
            <v>413 Contract Accruals</v>
          </cell>
          <cell r="C19" t="str">
            <v>015 Fired Heaters</v>
          </cell>
        </row>
        <row r="20">
          <cell r="B20" t="str">
            <v>999 Contingency</v>
          </cell>
          <cell r="C20" t="str">
            <v>016 Tanks</v>
          </cell>
        </row>
        <row r="21">
          <cell r="C21" t="str">
            <v>017 Pumps &amp; Drivers</v>
          </cell>
        </row>
        <row r="22">
          <cell r="C22" t="str">
            <v>018 Compressors &amp; Drivers</v>
          </cell>
        </row>
        <row r="23">
          <cell r="C23" t="str">
            <v>019 Boilers</v>
          </cell>
        </row>
        <row r="24">
          <cell r="C24" t="str">
            <v>020 Material Handling Equipment</v>
          </cell>
        </row>
        <row r="25">
          <cell r="C25" t="str">
            <v>021 Buildings/Shelters</v>
          </cell>
        </row>
        <row r="26">
          <cell r="C26" t="str">
            <v>255 Design Engineering</v>
          </cell>
        </row>
        <row r="27">
          <cell r="C27" t="str">
            <v>256 Contractor Constructability Review</v>
          </cell>
        </row>
        <row r="28">
          <cell r="C28" t="str">
            <v>270 Supplemental Maintenance Distributed Charges</v>
          </cell>
        </row>
        <row r="29">
          <cell r="C29" t="str">
            <v>275 Capital Project Controls</v>
          </cell>
        </row>
        <row r="30">
          <cell r="C30" t="str">
            <v>276 Capital Program Management</v>
          </cell>
        </row>
        <row r="31">
          <cell r="C31" t="str">
            <v>277 Distributed Contractor Overhead</v>
          </cell>
        </row>
        <row r="32">
          <cell r="C32" t="str">
            <v>278 Capital Tools, Equipment &amp; Consumables</v>
          </cell>
        </row>
        <row r="33">
          <cell r="C33" t="str">
            <v>279 Turnaround Indirects</v>
          </cell>
        </row>
        <row r="34">
          <cell r="C34" t="str">
            <v>279 Turnaround Indirects</v>
          </cell>
        </row>
        <row r="35">
          <cell r="C35" t="str">
            <v>298 BP Cherry Point PE's</v>
          </cell>
        </row>
        <row r="36">
          <cell r="C36" t="str">
            <v>298 BP Cherry Point PM's</v>
          </cell>
        </row>
        <row r="37">
          <cell r="C37" t="str">
            <v>299 BP Cherry Point Discipline Engineers</v>
          </cell>
        </row>
        <row r="38">
          <cell r="C38" t="str">
            <v>300 BP Cherry Point Field Engineers</v>
          </cell>
        </row>
        <row r="39">
          <cell r="C39" t="str">
            <v>301 BP Cherry Point Inspection</v>
          </cell>
        </row>
        <row r="40">
          <cell r="C40" t="str">
            <v>302 Tech Center Engineering Support</v>
          </cell>
        </row>
        <row r="41">
          <cell r="C41" t="str">
            <v>303 Expense Reports</v>
          </cell>
        </row>
        <row r="42">
          <cell r="C42" t="str">
            <v>304 Permits/Fees</v>
          </cell>
        </row>
        <row r="43">
          <cell r="C43" t="str">
            <v>999 Construction Contingency</v>
          </cell>
        </row>
        <row r="44">
          <cell r="C44" t="str">
            <v>999 Design Allowance</v>
          </cell>
        </row>
        <row r="45">
          <cell r="C45" t="str">
            <v>999 Escalation Allowance</v>
          </cell>
        </row>
        <row r="46">
          <cell r="C46" t="str">
            <v>999 Program Contingency</v>
          </cell>
        </row>
        <row r="47">
          <cell r="C47" t="str">
            <v>999 Unallocated Provision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ummary"/>
      <sheetName val="Trend Log"/>
      <sheetName val="Trend Chart"/>
      <sheetName val="Sheet3"/>
    </sheetNames>
    <sheetDataSet>
      <sheetData sheetId="0">
        <row r="2">
          <cell r="BG2" t="str">
            <v>BR</v>
          </cell>
        </row>
        <row r="3">
          <cell r="BG3" t="str">
            <v>SBR</v>
          </cell>
        </row>
        <row r="4">
          <cell r="BG4" t="str">
            <v>EVA</v>
          </cell>
        </row>
        <row r="5">
          <cell r="BG5" t="str">
            <v>AFC</v>
          </cell>
        </row>
        <row r="6">
          <cell r="BG6" t="str">
            <v>WIP</v>
          </cell>
        </row>
        <row r="7">
          <cell r="BG7" t="str">
            <v>COM</v>
          </cell>
        </row>
        <row r="8">
          <cell r="BG8" t="str">
            <v>MF</v>
          </cell>
        </row>
        <row r="9">
          <cell r="BG9" t="str">
            <v>SOFA</v>
          </cell>
        </row>
        <row r="10">
          <cell r="BG10" t="str">
            <v>MA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>
      <selection activeCell="F22" sqref="F22"/>
    </sheetView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L29"/>
  <sheetViews>
    <sheetView workbookViewId="0">
      <selection activeCell="B6" sqref="B6"/>
    </sheetView>
  </sheetViews>
  <sheetFormatPr defaultRowHeight="12.75" outlineLevelRow="1"/>
  <cols>
    <col min="1" max="1" width="49.140625" style="335" customWidth="1"/>
    <col min="2" max="2" width="13.5703125" style="335" customWidth="1"/>
    <col min="3" max="3" width="14.85546875" style="335" customWidth="1"/>
    <col min="4" max="4" width="14" style="335" customWidth="1"/>
    <col min="5" max="5" width="11.140625" style="335" customWidth="1"/>
    <col min="6" max="6" width="11.7109375" style="335" customWidth="1"/>
    <col min="7" max="7" width="10.42578125" style="335" customWidth="1"/>
    <col min="8" max="8" width="9.140625" style="335"/>
    <col min="9" max="11" width="11.28515625" style="335" bestFit="1" customWidth="1"/>
    <col min="12" max="256" width="9.140625" style="335"/>
    <col min="257" max="257" width="28" style="335" customWidth="1"/>
    <col min="258" max="258" width="13.5703125" style="335" customWidth="1"/>
    <col min="259" max="259" width="14.85546875" style="335" customWidth="1"/>
    <col min="260" max="260" width="14" style="335" customWidth="1"/>
    <col min="261" max="261" width="11.140625" style="335" customWidth="1"/>
    <col min="262" max="262" width="11.7109375" style="335" customWidth="1"/>
    <col min="263" max="263" width="10.42578125" style="335" customWidth="1"/>
    <col min="264" max="512" width="9.140625" style="335"/>
    <col min="513" max="513" width="28" style="335" customWidth="1"/>
    <col min="514" max="514" width="13.5703125" style="335" customWidth="1"/>
    <col min="515" max="515" width="14.85546875" style="335" customWidth="1"/>
    <col min="516" max="516" width="14" style="335" customWidth="1"/>
    <col min="517" max="517" width="11.140625" style="335" customWidth="1"/>
    <col min="518" max="518" width="11.7109375" style="335" customWidth="1"/>
    <col min="519" max="519" width="10.42578125" style="335" customWidth="1"/>
    <col min="520" max="768" width="9.140625" style="335"/>
    <col min="769" max="769" width="28" style="335" customWidth="1"/>
    <col min="770" max="770" width="13.5703125" style="335" customWidth="1"/>
    <col min="771" max="771" width="14.85546875" style="335" customWidth="1"/>
    <col min="772" max="772" width="14" style="335" customWidth="1"/>
    <col min="773" max="773" width="11.140625" style="335" customWidth="1"/>
    <col min="774" max="774" width="11.7109375" style="335" customWidth="1"/>
    <col min="775" max="775" width="10.42578125" style="335" customWidth="1"/>
    <col min="776" max="1024" width="9.140625" style="335"/>
    <col min="1025" max="1025" width="28" style="335" customWidth="1"/>
    <col min="1026" max="1026" width="13.5703125" style="335" customWidth="1"/>
    <col min="1027" max="1027" width="14.85546875" style="335" customWidth="1"/>
    <col min="1028" max="1028" width="14" style="335" customWidth="1"/>
    <col min="1029" max="1029" width="11.140625" style="335" customWidth="1"/>
    <col min="1030" max="1030" width="11.7109375" style="335" customWidth="1"/>
    <col min="1031" max="1031" width="10.42578125" style="335" customWidth="1"/>
    <col min="1032" max="1280" width="9.140625" style="335"/>
    <col min="1281" max="1281" width="28" style="335" customWidth="1"/>
    <col min="1282" max="1282" width="13.5703125" style="335" customWidth="1"/>
    <col min="1283" max="1283" width="14.85546875" style="335" customWidth="1"/>
    <col min="1284" max="1284" width="14" style="335" customWidth="1"/>
    <col min="1285" max="1285" width="11.140625" style="335" customWidth="1"/>
    <col min="1286" max="1286" width="11.7109375" style="335" customWidth="1"/>
    <col min="1287" max="1287" width="10.42578125" style="335" customWidth="1"/>
    <col min="1288" max="1536" width="9.140625" style="335"/>
    <col min="1537" max="1537" width="28" style="335" customWidth="1"/>
    <col min="1538" max="1538" width="13.5703125" style="335" customWidth="1"/>
    <col min="1539" max="1539" width="14.85546875" style="335" customWidth="1"/>
    <col min="1540" max="1540" width="14" style="335" customWidth="1"/>
    <col min="1541" max="1541" width="11.140625" style="335" customWidth="1"/>
    <col min="1542" max="1542" width="11.7109375" style="335" customWidth="1"/>
    <col min="1543" max="1543" width="10.42578125" style="335" customWidth="1"/>
    <col min="1544" max="1792" width="9.140625" style="335"/>
    <col min="1793" max="1793" width="28" style="335" customWidth="1"/>
    <col min="1794" max="1794" width="13.5703125" style="335" customWidth="1"/>
    <col min="1795" max="1795" width="14.85546875" style="335" customWidth="1"/>
    <col min="1796" max="1796" width="14" style="335" customWidth="1"/>
    <col min="1797" max="1797" width="11.140625" style="335" customWidth="1"/>
    <col min="1798" max="1798" width="11.7109375" style="335" customWidth="1"/>
    <col min="1799" max="1799" width="10.42578125" style="335" customWidth="1"/>
    <col min="1800" max="2048" width="9.140625" style="335"/>
    <col min="2049" max="2049" width="28" style="335" customWidth="1"/>
    <col min="2050" max="2050" width="13.5703125" style="335" customWidth="1"/>
    <col min="2051" max="2051" width="14.85546875" style="335" customWidth="1"/>
    <col min="2052" max="2052" width="14" style="335" customWidth="1"/>
    <col min="2053" max="2053" width="11.140625" style="335" customWidth="1"/>
    <col min="2054" max="2054" width="11.7109375" style="335" customWidth="1"/>
    <col min="2055" max="2055" width="10.42578125" style="335" customWidth="1"/>
    <col min="2056" max="2304" width="9.140625" style="335"/>
    <col min="2305" max="2305" width="28" style="335" customWidth="1"/>
    <col min="2306" max="2306" width="13.5703125" style="335" customWidth="1"/>
    <col min="2307" max="2307" width="14.85546875" style="335" customWidth="1"/>
    <col min="2308" max="2308" width="14" style="335" customWidth="1"/>
    <col min="2309" max="2309" width="11.140625" style="335" customWidth="1"/>
    <col min="2310" max="2310" width="11.7109375" style="335" customWidth="1"/>
    <col min="2311" max="2311" width="10.42578125" style="335" customWidth="1"/>
    <col min="2312" max="2560" width="9.140625" style="335"/>
    <col min="2561" max="2561" width="28" style="335" customWidth="1"/>
    <col min="2562" max="2562" width="13.5703125" style="335" customWidth="1"/>
    <col min="2563" max="2563" width="14.85546875" style="335" customWidth="1"/>
    <col min="2564" max="2564" width="14" style="335" customWidth="1"/>
    <col min="2565" max="2565" width="11.140625" style="335" customWidth="1"/>
    <col min="2566" max="2566" width="11.7109375" style="335" customWidth="1"/>
    <col min="2567" max="2567" width="10.42578125" style="335" customWidth="1"/>
    <col min="2568" max="2816" width="9.140625" style="335"/>
    <col min="2817" max="2817" width="28" style="335" customWidth="1"/>
    <col min="2818" max="2818" width="13.5703125" style="335" customWidth="1"/>
    <col min="2819" max="2819" width="14.85546875" style="335" customWidth="1"/>
    <col min="2820" max="2820" width="14" style="335" customWidth="1"/>
    <col min="2821" max="2821" width="11.140625" style="335" customWidth="1"/>
    <col min="2822" max="2822" width="11.7109375" style="335" customWidth="1"/>
    <col min="2823" max="2823" width="10.42578125" style="335" customWidth="1"/>
    <col min="2824" max="3072" width="9.140625" style="335"/>
    <col min="3073" max="3073" width="28" style="335" customWidth="1"/>
    <col min="3074" max="3074" width="13.5703125" style="335" customWidth="1"/>
    <col min="3075" max="3075" width="14.85546875" style="335" customWidth="1"/>
    <col min="3076" max="3076" width="14" style="335" customWidth="1"/>
    <col min="3077" max="3077" width="11.140625" style="335" customWidth="1"/>
    <col min="3078" max="3078" width="11.7109375" style="335" customWidth="1"/>
    <col min="3079" max="3079" width="10.42578125" style="335" customWidth="1"/>
    <col min="3080" max="3328" width="9.140625" style="335"/>
    <col min="3329" max="3329" width="28" style="335" customWidth="1"/>
    <col min="3330" max="3330" width="13.5703125" style="335" customWidth="1"/>
    <col min="3331" max="3331" width="14.85546875" style="335" customWidth="1"/>
    <col min="3332" max="3332" width="14" style="335" customWidth="1"/>
    <col min="3333" max="3333" width="11.140625" style="335" customWidth="1"/>
    <col min="3334" max="3334" width="11.7109375" style="335" customWidth="1"/>
    <col min="3335" max="3335" width="10.42578125" style="335" customWidth="1"/>
    <col min="3336" max="3584" width="9.140625" style="335"/>
    <col min="3585" max="3585" width="28" style="335" customWidth="1"/>
    <col min="3586" max="3586" width="13.5703125" style="335" customWidth="1"/>
    <col min="3587" max="3587" width="14.85546875" style="335" customWidth="1"/>
    <col min="3588" max="3588" width="14" style="335" customWidth="1"/>
    <col min="3589" max="3589" width="11.140625" style="335" customWidth="1"/>
    <col min="3590" max="3590" width="11.7109375" style="335" customWidth="1"/>
    <col min="3591" max="3591" width="10.42578125" style="335" customWidth="1"/>
    <col min="3592" max="3840" width="9.140625" style="335"/>
    <col min="3841" max="3841" width="28" style="335" customWidth="1"/>
    <col min="3842" max="3842" width="13.5703125" style="335" customWidth="1"/>
    <col min="3843" max="3843" width="14.85546875" style="335" customWidth="1"/>
    <col min="3844" max="3844" width="14" style="335" customWidth="1"/>
    <col min="3845" max="3845" width="11.140625" style="335" customWidth="1"/>
    <col min="3846" max="3846" width="11.7109375" style="335" customWidth="1"/>
    <col min="3847" max="3847" width="10.42578125" style="335" customWidth="1"/>
    <col min="3848" max="4096" width="9.140625" style="335"/>
    <col min="4097" max="4097" width="28" style="335" customWidth="1"/>
    <col min="4098" max="4098" width="13.5703125" style="335" customWidth="1"/>
    <col min="4099" max="4099" width="14.85546875" style="335" customWidth="1"/>
    <col min="4100" max="4100" width="14" style="335" customWidth="1"/>
    <col min="4101" max="4101" width="11.140625" style="335" customWidth="1"/>
    <col min="4102" max="4102" width="11.7109375" style="335" customWidth="1"/>
    <col min="4103" max="4103" width="10.42578125" style="335" customWidth="1"/>
    <col min="4104" max="4352" width="9.140625" style="335"/>
    <col min="4353" max="4353" width="28" style="335" customWidth="1"/>
    <col min="4354" max="4354" width="13.5703125" style="335" customWidth="1"/>
    <col min="4355" max="4355" width="14.85546875" style="335" customWidth="1"/>
    <col min="4356" max="4356" width="14" style="335" customWidth="1"/>
    <col min="4357" max="4357" width="11.140625" style="335" customWidth="1"/>
    <col min="4358" max="4358" width="11.7109375" style="335" customWidth="1"/>
    <col min="4359" max="4359" width="10.42578125" style="335" customWidth="1"/>
    <col min="4360" max="4608" width="9.140625" style="335"/>
    <col min="4609" max="4609" width="28" style="335" customWidth="1"/>
    <col min="4610" max="4610" width="13.5703125" style="335" customWidth="1"/>
    <col min="4611" max="4611" width="14.85546875" style="335" customWidth="1"/>
    <col min="4612" max="4612" width="14" style="335" customWidth="1"/>
    <col min="4613" max="4613" width="11.140625" style="335" customWidth="1"/>
    <col min="4614" max="4614" width="11.7109375" style="335" customWidth="1"/>
    <col min="4615" max="4615" width="10.42578125" style="335" customWidth="1"/>
    <col min="4616" max="4864" width="9.140625" style="335"/>
    <col min="4865" max="4865" width="28" style="335" customWidth="1"/>
    <col min="4866" max="4866" width="13.5703125" style="335" customWidth="1"/>
    <col min="4867" max="4867" width="14.85546875" style="335" customWidth="1"/>
    <col min="4868" max="4868" width="14" style="335" customWidth="1"/>
    <col min="4869" max="4869" width="11.140625" style="335" customWidth="1"/>
    <col min="4870" max="4870" width="11.7109375" style="335" customWidth="1"/>
    <col min="4871" max="4871" width="10.42578125" style="335" customWidth="1"/>
    <col min="4872" max="5120" width="9.140625" style="335"/>
    <col min="5121" max="5121" width="28" style="335" customWidth="1"/>
    <col min="5122" max="5122" width="13.5703125" style="335" customWidth="1"/>
    <col min="5123" max="5123" width="14.85546875" style="335" customWidth="1"/>
    <col min="5124" max="5124" width="14" style="335" customWidth="1"/>
    <col min="5125" max="5125" width="11.140625" style="335" customWidth="1"/>
    <col min="5126" max="5126" width="11.7109375" style="335" customWidth="1"/>
    <col min="5127" max="5127" width="10.42578125" style="335" customWidth="1"/>
    <col min="5128" max="5376" width="9.140625" style="335"/>
    <col min="5377" max="5377" width="28" style="335" customWidth="1"/>
    <col min="5378" max="5378" width="13.5703125" style="335" customWidth="1"/>
    <col min="5379" max="5379" width="14.85546875" style="335" customWidth="1"/>
    <col min="5380" max="5380" width="14" style="335" customWidth="1"/>
    <col min="5381" max="5381" width="11.140625" style="335" customWidth="1"/>
    <col min="5382" max="5382" width="11.7109375" style="335" customWidth="1"/>
    <col min="5383" max="5383" width="10.42578125" style="335" customWidth="1"/>
    <col min="5384" max="5632" width="9.140625" style="335"/>
    <col min="5633" max="5633" width="28" style="335" customWidth="1"/>
    <col min="5634" max="5634" width="13.5703125" style="335" customWidth="1"/>
    <col min="5635" max="5635" width="14.85546875" style="335" customWidth="1"/>
    <col min="5636" max="5636" width="14" style="335" customWidth="1"/>
    <col min="5637" max="5637" width="11.140625" style="335" customWidth="1"/>
    <col min="5638" max="5638" width="11.7109375" style="335" customWidth="1"/>
    <col min="5639" max="5639" width="10.42578125" style="335" customWidth="1"/>
    <col min="5640" max="5888" width="9.140625" style="335"/>
    <col min="5889" max="5889" width="28" style="335" customWidth="1"/>
    <col min="5890" max="5890" width="13.5703125" style="335" customWidth="1"/>
    <col min="5891" max="5891" width="14.85546875" style="335" customWidth="1"/>
    <col min="5892" max="5892" width="14" style="335" customWidth="1"/>
    <col min="5893" max="5893" width="11.140625" style="335" customWidth="1"/>
    <col min="5894" max="5894" width="11.7109375" style="335" customWidth="1"/>
    <col min="5895" max="5895" width="10.42578125" style="335" customWidth="1"/>
    <col min="5896" max="6144" width="9.140625" style="335"/>
    <col min="6145" max="6145" width="28" style="335" customWidth="1"/>
    <col min="6146" max="6146" width="13.5703125" style="335" customWidth="1"/>
    <col min="6147" max="6147" width="14.85546875" style="335" customWidth="1"/>
    <col min="6148" max="6148" width="14" style="335" customWidth="1"/>
    <col min="6149" max="6149" width="11.140625" style="335" customWidth="1"/>
    <col min="6150" max="6150" width="11.7109375" style="335" customWidth="1"/>
    <col min="6151" max="6151" width="10.42578125" style="335" customWidth="1"/>
    <col min="6152" max="6400" width="9.140625" style="335"/>
    <col min="6401" max="6401" width="28" style="335" customWidth="1"/>
    <col min="6402" max="6402" width="13.5703125" style="335" customWidth="1"/>
    <col min="6403" max="6403" width="14.85546875" style="335" customWidth="1"/>
    <col min="6404" max="6404" width="14" style="335" customWidth="1"/>
    <col min="6405" max="6405" width="11.140625" style="335" customWidth="1"/>
    <col min="6406" max="6406" width="11.7109375" style="335" customWidth="1"/>
    <col min="6407" max="6407" width="10.42578125" style="335" customWidth="1"/>
    <col min="6408" max="6656" width="9.140625" style="335"/>
    <col min="6657" max="6657" width="28" style="335" customWidth="1"/>
    <col min="6658" max="6658" width="13.5703125" style="335" customWidth="1"/>
    <col min="6659" max="6659" width="14.85546875" style="335" customWidth="1"/>
    <col min="6660" max="6660" width="14" style="335" customWidth="1"/>
    <col min="6661" max="6661" width="11.140625" style="335" customWidth="1"/>
    <col min="6662" max="6662" width="11.7109375" style="335" customWidth="1"/>
    <col min="6663" max="6663" width="10.42578125" style="335" customWidth="1"/>
    <col min="6664" max="6912" width="9.140625" style="335"/>
    <col min="6913" max="6913" width="28" style="335" customWidth="1"/>
    <col min="6914" max="6914" width="13.5703125" style="335" customWidth="1"/>
    <col min="6915" max="6915" width="14.85546875" style="335" customWidth="1"/>
    <col min="6916" max="6916" width="14" style="335" customWidth="1"/>
    <col min="6917" max="6917" width="11.140625" style="335" customWidth="1"/>
    <col min="6918" max="6918" width="11.7109375" style="335" customWidth="1"/>
    <col min="6919" max="6919" width="10.42578125" style="335" customWidth="1"/>
    <col min="6920" max="7168" width="9.140625" style="335"/>
    <col min="7169" max="7169" width="28" style="335" customWidth="1"/>
    <col min="7170" max="7170" width="13.5703125" style="335" customWidth="1"/>
    <col min="7171" max="7171" width="14.85546875" style="335" customWidth="1"/>
    <col min="7172" max="7172" width="14" style="335" customWidth="1"/>
    <col min="7173" max="7173" width="11.140625" style="335" customWidth="1"/>
    <col min="7174" max="7174" width="11.7109375" style="335" customWidth="1"/>
    <col min="7175" max="7175" width="10.42578125" style="335" customWidth="1"/>
    <col min="7176" max="7424" width="9.140625" style="335"/>
    <col min="7425" max="7425" width="28" style="335" customWidth="1"/>
    <col min="7426" max="7426" width="13.5703125" style="335" customWidth="1"/>
    <col min="7427" max="7427" width="14.85546875" style="335" customWidth="1"/>
    <col min="7428" max="7428" width="14" style="335" customWidth="1"/>
    <col min="7429" max="7429" width="11.140625" style="335" customWidth="1"/>
    <col min="7430" max="7430" width="11.7109375" style="335" customWidth="1"/>
    <col min="7431" max="7431" width="10.42578125" style="335" customWidth="1"/>
    <col min="7432" max="7680" width="9.140625" style="335"/>
    <col min="7681" max="7681" width="28" style="335" customWidth="1"/>
    <col min="7682" max="7682" width="13.5703125" style="335" customWidth="1"/>
    <col min="7683" max="7683" width="14.85546875" style="335" customWidth="1"/>
    <col min="7684" max="7684" width="14" style="335" customWidth="1"/>
    <col min="7685" max="7685" width="11.140625" style="335" customWidth="1"/>
    <col min="7686" max="7686" width="11.7109375" style="335" customWidth="1"/>
    <col min="7687" max="7687" width="10.42578125" style="335" customWidth="1"/>
    <col min="7688" max="7936" width="9.140625" style="335"/>
    <col min="7937" max="7937" width="28" style="335" customWidth="1"/>
    <col min="7938" max="7938" width="13.5703125" style="335" customWidth="1"/>
    <col min="7939" max="7939" width="14.85546875" style="335" customWidth="1"/>
    <col min="7940" max="7940" width="14" style="335" customWidth="1"/>
    <col min="7941" max="7941" width="11.140625" style="335" customWidth="1"/>
    <col min="7942" max="7942" width="11.7109375" style="335" customWidth="1"/>
    <col min="7943" max="7943" width="10.42578125" style="335" customWidth="1"/>
    <col min="7944" max="8192" width="9.140625" style="335"/>
    <col min="8193" max="8193" width="28" style="335" customWidth="1"/>
    <col min="8194" max="8194" width="13.5703125" style="335" customWidth="1"/>
    <col min="8195" max="8195" width="14.85546875" style="335" customWidth="1"/>
    <col min="8196" max="8196" width="14" style="335" customWidth="1"/>
    <col min="8197" max="8197" width="11.140625" style="335" customWidth="1"/>
    <col min="8198" max="8198" width="11.7109375" style="335" customWidth="1"/>
    <col min="8199" max="8199" width="10.42578125" style="335" customWidth="1"/>
    <col min="8200" max="8448" width="9.140625" style="335"/>
    <col min="8449" max="8449" width="28" style="335" customWidth="1"/>
    <col min="8450" max="8450" width="13.5703125" style="335" customWidth="1"/>
    <col min="8451" max="8451" width="14.85546875" style="335" customWidth="1"/>
    <col min="8452" max="8452" width="14" style="335" customWidth="1"/>
    <col min="8453" max="8453" width="11.140625" style="335" customWidth="1"/>
    <col min="8454" max="8454" width="11.7109375" style="335" customWidth="1"/>
    <col min="8455" max="8455" width="10.42578125" style="335" customWidth="1"/>
    <col min="8456" max="8704" width="9.140625" style="335"/>
    <col min="8705" max="8705" width="28" style="335" customWidth="1"/>
    <col min="8706" max="8706" width="13.5703125" style="335" customWidth="1"/>
    <col min="8707" max="8707" width="14.85546875" style="335" customWidth="1"/>
    <col min="8708" max="8708" width="14" style="335" customWidth="1"/>
    <col min="8709" max="8709" width="11.140625" style="335" customWidth="1"/>
    <col min="8710" max="8710" width="11.7109375" style="335" customWidth="1"/>
    <col min="8711" max="8711" width="10.42578125" style="335" customWidth="1"/>
    <col min="8712" max="8960" width="9.140625" style="335"/>
    <col min="8961" max="8961" width="28" style="335" customWidth="1"/>
    <col min="8962" max="8962" width="13.5703125" style="335" customWidth="1"/>
    <col min="8963" max="8963" width="14.85546875" style="335" customWidth="1"/>
    <col min="8964" max="8964" width="14" style="335" customWidth="1"/>
    <col min="8965" max="8965" width="11.140625" style="335" customWidth="1"/>
    <col min="8966" max="8966" width="11.7109375" style="335" customWidth="1"/>
    <col min="8967" max="8967" width="10.42578125" style="335" customWidth="1"/>
    <col min="8968" max="9216" width="9.140625" style="335"/>
    <col min="9217" max="9217" width="28" style="335" customWidth="1"/>
    <col min="9218" max="9218" width="13.5703125" style="335" customWidth="1"/>
    <col min="9219" max="9219" width="14.85546875" style="335" customWidth="1"/>
    <col min="9220" max="9220" width="14" style="335" customWidth="1"/>
    <col min="9221" max="9221" width="11.140625" style="335" customWidth="1"/>
    <col min="9222" max="9222" width="11.7109375" style="335" customWidth="1"/>
    <col min="9223" max="9223" width="10.42578125" style="335" customWidth="1"/>
    <col min="9224" max="9472" width="9.140625" style="335"/>
    <col min="9473" max="9473" width="28" style="335" customWidth="1"/>
    <col min="9474" max="9474" width="13.5703125" style="335" customWidth="1"/>
    <col min="9475" max="9475" width="14.85546875" style="335" customWidth="1"/>
    <col min="9476" max="9476" width="14" style="335" customWidth="1"/>
    <col min="9477" max="9477" width="11.140625" style="335" customWidth="1"/>
    <col min="9478" max="9478" width="11.7109375" style="335" customWidth="1"/>
    <col min="9479" max="9479" width="10.42578125" style="335" customWidth="1"/>
    <col min="9480" max="9728" width="9.140625" style="335"/>
    <col min="9729" max="9729" width="28" style="335" customWidth="1"/>
    <col min="9730" max="9730" width="13.5703125" style="335" customWidth="1"/>
    <col min="9731" max="9731" width="14.85546875" style="335" customWidth="1"/>
    <col min="9732" max="9732" width="14" style="335" customWidth="1"/>
    <col min="9733" max="9733" width="11.140625" style="335" customWidth="1"/>
    <col min="9734" max="9734" width="11.7109375" style="335" customWidth="1"/>
    <col min="9735" max="9735" width="10.42578125" style="335" customWidth="1"/>
    <col min="9736" max="9984" width="9.140625" style="335"/>
    <col min="9985" max="9985" width="28" style="335" customWidth="1"/>
    <col min="9986" max="9986" width="13.5703125" style="335" customWidth="1"/>
    <col min="9987" max="9987" width="14.85546875" style="335" customWidth="1"/>
    <col min="9988" max="9988" width="14" style="335" customWidth="1"/>
    <col min="9989" max="9989" width="11.140625" style="335" customWidth="1"/>
    <col min="9990" max="9990" width="11.7109375" style="335" customWidth="1"/>
    <col min="9991" max="9991" width="10.42578125" style="335" customWidth="1"/>
    <col min="9992" max="10240" width="9.140625" style="335"/>
    <col min="10241" max="10241" width="28" style="335" customWidth="1"/>
    <col min="10242" max="10242" width="13.5703125" style="335" customWidth="1"/>
    <col min="10243" max="10243" width="14.85546875" style="335" customWidth="1"/>
    <col min="10244" max="10244" width="14" style="335" customWidth="1"/>
    <col min="10245" max="10245" width="11.140625" style="335" customWidth="1"/>
    <col min="10246" max="10246" width="11.7109375" style="335" customWidth="1"/>
    <col min="10247" max="10247" width="10.42578125" style="335" customWidth="1"/>
    <col min="10248" max="10496" width="9.140625" style="335"/>
    <col min="10497" max="10497" width="28" style="335" customWidth="1"/>
    <col min="10498" max="10498" width="13.5703125" style="335" customWidth="1"/>
    <col min="10499" max="10499" width="14.85546875" style="335" customWidth="1"/>
    <col min="10500" max="10500" width="14" style="335" customWidth="1"/>
    <col min="10501" max="10501" width="11.140625" style="335" customWidth="1"/>
    <col min="10502" max="10502" width="11.7109375" style="335" customWidth="1"/>
    <col min="10503" max="10503" width="10.42578125" style="335" customWidth="1"/>
    <col min="10504" max="10752" width="9.140625" style="335"/>
    <col min="10753" max="10753" width="28" style="335" customWidth="1"/>
    <col min="10754" max="10754" width="13.5703125" style="335" customWidth="1"/>
    <col min="10755" max="10755" width="14.85546875" style="335" customWidth="1"/>
    <col min="10756" max="10756" width="14" style="335" customWidth="1"/>
    <col min="10757" max="10757" width="11.140625" style="335" customWidth="1"/>
    <col min="10758" max="10758" width="11.7109375" style="335" customWidth="1"/>
    <col min="10759" max="10759" width="10.42578125" style="335" customWidth="1"/>
    <col min="10760" max="11008" width="9.140625" style="335"/>
    <col min="11009" max="11009" width="28" style="335" customWidth="1"/>
    <col min="11010" max="11010" width="13.5703125" style="335" customWidth="1"/>
    <col min="11011" max="11011" width="14.85546875" style="335" customWidth="1"/>
    <col min="11012" max="11012" width="14" style="335" customWidth="1"/>
    <col min="11013" max="11013" width="11.140625" style="335" customWidth="1"/>
    <col min="11014" max="11014" width="11.7109375" style="335" customWidth="1"/>
    <col min="11015" max="11015" width="10.42578125" style="335" customWidth="1"/>
    <col min="11016" max="11264" width="9.140625" style="335"/>
    <col min="11265" max="11265" width="28" style="335" customWidth="1"/>
    <col min="11266" max="11266" width="13.5703125" style="335" customWidth="1"/>
    <col min="11267" max="11267" width="14.85546875" style="335" customWidth="1"/>
    <col min="11268" max="11268" width="14" style="335" customWidth="1"/>
    <col min="11269" max="11269" width="11.140625" style="335" customWidth="1"/>
    <col min="11270" max="11270" width="11.7109375" style="335" customWidth="1"/>
    <col min="11271" max="11271" width="10.42578125" style="335" customWidth="1"/>
    <col min="11272" max="11520" width="9.140625" style="335"/>
    <col min="11521" max="11521" width="28" style="335" customWidth="1"/>
    <col min="11522" max="11522" width="13.5703125" style="335" customWidth="1"/>
    <col min="11523" max="11523" width="14.85546875" style="335" customWidth="1"/>
    <col min="11524" max="11524" width="14" style="335" customWidth="1"/>
    <col min="11525" max="11525" width="11.140625" style="335" customWidth="1"/>
    <col min="11526" max="11526" width="11.7109375" style="335" customWidth="1"/>
    <col min="11527" max="11527" width="10.42578125" style="335" customWidth="1"/>
    <col min="11528" max="11776" width="9.140625" style="335"/>
    <col min="11777" max="11777" width="28" style="335" customWidth="1"/>
    <col min="11778" max="11778" width="13.5703125" style="335" customWidth="1"/>
    <col min="11779" max="11779" width="14.85546875" style="335" customWidth="1"/>
    <col min="11780" max="11780" width="14" style="335" customWidth="1"/>
    <col min="11781" max="11781" width="11.140625" style="335" customWidth="1"/>
    <col min="11782" max="11782" width="11.7109375" style="335" customWidth="1"/>
    <col min="11783" max="11783" width="10.42578125" style="335" customWidth="1"/>
    <col min="11784" max="12032" width="9.140625" style="335"/>
    <col min="12033" max="12033" width="28" style="335" customWidth="1"/>
    <col min="12034" max="12034" width="13.5703125" style="335" customWidth="1"/>
    <col min="12035" max="12035" width="14.85546875" style="335" customWidth="1"/>
    <col min="12036" max="12036" width="14" style="335" customWidth="1"/>
    <col min="12037" max="12037" width="11.140625" style="335" customWidth="1"/>
    <col min="12038" max="12038" width="11.7109375" style="335" customWidth="1"/>
    <col min="12039" max="12039" width="10.42578125" style="335" customWidth="1"/>
    <col min="12040" max="12288" width="9.140625" style="335"/>
    <col min="12289" max="12289" width="28" style="335" customWidth="1"/>
    <col min="12290" max="12290" width="13.5703125" style="335" customWidth="1"/>
    <col min="12291" max="12291" width="14.85546875" style="335" customWidth="1"/>
    <col min="12292" max="12292" width="14" style="335" customWidth="1"/>
    <col min="12293" max="12293" width="11.140625" style="335" customWidth="1"/>
    <col min="12294" max="12294" width="11.7109375" style="335" customWidth="1"/>
    <col min="12295" max="12295" width="10.42578125" style="335" customWidth="1"/>
    <col min="12296" max="12544" width="9.140625" style="335"/>
    <col min="12545" max="12545" width="28" style="335" customWidth="1"/>
    <col min="12546" max="12546" width="13.5703125" style="335" customWidth="1"/>
    <col min="12547" max="12547" width="14.85546875" style="335" customWidth="1"/>
    <col min="12548" max="12548" width="14" style="335" customWidth="1"/>
    <col min="12549" max="12549" width="11.140625" style="335" customWidth="1"/>
    <col min="12550" max="12550" width="11.7109375" style="335" customWidth="1"/>
    <col min="12551" max="12551" width="10.42578125" style="335" customWidth="1"/>
    <col min="12552" max="12800" width="9.140625" style="335"/>
    <col min="12801" max="12801" width="28" style="335" customWidth="1"/>
    <col min="12802" max="12802" width="13.5703125" style="335" customWidth="1"/>
    <col min="12803" max="12803" width="14.85546875" style="335" customWidth="1"/>
    <col min="12804" max="12804" width="14" style="335" customWidth="1"/>
    <col min="12805" max="12805" width="11.140625" style="335" customWidth="1"/>
    <col min="12806" max="12806" width="11.7109375" style="335" customWidth="1"/>
    <col min="12807" max="12807" width="10.42578125" style="335" customWidth="1"/>
    <col min="12808" max="13056" width="9.140625" style="335"/>
    <col min="13057" max="13057" width="28" style="335" customWidth="1"/>
    <col min="13058" max="13058" width="13.5703125" style="335" customWidth="1"/>
    <col min="13059" max="13059" width="14.85546875" style="335" customWidth="1"/>
    <col min="13060" max="13060" width="14" style="335" customWidth="1"/>
    <col min="13061" max="13061" width="11.140625" style="335" customWidth="1"/>
    <col min="13062" max="13062" width="11.7109375" style="335" customWidth="1"/>
    <col min="13063" max="13063" width="10.42578125" style="335" customWidth="1"/>
    <col min="13064" max="13312" width="9.140625" style="335"/>
    <col min="13313" max="13313" width="28" style="335" customWidth="1"/>
    <col min="13314" max="13314" width="13.5703125" style="335" customWidth="1"/>
    <col min="13315" max="13315" width="14.85546875" style="335" customWidth="1"/>
    <col min="13316" max="13316" width="14" style="335" customWidth="1"/>
    <col min="13317" max="13317" width="11.140625" style="335" customWidth="1"/>
    <col min="13318" max="13318" width="11.7109375" style="335" customWidth="1"/>
    <col min="13319" max="13319" width="10.42578125" style="335" customWidth="1"/>
    <col min="13320" max="13568" width="9.140625" style="335"/>
    <col min="13569" max="13569" width="28" style="335" customWidth="1"/>
    <col min="13570" max="13570" width="13.5703125" style="335" customWidth="1"/>
    <col min="13571" max="13571" width="14.85546875" style="335" customWidth="1"/>
    <col min="13572" max="13572" width="14" style="335" customWidth="1"/>
    <col min="13573" max="13573" width="11.140625" style="335" customWidth="1"/>
    <col min="13574" max="13574" width="11.7109375" style="335" customWidth="1"/>
    <col min="13575" max="13575" width="10.42578125" style="335" customWidth="1"/>
    <col min="13576" max="13824" width="9.140625" style="335"/>
    <col min="13825" max="13825" width="28" style="335" customWidth="1"/>
    <col min="13826" max="13826" width="13.5703125" style="335" customWidth="1"/>
    <col min="13827" max="13827" width="14.85546875" style="335" customWidth="1"/>
    <col min="13828" max="13828" width="14" style="335" customWidth="1"/>
    <col min="13829" max="13829" width="11.140625" style="335" customWidth="1"/>
    <col min="13830" max="13830" width="11.7109375" style="335" customWidth="1"/>
    <col min="13831" max="13831" width="10.42578125" style="335" customWidth="1"/>
    <col min="13832" max="14080" width="9.140625" style="335"/>
    <col min="14081" max="14081" width="28" style="335" customWidth="1"/>
    <col min="14082" max="14082" width="13.5703125" style="335" customWidth="1"/>
    <col min="14083" max="14083" width="14.85546875" style="335" customWidth="1"/>
    <col min="14084" max="14084" width="14" style="335" customWidth="1"/>
    <col min="14085" max="14085" width="11.140625" style="335" customWidth="1"/>
    <col min="14086" max="14086" width="11.7109375" style="335" customWidth="1"/>
    <col min="14087" max="14087" width="10.42578125" style="335" customWidth="1"/>
    <col min="14088" max="14336" width="9.140625" style="335"/>
    <col min="14337" max="14337" width="28" style="335" customWidth="1"/>
    <col min="14338" max="14338" width="13.5703125" style="335" customWidth="1"/>
    <col min="14339" max="14339" width="14.85546875" style="335" customWidth="1"/>
    <col min="14340" max="14340" width="14" style="335" customWidth="1"/>
    <col min="14341" max="14341" width="11.140625" style="335" customWidth="1"/>
    <col min="14342" max="14342" width="11.7109375" style="335" customWidth="1"/>
    <col min="14343" max="14343" width="10.42578125" style="335" customWidth="1"/>
    <col min="14344" max="14592" width="9.140625" style="335"/>
    <col min="14593" max="14593" width="28" style="335" customWidth="1"/>
    <col min="14594" max="14594" width="13.5703125" style="335" customWidth="1"/>
    <col min="14595" max="14595" width="14.85546875" style="335" customWidth="1"/>
    <col min="14596" max="14596" width="14" style="335" customWidth="1"/>
    <col min="14597" max="14597" width="11.140625" style="335" customWidth="1"/>
    <col min="14598" max="14598" width="11.7109375" style="335" customWidth="1"/>
    <col min="14599" max="14599" width="10.42578125" style="335" customWidth="1"/>
    <col min="14600" max="14848" width="9.140625" style="335"/>
    <col min="14849" max="14849" width="28" style="335" customWidth="1"/>
    <col min="14850" max="14850" width="13.5703125" style="335" customWidth="1"/>
    <col min="14851" max="14851" width="14.85546875" style="335" customWidth="1"/>
    <col min="14852" max="14852" width="14" style="335" customWidth="1"/>
    <col min="14853" max="14853" width="11.140625" style="335" customWidth="1"/>
    <col min="14854" max="14854" width="11.7109375" style="335" customWidth="1"/>
    <col min="14855" max="14855" width="10.42578125" style="335" customWidth="1"/>
    <col min="14856" max="15104" width="9.140625" style="335"/>
    <col min="15105" max="15105" width="28" style="335" customWidth="1"/>
    <col min="15106" max="15106" width="13.5703125" style="335" customWidth="1"/>
    <col min="15107" max="15107" width="14.85546875" style="335" customWidth="1"/>
    <col min="15108" max="15108" width="14" style="335" customWidth="1"/>
    <col min="15109" max="15109" width="11.140625" style="335" customWidth="1"/>
    <col min="15110" max="15110" width="11.7109375" style="335" customWidth="1"/>
    <col min="15111" max="15111" width="10.42578125" style="335" customWidth="1"/>
    <col min="15112" max="15360" width="9.140625" style="335"/>
    <col min="15361" max="15361" width="28" style="335" customWidth="1"/>
    <col min="15362" max="15362" width="13.5703125" style="335" customWidth="1"/>
    <col min="15363" max="15363" width="14.85546875" style="335" customWidth="1"/>
    <col min="15364" max="15364" width="14" style="335" customWidth="1"/>
    <col min="15365" max="15365" width="11.140625" style="335" customWidth="1"/>
    <col min="15366" max="15366" width="11.7109375" style="335" customWidth="1"/>
    <col min="15367" max="15367" width="10.42578125" style="335" customWidth="1"/>
    <col min="15368" max="15616" width="9.140625" style="335"/>
    <col min="15617" max="15617" width="28" style="335" customWidth="1"/>
    <col min="15618" max="15618" width="13.5703125" style="335" customWidth="1"/>
    <col min="15619" max="15619" width="14.85546875" style="335" customWidth="1"/>
    <col min="15620" max="15620" width="14" style="335" customWidth="1"/>
    <col min="15621" max="15621" width="11.140625" style="335" customWidth="1"/>
    <col min="15622" max="15622" width="11.7109375" style="335" customWidth="1"/>
    <col min="15623" max="15623" width="10.42578125" style="335" customWidth="1"/>
    <col min="15624" max="15872" width="9.140625" style="335"/>
    <col min="15873" max="15873" width="28" style="335" customWidth="1"/>
    <col min="15874" max="15874" width="13.5703125" style="335" customWidth="1"/>
    <col min="15875" max="15875" width="14.85546875" style="335" customWidth="1"/>
    <col min="15876" max="15876" width="14" style="335" customWidth="1"/>
    <col min="15877" max="15877" width="11.140625" style="335" customWidth="1"/>
    <col min="15878" max="15878" width="11.7109375" style="335" customWidth="1"/>
    <col min="15879" max="15879" width="10.42578125" style="335" customWidth="1"/>
    <col min="15880" max="16128" width="9.140625" style="335"/>
    <col min="16129" max="16129" width="28" style="335" customWidth="1"/>
    <col min="16130" max="16130" width="13.5703125" style="335" customWidth="1"/>
    <col min="16131" max="16131" width="14.85546875" style="335" customWidth="1"/>
    <col min="16132" max="16132" width="14" style="335" customWidth="1"/>
    <col min="16133" max="16133" width="11.140625" style="335" customWidth="1"/>
    <col min="16134" max="16134" width="11.7109375" style="335" customWidth="1"/>
    <col min="16135" max="16135" width="10.42578125" style="335" customWidth="1"/>
    <col min="16136" max="16384" width="9.140625" style="335"/>
  </cols>
  <sheetData>
    <row r="1" spans="1:4" ht="14.25">
      <c r="A1" s="334" t="s">
        <v>234</v>
      </c>
    </row>
    <row r="3" spans="1:4">
      <c r="A3" s="336" t="s">
        <v>192</v>
      </c>
      <c r="B3" s="370">
        <f>ROUND(42467719.1/(25819270.7+27353668.16),2)</f>
        <v>0.8</v>
      </c>
    </row>
    <row r="4" spans="1:4">
      <c r="A4" s="336"/>
      <c r="B4" s="337"/>
    </row>
    <row r="5" spans="1:4" ht="39.75" customHeight="1">
      <c r="B5" s="338" t="s">
        <v>191</v>
      </c>
      <c r="C5" s="338" t="s">
        <v>225</v>
      </c>
      <c r="D5" s="339"/>
    </row>
    <row r="6" spans="1:4">
      <c r="A6" s="428" t="s">
        <v>237</v>
      </c>
      <c r="B6" s="341">
        <f>+'Hydro Summary'!E11</f>
        <v>86364534.8182666</v>
      </c>
      <c r="C6" s="341">
        <f>B6</f>
        <v>86364534.8182666</v>
      </c>
      <c r="D6" s="342"/>
    </row>
    <row r="7" spans="1:4" hidden="1" outlineLevel="1">
      <c r="A7" s="340"/>
      <c r="B7" s="341"/>
      <c r="C7" s="341">
        <f t="shared" ref="C7:C12" si="0">B7</f>
        <v>0</v>
      </c>
      <c r="D7" s="342"/>
    </row>
    <row r="8" spans="1:4" hidden="1" outlineLevel="1">
      <c r="A8" s="340"/>
      <c r="B8" s="341"/>
      <c r="C8" s="341">
        <f t="shared" si="0"/>
        <v>0</v>
      </c>
      <c r="D8" s="342"/>
    </row>
    <row r="9" spans="1:4" hidden="1" outlineLevel="1">
      <c r="A9" s="343"/>
      <c r="B9" s="341"/>
      <c r="C9" s="341">
        <f t="shared" si="0"/>
        <v>0</v>
      </c>
      <c r="D9" s="342"/>
    </row>
    <row r="10" spans="1:4" hidden="1" outlineLevel="1">
      <c r="A10" s="343"/>
      <c r="B10" s="341"/>
      <c r="C10" s="341">
        <f>B10</f>
        <v>0</v>
      </c>
      <c r="D10" s="342"/>
    </row>
    <row r="11" spans="1:4" hidden="1" outlineLevel="1">
      <c r="A11" s="344"/>
      <c r="B11" s="341"/>
      <c r="C11" s="341">
        <f t="shared" si="0"/>
        <v>0</v>
      </c>
      <c r="D11" s="342"/>
    </row>
    <row r="12" spans="1:4" hidden="1" outlineLevel="1">
      <c r="A12" s="344"/>
      <c r="B12" s="341"/>
      <c r="C12" s="341">
        <f t="shared" si="0"/>
        <v>0</v>
      </c>
      <c r="D12" s="342"/>
    </row>
    <row r="13" spans="1:4" hidden="1" outlineLevel="1">
      <c r="A13" s="344"/>
      <c r="B13" s="345"/>
      <c r="C13" s="341">
        <f>B13</f>
        <v>0</v>
      </c>
      <c r="D13" s="342"/>
    </row>
    <row r="14" spans="1:4" collapsed="1">
      <c r="A14" s="340" t="s">
        <v>134</v>
      </c>
      <c r="B14" s="341">
        <f>+'Hydro Summary'!E12</f>
        <v>8830442.0933333319</v>
      </c>
      <c r="C14" s="346"/>
    </row>
    <row r="15" spans="1:4">
      <c r="A15" s="344" t="s">
        <v>190</v>
      </c>
      <c r="B15" s="346"/>
      <c r="C15" s="341">
        <f>B14*$B$3</f>
        <v>7064353.6746666655</v>
      </c>
      <c r="D15" s="369"/>
    </row>
    <row r="16" spans="1:4" ht="6" customHeight="1"/>
    <row r="17" spans="1:12" ht="17.25" customHeight="1">
      <c r="A17" s="347" t="s">
        <v>189</v>
      </c>
      <c r="B17" s="348">
        <f>SUM(B6:B14)</f>
        <v>95194976.911599934</v>
      </c>
      <c r="C17" s="349"/>
      <c r="D17" s="350"/>
    </row>
    <row r="18" spans="1:12" ht="21.75" customHeight="1">
      <c r="A18" s="351" t="s">
        <v>188</v>
      </c>
      <c r="B18" s="352"/>
      <c r="C18" s="353">
        <f>SUM(C6:C15)</f>
        <v>93428888.492933273</v>
      </c>
      <c r="D18" s="354"/>
      <c r="F18"/>
      <c r="G18"/>
      <c r="H18"/>
      <c r="I18"/>
      <c r="J18"/>
      <c r="K18"/>
      <c r="L18"/>
    </row>
    <row r="19" spans="1:12" ht="25.5" customHeight="1">
      <c r="D19" s="355"/>
      <c r="E19" s="355"/>
      <c r="F19"/>
      <c r="G19"/>
      <c r="H19"/>
      <c r="I19"/>
      <c r="J19"/>
      <c r="K19"/>
      <c r="L19"/>
    </row>
    <row r="20" spans="1:12" ht="15.75" thickBot="1">
      <c r="B20" s="356" t="s">
        <v>229</v>
      </c>
      <c r="C20" s="424">
        <f>C18*(30)%</f>
        <v>28028666.547879983</v>
      </c>
      <c r="D20" s="357"/>
      <c r="E20" s="358"/>
      <c r="F20"/>
      <c r="G20"/>
      <c r="H20"/>
      <c r="I20"/>
      <c r="J20"/>
      <c r="K20"/>
      <c r="L20"/>
    </row>
    <row r="21" spans="1:12" ht="15.75" thickBot="1">
      <c r="B21" s="356" t="s">
        <v>228</v>
      </c>
      <c r="C21" s="425">
        <f>+C20*(1-0.087)</f>
        <v>25590172.558214426</v>
      </c>
      <c r="F21"/>
      <c r="G21"/>
      <c r="H21"/>
      <c r="I21"/>
      <c r="J21"/>
      <c r="K21"/>
      <c r="L21"/>
    </row>
    <row r="22" spans="1:12">
      <c r="B22" s="359"/>
      <c r="C22" s="360"/>
      <c r="F22"/>
      <c r="G22"/>
      <c r="H22"/>
      <c r="I22"/>
      <c r="J22"/>
      <c r="K22"/>
      <c r="L22"/>
    </row>
    <row r="23" spans="1:12">
      <c r="B23" s="359"/>
      <c r="C23" s="423"/>
      <c r="F23"/>
      <c r="G23"/>
      <c r="H23"/>
      <c r="I23"/>
      <c r="J23"/>
      <c r="K23"/>
      <c r="L23"/>
    </row>
    <row r="24" spans="1:12">
      <c r="B24" s="359"/>
      <c r="C24" s="422"/>
      <c r="F24"/>
      <c r="G24"/>
      <c r="H24"/>
      <c r="I24"/>
      <c r="J24"/>
      <c r="K24"/>
      <c r="L24"/>
    </row>
    <row r="25" spans="1:12">
      <c r="B25" s="361"/>
      <c r="C25" s="360"/>
      <c r="F25"/>
      <c r="G25"/>
      <c r="H25"/>
      <c r="I25"/>
      <c r="J25"/>
      <c r="K25"/>
      <c r="L25"/>
    </row>
    <row r="26" spans="1:12">
      <c r="F26"/>
      <c r="G26"/>
      <c r="H26"/>
      <c r="I26"/>
      <c r="J26"/>
      <c r="K26"/>
      <c r="L26"/>
    </row>
    <row r="27" spans="1:12">
      <c r="F27"/>
      <c r="G27"/>
      <c r="H27"/>
      <c r="I27"/>
      <c r="J27"/>
      <c r="K27"/>
      <c r="L27"/>
    </row>
    <row r="28" spans="1:12">
      <c r="F28"/>
      <c r="G28"/>
      <c r="H28"/>
      <c r="I28"/>
      <c r="J28"/>
      <c r="K28"/>
      <c r="L28"/>
    </row>
    <row r="29" spans="1:12">
      <c r="F29"/>
      <c r="G29"/>
      <c r="H29"/>
      <c r="I29"/>
      <c r="J29"/>
      <c r="K29"/>
      <c r="L29"/>
    </row>
  </sheetData>
  <pageMargins left="0.75" right="0.75" top="1" bottom="1" header="0.5" footer="0.5"/>
  <pageSetup scale="85" orientation="landscape" cellComments="asDisplayed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S95"/>
  <sheetViews>
    <sheetView zoomScaleNormal="100" workbookViewId="0">
      <pane ySplit="3" topLeftCell="A78" activePane="bottomLeft" state="frozen"/>
      <selection activeCell="E21" sqref="E21"/>
      <selection pane="bottomLeft" activeCell="K107" sqref="K107"/>
    </sheetView>
  </sheetViews>
  <sheetFormatPr defaultColWidth="8.85546875" defaultRowHeight="12.75" outlineLevelRow="1"/>
  <cols>
    <col min="1" max="1" width="29.28515625" style="2" customWidth="1"/>
    <col min="2" max="3" width="19.42578125" style="2" customWidth="1"/>
    <col min="4" max="4" width="18.7109375" style="2" customWidth="1"/>
    <col min="5" max="5" width="22.85546875" style="2" customWidth="1"/>
    <col min="6" max="6" width="3" style="2" customWidth="1"/>
    <col min="7" max="7" width="11.85546875" style="2" bestFit="1" customWidth="1"/>
    <col min="8" max="8" width="10.85546875" style="2" bestFit="1" customWidth="1"/>
    <col min="9" max="16384" width="8.85546875" style="2"/>
  </cols>
  <sheetData>
    <row r="1" spans="1:19" s="126" customFormat="1">
      <c r="A1" s="6" t="s">
        <v>854</v>
      </c>
      <c r="B1" s="7"/>
      <c r="C1" s="7"/>
      <c r="E1" s="9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9"/>
    </row>
    <row r="2" spans="1:19" s="126" customFormat="1">
      <c r="A2" s="386" t="s">
        <v>155</v>
      </c>
      <c r="B2" s="7"/>
      <c r="C2" s="7"/>
      <c r="D2" s="7"/>
      <c r="E2" s="387"/>
      <c r="G2" s="7"/>
      <c r="H2" s="7"/>
      <c r="I2" s="7"/>
      <c r="O2" s="7"/>
      <c r="R2" s="7"/>
      <c r="S2" s="7"/>
    </row>
    <row r="3" spans="1:19" s="126" customFormat="1">
      <c r="A3" s="6"/>
      <c r="B3" s="7"/>
      <c r="C3" s="7"/>
      <c r="D3" s="7"/>
      <c r="E3" s="387" t="s">
        <v>126</v>
      </c>
      <c r="G3" s="7"/>
      <c r="H3" s="7"/>
      <c r="I3" s="7"/>
      <c r="O3" s="7"/>
      <c r="R3" s="7"/>
      <c r="S3" s="7"/>
    </row>
    <row r="4" spans="1:19" s="126" customFormat="1">
      <c r="A4" s="109" t="s">
        <v>233</v>
      </c>
      <c r="B4" s="7"/>
      <c r="C4" s="7"/>
      <c r="D4" s="7"/>
      <c r="G4" s="7"/>
      <c r="H4" s="7"/>
      <c r="I4" s="7"/>
      <c r="O4" s="7"/>
      <c r="R4" s="7"/>
      <c r="S4" s="7"/>
    </row>
    <row r="5" spans="1:19" s="126" customFormat="1" ht="13.5" thickBot="1">
      <c r="A5" s="109" t="s">
        <v>220</v>
      </c>
      <c r="B5" s="7"/>
      <c r="C5" s="7"/>
      <c r="D5" s="7"/>
      <c r="E5" s="103"/>
      <c r="G5" s="11"/>
      <c r="H5" s="11"/>
      <c r="I5" s="11"/>
      <c r="J5" s="11"/>
      <c r="K5" s="11"/>
      <c r="O5" s="7"/>
      <c r="R5" s="7"/>
      <c r="S5" s="7"/>
    </row>
    <row r="6" spans="1:19" s="128" customFormat="1">
      <c r="A6" s="127" t="s">
        <v>0</v>
      </c>
      <c r="B6" s="127" t="s">
        <v>113</v>
      </c>
      <c r="C6" s="127" t="s">
        <v>21</v>
      </c>
      <c r="D6" s="127" t="s">
        <v>22</v>
      </c>
      <c r="E6" s="127" t="s">
        <v>8</v>
      </c>
    </row>
    <row r="7" spans="1:19" s="128" customFormat="1">
      <c r="A7" s="129"/>
      <c r="B7" s="130" t="s">
        <v>183</v>
      </c>
      <c r="C7" s="130" t="s">
        <v>23</v>
      </c>
      <c r="D7" s="130" t="s">
        <v>24</v>
      </c>
      <c r="E7" s="130" t="s">
        <v>2</v>
      </c>
    </row>
    <row r="8" spans="1:19" s="128" customFormat="1">
      <c r="A8" s="129"/>
      <c r="B8" s="130"/>
      <c r="C8" s="130" t="s">
        <v>26</v>
      </c>
      <c r="D8" s="125">
        <f>'Dep Rate'!D25</f>
        <v>2.1917949999999999E-2</v>
      </c>
      <c r="E8" s="130"/>
    </row>
    <row r="9" spans="1:19" s="128" customFormat="1" ht="13.5" thickBot="1">
      <c r="A9" s="131"/>
      <c r="B9" s="131" t="s">
        <v>25</v>
      </c>
      <c r="C9" s="131" t="s">
        <v>27</v>
      </c>
      <c r="D9" s="132"/>
      <c r="E9" s="131" t="s">
        <v>29</v>
      </c>
    </row>
    <row r="10" spans="1:19" s="128" customFormat="1" ht="14.25" customHeight="1" thickTop="1">
      <c r="A10" s="133">
        <v>41518</v>
      </c>
      <c r="C10" s="315">
        <f>+'Dep Rate'!B13</f>
        <v>56867149.200900003</v>
      </c>
      <c r="D10" s="247">
        <f>(C10*$D$8/12)</f>
        <v>103867.61106898884</v>
      </c>
      <c r="E10" s="407">
        <f>+'#1 DFIT- FSC'!J45</f>
        <v>-782716.64055559447</v>
      </c>
    </row>
    <row r="11" spans="1:19" s="128" customFormat="1" ht="12.75" customHeight="1">
      <c r="A11" s="133">
        <v>41548</v>
      </c>
      <c r="B11" s="246"/>
      <c r="C11" s="246">
        <f>+B11+C10</f>
        <v>56867149.200900003</v>
      </c>
      <c r="D11" s="247">
        <f>(C11*$D$8/12)</f>
        <v>103867.61106898884</v>
      </c>
      <c r="E11" s="248">
        <f>E10-D11</f>
        <v>-886584.25162458327</v>
      </c>
    </row>
    <row r="12" spans="1:19" s="128" customFormat="1">
      <c r="A12" s="133">
        <v>41579</v>
      </c>
      <c r="B12" s="246"/>
      <c r="C12" s="246">
        <f t="shared" ref="C12:C24" si="0">+B12+C11</f>
        <v>56867149.200900003</v>
      </c>
      <c r="D12" s="247">
        <f t="shared" ref="D12:D24" si="1">(C12*$D$8/12)</f>
        <v>103867.61106898884</v>
      </c>
      <c r="E12" s="248">
        <f t="shared" ref="E12:E24" si="2">E11-D12</f>
        <v>-990451.86269357207</v>
      </c>
      <c r="F12" s="135"/>
    </row>
    <row r="13" spans="1:19" s="128" customFormat="1">
      <c r="A13" s="133">
        <v>41609</v>
      </c>
      <c r="B13" s="246"/>
      <c r="C13" s="246">
        <f t="shared" si="0"/>
        <v>56867149.200900003</v>
      </c>
      <c r="D13" s="247">
        <f t="shared" si="1"/>
        <v>103867.61106898884</v>
      </c>
      <c r="E13" s="248">
        <f t="shared" si="2"/>
        <v>-1094319.4737625609</v>
      </c>
      <c r="F13" s="135"/>
      <c r="G13" s="136"/>
    </row>
    <row r="14" spans="1:19" s="128" customFormat="1">
      <c r="A14" s="133">
        <v>41640</v>
      </c>
      <c r="B14" s="246"/>
      <c r="C14" s="246">
        <f t="shared" si="0"/>
        <v>56867149.200900003</v>
      </c>
      <c r="D14" s="247">
        <f t="shared" si="1"/>
        <v>103867.61106898884</v>
      </c>
      <c r="E14" s="248">
        <f t="shared" si="2"/>
        <v>-1198187.0848315498</v>
      </c>
      <c r="F14" s="135"/>
    </row>
    <row r="15" spans="1:19" s="128" customFormat="1">
      <c r="A15" s="133">
        <v>41671</v>
      </c>
      <c r="B15" s="246"/>
      <c r="C15" s="246">
        <f t="shared" si="0"/>
        <v>56867149.200900003</v>
      </c>
      <c r="D15" s="247">
        <f t="shared" si="1"/>
        <v>103867.61106898884</v>
      </c>
      <c r="E15" s="248">
        <f t="shared" si="2"/>
        <v>-1302054.6959005387</v>
      </c>
      <c r="F15" s="135"/>
    </row>
    <row r="16" spans="1:19" s="128" customFormat="1">
      <c r="A16" s="133">
        <v>41699</v>
      </c>
      <c r="B16" s="246"/>
      <c r="C16" s="246">
        <f t="shared" si="0"/>
        <v>56867149.200900003</v>
      </c>
      <c r="D16" s="247">
        <f t="shared" si="1"/>
        <v>103867.61106898884</v>
      </c>
      <c r="E16" s="248">
        <f t="shared" si="2"/>
        <v>-1405922.3069695276</v>
      </c>
      <c r="F16" s="135"/>
      <c r="G16" s="128" t="s">
        <v>116</v>
      </c>
    </row>
    <row r="17" spans="1:19" s="128" customFormat="1">
      <c r="A17" s="133">
        <v>41730</v>
      </c>
      <c r="B17" s="246"/>
      <c r="C17" s="246">
        <f t="shared" si="0"/>
        <v>56867149.200900003</v>
      </c>
      <c r="D17" s="247">
        <f t="shared" si="1"/>
        <v>103867.61106898884</v>
      </c>
      <c r="E17" s="248">
        <f t="shared" si="2"/>
        <v>-1509789.9180385165</v>
      </c>
      <c r="G17" s="137"/>
    </row>
    <row r="18" spans="1:19" s="128" customFormat="1">
      <c r="A18" s="133">
        <v>41760</v>
      </c>
      <c r="B18" s="246"/>
      <c r="C18" s="246">
        <f t="shared" si="0"/>
        <v>56867149.200900003</v>
      </c>
      <c r="D18" s="247">
        <f t="shared" si="1"/>
        <v>103867.61106898884</v>
      </c>
      <c r="E18" s="248">
        <f t="shared" si="2"/>
        <v>-1613657.5291075055</v>
      </c>
      <c r="F18" s="135"/>
    </row>
    <row r="19" spans="1:19" s="128" customFormat="1">
      <c r="A19" s="133">
        <v>41791</v>
      </c>
      <c r="B19" s="246"/>
      <c r="C19" s="246">
        <f t="shared" si="0"/>
        <v>56867149.200900003</v>
      </c>
      <c r="D19" s="247">
        <f t="shared" si="1"/>
        <v>103867.61106898884</v>
      </c>
      <c r="E19" s="248">
        <f t="shared" si="2"/>
        <v>-1717525.1401764944</v>
      </c>
      <c r="F19" s="135"/>
    </row>
    <row r="20" spans="1:19" s="128" customFormat="1">
      <c r="A20" s="133">
        <v>41821</v>
      </c>
      <c r="B20" s="246"/>
      <c r="C20" s="246">
        <f t="shared" si="0"/>
        <v>56867149.200900003</v>
      </c>
      <c r="D20" s="247">
        <f t="shared" si="1"/>
        <v>103867.61106898884</v>
      </c>
      <c r="E20" s="248">
        <f t="shared" si="2"/>
        <v>-1821392.7512454833</v>
      </c>
      <c r="F20" s="135"/>
    </row>
    <row r="21" spans="1:19" s="128" customFormat="1">
      <c r="A21" s="133">
        <v>41852</v>
      </c>
      <c r="B21" s="246"/>
      <c r="C21" s="246">
        <f t="shared" si="0"/>
        <v>56867149.200900003</v>
      </c>
      <c r="D21" s="247">
        <f t="shared" si="1"/>
        <v>103867.61106898884</v>
      </c>
      <c r="E21" s="248">
        <f t="shared" si="2"/>
        <v>-1925260.3623144722</v>
      </c>
      <c r="F21" s="135"/>
    </row>
    <row r="22" spans="1:19" s="128" customFormat="1">
      <c r="A22" s="133">
        <v>41883</v>
      </c>
      <c r="B22" s="246"/>
      <c r="C22" s="246">
        <f t="shared" si="0"/>
        <v>56867149.200900003</v>
      </c>
      <c r="D22" s="247">
        <f t="shared" si="1"/>
        <v>103867.61106898884</v>
      </c>
      <c r="E22" s="248">
        <f t="shared" si="2"/>
        <v>-2029127.9733834611</v>
      </c>
      <c r="F22" s="135"/>
    </row>
    <row r="23" spans="1:19" s="128" customFormat="1">
      <c r="A23" s="133">
        <v>41913</v>
      </c>
      <c r="B23" s="246"/>
      <c r="C23" s="246">
        <f t="shared" si="0"/>
        <v>56867149.200900003</v>
      </c>
      <c r="D23" s="247">
        <f t="shared" si="1"/>
        <v>103867.61106898884</v>
      </c>
      <c r="E23" s="248">
        <f t="shared" si="2"/>
        <v>-2132995.5844524498</v>
      </c>
      <c r="F23" s="135"/>
      <c r="G23" s="138"/>
    </row>
    <row r="24" spans="1:19" ht="13.5" thickBot="1">
      <c r="A24" s="133">
        <v>41944</v>
      </c>
      <c r="B24" s="1322"/>
      <c r="C24" s="1322">
        <f t="shared" si="0"/>
        <v>56867149.200900003</v>
      </c>
      <c r="D24" s="1323">
        <f t="shared" si="1"/>
        <v>103867.61106898884</v>
      </c>
      <c r="E24" s="1324">
        <f t="shared" si="2"/>
        <v>-2236863.1955214385</v>
      </c>
      <c r="H24" s="128"/>
    </row>
    <row r="25" spans="1:19" ht="13.5" thickBot="1">
      <c r="A25" s="139" t="s">
        <v>850</v>
      </c>
      <c r="B25" s="1325"/>
      <c r="C25" s="1325"/>
      <c r="D25" s="142">
        <f>SUM(D13:D24)</f>
        <v>1246411.3328278661</v>
      </c>
      <c r="E25" s="1326"/>
      <c r="H25" s="128"/>
    </row>
    <row r="26" spans="1:19" ht="13.5" thickBot="1">
      <c r="A26" s="140" t="s">
        <v>851</v>
      </c>
      <c r="B26" s="1325"/>
      <c r="C26" s="141">
        <f>(+C12+C24+SUM(C13:C23)*2)/24</f>
        <v>56867149.200899996</v>
      </c>
      <c r="D26" s="1327"/>
      <c r="E26" s="141">
        <f>(+E12+E24+SUM(E13:E23)*2)/24</f>
        <v>-1613657.5291075055</v>
      </c>
    </row>
    <row r="27" spans="1:19" s="126" customFormat="1" ht="13.5" thickTop="1">
      <c r="A27" s="109" t="s">
        <v>232</v>
      </c>
      <c r="B27" s="7"/>
      <c r="C27" s="7"/>
      <c r="D27" s="7"/>
      <c r="G27" s="7"/>
      <c r="H27" s="7"/>
      <c r="I27" s="7"/>
      <c r="O27" s="7"/>
      <c r="R27" s="7"/>
      <c r="S27" s="7"/>
    </row>
    <row r="28" spans="1:19" s="126" customFormat="1" ht="13.5" thickBot="1">
      <c r="A28" s="426" t="s">
        <v>241</v>
      </c>
      <c r="B28" s="7"/>
      <c r="C28" s="7"/>
      <c r="D28" s="7"/>
      <c r="E28" s="103"/>
      <c r="G28" s="11"/>
      <c r="H28" s="11"/>
      <c r="I28" s="11"/>
      <c r="J28" s="11"/>
      <c r="K28" s="11"/>
      <c r="O28" s="7"/>
      <c r="R28" s="7"/>
      <c r="S28" s="7"/>
    </row>
    <row r="29" spans="1:19" s="128" customFormat="1">
      <c r="A29" s="127" t="s">
        <v>0</v>
      </c>
      <c r="B29" s="127" t="s">
        <v>113</v>
      </c>
      <c r="C29" s="127" t="s">
        <v>21</v>
      </c>
      <c r="D29" s="127" t="s">
        <v>22</v>
      </c>
      <c r="E29" s="127" t="s">
        <v>8</v>
      </c>
    </row>
    <row r="30" spans="1:19" s="128" customFormat="1">
      <c r="A30" s="129"/>
      <c r="B30" s="130" t="s">
        <v>183</v>
      </c>
      <c r="C30" s="130" t="s">
        <v>23</v>
      </c>
      <c r="D30" s="130" t="s">
        <v>24</v>
      </c>
      <c r="E30" s="130" t="s">
        <v>2</v>
      </c>
    </row>
    <row r="31" spans="1:19" s="128" customFormat="1">
      <c r="A31" s="129"/>
      <c r="B31" s="130"/>
      <c r="C31" s="130" t="s">
        <v>26</v>
      </c>
      <c r="D31" s="125">
        <f>+'Dep Rate'!D25</f>
        <v>2.1917949999999999E-2</v>
      </c>
      <c r="E31" s="130"/>
    </row>
    <row r="32" spans="1:19" s="128" customFormat="1" ht="13.5" thickBot="1">
      <c r="A32" s="131"/>
      <c r="B32" s="131" t="s">
        <v>25</v>
      </c>
      <c r="C32" s="131" t="s">
        <v>27</v>
      </c>
      <c r="D32" s="132"/>
      <c r="E32" s="131" t="s">
        <v>29</v>
      </c>
    </row>
    <row r="33" spans="1:8" s="128" customFormat="1" ht="14.25" customHeight="1" thickTop="1">
      <c r="A33" s="133">
        <f>+A10</f>
        <v>41518</v>
      </c>
      <c r="B33" s="245"/>
      <c r="C33" s="317">
        <f>+'Dep Rate'!C13</f>
        <v>95194976.911599934</v>
      </c>
      <c r="D33" s="247">
        <f>(C33*$D$31/12)</f>
        <v>173873.22868330014</v>
      </c>
      <c r="E33" s="407">
        <f>+'#2 DFIT- Unit 4'!J27</f>
        <v>-392616.96799454873</v>
      </c>
    </row>
    <row r="34" spans="1:8" s="128" customFormat="1" ht="12.75" customHeight="1">
      <c r="A34" s="133">
        <f t="shared" ref="A34:A46" si="3">+A11</f>
        <v>41548</v>
      </c>
      <c r="B34" s="246"/>
      <c r="C34" s="246">
        <f>+B34+C33</f>
        <v>95194976.911599934</v>
      </c>
      <c r="D34" s="247">
        <f>(C34*$D$31/12)</f>
        <v>173873.22868330014</v>
      </c>
      <c r="E34" s="248">
        <f t="shared" ref="E34:E39" si="4">E33-D34</f>
        <v>-566490.19667784893</v>
      </c>
    </row>
    <row r="35" spans="1:8" s="128" customFormat="1">
      <c r="A35" s="133">
        <f t="shared" si="3"/>
        <v>41579</v>
      </c>
      <c r="B35" s="246"/>
      <c r="C35" s="246">
        <f>+B35+C34</f>
        <v>95194976.911599934</v>
      </c>
      <c r="D35" s="247">
        <f>(C35*$D$31/12)</f>
        <v>173873.22868330014</v>
      </c>
      <c r="E35" s="248">
        <f t="shared" si="4"/>
        <v>-740363.42536114901</v>
      </c>
      <c r="F35" s="135"/>
    </row>
    <row r="36" spans="1:8" s="128" customFormat="1">
      <c r="A36" s="133">
        <f t="shared" si="3"/>
        <v>41609</v>
      </c>
      <c r="B36" s="246"/>
      <c r="C36" s="246">
        <f>+B36+C35</f>
        <v>95194976.911599934</v>
      </c>
      <c r="D36" s="247">
        <f t="shared" ref="D36:D38" si="5">(C36*$D$31/12)</f>
        <v>173873.22868330014</v>
      </c>
      <c r="E36" s="248">
        <f t="shared" si="4"/>
        <v>-914236.6540444491</v>
      </c>
      <c r="F36" s="135"/>
      <c r="G36" s="136"/>
    </row>
    <row r="37" spans="1:8" s="128" customFormat="1">
      <c r="A37" s="133">
        <f t="shared" si="3"/>
        <v>41640</v>
      </c>
      <c r="B37" s="246"/>
      <c r="C37" s="246">
        <f t="shared" ref="C37:C47" si="6">+B37+C36</f>
        <v>95194976.911599934</v>
      </c>
      <c r="D37" s="247">
        <f t="shared" si="5"/>
        <v>173873.22868330014</v>
      </c>
      <c r="E37" s="248">
        <f t="shared" si="4"/>
        <v>-1088109.8827277492</v>
      </c>
      <c r="F37" s="135"/>
    </row>
    <row r="38" spans="1:8" s="128" customFormat="1">
      <c r="A38" s="133">
        <f t="shared" si="3"/>
        <v>41671</v>
      </c>
      <c r="B38" s="246"/>
      <c r="C38" s="246">
        <f t="shared" si="6"/>
        <v>95194976.911599934</v>
      </c>
      <c r="D38" s="247">
        <f t="shared" si="5"/>
        <v>173873.22868330014</v>
      </c>
      <c r="E38" s="248">
        <f t="shared" si="4"/>
        <v>-1261983.1114110493</v>
      </c>
      <c r="F38" s="135"/>
    </row>
    <row r="39" spans="1:8" s="128" customFormat="1">
      <c r="A39" s="133">
        <f t="shared" si="3"/>
        <v>41699</v>
      </c>
      <c r="B39" s="246"/>
      <c r="C39" s="246">
        <f t="shared" si="6"/>
        <v>95194976.911599934</v>
      </c>
      <c r="D39" s="247">
        <f t="shared" ref="D39:D47" si="7">(C39*$D$31/12)</f>
        <v>173873.22868330014</v>
      </c>
      <c r="E39" s="248">
        <f t="shared" si="4"/>
        <v>-1435856.3400943493</v>
      </c>
      <c r="F39" s="135"/>
      <c r="G39" s="128" t="s">
        <v>117</v>
      </c>
    </row>
    <row r="40" spans="1:8" s="128" customFormat="1">
      <c r="A40" s="133">
        <f t="shared" si="3"/>
        <v>41730</v>
      </c>
      <c r="B40" s="246"/>
      <c r="C40" s="246">
        <f t="shared" si="6"/>
        <v>95194976.911599934</v>
      </c>
      <c r="D40" s="247">
        <f t="shared" si="7"/>
        <v>173873.22868330014</v>
      </c>
      <c r="E40" s="248">
        <f t="shared" ref="E40:E45" si="8">E39-D40</f>
        <v>-1609729.5687776494</v>
      </c>
      <c r="G40" s="137"/>
    </row>
    <row r="41" spans="1:8" s="128" customFormat="1">
      <c r="A41" s="133">
        <f t="shared" si="3"/>
        <v>41760</v>
      </c>
      <c r="B41" s="246"/>
      <c r="C41" s="246">
        <f t="shared" si="6"/>
        <v>95194976.911599934</v>
      </c>
      <c r="D41" s="247">
        <f t="shared" si="7"/>
        <v>173873.22868330014</v>
      </c>
      <c r="E41" s="248">
        <f t="shared" si="8"/>
        <v>-1783602.7974609495</v>
      </c>
      <c r="F41" s="135"/>
    </row>
    <row r="42" spans="1:8" s="128" customFormat="1">
      <c r="A42" s="133">
        <f t="shared" si="3"/>
        <v>41791</v>
      </c>
      <c r="B42" s="246"/>
      <c r="C42" s="246">
        <f t="shared" si="6"/>
        <v>95194976.911599934</v>
      </c>
      <c r="D42" s="247">
        <f t="shared" si="7"/>
        <v>173873.22868330014</v>
      </c>
      <c r="E42" s="248">
        <f t="shared" si="8"/>
        <v>-1957476.0261442496</v>
      </c>
      <c r="F42" s="135"/>
    </row>
    <row r="43" spans="1:8" s="128" customFormat="1">
      <c r="A43" s="133">
        <f t="shared" si="3"/>
        <v>41821</v>
      </c>
      <c r="B43" s="246"/>
      <c r="C43" s="246">
        <f t="shared" si="6"/>
        <v>95194976.911599934</v>
      </c>
      <c r="D43" s="247">
        <f t="shared" si="7"/>
        <v>173873.22868330014</v>
      </c>
      <c r="E43" s="248">
        <f t="shared" si="8"/>
        <v>-2131349.2548275497</v>
      </c>
      <c r="F43" s="135"/>
    </row>
    <row r="44" spans="1:8" s="128" customFormat="1">
      <c r="A44" s="133">
        <f t="shared" si="3"/>
        <v>41852</v>
      </c>
      <c r="B44" s="246"/>
      <c r="C44" s="246">
        <f t="shared" si="6"/>
        <v>95194976.911599934</v>
      </c>
      <c r="D44" s="247">
        <f t="shared" si="7"/>
        <v>173873.22868330014</v>
      </c>
      <c r="E44" s="248">
        <f t="shared" si="8"/>
        <v>-2305222.48351085</v>
      </c>
      <c r="F44" s="135"/>
    </row>
    <row r="45" spans="1:8" s="128" customFormat="1">
      <c r="A45" s="133">
        <f t="shared" si="3"/>
        <v>41883</v>
      </c>
      <c r="B45" s="246"/>
      <c r="C45" s="246">
        <f t="shared" si="6"/>
        <v>95194976.911599934</v>
      </c>
      <c r="D45" s="247">
        <f t="shared" si="7"/>
        <v>173873.22868330014</v>
      </c>
      <c r="E45" s="248">
        <f t="shared" si="8"/>
        <v>-2479095.7121941503</v>
      </c>
      <c r="F45" s="135"/>
    </row>
    <row r="46" spans="1:8" s="128" customFormat="1">
      <c r="A46" s="133">
        <f t="shared" si="3"/>
        <v>41913</v>
      </c>
      <c r="B46" s="246"/>
      <c r="C46" s="246">
        <f t="shared" si="6"/>
        <v>95194976.911599934</v>
      </c>
      <c r="D46" s="247">
        <f t="shared" si="7"/>
        <v>173873.22868330014</v>
      </c>
      <c r="E46" s="248">
        <f>E45-D46</f>
        <v>-2652968.9408774506</v>
      </c>
      <c r="F46" s="135"/>
      <c r="G46" s="138"/>
    </row>
    <row r="47" spans="1:8" ht="13.5" thickBot="1">
      <c r="A47" s="133">
        <f>+A24</f>
        <v>41944</v>
      </c>
      <c r="B47" s="1322"/>
      <c r="C47" s="1322">
        <f t="shared" si="6"/>
        <v>95194976.911599934</v>
      </c>
      <c r="D47" s="1323">
        <f t="shared" si="7"/>
        <v>173873.22868330014</v>
      </c>
      <c r="E47" s="1324">
        <f>E46-D47</f>
        <v>-2826842.1695607509</v>
      </c>
      <c r="H47" s="128"/>
    </row>
    <row r="48" spans="1:8" ht="13.5" thickBot="1">
      <c r="A48" s="139" t="str">
        <f>+A25</f>
        <v>Total - 12ME Nov 2014</v>
      </c>
      <c r="B48" s="1325"/>
      <c r="C48" s="1325"/>
      <c r="D48" s="142">
        <f>SUM(D36:D47)</f>
        <v>2086478.7441996012</v>
      </c>
      <c r="E48" s="1326"/>
      <c r="H48" s="128"/>
    </row>
    <row r="49" spans="1:7" ht="13.5" thickBot="1">
      <c r="A49" s="140" t="str">
        <f>+A26</f>
        <v>AMA - 12ME Nov 2014</v>
      </c>
      <c r="B49" s="1325"/>
      <c r="C49" s="141">
        <f>(+C35+C47+SUM(C36:C46)*2)/24</f>
        <v>95194976.911599919</v>
      </c>
      <c r="D49" s="1327"/>
      <c r="E49" s="141">
        <f>(+E35+E47+SUM(E36:E46)*2)/24</f>
        <v>-1783602.7974609497</v>
      </c>
    </row>
    <row r="50" spans="1:7" ht="13.5" thickTop="1">
      <c r="A50"/>
      <c r="B50"/>
      <c r="C50"/>
      <c r="D50"/>
      <c r="E50"/>
    </row>
    <row r="51" spans="1:7" hidden="1" outlineLevel="1">
      <c r="A51"/>
      <c r="B51"/>
      <c r="C51"/>
      <c r="D51"/>
      <c r="E51"/>
    </row>
    <row r="52" spans="1:7" hidden="1" outlineLevel="1">
      <c r="A52"/>
      <c r="B52"/>
      <c r="C52"/>
      <c r="D52"/>
      <c r="E52"/>
    </row>
    <row r="53" spans="1:7" hidden="1" outlineLevel="1">
      <c r="A53"/>
      <c r="B53"/>
      <c r="C53"/>
      <c r="D53"/>
      <c r="E53"/>
    </row>
    <row r="54" spans="1:7" hidden="1" outlineLevel="1">
      <c r="A54"/>
      <c r="B54"/>
      <c r="C54"/>
      <c r="D54"/>
      <c r="E54"/>
    </row>
    <row r="55" spans="1:7" hidden="1" outlineLevel="1">
      <c r="A55"/>
      <c r="B55"/>
      <c r="C55"/>
      <c r="D55"/>
      <c r="E55"/>
    </row>
    <row r="56" spans="1:7" hidden="1" outlineLevel="1">
      <c r="A56"/>
      <c r="B56"/>
      <c r="C56"/>
      <c r="D56"/>
      <c r="E56"/>
    </row>
    <row r="57" spans="1:7" hidden="1" outlineLevel="1">
      <c r="A57"/>
      <c r="B57"/>
      <c r="C57"/>
      <c r="D57"/>
      <c r="E57"/>
    </row>
    <row r="58" spans="1:7" hidden="1" outlineLevel="1">
      <c r="A58"/>
      <c r="B58"/>
      <c r="C58"/>
      <c r="D58"/>
      <c r="E58"/>
    </row>
    <row r="59" spans="1:7" hidden="1" outlineLevel="1">
      <c r="A59"/>
      <c r="B59"/>
      <c r="C59"/>
      <c r="D59"/>
      <c r="E59"/>
    </row>
    <row r="60" spans="1:7" hidden="1" outlineLevel="1">
      <c r="A60"/>
      <c r="B60"/>
      <c r="C60"/>
      <c r="D60"/>
      <c r="E60"/>
    </row>
    <row r="61" spans="1:7" hidden="1" outlineLevel="1">
      <c r="A61"/>
      <c r="B61"/>
      <c r="C61"/>
      <c r="D61"/>
      <c r="E61"/>
    </row>
    <row r="62" spans="1:7" hidden="1" outlineLevel="1">
      <c r="A62"/>
      <c r="B62"/>
      <c r="C62"/>
      <c r="D62"/>
      <c r="E62"/>
      <c r="G62" s="2" t="s">
        <v>185</v>
      </c>
    </row>
    <row r="63" spans="1:7" hidden="1" outlineLevel="1">
      <c r="A63"/>
      <c r="B63"/>
      <c r="C63"/>
      <c r="D63"/>
      <c r="E63"/>
      <c r="G63" s="111"/>
    </row>
    <row r="64" spans="1:7" hidden="1" outlineLevel="1">
      <c r="A64"/>
      <c r="B64"/>
      <c r="C64"/>
      <c r="D64"/>
      <c r="E64"/>
    </row>
    <row r="65" spans="1:11" hidden="1" outlineLevel="1">
      <c r="A65"/>
      <c r="B65"/>
      <c r="C65"/>
      <c r="D65"/>
      <c r="E65"/>
    </row>
    <row r="66" spans="1:11" hidden="1" outlineLevel="1">
      <c r="A66"/>
      <c r="B66"/>
      <c r="C66"/>
      <c r="D66"/>
      <c r="E66"/>
    </row>
    <row r="67" spans="1:11" hidden="1" outlineLevel="1">
      <c r="A67"/>
      <c r="B67"/>
      <c r="C67"/>
      <c r="D67"/>
      <c r="E67"/>
    </row>
    <row r="68" spans="1:11" hidden="1" outlineLevel="1">
      <c r="A68"/>
      <c r="B68"/>
      <c r="C68"/>
      <c r="D68"/>
      <c r="E68"/>
    </row>
    <row r="69" spans="1:11" hidden="1" outlineLevel="1">
      <c r="A69"/>
      <c r="B69"/>
      <c r="C69"/>
      <c r="D69"/>
      <c r="E69"/>
    </row>
    <row r="70" spans="1:11" hidden="1" outlineLevel="1">
      <c r="A70"/>
      <c r="B70"/>
      <c r="C70"/>
      <c r="D70"/>
      <c r="E70"/>
    </row>
    <row r="71" spans="1:11" hidden="1" outlineLevel="1">
      <c r="A71"/>
      <c r="B71"/>
      <c r="C71"/>
      <c r="D71"/>
      <c r="E71"/>
    </row>
    <row r="72" spans="1:11" ht="13.5" collapsed="1" thickBot="1">
      <c r="A72" s="109" t="s">
        <v>156</v>
      </c>
      <c r="B72" s="128"/>
      <c r="C72" s="128"/>
      <c r="D72" s="134"/>
      <c r="E72" s="128"/>
    </row>
    <row r="73" spans="1:11">
      <c r="A73" s="388" t="s">
        <v>0</v>
      </c>
      <c r="B73" s="388" t="s">
        <v>113</v>
      </c>
      <c r="C73" s="388" t="s">
        <v>21</v>
      </c>
      <c r="D73" s="388" t="s">
        <v>22</v>
      </c>
      <c r="E73" s="388" t="s">
        <v>8</v>
      </c>
    </row>
    <row r="74" spans="1:11">
      <c r="A74" s="389"/>
      <c r="B74" s="394" t="s">
        <v>183</v>
      </c>
      <c r="C74" s="394" t="s">
        <v>23</v>
      </c>
      <c r="D74" s="394" t="s">
        <v>24</v>
      </c>
      <c r="E74" s="394" t="s">
        <v>2</v>
      </c>
    </row>
    <row r="75" spans="1:11">
      <c r="A75" s="389"/>
      <c r="B75" s="394"/>
      <c r="C75" s="394" t="s">
        <v>26</v>
      </c>
      <c r="D75" s="395">
        <f>+D8</f>
        <v>2.1917949999999999E-2</v>
      </c>
      <c r="E75" s="394"/>
    </row>
    <row r="76" spans="1:11" ht="13.5" thickBot="1">
      <c r="A76" s="390"/>
      <c r="B76" s="390"/>
      <c r="C76" s="390" t="s">
        <v>27</v>
      </c>
      <c r="D76" s="396"/>
      <c r="E76" s="390" t="s">
        <v>29</v>
      </c>
    </row>
    <row r="77" spans="1:11" ht="13.5" thickTop="1">
      <c r="A77" s="391">
        <f>+A10</f>
        <v>41518</v>
      </c>
      <c r="B77" s="397"/>
      <c r="C77" s="397"/>
      <c r="D77" s="397"/>
      <c r="E77" s="398">
        <f>E10+E33+E56</f>
        <v>-1175333.6085501432</v>
      </c>
    </row>
    <row r="78" spans="1:11">
      <c r="A78" s="391">
        <f t="shared" ref="A78:A91" si="9">+A11</f>
        <v>41548</v>
      </c>
      <c r="B78" s="399">
        <f t="shared" ref="B78:D91" si="10">+B11+B34+B57</f>
        <v>0</v>
      </c>
      <c r="C78" s="399">
        <f t="shared" si="10"/>
        <v>152062126.11249995</v>
      </c>
      <c r="D78" s="400">
        <f t="shared" si="10"/>
        <v>277740.839752289</v>
      </c>
      <c r="E78" s="401">
        <f t="shared" ref="E78:E83" si="11">E77-D78</f>
        <v>-1453074.4483024322</v>
      </c>
    </row>
    <row r="79" spans="1:11">
      <c r="A79" s="391">
        <f t="shared" si="9"/>
        <v>41579</v>
      </c>
      <c r="B79" s="399">
        <f t="shared" si="10"/>
        <v>0</v>
      </c>
      <c r="C79" s="399">
        <f t="shared" si="10"/>
        <v>152062126.11249995</v>
      </c>
      <c r="D79" s="400">
        <f t="shared" si="10"/>
        <v>277740.839752289</v>
      </c>
      <c r="E79" s="401">
        <f t="shared" si="11"/>
        <v>-1730815.2880547212</v>
      </c>
      <c r="F79" s="4"/>
      <c r="G79" s="4"/>
      <c r="I79" s="4"/>
      <c r="J79" s="4"/>
      <c r="K79" s="4"/>
    </row>
    <row r="80" spans="1:11">
      <c r="A80" s="391">
        <f t="shared" si="9"/>
        <v>41609</v>
      </c>
      <c r="B80" s="399">
        <f t="shared" si="10"/>
        <v>0</v>
      </c>
      <c r="C80" s="399">
        <f t="shared" si="10"/>
        <v>152062126.11249995</v>
      </c>
      <c r="D80" s="400">
        <f t="shared" si="10"/>
        <v>277740.839752289</v>
      </c>
      <c r="E80" s="401">
        <f t="shared" si="11"/>
        <v>-2008556.1278070102</v>
      </c>
      <c r="F80" s="4"/>
      <c r="G80" s="4"/>
      <c r="I80" s="4"/>
      <c r="J80" s="4"/>
      <c r="K80" s="4"/>
    </row>
    <row r="81" spans="1:11">
      <c r="A81" s="391">
        <f t="shared" si="9"/>
        <v>41640</v>
      </c>
      <c r="B81" s="399">
        <f t="shared" si="10"/>
        <v>0</v>
      </c>
      <c r="C81" s="399">
        <f t="shared" si="10"/>
        <v>152062126.11249995</v>
      </c>
      <c r="D81" s="400">
        <f t="shared" si="10"/>
        <v>277740.839752289</v>
      </c>
      <c r="E81" s="401">
        <f t="shared" si="11"/>
        <v>-2286296.9675592994</v>
      </c>
      <c r="F81" s="4"/>
      <c r="G81" s="4"/>
      <c r="H81" s="4"/>
      <c r="I81" s="4"/>
      <c r="J81" s="4"/>
      <c r="K81" s="4"/>
    </row>
    <row r="82" spans="1:11">
      <c r="A82" s="391">
        <f t="shared" si="9"/>
        <v>41671</v>
      </c>
      <c r="B82" s="399">
        <f t="shared" si="10"/>
        <v>0</v>
      </c>
      <c r="C82" s="399">
        <f t="shared" si="10"/>
        <v>152062126.11249995</v>
      </c>
      <c r="D82" s="400">
        <f t="shared" si="10"/>
        <v>277740.839752289</v>
      </c>
      <c r="E82" s="401">
        <f t="shared" si="11"/>
        <v>-2564037.8073115884</v>
      </c>
      <c r="F82" s="4"/>
      <c r="G82" s="4"/>
      <c r="H82" s="4"/>
      <c r="I82" s="4"/>
      <c r="J82" s="4"/>
      <c r="K82" s="4"/>
    </row>
    <row r="83" spans="1:11">
      <c r="A83" s="391">
        <f t="shared" si="9"/>
        <v>41699</v>
      </c>
      <c r="B83" s="399">
        <f t="shared" si="10"/>
        <v>0</v>
      </c>
      <c r="C83" s="399">
        <f t="shared" si="10"/>
        <v>152062126.11249995</v>
      </c>
      <c r="D83" s="400">
        <f t="shared" si="10"/>
        <v>277740.839752289</v>
      </c>
      <c r="E83" s="401">
        <f t="shared" si="11"/>
        <v>-2841778.6470638774</v>
      </c>
      <c r="F83" s="4"/>
      <c r="G83" s="4"/>
      <c r="H83" s="4"/>
      <c r="I83" s="4"/>
      <c r="J83" s="4"/>
      <c r="K83" s="4"/>
    </row>
    <row r="84" spans="1:11">
      <c r="A84" s="391">
        <f t="shared" si="9"/>
        <v>41730</v>
      </c>
      <c r="B84" s="399">
        <f t="shared" si="10"/>
        <v>0</v>
      </c>
      <c r="C84" s="399">
        <f t="shared" si="10"/>
        <v>152062126.11249995</v>
      </c>
      <c r="D84" s="400">
        <f t="shared" si="10"/>
        <v>277740.839752289</v>
      </c>
      <c r="E84" s="401">
        <f t="shared" ref="E84:E89" si="12">E83-D84</f>
        <v>-3119519.4868161664</v>
      </c>
      <c r="F84" s="4"/>
      <c r="G84" s="111" t="s">
        <v>186</v>
      </c>
      <c r="H84" s="4"/>
      <c r="I84" s="4"/>
      <c r="J84" s="4"/>
      <c r="K84" s="4"/>
    </row>
    <row r="85" spans="1:11">
      <c r="A85" s="391">
        <f t="shared" si="9"/>
        <v>41760</v>
      </c>
      <c r="B85" s="399">
        <f t="shared" si="10"/>
        <v>0</v>
      </c>
      <c r="C85" s="399">
        <f t="shared" si="10"/>
        <v>152062126.11249995</v>
      </c>
      <c r="D85" s="400">
        <f t="shared" si="10"/>
        <v>277740.839752289</v>
      </c>
      <c r="E85" s="401">
        <f t="shared" si="12"/>
        <v>-3397260.3265684554</v>
      </c>
      <c r="F85" s="4"/>
      <c r="G85" s="4"/>
      <c r="H85" s="4"/>
      <c r="I85" s="4"/>
      <c r="J85" s="4"/>
      <c r="K85" s="4"/>
    </row>
    <row r="86" spans="1:11">
      <c r="A86" s="391">
        <f t="shared" si="9"/>
        <v>41791</v>
      </c>
      <c r="B86" s="399">
        <f t="shared" si="10"/>
        <v>0</v>
      </c>
      <c r="C86" s="399">
        <f t="shared" si="10"/>
        <v>152062126.11249995</v>
      </c>
      <c r="D86" s="400">
        <f t="shared" si="10"/>
        <v>277740.839752289</v>
      </c>
      <c r="E86" s="401">
        <f t="shared" si="12"/>
        <v>-3675001.1663207444</v>
      </c>
      <c r="F86" s="4"/>
      <c r="G86" s="4"/>
      <c r="H86" s="4"/>
      <c r="I86" s="4"/>
      <c r="J86" s="4"/>
      <c r="K86" s="4"/>
    </row>
    <row r="87" spans="1:11">
      <c r="A87" s="391">
        <f t="shared" si="9"/>
        <v>41821</v>
      </c>
      <c r="B87" s="399">
        <f t="shared" si="10"/>
        <v>0</v>
      </c>
      <c r="C87" s="399">
        <f t="shared" si="10"/>
        <v>152062126.11249995</v>
      </c>
      <c r="D87" s="400">
        <f t="shared" si="10"/>
        <v>277740.839752289</v>
      </c>
      <c r="E87" s="401">
        <f t="shared" si="12"/>
        <v>-3952742.0060730334</v>
      </c>
      <c r="F87" s="4"/>
      <c r="G87" s="4"/>
      <c r="H87" s="4"/>
      <c r="I87" s="4"/>
      <c r="J87" s="4"/>
      <c r="K87" s="4"/>
    </row>
    <row r="88" spans="1:11">
      <c r="A88" s="391">
        <f t="shared" si="9"/>
        <v>41852</v>
      </c>
      <c r="B88" s="399">
        <f t="shared" si="10"/>
        <v>0</v>
      </c>
      <c r="C88" s="399">
        <f t="shared" si="10"/>
        <v>152062126.11249995</v>
      </c>
      <c r="D88" s="400">
        <f t="shared" si="10"/>
        <v>277740.839752289</v>
      </c>
      <c r="E88" s="401">
        <f t="shared" si="12"/>
        <v>-4230482.845825322</v>
      </c>
      <c r="F88" s="4"/>
      <c r="G88" s="4"/>
      <c r="H88" s="4"/>
      <c r="I88" s="4"/>
      <c r="J88" s="4"/>
      <c r="K88" s="4"/>
    </row>
    <row r="89" spans="1:11">
      <c r="A89" s="391">
        <f t="shared" si="9"/>
        <v>41883</v>
      </c>
      <c r="B89" s="399">
        <f t="shared" si="10"/>
        <v>0</v>
      </c>
      <c r="C89" s="399">
        <f t="shared" si="10"/>
        <v>152062126.11249995</v>
      </c>
      <c r="D89" s="400">
        <f t="shared" si="10"/>
        <v>277740.839752289</v>
      </c>
      <c r="E89" s="401">
        <f t="shared" si="12"/>
        <v>-4508223.6855776105</v>
      </c>
      <c r="F89" s="4"/>
      <c r="G89" s="4"/>
      <c r="H89" s="4"/>
      <c r="I89" s="4"/>
      <c r="J89" s="4"/>
      <c r="K89" s="4"/>
    </row>
    <row r="90" spans="1:11">
      <c r="A90" s="391">
        <f t="shared" si="9"/>
        <v>41913</v>
      </c>
      <c r="B90" s="399">
        <f t="shared" si="10"/>
        <v>0</v>
      </c>
      <c r="C90" s="399">
        <f t="shared" si="10"/>
        <v>152062126.11249995</v>
      </c>
      <c r="D90" s="400">
        <f t="shared" si="10"/>
        <v>277740.839752289</v>
      </c>
      <c r="E90" s="401">
        <f t="shared" ref="E90" si="13">E89-D90</f>
        <v>-4785964.525329899</v>
      </c>
      <c r="F90" s="4"/>
      <c r="G90" s="4"/>
      <c r="H90" s="4"/>
      <c r="I90" s="4"/>
      <c r="J90" s="4"/>
      <c r="K90" s="4"/>
    </row>
    <row r="91" spans="1:11" ht="13.5" thickBot="1">
      <c r="A91" s="391">
        <f t="shared" si="9"/>
        <v>41944</v>
      </c>
      <c r="B91" s="402">
        <f t="shared" si="10"/>
        <v>0</v>
      </c>
      <c r="C91" s="402">
        <f t="shared" si="10"/>
        <v>152062126.11249995</v>
      </c>
      <c r="D91" s="403">
        <f t="shared" si="10"/>
        <v>277740.839752289</v>
      </c>
      <c r="E91" s="404">
        <f t="shared" ref="E91" si="14">E90-D91</f>
        <v>-5063705.3650821876</v>
      </c>
      <c r="F91" s="4"/>
      <c r="G91" s="4"/>
      <c r="H91" s="4"/>
      <c r="I91" s="4"/>
      <c r="J91" s="4"/>
      <c r="K91" s="4"/>
    </row>
    <row r="92" spans="1:11" ht="13.5" thickBot="1">
      <c r="A92" s="392" t="str">
        <f>+A25</f>
        <v>Total - 12ME Nov 2014</v>
      </c>
      <c r="B92" s="1326"/>
      <c r="C92" s="1326"/>
      <c r="D92" s="406">
        <f>SUM(D80:D91)</f>
        <v>3332890.077027468</v>
      </c>
      <c r="E92" s="1326"/>
      <c r="H92" s="4"/>
    </row>
    <row r="93" spans="1:11" ht="13.5" thickBot="1">
      <c r="A93" s="393" t="str">
        <f>+A26</f>
        <v>AMA - 12ME Nov 2014</v>
      </c>
      <c r="B93" s="1326"/>
      <c r="C93" s="405">
        <f>(+C79+C91+SUM(C80:C90)*2)/24</f>
        <v>152062126.11249995</v>
      </c>
      <c r="D93" s="1327"/>
      <c r="E93" s="405">
        <f>(+E79+E91+SUM(E80:E90)*2)/24</f>
        <v>-3397260.3265684545</v>
      </c>
      <c r="H93" s="4"/>
    </row>
    <row r="94" spans="1:11" ht="13.5" thickTop="1">
      <c r="A94" s="128"/>
      <c r="D94"/>
      <c r="E94"/>
    </row>
    <row r="95" spans="1:11">
      <c r="A95" s="128"/>
      <c r="C95" s="3"/>
      <c r="D95" s="91"/>
      <c r="E95"/>
      <c r="G95" s="3"/>
    </row>
  </sheetData>
  <pageMargins left="0.7" right="0.7" top="0.75" bottom="0.75" header="0.3" footer="0.3"/>
  <pageSetup scale="6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3:H169"/>
  <sheetViews>
    <sheetView topLeftCell="A32" zoomScaleNormal="100" workbookViewId="0">
      <selection activeCell="B37" sqref="B36:B37"/>
    </sheetView>
  </sheetViews>
  <sheetFormatPr defaultRowHeight="12.75"/>
  <cols>
    <col min="1" max="1" width="81" style="115" bestFit="1" customWidth="1"/>
    <col min="2" max="2" width="16.28515625" style="115" bestFit="1" customWidth="1"/>
    <col min="3" max="4" width="15.7109375" style="115" customWidth="1"/>
    <col min="5" max="5" width="15.140625" style="115" bestFit="1" customWidth="1"/>
    <col min="6" max="248" width="9.140625" style="115"/>
    <col min="249" max="249" width="31.140625" style="115" customWidth="1"/>
    <col min="250" max="250" width="9.140625" style="115"/>
    <col min="251" max="251" width="8.7109375" style="115" customWidth="1"/>
    <col min="252" max="252" width="13.7109375" style="115" customWidth="1"/>
    <col min="253" max="253" width="15" style="115" bestFit="1" customWidth="1"/>
    <col min="254" max="254" width="9.140625" style="115"/>
    <col min="255" max="255" width="13.7109375" style="115" customWidth="1"/>
    <col min="256" max="256" width="3" style="115" customWidth="1"/>
    <col min="257" max="257" width="21.5703125" style="115" bestFit="1" customWidth="1"/>
    <col min="258" max="258" width="16.28515625" style="115" bestFit="1" customWidth="1"/>
    <col min="259" max="259" width="13.140625" style="115" customWidth="1"/>
    <col min="260" max="504" width="9.140625" style="115"/>
    <col min="505" max="505" width="31.140625" style="115" customWidth="1"/>
    <col min="506" max="506" width="9.140625" style="115"/>
    <col min="507" max="507" width="8.7109375" style="115" customWidth="1"/>
    <col min="508" max="508" width="13.7109375" style="115" customWidth="1"/>
    <col min="509" max="509" width="15" style="115" bestFit="1" customWidth="1"/>
    <col min="510" max="510" width="9.140625" style="115"/>
    <col min="511" max="511" width="13.7109375" style="115" customWidth="1"/>
    <col min="512" max="512" width="3" style="115" customWidth="1"/>
    <col min="513" max="513" width="21.5703125" style="115" bestFit="1" customWidth="1"/>
    <col min="514" max="514" width="16.28515625" style="115" bestFit="1" customWidth="1"/>
    <col min="515" max="515" width="13.140625" style="115" customWidth="1"/>
    <col min="516" max="760" width="9.140625" style="115"/>
    <col min="761" max="761" width="31.140625" style="115" customWidth="1"/>
    <col min="762" max="762" width="9.140625" style="115"/>
    <col min="763" max="763" width="8.7109375" style="115" customWidth="1"/>
    <col min="764" max="764" width="13.7109375" style="115" customWidth="1"/>
    <col min="765" max="765" width="15" style="115" bestFit="1" customWidth="1"/>
    <col min="766" max="766" width="9.140625" style="115"/>
    <col min="767" max="767" width="13.7109375" style="115" customWidth="1"/>
    <col min="768" max="768" width="3" style="115" customWidth="1"/>
    <col min="769" max="769" width="21.5703125" style="115" bestFit="1" customWidth="1"/>
    <col min="770" max="770" width="16.28515625" style="115" bestFit="1" customWidth="1"/>
    <col min="771" max="771" width="13.140625" style="115" customWidth="1"/>
    <col min="772" max="1016" width="9.140625" style="115"/>
    <col min="1017" max="1017" width="31.140625" style="115" customWidth="1"/>
    <col min="1018" max="1018" width="9.140625" style="115"/>
    <col min="1019" max="1019" width="8.7109375" style="115" customWidth="1"/>
    <col min="1020" max="1020" width="13.7109375" style="115" customWidth="1"/>
    <col min="1021" max="1021" width="15" style="115" bestFit="1" customWidth="1"/>
    <col min="1022" max="1022" width="9.140625" style="115"/>
    <col min="1023" max="1023" width="13.7109375" style="115" customWidth="1"/>
    <col min="1024" max="1024" width="3" style="115" customWidth="1"/>
    <col min="1025" max="1025" width="21.5703125" style="115" bestFit="1" customWidth="1"/>
    <col min="1026" max="1026" width="16.28515625" style="115" bestFit="1" customWidth="1"/>
    <col min="1027" max="1027" width="13.140625" style="115" customWidth="1"/>
    <col min="1028" max="1272" width="9.140625" style="115"/>
    <col min="1273" max="1273" width="31.140625" style="115" customWidth="1"/>
    <col min="1274" max="1274" width="9.140625" style="115"/>
    <col min="1275" max="1275" width="8.7109375" style="115" customWidth="1"/>
    <col min="1276" max="1276" width="13.7109375" style="115" customWidth="1"/>
    <col min="1277" max="1277" width="15" style="115" bestFit="1" customWidth="1"/>
    <col min="1278" max="1278" width="9.140625" style="115"/>
    <col min="1279" max="1279" width="13.7109375" style="115" customWidth="1"/>
    <col min="1280" max="1280" width="3" style="115" customWidth="1"/>
    <col min="1281" max="1281" width="21.5703125" style="115" bestFit="1" customWidth="1"/>
    <col min="1282" max="1282" width="16.28515625" style="115" bestFit="1" customWidth="1"/>
    <col min="1283" max="1283" width="13.140625" style="115" customWidth="1"/>
    <col min="1284" max="1528" width="9.140625" style="115"/>
    <col min="1529" max="1529" width="31.140625" style="115" customWidth="1"/>
    <col min="1530" max="1530" width="9.140625" style="115"/>
    <col min="1531" max="1531" width="8.7109375" style="115" customWidth="1"/>
    <col min="1532" max="1532" width="13.7109375" style="115" customWidth="1"/>
    <col min="1533" max="1533" width="15" style="115" bestFit="1" customWidth="1"/>
    <col min="1534" max="1534" width="9.140625" style="115"/>
    <col min="1535" max="1535" width="13.7109375" style="115" customWidth="1"/>
    <col min="1536" max="1536" width="3" style="115" customWidth="1"/>
    <col min="1537" max="1537" width="21.5703125" style="115" bestFit="1" customWidth="1"/>
    <col min="1538" max="1538" width="16.28515625" style="115" bestFit="1" customWidth="1"/>
    <col min="1539" max="1539" width="13.140625" style="115" customWidth="1"/>
    <col min="1540" max="1784" width="9.140625" style="115"/>
    <col min="1785" max="1785" width="31.140625" style="115" customWidth="1"/>
    <col min="1786" max="1786" width="9.140625" style="115"/>
    <col min="1787" max="1787" width="8.7109375" style="115" customWidth="1"/>
    <col min="1788" max="1788" width="13.7109375" style="115" customWidth="1"/>
    <col min="1789" max="1789" width="15" style="115" bestFit="1" customWidth="1"/>
    <col min="1790" max="1790" width="9.140625" style="115"/>
    <col min="1791" max="1791" width="13.7109375" style="115" customWidth="1"/>
    <col min="1792" max="1792" width="3" style="115" customWidth="1"/>
    <col min="1793" max="1793" width="21.5703125" style="115" bestFit="1" customWidth="1"/>
    <col min="1794" max="1794" width="16.28515625" style="115" bestFit="1" customWidth="1"/>
    <col min="1795" max="1795" width="13.140625" style="115" customWidth="1"/>
    <col min="1796" max="2040" width="9.140625" style="115"/>
    <col min="2041" max="2041" width="31.140625" style="115" customWidth="1"/>
    <col min="2042" max="2042" width="9.140625" style="115"/>
    <col min="2043" max="2043" width="8.7109375" style="115" customWidth="1"/>
    <col min="2044" max="2044" width="13.7109375" style="115" customWidth="1"/>
    <col min="2045" max="2045" width="15" style="115" bestFit="1" customWidth="1"/>
    <col min="2046" max="2046" width="9.140625" style="115"/>
    <col min="2047" max="2047" width="13.7109375" style="115" customWidth="1"/>
    <col min="2048" max="2048" width="3" style="115" customWidth="1"/>
    <col min="2049" max="2049" width="21.5703125" style="115" bestFit="1" customWidth="1"/>
    <col min="2050" max="2050" width="16.28515625" style="115" bestFit="1" customWidth="1"/>
    <col min="2051" max="2051" width="13.140625" style="115" customWidth="1"/>
    <col min="2052" max="2296" width="9.140625" style="115"/>
    <col min="2297" max="2297" width="31.140625" style="115" customWidth="1"/>
    <col min="2298" max="2298" width="9.140625" style="115"/>
    <col min="2299" max="2299" width="8.7109375" style="115" customWidth="1"/>
    <col min="2300" max="2300" width="13.7109375" style="115" customWidth="1"/>
    <col min="2301" max="2301" width="15" style="115" bestFit="1" customWidth="1"/>
    <col min="2302" max="2302" width="9.140625" style="115"/>
    <col min="2303" max="2303" width="13.7109375" style="115" customWidth="1"/>
    <col min="2304" max="2304" width="3" style="115" customWidth="1"/>
    <col min="2305" max="2305" width="21.5703125" style="115" bestFit="1" customWidth="1"/>
    <col min="2306" max="2306" width="16.28515625" style="115" bestFit="1" customWidth="1"/>
    <col min="2307" max="2307" width="13.140625" style="115" customWidth="1"/>
    <col min="2308" max="2552" width="9.140625" style="115"/>
    <col min="2553" max="2553" width="31.140625" style="115" customWidth="1"/>
    <col min="2554" max="2554" width="9.140625" style="115"/>
    <col min="2555" max="2555" width="8.7109375" style="115" customWidth="1"/>
    <col min="2556" max="2556" width="13.7109375" style="115" customWidth="1"/>
    <col min="2557" max="2557" width="15" style="115" bestFit="1" customWidth="1"/>
    <col min="2558" max="2558" width="9.140625" style="115"/>
    <col min="2559" max="2559" width="13.7109375" style="115" customWidth="1"/>
    <col min="2560" max="2560" width="3" style="115" customWidth="1"/>
    <col min="2561" max="2561" width="21.5703125" style="115" bestFit="1" customWidth="1"/>
    <col min="2562" max="2562" width="16.28515625" style="115" bestFit="1" customWidth="1"/>
    <col min="2563" max="2563" width="13.140625" style="115" customWidth="1"/>
    <col min="2564" max="2808" width="9.140625" style="115"/>
    <col min="2809" max="2809" width="31.140625" style="115" customWidth="1"/>
    <col min="2810" max="2810" width="9.140625" style="115"/>
    <col min="2811" max="2811" width="8.7109375" style="115" customWidth="1"/>
    <col min="2812" max="2812" width="13.7109375" style="115" customWidth="1"/>
    <col min="2813" max="2813" width="15" style="115" bestFit="1" customWidth="1"/>
    <col min="2814" max="2814" width="9.140625" style="115"/>
    <col min="2815" max="2815" width="13.7109375" style="115" customWidth="1"/>
    <col min="2816" max="2816" width="3" style="115" customWidth="1"/>
    <col min="2817" max="2817" width="21.5703125" style="115" bestFit="1" customWidth="1"/>
    <col min="2818" max="2818" width="16.28515625" style="115" bestFit="1" customWidth="1"/>
    <col min="2819" max="2819" width="13.140625" style="115" customWidth="1"/>
    <col min="2820" max="3064" width="9.140625" style="115"/>
    <col min="3065" max="3065" width="31.140625" style="115" customWidth="1"/>
    <col min="3066" max="3066" width="9.140625" style="115"/>
    <col min="3067" max="3067" width="8.7109375" style="115" customWidth="1"/>
    <col min="3068" max="3068" width="13.7109375" style="115" customWidth="1"/>
    <col min="3069" max="3069" width="15" style="115" bestFit="1" customWidth="1"/>
    <col min="3070" max="3070" width="9.140625" style="115"/>
    <col min="3071" max="3071" width="13.7109375" style="115" customWidth="1"/>
    <col min="3072" max="3072" width="3" style="115" customWidth="1"/>
    <col min="3073" max="3073" width="21.5703125" style="115" bestFit="1" customWidth="1"/>
    <col min="3074" max="3074" width="16.28515625" style="115" bestFit="1" customWidth="1"/>
    <col min="3075" max="3075" width="13.140625" style="115" customWidth="1"/>
    <col min="3076" max="3320" width="9.140625" style="115"/>
    <col min="3321" max="3321" width="31.140625" style="115" customWidth="1"/>
    <col min="3322" max="3322" width="9.140625" style="115"/>
    <col min="3323" max="3323" width="8.7109375" style="115" customWidth="1"/>
    <col min="3324" max="3324" width="13.7109375" style="115" customWidth="1"/>
    <col min="3325" max="3325" width="15" style="115" bestFit="1" customWidth="1"/>
    <col min="3326" max="3326" width="9.140625" style="115"/>
    <col min="3327" max="3327" width="13.7109375" style="115" customWidth="1"/>
    <col min="3328" max="3328" width="3" style="115" customWidth="1"/>
    <col min="3329" max="3329" width="21.5703125" style="115" bestFit="1" customWidth="1"/>
    <col min="3330" max="3330" width="16.28515625" style="115" bestFit="1" customWidth="1"/>
    <col min="3331" max="3331" width="13.140625" style="115" customWidth="1"/>
    <col min="3332" max="3576" width="9.140625" style="115"/>
    <col min="3577" max="3577" width="31.140625" style="115" customWidth="1"/>
    <col min="3578" max="3578" width="9.140625" style="115"/>
    <col min="3579" max="3579" width="8.7109375" style="115" customWidth="1"/>
    <col min="3580" max="3580" width="13.7109375" style="115" customWidth="1"/>
    <col min="3581" max="3581" width="15" style="115" bestFit="1" customWidth="1"/>
    <col min="3582" max="3582" width="9.140625" style="115"/>
    <col min="3583" max="3583" width="13.7109375" style="115" customWidth="1"/>
    <col min="3584" max="3584" width="3" style="115" customWidth="1"/>
    <col min="3585" max="3585" width="21.5703125" style="115" bestFit="1" customWidth="1"/>
    <col min="3586" max="3586" width="16.28515625" style="115" bestFit="1" customWidth="1"/>
    <col min="3587" max="3587" width="13.140625" style="115" customWidth="1"/>
    <col min="3588" max="3832" width="9.140625" style="115"/>
    <col min="3833" max="3833" width="31.140625" style="115" customWidth="1"/>
    <col min="3834" max="3834" width="9.140625" style="115"/>
    <col min="3835" max="3835" width="8.7109375" style="115" customWidth="1"/>
    <col min="3836" max="3836" width="13.7109375" style="115" customWidth="1"/>
    <col min="3837" max="3837" width="15" style="115" bestFit="1" customWidth="1"/>
    <col min="3838" max="3838" width="9.140625" style="115"/>
    <col min="3839" max="3839" width="13.7109375" style="115" customWidth="1"/>
    <col min="3840" max="3840" width="3" style="115" customWidth="1"/>
    <col min="3841" max="3841" width="21.5703125" style="115" bestFit="1" customWidth="1"/>
    <col min="3842" max="3842" width="16.28515625" style="115" bestFit="1" customWidth="1"/>
    <col min="3843" max="3843" width="13.140625" style="115" customWidth="1"/>
    <col min="3844" max="4088" width="9.140625" style="115"/>
    <col min="4089" max="4089" width="31.140625" style="115" customWidth="1"/>
    <col min="4090" max="4090" width="9.140625" style="115"/>
    <col min="4091" max="4091" width="8.7109375" style="115" customWidth="1"/>
    <col min="4092" max="4092" width="13.7109375" style="115" customWidth="1"/>
    <col min="4093" max="4093" width="15" style="115" bestFit="1" customWidth="1"/>
    <col min="4094" max="4094" width="9.140625" style="115"/>
    <col min="4095" max="4095" width="13.7109375" style="115" customWidth="1"/>
    <col min="4096" max="4096" width="3" style="115" customWidth="1"/>
    <col min="4097" max="4097" width="21.5703125" style="115" bestFit="1" customWidth="1"/>
    <col min="4098" max="4098" width="16.28515625" style="115" bestFit="1" customWidth="1"/>
    <col min="4099" max="4099" width="13.140625" style="115" customWidth="1"/>
    <col min="4100" max="4344" width="9.140625" style="115"/>
    <col min="4345" max="4345" width="31.140625" style="115" customWidth="1"/>
    <col min="4346" max="4346" width="9.140625" style="115"/>
    <col min="4347" max="4347" width="8.7109375" style="115" customWidth="1"/>
    <col min="4348" max="4348" width="13.7109375" style="115" customWidth="1"/>
    <col min="4349" max="4349" width="15" style="115" bestFit="1" customWidth="1"/>
    <col min="4350" max="4350" width="9.140625" style="115"/>
    <col min="4351" max="4351" width="13.7109375" style="115" customWidth="1"/>
    <col min="4352" max="4352" width="3" style="115" customWidth="1"/>
    <col min="4353" max="4353" width="21.5703125" style="115" bestFit="1" customWidth="1"/>
    <col min="4354" max="4354" width="16.28515625" style="115" bestFit="1" customWidth="1"/>
    <col min="4355" max="4355" width="13.140625" style="115" customWidth="1"/>
    <col min="4356" max="4600" width="9.140625" style="115"/>
    <col min="4601" max="4601" width="31.140625" style="115" customWidth="1"/>
    <col min="4602" max="4602" width="9.140625" style="115"/>
    <col min="4603" max="4603" width="8.7109375" style="115" customWidth="1"/>
    <col min="4604" max="4604" width="13.7109375" style="115" customWidth="1"/>
    <col min="4605" max="4605" width="15" style="115" bestFit="1" customWidth="1"/>
    <col min="4606" max="4606" width="9.140625" style="115"/>
    <col min="4607" max="4607" width="13.7109375" style="115" customWidth="1"/>
    <col min="4608" max="4608" width="3" style="115" customWidth="1"/>
    <col min="4609" max="4609" width="21.5703125" style="115" bestFit="1" customWidth="1"/>
    <col min="4610" max="4610" width="16.28515625" style="115" bestFit="1" customWidth="1"/>
    <col min="4611" max="4611" width="13.140625" style="115" customWidth="1"/>
    <col min="4612" max="4856" width="9.140625" style="115"/>
    <col min="4857" max="4857" width="31.140625" style="115" customWidth="1"/>
    <col min="4858" max="4858" width="9.140625" style="115"/>
    <col min="4859" max="4859" width="8.7109375" style="115" customWidth="1"/>
    <col min="4860" max="4860" width="13.7109375" style="115" customWidth="1"/>
    <col min="4861" max="4861" width="15" style="115" bestFit="1" customWidth="1"/>
    <col min="4862" max="4862" width="9.140625" style="115"/>
    <col min="4863" max="4863" width="13.7109375" style="115" customWidth="1"/>
    <col min="4864" max="4864" width="3" style="115" customWidth="1"/>
    <col min="4865" max="4865" width="21.5703125" style="115" bestFit="1" customWidth="1"/>
    <col min="4866" max="4866" width="16.28515625" style="115" bestFit="1" customWidth="1"/>
    <col min="4867" max="4867" width="13.140625" style="115" customWidth="1"/>
    <col min="4868" max="5112" width="9.140625" style="115"/>
    <col min="5113" max="5113" width="31.140625" style="115" customWidth="1"/>
    <col min="5114" max="5114" width="9.140625" style="115"/>
    <col min="5115" max="5115" width="8.7109375" style="115" customWidth="1"/>
    <col min="5116" max="5116" width="13.7109375" style="115" customWidth="1"/>
    <col min="5117" max="5117" width="15" style="115" bestFit="1" customWidth="1"/>
    <col min="5118" max="5118" width="9.140625" style="115"/>
    <col min="5119" max="5119" width="13.7109375" style="115" customWidth="1"/>
    <col min="5120" max="5120" width="3" style="115" customWidth="1"/>
    <col min="5121" max="5121" width="21.5703125" style="115" bestFit="1" customWidth="1"/>
    <col min="5122" max="5122" width="16.28515625" style="115" bestFit="1" customWidth="1"/>
    <col min="5123" max="5123" width="13.140625" style="115" customWidth="1"/>
    <col min="5124" max="5368" width="9.140625" style="115"/>
    <col min="5369" max="5369" width="31.140625" style="115" customWidth="1"/>
    <col min="5370" max="5370" width="9.140625" style="115"/>
    <col min="5371" max="5371" width="8.7109375" style="115" customWidth="1"/>
    <col min="5372" max="5372" width="13.7109375" style="115" customWidth="1"/>
    <col min="5373" max="5373" width="15" style="115" bestFit="1" customWidth="1"/>
    <col min="5374" max="5374" width="9.140625" style="115"/>
    <col min="5375" max="5375" width="13.7109375" style="115" customWidth="1"/>
    <col min="5376" max="5376" width="3" style="115" customWidth="1"/>
    <col min="5377" max="5377" width="21.5703125" style="115" bestFit="1" customWidth="1"/>
    <col min="5378" max="5378" width="16.28515625" style="115" bestFit="1" customWidth="1"/>
    <col min="5379" max="5379" width="13.140625" style="115" customWidth="1"/>
    <col min="5380" max="5624" width="9.140625" style="115"/>
    <col min="5625" max="5625" width="31.140625" style="115" customWidth="1"/>
    <col min="5626" max="5626" width="9.140625" style="115"/>
    <col min="5627" max="5627" width="8.7109375" style="115" customWidth="1"/>
    <col min="5628" max="5628" width="13.7109375" style="115" customWidth="1"/>
    <col min="5629" max="5629" width="15" style="115" bestFit="1" customWidth="1"/>
    <col min="5630" max="5630" width="9.140625" style="115"/>
    <col min="5631" max="5631" width="13.7109375" style="115" customWidth="1"/>
    <col min="5632" max="5632" width="3" style="115" customWidth="1"/>
    <col min="5633" max="5633" width="21.5703125" style="115" bestFit="1" customWidth="1"/>
    <col min="5634" max="5634" width="16.28515625" style="115" bestFit="1" customWidth="1"/>
    <col min="5635" max="5635" width="13.140625" style="115" customWidth="1"/>
    <col min="5636" max="5880" width="9.140625" style="115"/>
    <col min="5881" max="5881" width="31.140625" style="115" customWidth="1"/>
    <col min="5882" max="5882" width="9.140625" style="115"/>
    <col min="5883" max="5883" width="8.7109375" style="115" customWidth="1"/>
    <col min="5884" max="5884" width="13.7109375" style="115" customWidth="1"/>
    <col min="5885" max="5885" width="15" style="115" bestFit="1" customWidth="1"/>
    <col min="5886" max="5886" width="9.140625" style="115"/>
    <col min="5887" max="5887" width="13.7109375" style="115" customWidth="1"/>
    <col min="5888" max="5888" width="3" style="115" customWidth="1"/>
    <col min="5889" max="5889" width="21.5703125" style="115" bestFit="1" customWidth="1"/>
    <col min="5890" max="5890" width="16.28515625" style="115" bestFit="1" customWidth="1"/>
    <col min="5891" max="5891" width="13.140625" style="115" customWidth="1"/>
    <col min="5892" max="6136" width="9.140625" style="115"/>
    <col min="6137" max="6137" width="31.140625" style="115" customWidth="1"/>
    <col min="6138" max="6138" width="9.140625" style="115"/>
    <col min="6139" max="6139" width="8.7109375" style="115" customWidth="1"/>
    <col min="6140" max="6140" width="13.7109375" style="115" customWidth="1"/>
    <col min="6141" max="6141" width="15" style="115" bestFit="1" customWidth="1"/>
    <col min="6142" max="6142" width="9.140625" style="115"/>
    <col min="6143" max="6143" width="13.7109375" style="115" customWidth="1"/>
    <col min="6144" max="6144" width="3" style="115" customWidth="1"/>
    <col min="6145" max="6145" width="21.5703125" style="115" bestFit="1" customWidth="1"/>
    <col min="6146" max="6146" width="16.28515625" style="115" bestFit="1" customWidth="1"/>
    <col min="6147" max="6147" width="13.140625" style="115" customWidth="1"/>
    <col min="6148" max="6392" width="9.140625" style="115"/>
    <col min="6393" max="6393" width="31.140625" style="115" customWidth="1"/>
    <col min="6394" max="6394" width="9.140625" style="115"/>
    <col min="6395" max="6395" width="8.7109375" style="115" customWidth="1"/>
    <col min="6396" max="6396" width="13.7109375" style="115" customWidth="1"/>
    <col min="6397" max="6397" width="15" style="115" bestFit="1" customWidth="1"/>
    <col min="6398" max="6398" width="9.140625" style="115"/>
    <col min="6399" max="6399" width="13.7109375" style="115" customWidth="1"/>
    <col min="6400" max="6400" width="3" style="115" customWidth="1"/>
    <col min="6401" max="6401" width="21.5703125" style="115" bestFit="1" customWidth="1"/>
    <col min="6402" max="6402" width="16.28515625" style="115" bestFit="1" customWidth="1"/>
    <col min="6403" max="6403" width="13.140625" style="115" customWidth="1"/>
    <col min="6404" max="6648" width="9.140625" style="115"/>
    <col min="6649" max="6649" width="31.140625" style="115" customWidth="1"/>
    <col min="6650" max="6650" width="9.140625" style="115"/>
    <col min="6651" max="6651" width="8.7109375" style="115" customWidth="1"/>
    <col min="6652" max="6652" width="13.7109375" style="115" customWidth="1"/>
    <col min="6653" max="6653" width="15" style="115" bestFit="1" customWidth="1"/>
    <col min="6654" max="6654" width="9.140625" style="115"/>
    <col min="6655" max="6655" width="13.7109375" style="115" customWidth="1"/>
    <col min="6656" max="6656" width="3" style="115" customWidth="1"/>
    <col min="6657" max="6657" width="21.5703125" style="115" bestFit="1" customWidth="1"/>
    <col min="6658" max="6658" width="16.28515625" style="115" bestFit="1" customWidth="1"/>
    <col min="6659" max="6659" width="13.140625" style="115" customWidth="1"/>
    <col min="6660" max="6904" width="9.140625" style="115"/>
    <col min="6905" max="6905" width="31.140625" style="115" customWidth="1"/>
    <col min="6906" max="6906" width="9.140625" style="115"/>
    <col min="6907" max="6907" width="8.7109375" style="115" customWidth="1"/>
    <col min="6908" max="6908" width="13.7109375" style="115" customWidth="1"/>
    <col min="6909" max="6909" width="15" style="115" bestFit="1" customWidth="1"/>
    <col min="6910" max="6910" width="9.140625" style="115"/>
    <col min="6911" max="6911" width="13.7109375" style="115" customWidth="1"/>
    <col min="6912" max="6912" width="3" style="115" customWidth="1"/>
    <col min="6913" max="6913" width="21.5703125" style="115" bestFit="1" customWidth="1"/>
    <col min="6914" max="6914" width="16.28515625" style="115" bestFit="1" customWidth="1"/>
    <col min="6915" max="6915" width="13.140625" style="115" customWidth="1"/>
    <col min="6916" max="7160" width="9.140625" style="115"/>
    <col min="7161" max="7161" width="31.140625" style="115" customWidth="1"/>
    <col min="7162" max="7162" width="9.140625" style="115"/>
    <col min="7163" max="7163" width="8.7109375" style="115" customWidth="1"/>
    <col min="7164" max="7164" width="13.7109375" style="115" customWidth="1"/>
    <col min="7165" max="7165" width="15" style="115" bestFit="1" customWidth="1"/>
    <col min="7166" max="7166" width="9.140625" style="115"/>
    <col min="7167" max="7167" width="13.7109375" style="115" customWidth="1"/>
    <col min="7168" max="7168" width="3" style="115" customWidth="1"/>
    <col min="7169" max="7169" width="21.5703125" style="115" bestFit="1" customWidth="1"/>
    <col min="7170" max="7170" width="16.28515625" style="115" bestFit="1" customWidth="1"/>
    <col min="7171" max="7171" width="13.140625" style="115" customWidth="1"/>
    <col min="7172" max="7416" width="9.140625" style="115"/>
    <col min="7417" max="7417" width="31.140625" style="115" customWidth="1"/>
    <col min="7418" max="7418" width="9.140625" style="115"/>
    <col min="7419" max="7419" width="8.7109375" style="115" customWidth="1"/>
    <col min="7420" max="7420" width="13.7109375" style="115" customWidth="1"/>
    <col min="7421" max="7421" width="15" style="115" bestFit="1" customWidth="1"/>
    <col min="7422" max="7422" width="9.140625" style="115"/>
    <col min="7423" max="7423" width="13.7109375" style="115" customWidth="1"/>
    <col min="7424" max="7424" width="3" style="115" customWidth="1"/>
    <col min="7425" max="7425" width="21.5703125" style="115" bestFit="1" customWidth="1"/>
    <col min="7426" max="7426" width="16.28515625" style="115" bestFit="1" customWidth="1"/>
    <col min="7427" max="7427" width="13.140625" style="115" customWidth="1"/>
    <col min="7428" max="7672" width="9.140625" style="115"/>
    <col min="7673" max="7673" width="31.140625" style="115" customWidth="1"/>
    <col min="7674" max="7674" width="9.140625" style="115"/>
    <col min="7675" max="7675" width="8.7109375" style="115" customWidth="1"/>
    <col min="7676" max="7676" width="13.7109375" style="115" customWidth="1"/>
    <col min="7677" max="7677" width="15" style="115" bestFit="1" customWidth="1"/>
    <col min="7678" max="7678" width="9.140625" style="115"/>
    <col min="7679" max="7679" width="13.7109375" style="115" customWidth="1"/>
    <col min="7680" max="7680" width="3" style="115" customWidth="1"/>
    <col min="7681" max="7681" width="21.5703125" style="115" bestFit="1" customWidth="1"/>
    <col min="7682" max="7682" width="16.28515625" style="115" bestFit="1" customWidth="1"/>
    <col min="7683" max="7683" width="13.140625" style="115" customWidth="1"/>
    <col min="7684" max="7928" width="9.140625" style="115"/>
    <col min="7929" max="7929" width="31.140625" style="115" customWidth="1"/>
    <col min="7930" max="7930" width="9.140625" style="115"/>
    <col min="7931" max="7931" width="8.7109375" style="115" customWidth="1"/>
    <col min="7932" max="7932" width="13.7109375" style="115" customWidth="1"/>
    <col min="7933" max="7933" width="15" style="115" bestFit="1" customWidth="1"/>
    <col min="7934" max="7934" width="9.140625" style="115"/>
    <col min="7935" max="7935" width="13.7109375" style="115" customWidth="1"/>
    <col min="7936" max="7936" width="3" style="115" customWidth="1"/>
    <col min="7937" max="7937" width="21.5703125" style="115" bestFit="1" customWidth="1"/>
    <col min="7938" max="7938" width="16.28515625" style="115" bestFit="1" customWidth="1"/>
    <col min="7939" max="7939" width="13.140625" style="115" customWidth="1"/>
    <col min="7940" max="8184" width="9.140625" style="115"/>
    <col min="8185" max="8185" width="31.140625" style="115" customWidth="1"/>
    <col min="8186" max="8186" width="9.140625" style="115"/>
    <col min="8187" max="8187" width="8.7109375" style="115" customWidth="1"/>
    <col min="8188" max="8188" width="13.7109375" style="115" customWidth="1"/>
    <col min="8189" max="8189" width="15" style="115" bestFit="1" customWidth="1"/>
    <col min="8190" max="8190" width="9.140625" style="115"/>
    <col min="8191" max="8191" width="13.7109375" style="115" customWidth="1"/>
    <col min="8192" max="8192" width="3" style="115" customWidth="1"/>
    <col min="8193" max="8193" width="21.5703125" style="115" bestFit="1" customWidth="1"/>
    <col min="8194" max="8194" width="16.28515625" style="115" bestFit="1" customWidth="1"/>
    <col min="8195" max="8195" width="13.140625" style="115" customWidth="1"/>
    <col min="8196" max="8440" width="9.140625" style="115"/>
    <col min="8441" max="8441" width="31.140625" style="115" customWidth="1"/>
    <col min="8442" max="8442" width="9.140625" style="115"/>
    <col min="8443" max="8443" width="8.7109375" style="115" customWidth="1"/>
    <col min="8444" max="8444" width="13.7109375" style="115" customWidth="1"/>
    <col min="8445" max="8445" width="15" style="115" bestFit="1" customWidth="1"/>
    <col min="8446" max="8446" width="9.140625" style="115"/>
    <col min="8447" max="8447" width="13.7109375" style="115" customWidth="1"/>
    <col min="8448" max="8448" width="3" style="115" customWidth="1"/>
    <col min="8449" max="8449" width="21.5703125" style="115" bestFit="1" customWidth="1"/>
    <col min="8450" max="8450" width="16.28515625" style="115" bestFit="1" customWidth="1"/>
    <col min="8451" max="8451" width="13.140625" style="115" customWidth="1"/>
    <col min="8452" max="8696" width="9.140625" style="115"/>
    <col min="8697" max="8697" width="31.140625" style="115" customWidth="1"/>
    <col min="8698" max="8698" width="9.140625" style="115"/>
    <col min="8699" max="8699" width="8.7109375" style="115" customWidth="1"/>
    <col min="8700" max="8700" width="13.7109375" style="115" customWidth="1"/>
    <col min="8701" max="8701" width="15" style="115" bestFit="1" customWidth="1"/>
    <col min="8702" max="8702" width="9.140625" style="115"/>
    <col min="8703" max="8703" width="13.7109375" style="115" customWidth="1"/>
    <col min="8704" max="8704" width="3" style="115" customWidth="1"/>
    <col min="8705" max="8705" width="21.5703125" style="115" bestFit="1" customWidth="1"/>
    <col min="8706" max="8706" width="16.28515625" style="115" bestFit="1" customWidth="1"/>
    <col min="8707" max="8707" width="13.140625" style="115" customWidth="1"/>
    <col min="8708" max="8952" width="9.140625" style="115"/>
    <col min="8953" max="8953" width="31.140625" style="115" customWidth="1"/>
    <col min="8954" max="8954" width="9.140625" style="115"/>
    <col min="8955" max="8955" width="8.7109375" style="115" customWidth="1"/>
    <col min="8956" max="8956" width="13.7109375" style="115" customWidth="1"/>
    <col min="8957" max="8957" width="15" style="115" bestFit="1" customWidth="1"/>
    <col min="8958" max="8958" width="9.140625" style="115"/>
    <col min="8959" max="8959" width="13.7109375" style="115" customWidth="1"/>
    <col min="8960" max="8960" width="3" style="115" customWidth="1"/>
    <col min="8961" max="8961" width="21.5703125" style="115" bestFit="1" customWidth="1"/>
    <col min="8962" max="8962" width="16.28515625" style="115" bestFit="1" customWidth="1"/>
    <col min="8963" max="8963" width="13.140625" style="115" customWidth="1"/>
    <col min="8964" max="9208" width="9.140625" style="115"/>
    <col min="9209" max="9209" width="31.140625" style="115" customWidth="1"/>
    <col min="9210" max="9210" width="9.140625" style="115"/>
    <col min="9211" max="9211" width="8.7109375" style="115" customWidth="1"/>
    <col min="9212" max="9212" width="13.7109375" style="115" customWidth="1"/>
    <col min="9213" max="9213" width="15" style="115" bestFit="1" customWidth="1"/>
    <col min="9214" max="9214" width="9.140625" style="115"/>
    <col min="9215" max="9215" width="13.7109375" style="115" customWidth="1"/>
    <col min="9216" max="9216" width="3" style="115" customWidth="1"/>
    <col min="9217" max="9217" width="21.5703125" style="115" bestFit="1" customWidth="1"/>
    <col min="9218" max="9218" width="16.28515625" style="115" bestFit="1" customWidth="1"/>
    <col min="9219" max="9219" width="13.140625" style="115" customWidth="1"/>
    <col min="9220" max="9464" width="9.140625" style="115"/>
    <col min="9465" max="9465" width="31.140625" style="115" customWidth="1"/>
    <col min="9466" max="9466" width="9.140625" style="115"/>
    <col min="9467" max="9467" width="8.7109375" style="115" customWidth="1"/>
    <col min="9468" max="9468" width="13.7109375" style="115" customWidth="1"/>
    <col min="9469" max="9469" width="15" style="115" bestFit="1" customWidth="1"/>
    <col min="9470" max="9470" width="9.140625" style="115"/>
    <col min="9471" max="9471" width="13.7109375" style="115" customWidth="1"/>
    <col min="9472" max="9472" width="3" style="115" customWidth="1"/>
    <col min="9473" max="9473" width="21.5703125" style="115" bestFit="1" customWidth="1"/>
    <col min="9474" max="9474" width="16.28515625" style="115" bestFit="1" customWidth="1"/>
    <col min="9475" max="9475" width="13.140625" style="115" customWidth="1"/>
    <col min="9476" max="9720" width="9.140625" style="115"/>
    <col min="9721" max="9721" width="31.140625" style="115" customWidth="1"/>
    <col min="9722" max="9722" width="9.140625" style="115"/>
    <col min="9723" max="9723" width="8.7109375" style="115" customWidth="1"/>
    <col min="9724" max="9724" width="13.7109375" style="115" customWidth="1"/>
    <col min="9725" max="9725" width="15" style="115" bestFit="1" customWidth="1"/>
    <col min="9726" max="9726" width="9.140625" style="115"/>
    <col min="9727" max="9727" width="13.7109375" style="115" customWidth="1"/>
    <col min="9728" max="9728" width="3" style="115" customWidth="1"/>
    <col min="9729" max="9729" width="21.5703125" style="115" bestFit="1" customWidth="1"/>
    <col min="9730" max="9730" width="16.28515625" style="115" bestFit="1" customWidth="1"/>
    <col min="9731" max="9731" width="13.140625" style="115" customWidth="1"/>
    <col min="9732" max="9976" width="9.140625" style="115"/>
    <col min="9977" max="9977" width="31.140625" style="115" customWidth="1"/>
    <col min="9978" max="9978" width="9.140625" style="115"/>
    <col min="9979" max="9979" width="8.7109375" style="115" customWidth="1"/>
    <col min="9980" max="9980" width="13.7109375" style="115" customWidth="1"/>
    <col min="9981" max="9981" width="15" style="115" bestFit="1" customWidth="1"/>
    <col min="9982" max="9982" width="9.140625" style="115"/>
    <col min="9983" max="9983" width="13.7109375" style="115" customWidth="1"/>
    <col min="9984" max="9984" width="3" style="115" customWidth="1"/>
    <col min="9985" max="9985" width="21.5703125" style="115" bestFit="1" customWidth="1"/>
    <col min="9986" max="9986" width="16.28515625" style="115" bestFit="1" customWidth="1"/>
    <col min="9987" max="9987" width="13.140625" style="115" customWidth="1"/>
    <col min="9988" max="10232" width="9.140625" style="115"/>
    <col min="10233" max="10233" width="31.140625" style="115" customWidth="1"/>
    <col min="10234" max="10234" width="9.140625" style="115"/>
    <col min="10235" max="10235" width="8.7109375" style="115" customWidth="1"/>
    <col min="10236" max="10236" width="13.7109375" style="115" customWidth="1"/>
    <col min="10237" max="10237" width="15" style="115" bestFit="1" customWidth="1"/>
    <col min="10238" max="10238" width="9.140625" style="115"/>
    <col min="10239" max="10239" width="13.7109375" style="115" customWidth="1"/>
    <col min="10240" max="10240" width="3" style="115" customWidth="1"/>
    <col min="10241" max="10241" width="21.5703125" style="115" bestFit="1" customWidth="1"/>
    <col min="10242" max="10242" width="16.28515625" style="115" bestFit="1" customWidth="1"/>
    <col min="10243" max="10243" width="13.140625" style="115" customWidth="1"/>
    <col min="10244" max="10488" width="9.140625" style="115"/>
    <col min="10489" max="10489" width="31.140625" style="115" customWidth="1"/>
    <col min="10490" max="10490" width="9.140625" style="115"/>
    <col min="10491" max="10491" width="8.7109375" style="115" customWidth="1"/>
    <col min="10492" max="10492" width="13.7109375" style="115" customWidth="1"/>
    <col min="10493" max="10493" width="15" style="115" bestFit="1" customWidth="1"/>
    <col min="10494" max="10494" width="9.140625" style="115"/>
    <col min="10495" max="10495" width="13.7109375" style="115" customWidth="1"/>
    <col min="10496" max="10496" width="3" style="115" customWidth="1"/>
    <col min="10497" max="10497" width="21.5703125" style="115" bestFit="1" customWidth="1"/>
    <col min="10498" max="10498" width="16.28515625" style="115" bestFit="1" customWidth="1"/>
    <col min="10499" max="10499" width="13.140625" style="115" customWidth="1"/>
    <col min="10500" max="10744" width="9.140625" style="115"/>
    <col min="10745" max="10745" width="31.140625" style="115" customWidth="1"/>
    <col min="10746" max="10746" width="9.140625" style="115"/>
    <col min="10747" max="10747" width="8.7109375" style="115" customWidth="1"/>
    <col min="10748" max="10748" width="13.7109375" style="115" customWidth="1"/>
    <col min="10749" max="10749" width="15" style="115" bestFit="1" customWidth="1"/>
    <col min="10750" max="10750" width="9.140625" style="115"/>
    <col min="10751" max="10751" width="13.7109375" style="115" customWidth="1"/>
    <col min="10752" max="10752" width="3" style="115" customWidth="1"/>
    <col min="10753" max="10753" width="21.5703125" style="115" bestFit="1" customWidth="1"/>
    <col min="10754" max="10754" width="16.28515625" style="115" bestFit="1" customWidth="1"/>
    <col min="10755" max="10755" width="13.140625" style="115" customWidth="1"/>
    <col min="10756" max="11000" width="9.140625" style="115"/>
    <col min="11001" max="11001" width="31.140625" style="115" customWidth="1"/>
    <col min="11002" max="11002" width="9.140625" style="115"/>
    <col min="11003" max="11003" width="8.7109375" style="115" customWidth="1"/>
    <col min="11004" max="11004" width="13.7109375" style="115" customWidth="1"/>
    <col min="11005" max="11005" width="15" style="115" bestFit="1" customWidth="1"/>
    <col min="11006" max="11006" width="9.140625" style="115"/>
    <col min="11007" max="11007" width="13.7109375" style="115" customWidth="1"/>
    <col min="11008" max="11008" width="3" style="115" customWidth="1"/>
    <col min="11009" max="11009" width="21.5703125" style="115" bestFit="1" customWidth="1"/>
    <col min="11010" max="11010" width="16.28515625" style="115" bestFit="1" customWidth="1"/>
    <col min="11011" max="11011" width="13.140625" style="115" customWidth="1"/>
    <col min="11012" max="11256" width="9.140625" style="115"/>
    <col min="11257" max="11257" width="31.140625" style="115" customWidth="1"/>
    <col min="11258" max="11258" width="9.140625" style="115"/>
    <col min="11259" max="11259" width="8.7109375" style="115" customWidth="1"/>
    <col min="11260" max="11260" width="13.7109375" style="115" customWidth="1"/>
    <col min="11261" max="11261" width="15" style="115" bestFit="1" customWidth="1"/>
    <col min="11262" max="11262" width="9.140625" style="115"/>
    <col min="11263" max="11263" width="13.7109375" style="115" customWidth="1"/>
    <col min="11264" max="11264" width="3" style="115" customWidth="1"/>
    <col min="11265" max="11265" width="21.5703125" style="115" bestFit="1" customWidth="1"/>
    <col min="11266" max="11266" width="16.28515625" style="115" bestFit="1" customWidth="1"/>
    <col min="11267" max="11267" width="13.140625" style="115" customWidth="1"/>
    <col min="11268" max="11512" width="9.140625" style="115"/>
    <col min="11513" max="11513" width="31.140625" style="115" customWidth="1"/>
    <col min="11514" max="11514" width="9.140625" style="115"/>
    <col min="11515" max="11515" width="8.7109375" style="115" customWidth="1"/>
    <col min="11516" max="11516" width="13.7109375" style="115" customWidth="1"/>
    <col min="11517" max="11517" width="15" style="115" bestFit="1" customWidth="1"/>
    <col min="11518" max="11518" width="9.140625" style="115"/>
    <col min="11519" max="11519" width="13.7109375" style="115" customWidth="1"/>
    <col min="11520" max="11520" width="3" style="115" customWidth="1"/>
    <col min="11521" max="11521" width="21.5703125" style="115" bestFit="1" customWidth="1"/>
    <col min="11522" max="11522" width="16.28515625" style="115" bestFit="1" customWidth="1"/>
    <col min="11523" max="11523" width="13.140625" style="115" customWidth="1"/>
    <col min="11524" max="11768" width="9.140625" style="115"/>
    <col min="11769" max="11769" width="31.140625" style="115" customWidth="1"/>
    <col min="11770" max="11770" width="9.140625" style="115"/>
    <col min="11771" max="11771" width="8.7109375" style="115" customWidth="1"/>
    <col min="11772" max="11772" width="13.7109375" style="115" customWidth="1"/>
    <col min="11773" max="11773" width="15" style="115" bestFit="1" customWidth="1"/>
    <col min="11774" max="11774" width="9.140625" style="115"/>
    <col min="11775" max="11775" width="13.7109375" style="115" customWidth="1"/>
    <col min="11776" max="11776" width="3" style="115" customWidth="1"/>
    <col min="11777" max="11777" width="21.5703125" style="115" bestFit="1" customWidth="1"/>
    <col min="11778" max="11778" width="16.28515625" style="115" bestFit="1" customWidth="1"/>
    <col min="11779" max="11779" width="13.140625" style="115" customWidth="1"/>
    <col min="11780" max="12024" width="9.140625" style="115"/>
    <col min="12025" max="12025" width="31.140625" style="115" customWidth="1"/>
    <col min="12026" max="12026" width="9.140625" style="115"/>
    <col min="12027" max="12027" width="8.7109375" style="115" customWidth="1"/>
    <col min="12028" max="12028" width="13.7109375" style="115" customWidth="1"/>
    <col min="12029" max="12029" width="15" style="115" bestFit="1" customWidth="1"/>
    <col min="12030" max="12030" width="9.140625" style="115"/>
    <col min="12031" max="12031" width="13.7109375" style="115" customWidth="1"/>
    <col min="12032" max="12032" width="3" style="115" customWidth="1"/>
    <col min="12033" max="12033" width="21.5703125" style="115" bestFit="1" customWidth="1"/>
    <col min="12034" max="12034" width="16.28515625" style="115" bestFit="1" customWidth="1"/>
    <col min="12035" max="12035" width="13.140625" style="115" customWidth="1"/>
    <col min="12036" max="12280" width="9.140625" style="115"/>
    <col min="12281" max="12281" width="31.140625" style="115" customWidth="1"/>
    <col min="12282" max="12282" width="9.140625" style="115"/>
    <col min="12283" max="12283" width="8.7109375" style="115" customWidth="1"/>
    <col min="12284" max="12284" width="13.7109375" style="115" customWidth="1"/>
    <col min="12285" max="12285" width="15" style="115" bestFit="1" customWidth="1"/>
    <col min="12286" max="12286" width="9.140625" style="115"/>
    <col min="12287" max="12287" width="13.7109375" style="115" customWidth="1"/>
    <col min="12288" max="12288" width="3" style="115" customWidth="1"/>
    <col min="12289" max="12289" width="21.5703125" style="115" bestFit="1" customWidth="1"/>
    <col min="12290" max="12290" width="16.28515625" style="115" bestFit="1" customWidth="1"/>
    <col min="12291" max="12291" width="13.140625" style="115" customWidth="1"/>
    <col min="12292" max="12536" width="9.140625" style="115"/>
    <col min="12537" max="12537" width="31.140625" style="115" customWidth="1"/>
    <col min="12538" max="12538" width="9.140625" style="115"/>
    <col min="12539" max="12539" width="8.7109375" style="115" customWidth="1"/>
    <col min="12540" max="12540" width="13.7109375" style="115" customWidth="1"/>
    <col min="12541" max="12541" width="15" style="115" bestFit="1" customWidth="1"/>
    <col min="12542" max="12542" width="9.140625" style="115"/>
    <col min="12543" max="12543" width="13.7109375" style="115" customWidth="1"/>
    <col min="12544" max="12544" width="3" style="115" customWidth="1"/>
    <col min="12545" max="12545" width="21.5703125" style="115" bestFit="1" customWidth="1"/>
    <col min="12546" max="12546" width="16.28515625" style="115" bestFit="1" customWidth="1"/>
    <col min="12547" max="12547" width="13.140625" style="115" customWidth="1"/>
    <col min="12548" max="12792" width="9.140625" style="115"/>
    <col min="12793" max="12793" width="31.140625" style="115" customWidth="1"/>
    <col min="12794" max="12794" width="9.140625" style="115"/>
    <col min="12795" max="12795" width="8.7109375" style="115" customWidth="1"/>
    <col min="12796" max="12796" width="13.7109375" style="115" customWidth="1"/>
    <col min="12797" max="12797" width="15" style="115" bestFit="1" customWidth="1"/>
    <col min="12798" max="12798" width="9.140625" style="115"/>
    <col min="12799" max="12799" width="13.7109375" style="115" customWidth="1"/>
    <col min="12800" max="12800" width="3" style="115" customWidth="1"/>
    <col min="12801" max="12801" width="21.5703125" style="115" bestFit="1" customWidth="1"/>
    <col min="12802" max="12802" width="16.28515625" style="115" bestFit="1" customWidth="1"/>
    <col min="12803" max="12803" width="13.140625" style="115" customWidth="1"/>
    <col min="12804" max="13048" width="9.140625" style="115"/>
    <col min="13049" max="13049" width="31.140625" style="115" customWidth="1"/>
    <col min="13050" max="13050" width="9.140625" style="115"/>
    <col min="13051" max="13051" width="8.7109375" style="115" customWidth="1"/>
    <col min="13052" max="13052" width="13.7109375" style="115" customWidth="1"/>
    <col min="13053" max="13053" width="15" style="115" bestFit="1" customWidth="1"/>
    <col min="13054" max="13054" width="9.140625" style="115"/>
    <col min="13055" max="13055" width="13.7109375" style="115" customWidth="1"/>
    <col min="13056" max="13056" width="3" style="115" customWidth="1"/>
    <col min="13057" max="13057" width="21.5703125" style="115" bestFit="1" customWidth="1"/>
    <col min="13058" max="13058" width="16.28515625" style="115" bestFit="1" customWidth="1"/>
    <col min="13059" max="13059" width="13.140625" style="115" customWidth="1"/>
    <col min="13060" max="13304" width="9.140625" style="115"/>
    <col min="13305" max="13305" width="31.140625" style="115" customWidth="1"/>
    <col min="13306" max="13306" width="9.140625" style="115"/>
    <col min="13307" max="13307" width="8.7109375" style="115" customWidth="1"/>
    <col min="13308" max="13308" width="13.7109375" style="115" customWidth="1"/>
    <col min="13309" max="13309" width="15" style="115" bestFit="1" customWidth="1"/>
    <col min="13310" max="13310" width="9.140625" style="115"/>
    <col min="13311" max="13311" width="13.7109375" style="115" customWidth="1"/>
    <col min="13312" max="13312" width="3" style="115" customWidth="1"/>
    <col min="13313" max="13313" width="21.5703125" style="115" bestFit="1" customWidth="1"/>
    <col min="13314" max="13314" width="16.28515625" style="115" bestFit="1" customWidth="1"/>
    <col min="13315" max="13315" width="13.140625" style="115" customWidth="1"/>
    <col min="13316" max="13560" width="9.140625" style="115"/>
    <col min="13561" max="13561" width="31.140625" style="115" customWidth="1"/>
    <col min="13562" max="13562" width="9.140625" style="115"/>
    <col min="13563" max="13563" width="8.7109375" style="115" customWidth="1"/>
    <col min="13564" max="13564" width="13.7109375" style="115" customWidth="1"/>
    <col min="13565" max="13565" width="15" style="115" bestFit="1" customWidth="1"/>
    <col min="13566" max="13566" width="9.140625" style="115"/>
    <col min="13567" max="13567" width="13.7109375" style="115" customWidth="1"/>
    <col min="13568" max="13568" width="3" style="115" customWidth="1"/>
    <col min="13569" max="13569" width="21.5703125" style="115" bestFit="1" customWidth="1"/>
    <col min="13570" max="13570" width="16.28515625" style="115" bestFit="1" customWidth="1"/>
    <col min="13571" max="13571" width="13.140625" style="115" customWidth="1"/>
    <col min="13572" max="13816" width="9.140625" style="115"/>
    <col min="13817" max="13817" width="31.140625" style="115" customWidth="1"/>
    <col min="13818" max="13818" width="9.140625" style="115"/>
    <col min="13819" max="13819" width="8.7109375" style="115" customWidth="1"/>
    <col min="13820" max="13820" width="13.7109375" style="115" customWidth="1"/>
    <col min="13821" max="13821" width="15" style="115" bestFit="1" customWidth="1"/>
    <col min="13822" max="13822" width="9.140625" style="115"/>
    <col min="13823" max="13823" width="13.7109375" style="115" customWidth="1"/>
    <col min="13824" max="13824" width="3" style="115" customWidth="1"/>
    <col min="13825" max="13825" width="21.5703125" style="115" bestFit="1" customWidth="1"/>
    <col min="13826" max="13826" width="16.28515625" style="115" bestFit="1" customWidth="1"/>
    <col min="13827" max="13827" width="13.140625" style="115" customWidth="1"/>
    <col min="13828" max="14072" width="9.140625" style="115"/>
    <col min="14073" max="14073" width="31.140625" style="115" customWidth="1"/>
    <col min="14074" max="14074" width="9.140625" style="115"/>
    <col min="14075" max="14075" width="8.7109375" style="115" customWidth="1"/>
    <col min="14076" max="14076" width="13.7109375" style="115" customWidth="1"/>
    <col min="14077" max="14077" width="15" style="115" bestFit="1" customWidth="1"/>
    <col min="14078" max="14078" width="9.140625" style="115"/>
    <col min="14079" max="14079" width="13.7109375" style="115" customWidth="1"/>
    <col min="14080" max="14080" width="3" style="115" customWidth="1"/>
    <col min="14081" max="14081" width="21.5703125" style="115" bestFit="1" customWidth="1"/>
    <col min="14082" max="14082" width="16.28515625" style="115" bestFit="1" customWidth="1"/>
    <col min="14083" max="14083" width="13.140625" style="115" customWidth="1"/>
    <col min="14084" max="14328" width="9.140625" style="115"/>
    <col min="14329" max="14329" width="31.140625" style="115" customWidth="1"/>
    <col min="14330" max="14330" width="9.140625" style="115"/>
    <col min="14331" max="14331" width="8.7109375" style="115" customWidth="1"/>
    <col min="14332" max="14332" width="13.7109375" style="115" customWidth="1"/>
    <col min="14333" max="14333" width="15" style="115" bestFit="1" customWidth="1"/>
    <col min="14334" max="14334" width="9.140625" style="115"/>
    <col min="14335" max="14335" width="13.7109375" style="115" customWidth="1"/>
    <col min="14336" max="14336" width="3" style="115" customWidth="1"/>
    <col min="14337" max="14337" width="21.5703125" style="115" bestFit="1" customWidth="1"/>
    <col min="14338" max="14338" width="16.28515625" style="115" bestFit="1" customWidth="1"/>
    <col min="14339" max="14339" width="13.140625" style="115" customWidth="1"/>
    <col min="14340" max="14584" width="9.140625" style="115"/>
    <col min="14585" max="14585" width="31.140625" style="115" customWidth="1"/>
    <col min="14586" max="14586" width="9.140625" style="115"/>
    <col min="14587" max="14587" width="8.7109375" style="115" customWidth="1"/>
    <col min="14588" max="14588" width="13.7109375" style="115" customWidth="1"/>
    <col min="14589" max="14589" width="15" style="115" bestFit="1" customWidth="1"/>
    <col min="14590" max="14590" width="9.140625" style="115"/>
    <col min="14591" max="14591" width="13.7109375" style="115" customWidth="1"/>
    <col min="14592" max="14592" width="3" style="115" customWidth="1"/>
    <col min="14593" max="14593" width="21.5703125" style="115" bestFit="1" customWidth="1"/>
    <col min="14594" max="14594" width="16.28515625" style="115" bestFit="1" customWidth="1"/>
    <col min="14595" max="14595" width="13.140625" style="115" customWidth="1"/>
    <col min="14596" max="14840" width="9.140625" style="115"/>
    <col min="14841" max="14841" width="31.140625" style="115" customWidth="1"/>
    <col min="14842" max="14842" width="9.140625" style="115"/>
    <col min="14843" max="14843" width="8.7109375" style="115" customWidth="1"/>
    <col min="14844" max="14844" width="13.7109375" style="115" customWidth="1"/>
    <col min="14845" max="14845" width="15" style="115" bestFit="1" customWidth="1"/>
    <col min="14846" max="14846" width="9.140625" style="115"/>
    <col min="14847" max="14847" width="13.7109375" style="115" customWidth="1"/>
    <col min="14848" max="14848" width="3" style="115" customWidth="1"/>
    <col min="14849" max="14849" width="21.5703125" style="115" bestFit="1" customWidth="1"/>
    <col min="14850" max="14850" width="16.28515625" style="115" bestFit="1" customWidth="1"/>
    <col min="14851" max="14851" width="13.140625" style="115" customWidth="1"/>
    <col min="14852" max="15096" width="9.140625" style="115"/>
    <col min="15097" max="15097" width="31.140625" style="115" customWidth="1"/>
    <col min="15098" max="15098" width="9.140625" style="115"/>
    <col min="15099" max="15099" width="8.7109375" style="115" customWidth="1"/>
    <col min="15100" max="15100" width="13.7109375" style="115" customWidth="1"/>
    <col min="15101" max="15101" width="15" style="115" bestFit="1" customWidth="1"/>
    <col min="15102" max="15102" width="9.140625" style="115"/>
    <col min="15103" max="15103" width="13.7109375" style="115" customWidth="1"/>
    <col min="15104" max="15104" width="3" style="115" customWidth="1"/>
    <col min="15105" max="15105" width="21.5703125" style="115" bestFit="1" customWidth="1"/>
    <col min="15106" max="15106" width="16.28515625" style="115" bestFit="1" customWidth="1"/>
    <col min="15107" max="15107" width="13.140625" style="115" customWidth="1"/>
    <col min="15108" max="15352" width="9.140625" style="115"/>
    <col min="15353" max="15353" width="31.140625" style="115" customWidth="1"/>
    <col min="15354" max="15354" width="9.140625" style="115"/>
    <col min="15355" max="15355" width="8.7109375" style="115" customWidth="1"/>
    <col min="15356" max="15356" width="13.7109375" style="115" customWidth="1"/>
    <col min="15357" max="15357" width="15" style="115" bestFit="1" customWidth="1"/>
    <col min="15358" max="15358" width="9.140625" style="115"/>
    <col min="15359" max="15359" width="13.7109375" style="115" customWidth="1"/>
    <col min="15360" max="15360" width="3" style="115" customWidth="1"/>
    <col min="15361" max="15361" width="21.5703125" style="115" bestFit="1" customWidth="1"/>
    <col min="15362" max="15362" width="16.28515625" style="115" bestFit="1" customWidth="1"/>
    <col min="15363" max="15363" width="13.140625" style="115" customWidth="1"/>
    <col min="15364" max="15608" width="9.140625" style="115"/>
    <col min="15609" max="15609" width="31.140625" style="115" customWidth="1"/>
    <col min="15610" max="15610" width="9.140625" style="115"/>
    <col min="15611" max="15611" width="8.7109375" style="115" customWidth="1"/>
    <col min="15612" max="15612" width="13.7109375" style="115" customWidth="1"/>
    <col min="15613" max="15613" width="15" style="115" bestFit="1" customWidth="1"/>
    <col min="15614" max="15614" width="9.140625" style="115"/>
    <col min="15615" max="15615" width="13.7109375" style="115" customWidth="1"/>
    <col min="15616" max="15616" width="3" style="115" customWidth="1"/>
    <col min="15617" max="15617" width="21.5703125" style="115" bestFit="1" customWidth="1"/>
    <col min="15618" max="15618" width="16.28515625" style="115" bestFit="1" customWidth="1"/>
    <col min="15619" max="15619" width="13.140625" style="115" customWidth="1"/>
    <col min="15620" max="15864" width="9.140625" style="115"/>
    <col min="15865" max="15865" width="31.140625" style="115" customWidth="1"/>
    <col min="15866" max="15866" width="9.140625" style="115"/>
    <col min="15867" max="15867" width="8.7109375" style="115" customWidth="1"/>
    <col min="15868" max="15868" width="13.7109375" style="115" customWidth="1"/>
    <col min="15869" max="15869" width="15" style="115" bestFit="1" customWidth="1"/>
    <col min="15870" max="15870" width="9.140625" style="115"/>
    <col min="15871" max="15871" width="13.7109375" style="115" customWidth="1"/>
    <col min="15872" max="15872" width="3" style="115" customWidth="1"/>
    <col min="15873" max="15873" width="21.5703125" style="115" bestFit="1" customWidth="1"/>
    <col min="15874" max="15874" width="16.28515625" style="115" bestFit="1" customWidth="1"/>
    <col min="15875" max="15875" width="13.140625" style="115" customWidth="1"/>
    <col min="15876" max="16120" width="9.140625" style="115"/>
    <col min="16121" max="16121" width="31.140625" style="115" customWidth="1"/>
    <col min="16122" max="16122" width="9.140625" style="115"/>
    <col min="16123" max="16123" width="8.7109375" style="115" customWidth="1"/>
    <col min="16124" max="16124" width="13.7109375" style="115" customWidth="1"/>
    <col min="16125" max="16125" width="15" style="115" bestFit="1" customWidth="1"/>
    <col min="16126" max="16126" width="9.140625" style="115"/>
    <col min="16127" max="16127" width="13.7109375" style="115" customWidth="1"/>
    <col min="16128" max="16128" width="3" style="115" customWidth="1"/>
    <col min="16129" max="16129" width="21.5703125" style="115" bestFit="1" customWidth="1"/>
    <col min="16130" max="16130" width="16.28515625" style="115" bestFit="1" customWidth="1"/>
    <col min="16131" max="16131" width="13.140625" style="115" customWidth="1"/>
    <col min="16132" max="16384" width="9.140625" style="115"/>
  </cols>
  <sheetData>
    <row r="3" spans="1:6" ht="15.75">
      <c r="A3" s="1500" t="s">
        <v>135</v>
      </c>
      <c r="B3" s="1500"/>
      <c r="C3" s="1500"/>
      <c r="D3" s="1500"/>
      <c r="E3" s="1500"/>
      <c r="F3" s="1500"/>
    </row>
    <row r="4" spans="1:6" ht="15.75">
      <c r="A4" s="1500" t="s">
        <v>187</v>
      </c>
      <c r="B4" s="1500"/>
      <c r="C4" s="1500"/>
      <c r="D4" s="1500"/>
      <c r="E4" s="1500"/>
      <c r="F4" s="1500"/>
    </row>
    <row r="5" spans="1:6" ht="15.75">
      <c r="A5" s="116"/>
      <c r="B5" s="298"/>
      <c r="C5" s="298"/>
      <c r="D5" s="298"/>
      <c r="E5" s="116"/>
      <c r="F5" s="116"/>
    </row>
    <row r="6" spans="1:6">
      <c r="A6" s="120" t="s">
        <v>165</v>
      </c>
      <c r="B6" s="120"/>
      <c r="C6" s="120"/>
      <c r="D6" s="120"/>
    </row>
    <row r="7" spans="1:6">
      <c r="A7" s="122" t="s">
        <v>235</v>
      </c>
      <c r="B7" s="122"/>
      <c r="C7" s="122"/>
      <c r="D7" s="122"/>
    </row>
    <row r="8" spans="1:6">
      <c r="A8" s="122" t="s">
        <v>238</v>
      </c>
      <c r="B8" s="122"/>
      <c r="C8" s="122"/>
      <c r="D8" s="122"/>
    </row>
    <row r="9" spans="1:6">
      <c r="B9" s="307" t="s">
        <v>116</v>
      </c>
      <c r="C9" s="307" t="s">
        <v>117</v>
      </c>
    </row>
    <row r="11" spans="1:6">
      <c r="A11" s="115" t="s">
        <v>142</v>
      </c>
      <c r="B11" s="299">
        <v>41319</v>
      </c>
      <c r="C11" s="299">
        <v>41479</v>
      </c>
    </row>
    <row r="12" spans="1:6">
      <c r="F12" s="117"/>
    </row>
    <row r="13" spans="1:6">
      <c r="A13" s="115" t="s">
        <v>32</v>
      </c>
      <c r="B13" s="121">
        <f>+'Hydro Summary'!E7</f>
        <v>56867149.200900003</v>
      </c>
      <c r="C13" s="121">
        <f>+'Hydro Summary'!E6</f>
        <v>95194976.911599934</v>
      </c>
      <c r="F13" s="117"/>
    </row>
    <row r="14" spans="1:6" s="304" customFormat="1">
      <c r="B14" s="121"/>
      <c r="C14" s="121"/>
      <c r="F14" s="117"/>
    </row>
    <row r="15" spans="1:6">
      <c r="B15" s="306" t="s">
        <v>143</v>
      </c>
      <c r="C15" s="306" t="s">
        <v>143</v>
      </c>
      <c r="F15" s="117"/>
    </row>
    <row r="16" spans="1:6" s="304" customFormat="1">
      <c r="A16" s="304" t="s">
        <v>181</v>
      </c>
      <c r="B16" s="306">
        <f>50*12</f>
        <v>600</v>
      </c>
      <c r="C16" s="306">
        <f>50*12</f>
        <v>600</v>
      </c>
      <c r="F16" s="117"/>
    </row>
    <row r="17" spans="1:8" s="304" customFormat="1">
      <c r="A17" s="304" t="s">
        <v>193</v>
      </c>
      <c r="B17" s="306">
        <f>2+(4*12)</f>
        <v>50</v>
      </c>
      <c r="C17" s="306">
        <f>+B17</f>
        <v>50</v>
      </c>
      <c r="F17" s="117"/>
    </row>
    <row r="18" spans="1:8" s="304" customFormat="1">
      <c r="A18" s="122" t="s">
        <v>239</v>
      </c>
      <c r="B18" s="306">
        <v>1</v>
      </c>
      <c r="C18" s="306">
        <v>4</v>
      </c>
      <c r="F18" s="117"/>
    </row>
    <row r="19" spans="1:8" s="304" customFormat="1">
      <c r="A19" s="304" t="s">
        <v>166</v>
      </c>
      <c r="B19" s="308">
        <f>+B16-B17-B18</f>
        <v>549</v>
      </c>
      <c r="C19" s="308">
        <f>+C16-C17-C18</f>
        <v>546</v>
      </c>
      <c r="F19" s="117"/>
    </row>
    <row r="20" spans="1:8">
      <c r="A20" s="303"/>
      <c r="F20" s="117"/>
    </row>
    <row r="21" spans="1:8">
      <c r="A21" s="115" t="s">
        <v>136</v>
      </c>
      <c r="B21" s="121">
        <f>+B13/B19</f>
        <v>103583.1497284153</v>
      </c>
      <c r="C21" s="121">
        <f>+C13/C19</f>
        <v>174349.77456336984</v>
      </c>
      <c r="F21" s="117"/>
    </row>
    <row r="22" spans="1:8">
      <c r="B22" s="121"/>
      <c r="C22" s="121"/>
      <c r="F22" s="117"/>
    </row>
    <row r="23" spans="1:8">
      <c r="A23" s="115" t="s">
        <v>137</v>
      </c>
      <c r="B23" s="121">
        <f>(B21*12)</f>
        <v>1242997.7967409836</v>
      </c>
      <c r="C23" s="121">
        <f>(C21*12)</f>
        <v>2092197.2947604381</v>
      </c>
      <c r="F23" s="117"/>
    </row>
    <row r="24" spans="1:8" ht="13.5" thickBot="1">
      <c r="B24" s="117"/>
      <c r="C24" s="117"/>
      <c r="F24" s="117"/>
    </row>
    <row r="25" spans="1:8" ht="13.5" thickBot="1">
      <c r="A25" s="115" t="s">
        <v>138</v>
      </c>
      <c r="B25" s="309">
        <f>ROUND(B23/B13,7)</f>
        <v>2.18579E-2</v>
      </c>
      <c r="C25" s="309">
        <f>ROUND(C23/C13,7)</f>
        <v>2.1978000000000001E-2</v>
      </c>
      <c r="D25" s="123">
        <f>AVERAGE(B25:C25)</f>
        <v>2.1917949999999999E-2</v>
      </c>
      <c r="E25" s="115" t="s">
        <v>140</v>
      </c>
    </row>
    <row r="26" spans="1:8">
      <c r="B26" s="119"/>
      <c r="C26" s="119"/>
      <c r="F26" s="119"/>
    </row>
    <row r="27" spans="1:8" ht="13.5" thickBot="1">
      <c r="A27" s="115" t="s">
        <v>139</v>
      </c>
      <c r="B27" s="118">
        <f>B13*ROUND(B23/B13,4)</f>
        <v>1245390.56749971</v>
      </c>
      <c r="C27" s="118">
        <f>C13*ROUND(C23/C13,4)</f>
        <v>2094289.4920551984</v>
      </c>
      <c r="F27" s="119"/>
    </row>
    <row r="28" spans="1:8" ht="13.5" thickTop="1">
      <c r="F28" s="119"/>
    </row>
    <row r="29" spans="1:8">
      <c r="A29" s="301" t="s">
        <v>182</v>
      </c>
      <c r="B29" s="237"/>
      <c r="C29" s="301"/>
      <c r="D29" s="237"/>
      <c r="E29" s="305"/>
      <c r="F29" s="304"/>
      <c r="G29" s="304"/>
      <c r="H29" s="304"/>
    </row>
    <row r="30" spans="1:8">
      <c r="A30" s="302" t="s">
        <v>240</v>
      </c>
      <c r="B30" s="238"/>
      <c r="C30" s="238"/>
      <c r="D30" s="238"/>
    </row>
    <row r="31" spans="1:8">
      <c r="A31" s="302" t="s">
        <v>219</v>
      </c>
      <c r="B31" s="238"/>
      <c r="C31" s="238"/>
      <c r="D31" s="238"/>
    </row>
    <row r="32" spans="1:8">
      <c r="A32" s="302" t="s">
        <v>236</v>
      </c>
      <c r="B32" s="238"/>
      <c r="C32" s="238"/>
      <c r="D32" s="238"/>
    </row>
    <row r="33" spans="1:1" customFormat="1"/>
    <row r="34" spans="1:1" customFormat="1">
      <c r="A34" s="427"/>
    </row>
    <row r="35" spans="1:1" customFormat="1"/>
    <row r="36" spans="1:1" customFormat="1"/>
    <row r="37" spans="1:1" customFormat="1"/>
    <row r="38" spans="1:1" customFormat="1"/>
    <row r="39" spans="1:1" customFormat="1"/>
    <row r="40" spans="1:1" customFormat="1"/>
    <row r="41" spans="1:1" customFormat="1"/>
    <row r="42" spans="1:1" customFormat="1"/>
    <row r="43" spans="1:1" customFormat="1"/>
    <row r="44" spans="1:1" customFormat="1"/>
    <row r="45" spans="1:1" customFormat="1"/>
    <row r="46" spans="1:1" customFormat="1"/>
    <row r="47" spans="1:1" customFormat="1"/>
    <row r="48" spans="1:1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</sheetData>
  <mergeCells count="2">
    <mergeCell ref="A3:F3"/>
    <mergeCell ref="A4:F4"/>
  </mergeCells>
  <pageMargins left="0.75" right="0.75" top="1" bottom="1" header="0.5" footer="0.5"/>
  <pageSetup scale="5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L138"/>
  <sheetViews>
    <sheetView topLeftCell="A28" zoomScale="87" zoomScaleNormal="87" workbookViewId="0">
      <selection activeCell="D44" sqref="D44"/>
    </sheetView>
  </sheetViews>
  <sheetFormatPr defaultRowHeight="12.75"/>
  <cols>
    <col min="1" max="1" width="6" style="150" customWidth="1"/>
    <col min="2" max="2" width="9.140625" style="150"/>
    <col min="3" max="3" width="12.7109375" style="150" customWidth="1"/>
    <col min="4" max="4" width="13.5703125" style="150" customWidth="1"/>
    <col min="5" max="5" width="16" style="150" customWidth="1"/>
    <col min="6" max="6" width="11.85546875" style="150" bestFit="1" customWidth="1"/>
    <col min="7" max="7" width="15.28515625" style="150" bestFit="1" customWidth="1"/>
    <col min="8" max="8" width="12.5703125" style="150" bestFit="1" customWidth="1"/>
    <col min="9" max="9" width="14.42578125" style="150" bestFit="1" customWidth="1"/>
    <col min="11" max="11" width="12.5703125" bestFit="1" customWidth="1"/>
    <col min="12" max="12" width="13.7109375" bestFit="1" customWidth="1"/>
  </cols>
  <sheetData>
    <row r="2" spans="1:12">
      <c r="A2" s="6" t="s">
        <v>5</v>
      </c>
      <c r="C2" s="202"/>
      <c r="D2" s="202"/>
      <c r="E2" s="202"/>
      <c r="G2" s="202"/>
      <c r="H2" s="202"/>
      <c r="I2" s="202"/>
    </row>
    <row r="3" spans="1:12">
      <c r="A3" s="6" t="s">
        <v>162</v>
      </c>
      <c r="C3" s="202"/>
      <c r="D3" s="202"/>
      <c r="E3" s="202"/>
      <c r="F3" s="202"/>
      <c r="G3" s="202"/>
      <c r="H3" s="202"/>
      <c r="I3" s="202"/>
    </row>
    <row r="4" spans="1:12">
      <c r="A4" s="6" t="s">
        <v>39</v>
      </c>
      <c r="C4" s="202"/>
      <c r="D4" s="202"/>
      <c r="E4" s="202"/>
      <c r="F4" s="202"/>
      <c r="G4" s="202"/>
      <c r="H4" s="202"/>
      <c r="I4" s="202"/>
    </row>
    <row r="5" spans="1:12">
      <c r="A5" s="6" t="s">
        <v>226</v>
      </c>
      <c r="C5" s="202"/>
      <c r="D5" s="202"/>
      <c r="E5" s="202"/>
      <c r="F5" s="202"/>
      <c r="G5" s="202"/>
      <c r="H5" s="202"/>
      <c r="I5" s="202"/>
      <c r="J5" s="150"/>
    </row>
    <row r="6" spans="1:12" s="104" customFormat="1">
      <c r="A6" s="6"/>
      <c r="B6" s="150"/>
      <c r="C6" s="202"/>
      <c r="D6" s="202"/>
      <c r="E6" s="202"/>
      <c r="F6" s="202"/>
      <c r="G6" s="202"/>
      <c r="H6" s="202"/>
      <c r="I6" s="202"/>
      <c r="J6" s="150"/>
    </row>
    <row r="7" spans="1:12">
      <c r="A7" s="276" t="s">
        <v>163</v>
      </c>
      <c r="B7" s="203"/>
      <c r="C7" s="202"/>
      <c r="D7" s="202"/>
      <c r="E7" s="202"/>
      <c r="F7" s="202"/>
      <c r="G7" s="202"/>
      <c r="H7" s="202"/>
      <c r="I7" s="202"/>
      <c r="J7" s="150"/>
    </row>
    <row r="8" spans="1:12">
      <c r="A8" s="204"/>
      <c r="B8" s="277" t="s">
        <v>40</v>
      </c>
      <c r="C8" s="36"/>
      <c r="D8" s="36"/>
      <c r="E8" s="36"/>
      <c r="F8" s="36"/>
      <c r="G8" s="36"/>
      <c r="H8" s="36"/>
      <c r="I8" s="37"/>
      <c r="J8" s="150"/>
    </row>
    <row r="9" spans="1:12">
      <c r="A9" s="205"/>
      <c r="B9" s="35"/>
      <c r="C9" s="36" t="s">
        <v>41</v>
      </c>
      <c r="D9" s="36"/>
      <c r="E9" s="37"/>
      <c r="F9" s="38" t="s">
        <v>7</v>
      </c>
      <c r="G9" s="36"/>
      <c r="H9" s="36"/>
      <c r="I9" s="206"/>
      <c r="J9" s="150"/>
    </row>
    <row r="10" spans="1:12">
      <c r="A10" s="205"/>
      <c r="B10" s="39"/>
      <c r="C10" s="40"/>
      <c r="D10" s="40"/>
      <c r="E10" s="41" t="s">
        <v>8</v>
      </c>
      <c r="F10" s="42"/>
      <c r="G10" s="43"/>
      <c r="H10" s="43"/>
      <c r="I10" s="207"/>
      <c r="J10" s="150"/>
    </row>
    <row r="11" spans="1:12">
      <c r="A11" s="205" t="s">
        <v>42</v>
      </c>
      <c r="B11" s="44" t="s">
        <v>9</v>
      </c>
      <c r="C11" s="45" t="s">
        <v>4</v>
      </c>
      <c r="D11" s="45" t="s">
        <v>10</v>
      </c>
      <c r="E11" s="41" t="s">
        <v>11</v>
      </c>
      <c r="F11" s="44" t="s">
        <v>12</v>
      </c>
      <c r="G11" s="45" t="s">
        <v>13</v>
      </c>
      <c r="H11" s="45" t="s">
        <v>14</v>
      </c>
      <c r="I11" s="41" t="s">
        <v>15</v>
      </c>
      <c r="J11" s="150"/>
    </row>
    <row r="12" spans="1:12">
      <c r="A12" s="205"/>
      <c r="B12" s="46" t="s">
        <v>4</v>
      </c>
      <c r="C12" s="47" t="s">
        <v>43</v>
      </c>
      <c r="D12" s="47" t="s">
        <v>16</v>
      </c>
      <c r="E12" s="48" t="s">
        <v>3</v>
      </c>
      <c r="F12" s="46" t="s">
        <v>17</v>
      </c>
      <c r="G12" s="47" t="s">
        <v>18</v>
      </c>
      <c r="H12" s="47" t="s">
        <v>19</v>
      </c>
      <c r="I12" s="48" t="s">
        <v>44</v>
      </c>
      <c r="J12" s="150"/>
    </row>
    <row r="13" spans="1:12">
      <c r="A13" s="205"/>
      <c r="B13" s="49" t="s">
        <v>45</v>
      </c>
      <c r="C13" s="50" t="s">
        <v>46</v>
      </c>
      <c r="D13" s="51" t="s">
        <v>47</v>
      </c>
      <c r="E13" s="52" t="s">
        <v>48</v>
      </c>
      <c r="F13" s="49" t="s">
        <v>49</v>
      </c>
      <c r="G13" s="53" t="s">
        <v>184</v>
      </c>
      <c r="H13" s="208" t="s">
        <v>50</v>
      </c>
      <c r="I13" s="52" t="s">
        <v>51</v>
      </c>
      <c r="J13" s="150"/>
    </row>
    <row r="14" spans="1:12">
      <c r="A14" s="209"/>
      <c r="B14" s="54"/>
      <c r="C14" s="55"/>
      <c r="D14" s="56"/>
      <c r="E14" s="57" t="s">
        <v>52</v>
      </c>
      <c r="F14" s="54" t="s">
        <v>53</v>
      </c>
      <c r="G14" s="58"/>
      <c r="H14" s="59"/>
      <c r="I14" s="57" t="s">
        <v>54</v>
      </c>
      <c r="J14" s="150"/>
    </row>
    <row r="15" spans="1:12">
      <c r="A15" s="204">
        <f>ROW()</f>
        <v>15</v>
      </c>
      <c r="B15" s="60"/>
      <c r="C15" s="61"/>
      <c r="D15" s="62"/>
      <c r="E15" s="63"/>
      <c r="F15" s="64"/>
      <c r="G15" s="5"/>
      <c r="H15" s="62"/>
      <c r="I15" s="63"/>
      <c r="J15" s="150"/>
    </row>
    <row r="16" spans="1:12">
      <c r="A16" s="205">
        <f>ROW()</f>
        <v>16</v>
      </c>
      <c r="B16" s="1328"/>
      <c r="C16" s="133">
        <v>41579</v>
      </c>
      <c r="D16" s="1329">
        <f>'#1+#2+3 Tot Baker DFIT'!P44</f>
        <v>3278682.2148837363</v>
      </c>
      <c r="E16" s="1330">
        <f>'#1+#2+3 Tot Baker DFIT'!O44</f>
        <v>-20899392.633515544</v>
      </c>
      <c r="F16" s="1331"/>
      <c r="G16" s="1332"/>
      <c r="H16" s="1333"/>
      <c r="I16" s="1334">
        <f>E16</f>
        <v>-20899392.633515544</v>
      </c>
      <c r="J16" s="150"/>
      <c r="L16" s="243"/>
    </row>
    <row r="17" spans="1:12">
      <c r="A17" s="205">
        <f>ROW()</f>
        <v>17</v>
      </c>
      <c r="B17" s="1328">
        <v>31</v>
      </c>
      <c r="C17" s="133">
        <v>41609</v>
      </c>
      <c r="D17" s="1329">
        <f>'#1+#2+3 Tot Baker DFIT'!P45</f>
        <v>3278682.2148837317</v>
      </c>
      <c r="E17" s="1335">
        <f t="shared" ref="E17:E28" si="0">+E16-D17</f>
        <v>-24178074.848399274</v>
      </c>
      <c r="F17" s="1331">
        <f>G17-SUM(B$17:$B17)+1</f>
        <v>335</v>
      </c>
      <c r="G17" s="1332">
        <f>B29</f>
        <v>365</v>
      </c>
      <c r="H17" s="1333">
        <f>+F17/G17*D17</f>
        <v>3009201.484893288</v>
      </c>
      <c r="I17" s="1335">
        <f>+I16-H17</f>
        <v>-23908594.118408833</v>
      </c>
      <c r="J17" s="150"/>
      <c r="K17" s="243"/>
      <c r="L17" s="243"/>
    </row>
    <row r="18" spans="1:12">
      <c r="A18" s="205">
        <f>ROW()</f>
        <v>18</v>
      </c>
      <c r="B18" s="1328">
        <v>31</v>
      </c>
      <c r="C18" s="133">
        <v>41275</v>
      </c>
      <c r="D18" s="1329">
        <f>'#1+#2+3 Tot Baker DFIT'!P46</f>
        <v>56541.957881262526</v>
      </c>
      <c r="E18" s="1335">
        <f t="shared" si="0"/>
        <v>-24234616.806280538</v>
      </c>
      <c r="F18" s="1331">
        <f>G18-SUM(B$17:$B18)+1</f>
        <v>304</v>
      </c>
      <c r="G18" s="1332">
        <f t="shared" ref="G18:G28" si="1">G17</f>
        <v>365</v>
      </c>
      <c r="H18" s="1333">
        <f>+F18/G18*D18</f>
        <v>47092.479988777559</v>
      </c>
      <c r="I18" s="1335">
        <f t="shared" ref="I18:I27" si="2">+I17-H18</f>
        <v>-23955686.598397609</v>
      </c>
      <c r="J18" s="150"/>
      <c r="K18" s="243"/>
      <c r="L18" s="243"/>
    </row>
    <row r="19" spans="1:12">
      <c r="A19" s="205">
        <f>ROW()</f>
        <v>19</v>
      </c>
      <c r="B19" s="1328">
        <v>28</v>
      </c>
      <c r="C19" s="133">
        <v>41306</v>
      </c>
      <c r="D19" s="1329">
        <f>'#1+#2+3 Tot Baker DFIT'!P47</f>
        <v>56541.957881253213</v>
      </c>
      <c r="E19" s="1335">
        <f t="shared" si="0"/>
        <v>-24291158.764161792</v>
      </c>
      <c r="F19" s="1331">
        <f>G19-SUM(B$17:$B19)+1</f>
        <v>276</v>
      </c>
      <c r="G19" s="1332">
        <f t="shared" si="1"/>
        <v>365</v>
      </c>
      <c r="H19" s="1333">
        <f t="shared" ref="H19:H27" si="3">+F19/G19*D19</f>
        <v>42755.014726646266</v>
      </c>
      <c r="I19" s="1335">
        <f t="shared" si="2"/>
        <v>-23998441.613124255</v>
      </c>
      <c r="J19" s="150"/>
      <c r="K19" s="243"/>
      <c r="L19" s="243"/>
    </row>
    <row r="20" spans="1:12">
      <c r="A20" s="205">
        <f>ROW()</f>
        <v>20</v>
      </c>
      <c r="B20" s="1328">
        <v>31</v>
      </c>
      <c r="C20" s="133">
        <v>41699</v>
      </c>
      <c r="D20" s="1329">
        <f>'#1+#2+3 Tot Baker DFIT'!P48</f>
        <v>56541.957881253213</v>
      </c>
      <c r="E20" s="1335">
        <f t="shared" si="0"/>
        <v>-24347700.722043045</v>
      </c>
      <c r="F20" s="1331">
        <f>G20-SUM(B$17:$B20)+1</f>
        <v>245</v>
      </c>
      <c r="G20" s="1332">
        <f t="shared" si="1"/>
        <v>365</v>
      </c>
      <c r="H20" s="1333">
        <f>+F20/G20*D20</f>
        <v>37952.821043580923</v>
      </c>
      <c r="I20" s="1335">
        <f t="shared" si="2"/>
        <v>-24036394.434167836</v>
      </c>
      <c r="J20" s="150"/>
      <c r="K20" s="243"/>
      <c r="L20" s="243"/>
    </row>
    <row r="21" spans="1:12">
      <c r="A21" s="205">
        <f>ROW()</f>
        <v>21</v>
      </c>
      <c r="B21" s="1328">
        <v>30</v>
      </c>
      <c r="C21" s="133">
        <v>41730</v>
      </c>
      <c r="D21" s="1329">
        <f>'#1+#2+3 Tot Baker DFIT'!P49</f>
        <v>56541.957881253213</v>
      </c>
      <c r="E21" s="1335">
        <f t="shared" si="0"/>
        <v>-24404242.679924298</v>
      </c>
      <c r="F21" s="1331">
        <f>G21-SUM(B$17:$B21)+1</f>
        <v>215</v>
      </c>
      <c r="G21" s="1332">
        <f t="shared" si="1"/>
        <v>365</v>
      </c>
      <c r="H21" s="1333">
        <f t="shared" si="3"/>
        <v>33305.536834162849</v>
      </c>
      <c r="I21" s="1335">
        <f t="shared" si="2"/>
        <v>-24069699.971001998</v>
      </c>
      <c r="J21" s="150"/>
      <c r="K21" s="243"/>
      <c r="L21" s="243"/>
    </row>
    <row r="22" spans="1:12">
      <c r="A22" s="205">
        <f>ROW()</f>
        <v>22</v>
      </c>
      <c r="B22" s="1328">
        <v>31</v>
      </c>
      <c r="C22" s="133">
        <v>41760</v>
      </c>
      <c r="D22" s="1329">
        <f>'#1+#2+3 Tot Baker DFIT'!P50</f>
        <v>56541.957881260663</v>
      </c>
      <c r="E22" s="1335">
        <f t="shared" si="0"/>
        <v>-24460784.637805559</v>
      </c>
      <c r="F22" s="1331">
        <f>G22-SUM(B$17:$B22)+1</f>
        <v>184</v>
      </c>
      <c r="G22" s="1332">
        <f t="shared" si="1"/>
        <v>365</v>
      </c>
      <c r="H22" s="1333">
        <f t="shared" si="3"/>
        <v>28503.343151101268</v>
      </c>
      <c r="I22" s="1335">
        <f t="shared" si="2"/>
        <v>-24098203.314153098</v>
      </c>
      <c r="J22" s="150"/>
      <c r="K22" s="243"/>
      <c r="L22" s="243"/>
    </row>
    <row r="23" spans="1:12">
      <c r="A23" s="205">
        <f>ROW()</f>
        <v>23</v>
      </c>
      <c r="B23" s="1328">
        <v>30</v>
      </c>
      <c r="C23" s="133">
        <v>41791</v>
      </c>
      <c r="D23" s="1329">
        <f>'#1+#2+3 Tot Baker DFIT'!P51</f>
        <v>56541.957881247625</v>
      </c>
      <c r="E23" s="1335">
        <f t="shared" si="0"/>
        <v>-24517326.595686808</v>
      </c>
      <c r="F23" s="1331">
        <f>G23-SUM(B$17:$B23)+1</f>
        <v>154</v>
      </c>
      <c r="G23" s="1332">
        <f t="shared" si="1"/>
        <v>365</v>
      </c>
      <c r="H23" s="1333">
        <f t="shared" si="3"/>
        <v>23856.058941677078</v>
      </c>
      <c r="I23" s="1335">
        <f t="shared" si="2"/>
        <v>-24122059.373094775</v>
      </c>
      <c r="J23" s="150"/>
      <c r="K23" s="243"/>
      <c r="L23" s="243"/>
    </row>
    <row r="24" spans="1:12">
      <c r="A24" s="205">
        <f>ROW()</f>
        <v>24</v>
      </c>
      <c r="B24" s="1328">
        <v>31</v>
      </c>
      <c r="C24" s="133">
        <v>41821</v>
      </c>
      <c r="D24" s="1329">
        <f>'#1+#2+3 Tot Baker DFIT'!P52</f>
        <v>56541.957881260663</v>
      </c>
      <c r="E24" s="1335">
        <f t="shared" si="0"/>
        <v>-24573868.553568069</v>
      </c>
      <c r="F24" s="1331">
        <f>G24-SUM(B$17:$B24)+1</f>
        <v>123</v>
      </c>
      <c r="G24" s="1332">
        <f t="shared" si="1"/>
        <v>365</v>
      </c>
      <c r="H24" s="1333">
        <f t="shared" si="3"/>
        <v>19053.865258616606</v>
      </c>
      <c r="I24" s="1335">
        <f t="shared" si="2"/>
        <v>-24141113.23835339</v>
      </c>
      <c r="J24" s="150"/>
      <c r="K24" s="243"/>
      <c r="L24" s="243"/>
    </row>
    <row r="25" spans="1:12">
      <c r="A25" s="205">
        <f>ROW()</f>
        <v>25</v>
      </c>
      <c r="B25" s="1328">
        <v>31</v>
      </c>
      <c r="C25" s="133">
        <v>41852</v>
      </c>
      <c r="D25" s="1329">
        <f>'#1+#2+3 Tot Baker DFIT'!P53</f>
        <v>56541.957881255075</v>
      </c>
      <c r="E25" s="1335">
        <f t="shared" si="0"/>
        <v>-24630410.511449322</v>
      </c>
      <c r="F25" s="1331">
        <f>G25-SUM(B$17:$B25)+1</f>
        <v>92</v>
      </c>
      <c r="G25" s="1332">
        <f t="shared" si="1"/>
        <v>365</v>
      </c>
      <c r="H25" s="1333">
        <f t="shared" si="3"/>
        <v>14251.671575549226</v>
      </c>
      <c r="I25" s="1335">
        <f t="shared" si="2"/>
        <v>-24155364.90992894</v>
      </c>
      <c r="J25" s="150"/>
      <c r="K25" s="243"/>
      <c r="L25" s="243"/>
    </row>
    <row r="26" spans="1:12">
      <c r="A26" s="205">
        <f>ROW()</f>
        <v>26</v>
      </c>
      <c r="B26" s="1328">
        <v>30</v>
      </c>
      <c r="C26" s="133">
        <v>41883</v>
      </c>
      <c r="D26" s="1329">
        <f>'#1+#2+3 Tot Baker DFIT'!P54</f>
        <v>56541.95788125135</v>
      </c>
      <c r="E26" s="1335">
        <f t="shared" si="0"/>
        <v>-24686952.469330572</v>
      </c>
      <c r="F26" s="1331">
        <f>G26-SUM(B$17:$B26)+1</f>
        <v>62</v>
      </c>
      <c r="G26" s="1332">
        <f t="shared" si="1"/>
        <v>365</v>
      </c>
      <c r="H26" s="1333">
        <f t="shared" si="3"/>
        <v>9604.387366130366</v>
      </c>
      <c r="I26" s="1335">
        <f t="shared" si="2"/>
        <v>-24164969.297295071</v>
      </c>
      <c r="J26" s="150"/>
      <c r="K26" s="243"/>
      <c r="L26" s="243"/>
    </row>
    <row r="27" spans="1:12">
      <c r="A27" s="205">
        <f>ROW()</f>
        <v>27</v>
      </c>
      <c r="B27" s="1328">
        <v>31</v>
      </c>
      <c r="C27" s="133">
        <v>41913</v>
      </c>
      <c r="D27" s="1329">
        <f>'#1+#2+3 Tot Baker DFIT'!P55</f>
        <v>56541.957881256938</v>
      </c>
      <c r="E27" s="1335">
        <f t="shared" si="0"/>
        <v>-24743494.427211829</v>
      </c>
      <c r="F27" s="1331">
        <f>G27-SUM(B$17:$B27)+1</f>
        <v>31</v>
      </c>
      <c r="G27" s="1332">
        <f t="shared" si="1"/>
        <v>365</v>
      </c>
      <c r="H27" s="1333">
        <f t="shared" si="3"/>
        <v>4802.1936830656578</v>
      </c>
      <c r="I27" s="1335">
        <f t="shared" si="2"/>
        <v>-24169771.490978137</v>
      </c>
      <c r="J27" s="150"/>
      <c r="K27" s="243"/>
      <c r="L27" s="243"/>
    </row>
    <row r="28" spans="1:12">
      <c r="A28" s="205">
        <f>ROW()</f>
        <v>28</v>
      </c>
      <c r="B28" s="1328">
        <v>30</v>
      </c>
      <c r="C28" s="133">
        <v>41944</v>
      </c>
      <c r="D28" s="1329">
        <f>'#1+#2+3 Tot Baker DFIT'!P56</f>
        <v>56541.957881253213</v>
      </c>
      <c r="E28" s="1335">
        <f t="shared" si="0"/>
        <v>-24800036.385093082</v>
      </c>
      <c r="F28" s="1331">
        <f>G28-SUM(B$17:$B28)+1</f>
        <v>1</v>
      </c>
      <c r="G28" s="1332">
        <f t="shared" si="1"/>
        <v>365</v>
      </c>
      <c r="H28" s="1333">
        <f>+F28/G28*D28</f>
        <v>154.90947364726907</v>
      </c>
      <c r="I28" s="1335">
        <f>+I27-H28</f>
        <v>-24169926.400451783</v>
      </c>
      <c r="J28" s="150"/>
      <c r="K28" s="243"/>
      <c r="L28" s="243"/>
    </row>
    <row r="29" spans="1:12" ht="13.5" thickBot="1">
      <c r="A29" s="205">
        <f>ROW()</f>
        <v>29</v>
      </c>
      <c r="B29" s="256">
        <f>SUM(B17:B28)</f>
        <v>365</v>
      </c>
      <c r="C29" s="40"/>
      <c r="D29" s="257">
        <f>SUM(D17:D28)</f>
        <v>3900643.7515775394</v>
      </c>
      <c r="E29"/>
      <c r="F29" s="39"/>
      <c r="G29" s="258"/>
      <c r="H29" s="257">
        <f>SUM(H17:H28)</f>
        <v>3270533.7669362426</v>
      </c>
      <c r="I29" s="207"/>
      <c r="J29" s="150"/>
      <c r="K29" s="243"/>
      <c r="L29" s="243"/>
    </row>
    <row r="30" spans="1:12" ht="14.25" thickTop="1" thickBot="1">
      <c r="A30" s="205">
        <f>ROW()</f>
        <v>30</v>
      </c>
      <c r="B30" s="39"/>
      <c r="C30" s="40"/>
      <c r="D30" s="62"/>
      <c r="E30"/>
      <c r="F30" s="39"/>
      <c r="G30" s="40"/>
      <c r="H30" s="259"/>
      <c r="I30" s="207"/>
      <c r="J30" s="150"/>
      <c r="K30" s="243"/>
    </row>
    <row r="31" spans="1:12" ht="13.5" thickBot="1">
      <c r="A31" s="205">
        <f>ROW()</f>
        <v>31</v>
      </c>
      <c r="B31" s="39" t="s">
        <v>20</v>
      </c>
      <c r="C31" s="40"/>
      <c r="D31" s="62"/>
      <c r="E31" s="260">
        <f>(E16+E28+SUM(E17:E27)*2)/24</f>
        <v>-24326528.793763787</v>
      </c>
      <c r="F31" s="39"/>
      <c r="G31" s="40"/>
      <c r="H31" s="40"/>
      <c r="I31" s="261">
        <f>(I16+I28+SUM(I17:I27)*2)/24</f>
        <v>-23946246.489657301</v>
      </c>
      <c r="J31" s="150"/>
    </row>
    <row r="32" spans="1:12" ht="13.5" thickTop="1">
      <c r="A32" s="209">
        <f>ROW()</f>
        <v>32</v>
      </c>
      <c r="B32" s="210"/>
      <c r="C32" s="211"/>
      <c r="D32"/>
      <c r="E32"/>
      <c r="F32" s="210"/>
      <c r="G32" s="211"/>
      <c r="H32" s="211"/>
      <c r="I32" s="212"/>
      <c r="J32" s="150"/>
    </row>
    <row r="34" spans="1:9">
      <c r="A34" s="275" t="s">
        <v>233</v>
      </c>
    </row>
    <row r="35" spans="1:9">
      <c r="A35" s="204"/>
      <c r="B35" s="277" t="s">
        <v>40</v>
      </c>
      <c r="C35" s="278"/>
      <c r="D35" s="36"/>
      <c r="E35" s="36"/>
      <c r="F35" s="36"/>
      <c r="G35" s="36"/>
      <c r="H35" s="36"/>
      <c r="I35" s="37"/>
    </row>
    <row r="36" spans="1:9">
      <c r="A36" s="205"/>
      <c r="B36" s="35"/>
      <c r="C36" s="36" t="s">
        <v>41</v>
      </c>
      <c r="D36" s="36"/>
      <c r="E36" s="37"/>
      <c r="F36" s="38" t="s">
        <v>7</v>
      </c>
      <c r="G36" s="36"/>
      <c r="H36" s="36"/>
      <c r="I36" s="206"/>
    </row>
    <row r="37" spans="1:9">
      <c r="A37" s="205"/>
      <c r="B37" s="39"/>
      <c r="C37" s="40"/>
      <c r="D37" s="40"/>
      <c r="E37" s="41" t="s">
        <v>8</v>
      </c>
      <c r="F37" s="42"/>
      <c r="G37" s="43"/>
      <c r="H37" s="43"/>
      <c r="I37" s="207"/>
    </row>
    <row r="38" spans="1:9">
      <c r="A38" s="205" t="s">
        <v>42</v>
      </c>
      <c r="B38" s="44" t="s">
        <v>9</v>
      </c>
      <c r="C38" s="45" t="s">
        <v>4</v>
      </c>
      <c r="D38" s="45" t="s">
        <v>10</v>
      </c>
      <c r="E38" s="41" t="s">
        <v>11</v>
      </c>
      <c r="F38" s="44" t="s">
        <v>12</v>
      </c>
      <c r="G38" s="45" t="s">
        <v>13</v>
      </c>
      <c r="H38" s="45" t="s">
        <v>14</v>
      </c>
      <c r="I38" s="41" t="s">
        <v>15</v>
      </c>
    </row>
    <row r="39" spans="1:9">
      <c r="A39" s="205"/>
      <c r="B39" s="46" t="s">
        <v>4</v>
      </c>
      <c r="C39" s="47" t="s">
        <v>43</v>
      </c>
      <c r="D39" s="47" t="s">
        <v>16</v>
      </c>
      <c r="E39" s="48" t="s">
        <v>3</v>
      </c>
      <c r="F39" s="46" t="s">
        <v>17</v>
      </c>
      <c r="G39" s="47" t="s">
        <v>18</v>
      </c>
      <c r="H39" s="47" t="s">
        <v>19</v>
      </c>
      <c r="I39" s="48" t="s">
        <v>44</v>
      </c>
    </row>
    <row r="40" spans="1:9">
      <c r="A40" s="205"/>
      <c r="B40" s="49" t="s">
        <v>45</v>
      </c>
      <c r="C40" s="50" t="s">
        <v>46</v>
      </c>
      <c r="D40" s="51" t="s">
        <v>47</v>
      </c>
      <c r="E40" s="52" t="s">
        <v>48</v>
      </c>
      <c r="F40" s="49" t="s">
        <v>49</v>
      </c>
      <c r="G40" s="53" t="str">
        <f>+G13</f>
        <v>f = col. a row 29</v>
      </c>
      <c r="H40" s="208" t="s">
        <v>50</v>
      </c>
      <c r="I40" s="52" t="s">
        <v>51</v>
      </c>
    </row>
    <row r="41" spans="1:9">
      <c r="A41" s="209"/>
      <c r="B41" s="54"/>
      <c r="C41" s="55"/>
      <c r="D41" s="56"/>
      <c r="E41" s="57" t="s">
        <v>52</v>
      </c>
      <c r="F41" s="54" t="s">
        <v>53</v>
      </c>
      <c r="G41" s="58"/>
      <c r="H41" s="59"/>
      <c r="I41" s="57" t="s">
        <v>54</v>
      </c>
    </row>
    <row r="42" spans="1:9">
      <c r="A42" s="204">
        <f>ROW()</f>
        <v>42</v>
      </c>
      <c r="B42" s="60"/>
      <c r="C42" s="61"/>
      <c r="D42" s="62"/>
      <c r="E42" s="63"/>
      <c r="F42" s="64"/>
      <c r="G42" s="5"/>
      <c r="H42" s="62"/>
      <c r="I42" s="63"/>
    </row>
    <row r="43" spans="1:9">
      <c r="A43" s="205">
        <f>ROW()</f>
        <v>43</v>
      </c>
      <c r="B43" s="60"/>
      <c r="C43" s="133">
        <f>+C16</f>
        <v>41579</v>
      </c>
      <c r="D43" s="255">
        <f>'#1 DFIT- FSC'!P47</f>
        <v>890216.81879505422</v>
      </c>
      <c r="E43" s="253">
        <f>'#1 DFIT- FSC'!O47</f>
        <v>-8918821.0628997553</v>
      </c>
      <c r="F43" s="64"/>
      <c r="G43" s="5"/>
      <c r="H43" s="62"/>
      <c r="I43" s="254">
        <f>E43</f>
        <v>-8918821.0628997553</v>
      </c>
    </row>
    <row r="44" spans="1:9">
      <c r="A44" s="205">
        <f>ROW()</f>
        <v>44</v>
      </c>
      <c r="B44" s="60">
        <f>+B17</f>
        <v>31</v>
      </c>
      <c r="C44" s="133">
        <f t="shared" ref="C44:C55" si="4">+C17</f>
        <v>41609</v>
      </c>
      <c r="D44" s="255">
        <f>'#1 DFIT- FSC'!P48</f>
        <v>890216.8187950477</v>
      </c>
      <c r="E44" s="63">
        <f>+E43-D44</f>
        <v>-9809037.881694803</v>
      </c>
      <c r="F44" s="64">
        <f>G17-SUM(B$17:$B17)+1</f>
        <v>335</v>
      </c>
      <c r="G44" s="5">
        <f>B56</f>
        <v>365</v>
      </c>
      <c r="H44" s="62">
        <f>+F44/G44*D44</f>
        <v>817048.31314066018</v>
      </c>
      <c r="I44" s="63">
        <f>+I43-H44</f>
        <v>-9735869.3760404158</v>
      </c>
    </row>
    <row r="45" spans="1:9">
      <c r="A45" s="205">
        <f>ROW()</f>
        <v>45</v>
      </c>
      <c r="B45" s="60">
        <f t="shared" ref="B45:B55" si="5">+B18</f>
        <v>31</v>
      </c>
      <c r="C45" s="133">
        <f t="shared" si="4"/>
        <v>41275</v>
      </c>
      <c r="D45" s="255">
        <f>'#1 DFIT- FSC'!P49</f>
        <v>23200.099049055949</v>
      </c>
      <c r="E45" s="63">
        <f t="shared" ref="E45:E55" si="6">+E44-D45</f>
        <v>-9832237.980743859</v>
      </c>
      <c r="F45" s="64">
        <f>G18-SUM(B$17:$B18)+1</f>
        <v>304</v>
      </c>
      <c r="G45" s="5">
        <f t="shared" ref="G45:G55" si="7">G44</f>
        <v>365</v>
      </c>
      <c r="H45" s="62">
        <f>+F45/G45*D45</f>
        <v>19322.822221679475</v>
      </c>
      <c r="I45" s="63">
        <f t="shared" ref="I45:I54" si="8">+I44-H45</f>
        <v>-9755192.1982620955</v>
      </c>
    </row>
    <row r="46" spans="1:9">
      <c r="A46" s="205">
        <f>ROW()</f>
        <v>46</v>
      </c>
      <c r="B46" s="60">
        <f t="shared" si="5"/>
        <v>28</v>
      </c>
      <c r="C46" s="133">
        <f t="shared" si="4"/>
        <v>41306</v>
      </c>
      <c r="D46" s="255">
        <f>'#1 DFIT- FSC'!P50</f>
        <v>23200.099049052224</v>
      </c>
      <c r="E46" s="63">
        <f t="shared" si="6"/>
        <v>-9855438.0797929112</v>
      </c>
      <c r="F46" s="64">
        <f>G19-SUM(B$17:$B19)+1</f>
        <v>276</v>
      </c>
      <c r="G46" s="5">
        <f t="shared" si="7"/>
        <v>365</v>
      </c>
      <c r="H46" s="62">
        <f t="shared" ref="H46" si="9">+F46/G46*D46</f>
        <v>17543.088595995654</v>
      </c>
      <c r="I46" s="63">
        <f t="shared" si="8"/>
        <v>-9772735.2868580911</v>
      </c>
    </row>
    <row r="47" spans="1:9">
      <c r="A47" s="205">
        <f>ROW()</f>
        <v>47</v>
      </c>
      <c r="B47" s="60">
        <f t="shared" si="5"/>
        <v>31</v>
      </c>
      <c r="C47" s="133">
        <f t="shared" si="4"/>
        <v>41699</v>
      </c>
      <c r="D47" s="255">
        <f>'#1 DFIT- FSC'!P51</f>
        <v>23200.099049052224</v>
      </c>
      <c r="E47" s="63">
        <f t="shared" si="6"/>
        <v>-9878638.1788419634</v>
      </c>
      <c r="F47" s="64">
        <f>G20-SUM(B$17:$B20)+1</f>
        <v>245</v>
      </c>
      <c r="G47" s="5">
        <f t="shared" si="7"/>
        <v>365</v>
      </c>
      <c r="H47" s="62">
        <f>+F47/G47*D47</f>
        <v>15572.669224706287</v>
      </c>
      <c r="I47" s="63">
        <f t="shared" si="8"/>
        <v>-9788307.9560827967</v>
      </c>
    </row>
    <row r="48" spans="1:9">
      <c r="A48" s="205">
        <f>ROW()</f>
        <v>48</v>
      </c>
      <c r="B48" s="60">
        <f t="shared" si="5"/>
        <v>30</v>
      </c>
      <c r="C48" s="133">
        <f t="shared" si="4"/>
        <v>41730</v>
      </c>
      <c r="D48" s="255">
        <f>'#1 DFIT- FSC'!P52</f>
        <v>23200.099049052224</v>
      </c>
      <c r="E48" s="63">
        <f t="shared" si="6"/>
        <v>-9901838.2778910156</v>
      </c>
      <c r="F48" s="64">
        <f>G21-SUM(B$17:$B21)+1</f>
        <v>215</v>
      </c>
      <c r="G48" s="5">
        <f t="shared" si="7"/>
        <v>365</v>
      </c>
      <c r="H48" s="62">
        <f t="shared" ref="H48:H54" si="10">+F48/G48*D48</f>
        <v>13665.811768619804</v>
      </c>
      <c r="I48" s="63">
        <f t="shared" si="8"/>
        <v>-9801973.767851416</v>
      </c>
    </row>
    <row r="49" spans="1:9">
      <c r="A49" s="205">
        <f>ROW()</f>
        <v>49</v>
      </c>
      <c r="B49" s="60">
        <f t="shared" si="5"/>
        <v>31</v>
      </c>
      <c r="C49" s="133">
        <f t="shared" si="4"/>
        <v>41760</v>
      </c>
      <c r="D49" s="255">
        <f>'#1 DFIT- FSC'!P53</f>
        <v>23200.099049055949</v>
      </c>
      <c r="E49" s="63">
        <f t="shared" si="6"/>
        <v>-9925038.3769400716</v>
      </c>
      <c r="F49" s="64">
        <f>G22-SUM(B$17:$B22)+1</f>
        <v>184</v>
      </c>
      <c r="G49" s="5">
        <f t="shared" si="7"/>
        <v>365</v>
      </c>
      <c r="H49" s="62">
        <f t="shared" si="10"/>
        <v>11695.392397332314</v>
      </c>
      <c r="I49" s="63">
        <f t="shared" si="8"/>
        <v>-9813669.160248749</v>
      </c>
    </row>
    <row r="50" spans="1:9">
      <c r="A50" s="205">
        <f>ROW()</f>
        <v>50</v>
      </c>
      <c r="B50" s="60">
        <f t="shared" si="5"/>
        <v>30</v>
      </c>
      <c r="C50" s="133">
        <f t="shared" si="4"/>
        <v>41791</v>
      </c>
      <c r="D50" s="255">
        <f>'#1 DFIT- FSC'!P54</f>
        <v>23200.099049050361</v>
      </c>
      <c r="E50" s="63">
        <f t="shared" si="6"/>
        <v>-9948238.4759891219</v>
      </c>
      <c r="F50" s="64">
        <f>G23-SUM(B$17:$B23)+1</f>
        <v>154</v>
      </c>
      <c r="G50" s="5">
        <f t="shared" si="7"/>
        <v>365</v>
      </c>
      <c r="H50" s="62">
        <f t="shared" si="10"/>
        <v>9788.534941243166</v>
      </c>
      <c r="I50" s="63">
        <f t="shared" si="8"/>
        <v>-9823457.695189992</v>
      </c>
    </row>
    <row r="51" spans="1:9">
      <c r="A51" s="205">
        <f>ROW()</f>
        <v>51</v>
      </c>
      <c r="B51" s="60">
        <f t="shared" si="5"/>
        <v>31</v>
      </c>
      <c r="C51" s="133">
        <f t="shared" si="4"/>
        <v>41821</v>
      </c>
      <c r="D51" s="255">
        <f>'#1 DFIT- FSC'!P55</f>
        <v>23200.099049055949</v>
      </c>
      <c r="E51" s="63">
        <f t="shared" si="6"/>
        <v>-9971438.5750381779</v>
      </c>
      <c r="F51" s="64">
        <f>G24-SUM(B$17:$B24)+1</f>
        <v>123</v>
      </c>
      <c r="G51" s="5">
        <f t="shared" si="7"/>
        <v>365</v>
      </c>
      <c r="H51" s="62">
        <f t="shared" si="10"/>
        <v>7818.1155699558403</v>
      </c>
      <c r="I51" s="63">
        <f t="shared" si="8"/>
        <v>-9831275.8107599486</v>
      </c>
    </row>
    <row r="52" spans="1:9">
      <c r="A52" s="205">
        <f>ROW()</f>
        <v>52</v>
      </c>
      <c r="B52" s="60">
        <f t="shared" si="5"/>
        <v>31</v>
      </c>
      <c r="C52" s="133">
        <f t="shared" si="4"/>
        <v>41852</v>
      </c>
      <c r="D52" s="255">
        <f>'#1 DFIT- FSC'!P56</f>
        <v>23200.099049054086</v>
      </c>
      <c r="E52" s="63">
        <f t="shared" si="6"/>
        <v>-9994638.674087232</v>
      </c>
      <c r="F52" s="64">
        <f>G25-SUM(B$17:$B25)+1</f>
        <v>92</v>
      </c>
      <c r="G52" s="5">
        <f t="shared" si="7"/>
        <v>365</v>
      </c>
      <c r="H52" s="62">
        <f t="shared" si="10"/>
        <v>5847.6961986656879</v>
      </c>
      <c r="I52" s="63">
        <f t="shared" si="8"/>
        <v>-9837123.506958615</v>
      </c>
    </row>
    <row r="53" spans="1:9">
      <c r="A53" s="205">
        <f>ROW()</f>
        <v>53</v>
      </c>
      <c r="B53" s="60">
        <f t="shared" si="5"/>
        <v>30</v>
      </c>
      <c r="C53" s="133">
        <f t="shared" si="4"/>
        <v>41883</v>
      </c>
      <c r="D53" s="255">
        <f>'#1 DFIT- FSC'!P57</f>
        <v>23200.099049050361</v>
      </c>
      <c r="E53" s="63">
        <f t="shared" si="6"/>
        <v>-10017838.773136282</v>
      </c>
      <c r="F53" s="64">
        <f>G26-SUM(B$17:$B26)+1</f>
        <v>62</v>
      </c>
      <c r="G53" s="5">
        <f t="shared" si="7"/>
        <v>365</v>
      </c>
      <c r="H53" s="62">
        <f t="shared" si="10"/>
        <v>3940.8387425784172</v>
      </c>
      <c r="I53" s="63">
        <f t="shared" si="8"/>
        <v>-9841064.3457011934</v>
      </c>
    </row>
    <row r="54" spans="1:9">
      <c r="A54" s="205">
        <f>ROW()</f>
        <v>54</v>
      </c>
      <c r="B54" s="60">
        <f t="shared" si="5"/>
        <v>31</v>
      </c>
      <c r="C54" s="133">
        <f t="shared" si="4"/>
        <v>41913</v>
      </c>
      <c r="D54" s="255">
        <f>'#1 DFIT- FSC'!P58</f>
        <v>23200.099049055949</v>
      </c>
      <c r="E54" s="63">
        <f t="shared" si="6"/>
        <v>-10041038.872185338</v>
      </c>
      <c r="F54" s="64">
        <f>G27-SUM(B$17:$B27)+1</f>
        <v>31</v>
      </c>
      <c r="G54" s="5">
        <f t="shared" si="7"/>
        <v>365</v>
      </c>
      <c r="H54" s="62">
        <f t="shared" si="10"/>
        <v>1970.4193712896833</v>
      </c>
      <c r="I54" s="63">
        <f t="shared" si="8"/>
        <v>-9843034.7650724836</v>
      </c>
    </row>
    <row r="55" spans="1:9">
      <c r="A55" s="205">
        <f>ROW()</f>
        <v>55</v>
      </c>
      <c r="B55" s="60">
        <f t="shared" si="5"/>
        <v>30</v>
      </c>
      <c r="C55" s="133">
        <f t="shared" si="4"/>
        <v>41944</v>
      </c>
      <c r="D55" s="255">
        <f>'#1 DFIT- FSC'!P59</f>
        <v>23200.099049052224</v>
      </c>
      <c r="E55" s="63">
        <f t="shared" si="6"/>
        <v>-10064238.971234391</v>
      </c>
      <c r="F55" s="64">
        <f>G28-SUM(B$17:$B28)+1</f>
        <v>1</v>
      </c>
      <c r="G55" s="5">
        <f t="shared" si="7"/>
        <v>365</v>
      </c>
      <c r="H55" s="62">
        <f>+F55/G55*D55</f>
        <v>63.561915202882808</v>
      </c>
      <c r="I55" s="63">
        <f>+I54-H55</f>
        <v>-9843098.3269876856</v>
      </c>
    </row>
    <row r="56" spans="1:9" ht="13.5" thickBot="1">
      <c r="A56" s="205">
        <f>ROW()</f>
        <v>56</v>
      </c>
      <c r="B56" s="256">
        <f>SUM(B44:B55)</f>
        <v>365</v>
      </c>
      <c r="C56" s="40"/>
      <c r="D56" s="257">
        <f>SUM(D44:D55)</f>
        <v>1145417.9083346352</v>
      </c>
      <c r="E56"/>
      <c r="F56" s="39"/>
      <c r="G56" s="258"/>
      <c r="H56" s="257">
        <f>SUM(H44:H55)</f>
        <v>924277.26408792927</v>
      </c>
      <c r="I56" s="207"/>
    </row>
    <row r="57" spans="1:9" ht="14.25" thickTop="1" thickBot="1">
      <c r="A57" s="205">
        <f>ROW()</f>
        <v>57</v>
      </c>
      <c r="B57" s="39"/>
      <c r="C57" s="40"/>
      <c r="D57" s="62"/>
      <c r="E57"/>
      <c r="F57" s="39"/>
      <c r="G57" s="40"/>
      <c r="H57" s="259"/>
      <c r="I57" s="207"/>
    </row>
    <row r="58" spans="1:9" ht="13.5" thickBot="1">
      <c r="A58" s="205">
        <f>ROW()</f>
        <v>58</v>
      </c>
      <c r="B58" s="39" t="s">
        <v>20</v>
      </c>
      <c r="C58" s="40"/>
      <c r="D58" s="62"/>
      <c r="E58" s="260">
        <f>(E43+E55+SUM(E44:E54)*2)/24</f>
        <v>-9888912.6802839879</v>
      </c>
      <c r="F58" s="39"/>
      <c r="G58" s="40"/>
      <c r="H58" s="40"/>
      <c r="I58" s="261">
        <f>(I43+I55+SUM(I44:I54)*2)/24</f>
        <v>-9768721.9636641257</v>
      </c>
    </row>
    <row r="59" spans="1:9" ht="13.5" thickTop="1">
      <c r="A59" s="209">
        <f>ROW()</f>
        <v>59</v>
      </c>
      <c r="B59" s="210"/>
      <c r="C59" s="211"/>
      <c r="D59" s="211"/>
      <c r="E59" s="212"/>
      <c r="F59" s="210"/>
      <c r="G59" s="211"/>
      <c r="H59" s="211"/>
      <c r="I59" s="212"/>
    </row>
    <row r="61" spans="1:9" s="104" customFormat="1">
      <c r="A61" s="275" t="s">
        <v>232</v>
      </c>
      <c r="B61" s="150"/>
      <c r="C61" s="150"/>
      <c r="D61" s="150"/>
      <c r="E61" s="150"/>
      <c r="F61" s="150"/>
      <c r="G61" s="150"/>
      <c r="H61" s="150"/>
      <c r="I61" s="150"/>
    </row>
    <row r="62" spans="1:9">
      <c r="A62" s="204"/>
      <c r="B62" s="277" t="s">
        <v>40</v>
      </c>
      <c r="C62" s="36"/>
      <c r="D62" s="36"/>
      <c r="E62" s="36"/>
      <c r="F62" s="36"/>
      <c r="G62" s="36"/>
      <c r="H62" s="36"/>
      <c r="I62" s="37"/>
    </row>
    <row r="63" spans="1:9">
      <c r="A63" s="205"/>
      <c r="B63" s="35"/>
      <c r="C63" s="36" t="s">
        <v>41</v>
      </c>
      <c r="D63" s="36"/>
      <c r="E63" s="37"/>
      <c r="F63" s="38" t="s">
        <v>7</v>
      </c>
      <c r="G63" s="36"/>
      <c r="H63" s="36"/>
      <c r="I63" s="206"/>
    </row>
    <row r="64" spans="1:9">
      <c r="A64" s="205"/>
      <c r="B64" s="39"/>
      <c r="C64" s="40"/>
      <c r="D64" s="40"/>
      <c r="E64" s="41" t="s">
        <v>8</v>
      </c>
      <c r="F64" s="42"/>
      <c r="G64" s="43"/>
      <c r="H64" s="43"/>
      <c r="I64" s="207"/>
    </row>
    <row r="65" spans="1:9">
      <c r="A65" s="205" t="s">
        <v>42</v>
      </c>
      <c r="B65" s="44" t="s">
        <v>9</v>
      </c>
      <c r="C65" s="45" t="s">
        <v>4</v>
      </c>
      <c r="D65" s="45" t="s">
        <v>10</v>
      </c>
      <c r="E65" s="41" t="s">
        <v>11</v>
      </c>
      <c r="F65" s="44" t="s">
        <v>12</v>
      </c>
      <c r="G65" s="45" t="s">
        <v>13</v>
      </c>
      <c r="H65" s="45" t="s">
        <v>14</v>
      </c>
      <c r="I65" s="41" t="s">
        <v>15</v>
      </c>
    </row>
    <row r="66" spans="1:9">
      <c r="A66" s="205"/>
      <c r="B66" s="46" t="s">
        <v>4</v>
      </c>
      <c r="C66" s="47" t="s">
        <v>43</v>
      </c>
      <c r="D66" s="47" t="s">
        <v>16</v>
      </c>
      <c r="E66" s="48" t="s">
        <v>3</v>
      </c>
      <c r="F66" s="46" t="s">
        <v>17</v>
      </c>
      <c r="G66" s="47" t="s">
        <v>18</v>
      </c>
      <c r="H66" s="47" t="s">
        <v>19</v>
      </c>
      <c r="I66" s="48" t="s">
        <v>44</v>
      </c>
    </row>
    <row r="67" spans="1:9">
      <c r="A67" s="205"/>
      <c r="B67" s="49" t="s">
        <v>45</v>
      </c>
      <c r="C67" s="50" t="s">
        <v>46</v>
      </c>
      <c r="D67" s="51" t="s">
        <v>47</v>
      </c>
      <c r="E67" s="52" t="s">
        <v>48</v>
      </c>
      <c r="F67" s="49" t="s">
        <v>49</v>
      </c>
      <c r="G67" s="53" t="str">
        <f>+G13</f>
        <v>f = col. a row 29</v>
      </c>
      <c r="H67" s="208" t="s">
        <v>50</v>
      </c>
      <c r="I67" s="52" t="s">
        <v>51</v>
      </c>
    </row>
    <row r="68" spans="1:9">
      <c r="A68" s="209"/>
      <c r="B68" s="54"/>
      <c r="C68" s="55"/>
      <c r="D68" s="56"/>
      <c r="E68" s="57" t="s">
        <v>52</v>
      </c>
      <c r="F68" s="54" t="s">
        <v>53</v>
      </c>
      <c r="G68" s="58"/>
      <c r="H68" s="59"/>
      <c r="I68" s="57" t="s">
        <v>54</v>
      </c>
    </row>
    <row r="69" spans="1:9">
      <c r="A69" s="204">
        <f>ROW()</f>
        <v>69</v>
      </c>
      <c r="B69" s="60"/>
      <c r="C69" s="61"/>
      <c r="D69" s="62"/>
      <c r="E69" s="63"/>
      <c r="F69" s="64"/>
      <c r="G69" s="5"/>
      <c r="H69" s="62"/>
      <c r="I69" s="63"/>
    </row>
    <row r="70" spans="1:9">
      <c r="A70" s="205">
        <f>ROW()</f>
        <v>70</v>
      </c>
      <c r="B70" s="60"/>
      <c r="C70" s="133">
        <f>+C16</f>
        <v>41579</v>
      </c>
      <c r="D70" s="255">
        <f>'#2 DFIT- Unit 4'!P29</f>
        <v>2388465.3960886821</v>
      </c>
      <c r="E70" s="253">
        <f>+'#2 DFIT- Unit 4'!O29</f>
        <v>-11980571.570615787</v>
      </c>
      <c r="F70" s="64"/>
      <c r="G70" s="5"/>
      <c r="H70" s="62"/>
      <c r="I70" s="254">
        <f>E70</f>
        <v>-11980571.570615787</v>
      </c>
    </row>
    <row r="71" spans="1:9">
      <c r="A71" s="205">
        <f>ROW()</f>
        <v>71</v>
      </c>
      <c r="B71" s="60">
        <f>+B17</f>
        <v>31</v>
      </c>
      <c r="C71" s="133">
        <f t="shared" ref="C71:C82" si="11">+C17</f>
        <v>41609</v>
      </c>
      <c r="D71" s="255">
        <f>'#2 DFIT- Unit 4'!P30</f>
        <v>2388465.396088684</v>
      </c>
      <c r="E71" s="253">
        <f>+'#2 DFIT- Unit 4'!O30</f>
        <v>-14369036.966704471</v>
      </c>
      <c r="F71" s="64">
        <f>G17-SUM(B$17:$B17)+1</f>
        <v>335</v>
      </c>
      <c r="G71" s="5">
        <f>B83</f>
        <v>365</v>
      </c>
      <c r="H71" s="62">
        <f>+F71/G71*D71</f>
        <v>2192153.1717526279</v>
      </c>
      <c r="I71" s="63">
        <f>+I70-H71</f>
        <v>-14172724.742368415</v>
      </c>
    </row>
    <row r="72" spans="1:9">
      <c r="A72" s="205">
        <f>ROW()</f>
        <v>72</v>
      </c>
      <c r="B72" s="60">
        <f t="shared" ref="B72:B82" si="12">+B18</f>
        <v>31</v>
      </c>
      <c r="C72" s="133">
        <f t="shared" si="11"/>
        <v>41275</v>
      </c>
      <c r="D72" s="255">
        <f>'#2 DFIT- Unit 4'!P31</f>
        <v>33341.858832206577</v>
      </c>
      <c r="E72" s="253">
        <f>+'#2 DFIT- Unit 4'!O31</f>
        <v>-14402378.825536678</v>
      </c>
      <c r="F72" s="64">
        <f>G18-SUM(B$17:$B18)+1</f>
        <v>304</v>
      </c>
      <c r="G72" s="5">
        <f t="shared" ref="G72:G82" si="13">G71</f>
        <v>365</v>
      </c>
      <c r="H72" s="62">
        <f>+F72/G72*D72</f>
        <v>27769.657767098081</v>
      </c>
      <c r="I72" s="63">
        <f t="shared" ref="I72:I81" si="14">+I71-H72</f>
        <v>-14200494.400135513</v>
      </c>
    </row>
    <row r="73" spans="1:9">
      <c r="A73" s="205">
        <f>ROW()</f>
        <v>73</v>
      </c>
      <c r="B73" s="60">
        <f t="shared" si="12"/>
        <v>28</v>
      </c>
      <c r="C73" s="133">
        <f t="shared" si="11"/>
        <v>41306</v>
      </c>
      <c r="D73" s="255">
        <f>'#2 DFIT- Unit 4'!P32</f>
        <v>33341.858832200989</v>
      </c>
      <c r="E73" s="253">
        <f>+'#2 DFIT- Unit 4'!O32</f>
        <v>-14435720.684368879</v>
      </c>
      <c r="F73" s="64">
        <f>G19-SUM(B$17:$B19)+1</f>
        <v>276</v>
      </c>
      <c r="G73" s="5">
        <f t="shared" si="13"/>
        <v>365</v>
      </c>
      <c r="H73" s="62">
        <f>+F73/G73*D73</f>
        <v>25211.926130650612</v>
      </c>
      <c r="I73" s="63">
        <f t="shared" si="14"/>
        <v>-14225706.326266164</v>
      </c>
    </row>
    <row r="74" spans="1:9">
      <c r="A74" s="205">
        <f>ROW()</f>
        <v>74</v>
      </c>
      <c r="B74" s="60">
        <f t="shared" si="12"/>
        <v>31</v>
      </c>
      <c r="C74" s="133">
        <f t="shared" si="11"/>
        <v>41699</v>
      </c>
      <c r="D74" s="255">
        <f>'#2 DFIT- Unit 4'!P33</f>
        <v>33341.858832200989</v>
      </c>
      <c r="E74" s="253">
        <f>+'#2 DFIT- Unit 4'!O33</f>
        <v>-14469062.54320108</v>
      </c>
      <c r="F74" s="64">
        <f>G20-SUM(B$17:$B20)+1</f>
        <v>245</v>
      </c>
      <c r="G74" s="5">
        <f t="shared" si="13"/>
        <v>365</v>
      </c>
      <c r="H74" s="62">
        <f>+F74/G74*D74</f>
        <v>22380.151818874638</v>
      </c>
      <c r="I74" s="63">
        <f t="shared" si="14"/>
        <v>-14248086.478085039</v>
      </c>
    </row>
    <row r="75" spans="1:9">
      <c r="A75" s="205">
        <f>ROW()</f>
        <v>75</v>
      </c>
      <c r="B75" s="60">
        <f t="shared" si="12"/>
        <v>30</v>
      </c>
      <c r="C75" s="133">
        <f t="shared" si="11"/>
        <v>41730</v>
      </c>
      <c r="D75" s="255">
        <f>'#2 DFIT- Unit 4'!P34</f>
        <v>33341.858832200989</v>
      </c>
      <c r="E75" s="253">
        <f>+'#2 DFIT- Unit 4'!O34</f>
        <v>-14502404.402033281</v>
      </c>
      <c r="F75" s="64">
        <f>G21-SUM(B$17:$B21)+1</f>
        <v>215</v>
      </c>
      <c r="G75" s="5">
        <f t="shared" si="13"/>
        <v>365</v>
      </c>
      <c r="H75" s="62">
        <f t="shared" ref="H75:H81" si="15">+F75/G75*D75</f>
        <v>19639.725065543051</v>
      </c>
      <c r="I75" s="63">
        <f t="shared" si="14"/>
        <v>-14267726.203150582</v>
      </c>
    </row>
    <row r="76" spans="1:9">
      <c r="A76" s="205">
        <f>ROW()</f>
        <v>76</v>
      </c>
      <c r="B76" s="60">
        <f t="shared" si="12"/>
        <v>31</v>
      </c>
      <c r="C76" s="133">
        <f t="shared" si="11"/>
        <v>41760</v>
      </c>
      <c r="D76" s="255">
        <f>'#2 DFIT- Unit 4'!P35</f>
        <v>33341.858832204714</v>
      </c>
      <c r="E76" s="253">
        <f>+'#2 DFIT- Unit 4'!O35</f>
        <v>-14535746.260865485</v>
      </c>
      <c r="F76" s="64">
        <f>G22-SUM(B$17:$B22)+1</f>
        <v>184</v>
      </c>
      <c r="G76" s="5">
        <f t="shared" si="13"/>
        <v>365</v>
      </c>
      <c r="H76" s="62">
        <f t="shared" si="15"/>
        <v>16807.950753768953</v>
      </c>
      <c r="I76" s="63">
        <f t="shared" si="14"/>
        <v>-14284534.15390435</v>
      </c>
    </row>
    <row r="77" spans="1:9">
      <c r="A77" s="205">
        <f>ROW()</f>
        <v>77</v>
      </c>
      <c r="B77" s="60">
        <f t="shared" si="12"/>
        <v>30</v>
      </c>
      <c r="C77" s="133">
        <f t="shared" si="11"/>
        <v>41791</v>
      </c>
      <c r="D77" s="255">
        <f>'#2 DFIT- Unit 4'!P36</f>
        <v>33341.858832197264</v>
      </c>
      <c r="E77" s="253">
        <f>+'#2 DFIT- Unit 4'!O36</f>
        <v>-14569088.119697683</v>
      </c>
      <c r="F77" s="64">
        <f>G23-SUM(B$17:$B23)+1</f>
        <v>154</v>
      </c>
      <c r="G77" s="5">
        <f t="shared" si="13"/>
        <v>365</v>
      </c>
      <c r="H77" s="62">
        <f>+F77/G77*D77</f>
        <v>14067.524000433914</v>
      </c>
      <c r="I77" s="63">
        <f t="shared" si="14"/>
        <v>-14298601.677904785</v>
      </c>
    </row>
    <row r="78" spans="1:9">
      <c r="A78" s="205">
        <f>ROW()</f>
        <v>78</v>
      </c>
      <c r="B78" s="60">
        <f t="shared" si="12"/>
        <v>31</v>
      </c>
      <c r="C78" s="133">
        <f t="shared" si="11"/>
        <v>41821</v>
      </c>
      <c r="D78" s="255">
        <f>'#2 DFIT- Unit 4'!P37</f>
        <v>33341.858832204714</v>
      </c>
      <c r="E78" s="253">
        <f>+'#2 DFIT- Unit 4'!O37</f>
        <v>-14602429.978529887</v>
      </c>
      <c r="F78" s="64">
        <f>G24-SUM(B$17:$B24)+1</f>
        <v>123</v>
      </c>
      <c r="G78" s="5">
        <f t="shared" si="13"/>
        <v>365</v>
      </c>
      <c r="H78" s="62">
        <f t="shared" si="15"/>
        <v>11235.749688660768</v>
      </c>
      <c r="I78" s="63">
        <f t="shared" si="14"/>
        <v>-14309837.427593445</v>
      </c>
    </row>
    <row r="79" spans="1:9">
      <c r="A79" s="205">
        <f>ROW()</f>
        <v>79</v>
      </c>
      <c r="B79" s="60">
        <f t="shared" si="12"/>
        <v>31</v>
      </c>
      <c r="C79" s="133">
        <f t="shared" si="11"/>
        <v>41852</v>
      </c>
      <c r="D79" s="255">
        <f>'#2 DFIT- Unit 4'!P38</f>
        <v>33341.858832200989</v>
      </c>
      <c r="E79" s="253">
        <f>+'#2 DFIT- Unit 4'!O38</f>
        <v>-14635771.837362088</v>
      </c>
      <c r="F79" s="64">
        <f>G25-SUM(B$17:$B25)+1</f>
        <v>92</v>
      </c>
      <c r="G79" s="5">
        <f t="shared" si="13"/>
        <v>365</v>
      </c>
      <c r="H79" s="62">
        <f t="shared" si="15"/>
        <v>8403.975376883538</v>
      </c>
      <c r="I79" s="63">
        <f t="shared" si="14"/>
        <v>-14318241.402970329</v>
      </c>
    </row>
    <row r="80" spans="1:9">
      <c r="A80" s="205">
        <f>ROW()</f>
        <v>80</v>
      </c>
      <c r="B80" s="60">
        <f t="shared" si="12"/>
        <v>30</v>
      </c>
      <c r="C80" s="133">
        <f t="shared" si="11"/>
        <v>41883</v>
      </c>
      <c r="D80" s="255">
        <f>'#2 DFIT- Unit 4'!P39</f>
        <v>33341.858832200989</v>
      </c>
      <c r="E80" s="253">
        <f>+'#2 DFIT- Unit 4'!O39</f>
        <v>-14669113.696194289</v>
      </c>
      <c r="F80" s="64">
        <f>G26-SUM(B$17:$B26)+1</f>
        <v>62</v>
      </c>
      <c r="G80" s="5">
        <f t="shared" si="13"/>
        <v>365</v>
      </c>
      <c r="H80" s="62">
        <f>+F80/G80*D80</f>
        <v>5663.5486235519484</v>
      </c>
      <c r="I80" s="63">
        <f t="shared" si="14"/>
        <v>-14323904.951593881</v>
      </c>
    </row>
    <row r="81" spans="1:9">
      <c r="A81" s="205">
        <f>ROW()</f>
        <v>81</v>
      </c>
      <c r="B81" s="60">
        <f t="shared" si="12"/>
        <v>31</v>
      </c>
      <c r="C81" s="133">
        <f t="shared" si="11"/>
        <v>41913</v>
      </c>
      <c r="D81" s="255">
        <f>'#2 DFIT- Unit 4'!P40</f>
        <v>33341.858832200989</v>
      </c>
      <c r="E81" s="253">
        <f>+'#2 DFIT- Unit 4'!O40</f>
        <v>-14702455.55502649</v>
      </c>
      <c r="F81" s="64">
        <f>G27-SUM(B$17:$B27)+1</f>
        <v>31</v>
      </c>
      <c r="G81" s="5">
        <f t="shared" si="13"/>
        <v>365</v>
      </c>
      <c r="H81" s="62">
        <f t="shared" si="15"/>
        <v>2831.7743117759742</v>
      </c>
      <c r="I81" s="63">
        <f t="shared" si="14"/>
        <v>-14326736.725905657</v>
      </c>
    </row>
    <row r="82" spans="1:9">
      <c r="A82" s="205">
        <f>ROW()</f>
        <v>82</v>
      </c>
      <c r="B82" s="60">
        <f t="shared" si="12"/>
        <v>30</v>
      </c>
      <c r="C82" s="133">
        <f t="shared" si="11"/>
        <v>41944</v>
      </c>
      <c r="D82" s="255">
        <f>'#2 DFIT- Unit 4'!P41</f>
        <v>33341.858832200989</v>
      </c>
      <c r="E82" s="253">
        <f>+'#2 DFIT- Unit 4'!O41</f>
        <v>-14735797.413858691</v>
      </c>
      <c r="F82" s="64">
        <f>G28-SUM(B$17:$B28)+1</f>
        <v>1</v>
      </c>
      <c r="G82" s="5">
        <f t="shared" si="13"/>
        <v>365</v>
      </c>
      <c r="H82" s="62">
        <f>+F82/G82*D82</f>
        <v>91.347558444386266</v>
      </c>
      <c r="I82" s="63">
        <f>+I81-H82</f>
        <v>-14326828.073464101</v>
      </c>
    </row>
    <row r="83" spans="1:9" ht="13.5" thickBot="1">
      <c r="A83" s="205">
        <f>ROW()</f>
        <v>83</v>
      </c>
      <c r="B83" s="256">
        <f>SUM(B71:B82)</f>
        <v>365</v>
      </c>
      <c r="C83" s="40"/>
      <c r="D83" s="257">
        <f>SUM(D71:D82)</f>
        <v>2755225.8432429042</v>
      </c>
      <c r="E83"/>
      <c r="F83" s="39"/>
      <c r="G83" s="258"/>
      <c r="H83" s="257">
        <f>SUM(H71:H82)</f>
        <v>2346256.5028483132</v>
      </c>
      <c r="I83" s="207"/>
    </row>
    <row r="84" spans="1:9" ht="14.25" thickTop="1" thickBot="1">
      <c r="A84" s="205">
        <f>ROW()</f>
        <v>84</v>
      </c>
      <c r="B84" s="39"/>
      <c r="C84" s="40"/>
      <c r="D84" s="62"/>
      <c r="E84"/>
      <c r="F84" s="39"/>
      <c r="G84" s="40"/>
      <c r="H84" s="259"/>
      <c r="I84" s="207"/>
    </row>
    <row r="85" spans="1:9" ht="13.5" thickBot="1">
      <c r="A85" s="205">
        <f>ROW()</f>
        <v>85</v>
      </c>
      <c r="B85" s="39" t="s">
        <v>20</v>
      </c>
      <c r="C85" s="40"/>
      <c r="D85" s="62"/>
      <c r="E85" s="260">
        <f>(E70+E82+SUM(E71:E81)*2)/24</f>
        <v>-14437616.113479799</v>
      </c>
      <c r="F85" s="39"/>
      <c r="G85" s="40"/>
      <c r="H85" s="40"/>
      <c r="I85" s="261">
        <f>(I70+I82+SUM(I71:I81)*2)/24</f>
        <v>-14177524.525993174</v>
      </c>
    </row>
    <row r="86" spans="1:9" ht="13.5" thickTop="1">
      <c r="A86" s="209">
        <f>ROW()</f>
        <v>86</v>
      </c>
      <c r="B86" s="210"/>
      <c r="C86" s="211"/>
      <c r="D86" s="211"/>
      <c r="E86" s="212"/>
      <c r="F86" s="210"/>
      <c r="G86" s="211"/>
      <c r="H86" s="211"/>
      <c r="I86" s="212"/>
    </row>
    <row r="88" spans="1:9">
      <c r="A88"/>
      <c r="B88"/>
      <c r="C88"/>
      <c r="D88"/>
      <c r="E88" s="91"/>
      <c r="F88"/>
      <c r="G88"/>
      <c r="H88"/>
      <c r="I88"/>
    </row>
    <row r="89" spans="1:9">
      <c r="A89"/>
      <c r="B89"/>
      <c r="C89"/>
      <c r="D89"/>
      <c r="E89"/>
      <c r="F89"/>
      <c r="G89"/>
      <c r="H89"/>
      <c r="I89"/>
    </row>
    <row r="90" spans="1:9">
      <c r="A90"/>
      <c r="B90"/>
      <c r="C90"/>
      <c r="D90"/>
      <c r="E90"/>
      <c r="F90"/>
      <c r="G90"/>
      <c r="H90"/>
      <c r="I90"/>
    </row>
    <row r="91" spans="1:9">
      <c r="A91"/>
      <c r="B91"/>
      <c r="C91"/>
      <c r="D91"/>
      <c r="E91"/>
      <c r="F91"/>
      <c r="G91"/>
      <c r="H91"/>
      <c r="I91"/>
    </row>
    <row r="92" spans="1:9">
      <c r="A92"/>
      <c r="B92"/>
      <c r="C92"/>
      <c r="D92"/>
      <c r="E92"/>
      <c r="F92"/>
      <c r="G92"/>
      <c r="H92"/>
      <c r="I92"/>
    </row>
    <row r="93" spans="1:9">
      <c r="A93"/>
      <c r="B93"/>
      <c r="C93"/>
      <c r="D93"/>
      <c r="E93"/>
      <c r="F93"/>
      <c r="G93"/>
      <c r="H93"/>
      <c r="I93"/>
    </row>
    <row r="94" spans="1:9">
      <c r="A94"/>
      <c r="B94"/>
      <c r="C94"/>
      <c r="D94"/>
      <c r="E94"/>
      <c r="F94"/>
      <c r="G94"/>
      <c r="H94"/>
      <c r="I94"/>
    </row>
    <row r="95" spans="1:9">
      <c r="A95"/>
      <c r="B95"/>
      <c r="C95"/>
      <c r="D95"/>
      <c r="E95"/>
      <c r="F95"/>
      <c r="G95"/>
      <c r="H95"/>
      <c r="I95"/>
    </row>
    <row r="96" spans="1:9">
      <c r="A96"/>
      <c r="B96"/>
      <c r="C96"/>
      <c r="D96"/>
      <c r="E96"/>
      <c r="F96"/>
      <c r="G96"/>
      <c r="H96"/>
      <c r="I96"/>
    </row>
    <row r="97" spans="1:9">
      <c r="A97"/>
      <c r="B97"/>
      <c r="C97"/>
      <c r="D97"/>
      <c r="E97"/>
      <c r="F97"/>
      <c r="G97"/>
      <c r="H97"/>
      <c r="I97"/>
    </row>
    <row r="98" spans="1:9">
      <c r="A98"/>
      <c r="B98"/>
      <c r="C98"/>
      <c r="D98"/>
      <c r="E98"/>
      <c r="F98"/>
      <c r="G98"/>
      <c r="H98"/>
      <c r="I98"/>
    </row>
    <row r="99" spans="1:9">
      <c r="A99"/>
      <c r="B99"/>
      <c r="C99"/>
      <c r="D99"/>
      <c r="E99"/>
      <c r="F99"/>
      <c r="G99"/>
      <c r="H99"/>
      <c r="I99"/>
    </row>
    <row r="100" spans="1:9">
      <c r="A100"/>
      <c r="B100"/>
      <c r="C100"/>
      <c r="D100"/>
      <c r="E100"/>
      <c r="F100"/>
      <c r="G100"/>
      <c r="H100"/>
      <c r="I100"/>
    </row>
    <row r="101" spans="1:9">
      <c r="A101"/>
      <c r="B101"/>
      <c r="C101"/>
      <c r="D101"/>
      <c r="E101"/>
      <c r="F101"/>
      <c r="G101"/>
      <c r="H101"/>
      <c r="I101"/>
    </row>
    <row r="102" spans="1:9">
      <c r="A102"/>
      <c r="B102"/>
      <c r="C102"/>
      <c r="D102"/>
      <c r="E102"/>
      <c r="F102"/>
      <c r="G102"/>
      <c r="H102"/>
      <c r="I102"/>
    </row>
    <row r="103" spans="1:9">
      <c r="A103"/>
      <c r="B103"/>
      <c r="C103"/>
      <c r="D103"/>
      <c r="E103"/>
      <c r="F103"/>
      <c r="G103"/>
      <c r="H103"/>
      <c r="I103"/>
    </row>
    <row r="104" spans="1:9">
      <c r="A104"/>
      <c r="B104"/>
      <c r="C104"/>
      <c r="D104"/>
      <c r="E104"/>
      <c r="F104"/>
      <c r="G104"/>
      <c r="H104"/>
      <c r="I104"/>
    </row>
    <row r="105" spans="1:9">
      <c r="A105"/>
      <c r="B105"/>
      <c r="C105"/>
      <c r="D105"/>
      <c r="E105"/>
      <c r="F105"/>
      <c r="G105"/>
      <c r="H105"/>
      <c r="I105"/>
    </row>
    <row r="106" spans="1:9">
      <c r="A106"/>
      <c r="B106"/>
      <c r="C106"/>
      <c r="D106"/>
      <c r="E106"/>
      <c r="F106"/>
      <c r="G106"/>
      <c r="H106"/>
      <c r="I106"/>
    </row>
    <row r="107" spans="1:9">
      <c r="A107"/>
      <c r="B107"/>
      <c r="C107"/>
      <c r="D107"/>
      <c r="E107"/>
      <c r="F107"/>
      <c r="G107"/>
      <c r="H107"/>
      <c r="I107"/>
    </row>
    <row r="108" spans="1:9">
      <c r="A108"/>
      <c r="B108"/>
      <c r="C108"/>
      <c r="D108"/>
      <c r="E108"/>
      <c r="F108"/>
      <c r="G108"/>
      <c r="H108"/>
      <c r="I108"/>
    </row>
    <row r="109" spans="1:9">
      <c r="A109"/>
      <c r="B109"/>
      <c r="C109"/>
      <c r="D109"/>
      <c r="E109"/>
      <c r="F109"/>
      <c r="G109"/>
      <c r="H109"/>
      <c r="I109"/>
    </row>
    <row r="110" spans="1:9">
      <c r="A110"/>
      <c r="B110"/>
      <c r="C110"/>
      <c r="D110"/>
      <c r="E110"/>
      <c r="F110"/>
      <c r="G110"/>
      <c r="H110"/>
      <c r="I110"/>
    </row>
    <row r="111" spans="1:9">
      <c r="A111"/>
      <c r="B111"/>
      <c r="C111"/>
      <c r="D111"/>
      <c r="E111"/>
      <c r="F111"/>
      <c r="G111"/>
      <c r="H111"/>
      <c r="I111"/>
    </row>
    <row r="112" spans="1:9">
      <c r="A112"/>
      <c r="B112"/>
      <c r="C112"/>
      <c r="D112"/>
      <c r="E112"/>
      <c r="F112"/>
      <c r="G112"/>
      <c r="H112"/>
      <c r="I112"/>
    </row>
    <row r="113" spans="1:9">
      <c r="A113"/>
      <c r="B113"/>
      <c r="C113"/>
      <c r="D113"/>
      <c r="E113"/>
      <c r="F113"/>
      <c r="G113"/>
      <c r="H113"/>
      <c r="I113"/>
    </row>
    <row r="114" spans="1:9">
      <c r="A114"/>
      <c r="B114"/>
      <c r="C114"/>
      <c r="D114"/>
      <c r="E114"/>
      <c r="F114"/>
      <c r="G114"/>
      <c r="H114"/>
      <c r="I114"/>
    </row>
    <row r="115" spans="1:9">
      <c r="A115"/>
      <c r="B115"/>
      <c r="C115"/>
      <c r="D115"/>
      <c r="E115"/>
      <c r="F115"/>
      <c r="G115"/>
      <c r="H115"/>
      <c r="I115"/>
    </row>
    <row r="116" spans="1:9">
      <c r="A116"/>
      <c r="B116"/>
      <c r="C116"/>
      <c r="D116"/>
      <c r="E116"/>
      <c r="F116"/>
      <c r="G116"/>
      <c r="H116"/>
      <c r="I116"/>
    </row>
    <row r="117" spans="1:9">
      <c r="A117"/>
      <c r="B117"/>
      <c r="C117"/>
      <c r="D117"/>
      <c r="E117"/>
      <c r="F117"/>
      <c r="G117"/>
      <c r="H117"/>
      <c r="I117"/>
    </row>
    <row r="118" spans="1:9">
      <c r="A118"/>
      <c r="B118"/>
      <c r="C118"/>
      <c r="D118"/>
      <c r="E118"/>
      <c r="F118"/>
      <c r="G118"/>
      <c r="H118"/>
      <c r="I118"/>
    </row>
    <row r="119" spans="1:9">
      <c r="A119"/>
      <c r="B119"/>
      <c r="C119"/>
      <c r="D119"/>
      <c r="E119"/>
      <c r="F119"/>
      <c r="G119"/>
      <c r="H119"/>
      <c r="I119"/>
    </row>
    <row r="120" spans="1:9">
      <c r="A120"/>
      <c r="B120"/>
      <c r="C120"/>
      <c r="D120"/>
      <c r="E120"/>
      <c r="F120"/>
      <c r="G120"/>
      <c r="H120"/>
      <c r="I120"/>
    </row>
    <row r="121" spans="1:9">
      <c r="A121"/>
      <c r="B121"/>
      <c r="C121"/>
      <c r="D121"/>
      <c r="E121"/>
      <c r="F121"/>
      <c r="G121"/>
      <c r="H121"/>
      <c r="I121"/>
    </row>
    <row r="122" spans="1:9">
      <c r="A122"/>
      <c r="B122"/>
      <c r="C122"/>
      <c r="D122"/>
      <c r="E122"/>
      <c r="F122"/>
      <c r="G122"/>
      <c r="H122"/>
      <c r="I122"/>
    </row>
    <row r="123" spans="1:9">
      <c r="A123"/>
      <c r="B123"/>
      <c r="C123"/>
      <c r="D123"/>
      <c r="E123"/>
      <c r="F123"/>
      <c r="G123"/>
      <c r="H123"/>
      <c r="I123"/>
    </row>
    <row r="124" spans="1:9">
      <c r="A124"/>
      <c r="B124"/>
      <c r="C124"/>
      <c r="D124"/>
      <c r="E124"/>
      <c r="F124"/>
      <c r="G124"/>
      <c r="H124"/>
      <c r="I124"/>
    </row>
    <row r="125" spans="1:9">
      <c r="A125"/>
      <c r="B125"/>
      <c r="C125"/>
      <c r="D125"/>
      <c r="E125"/>
      <c r="F125"/>
      <c r="G125"/>
      <c r="H125"/>
      <c r="I125"/>
    </row>
    <row r="126" spans="1:9">
      <c r="A126"/>
      <c r="B126"/>
      <c r="C126"/>
      <c r="D126"/>
      <c r="E126"/>
      <c r="F126"/>
      <c r="G126"/>
      <c r="H126"/>
      <c r="I126"/>
    </row>
    <row r="127" spans="1:9">
      <c r="A127"/>
      <c r="B127"/>
      <c r="C127"/>
      <c r="D127"/>
      <c r="E127"/>
      <c r="F127"/>
      <c r="G127"/>
      <c r="H127"/>
      <c r="I127"/>
    </row>
    <row r="128" spans="1:9">
      <c r="A128"/>
      <c r="B128"/>
      <c r="C128"/>
      <c r="D128"/>
      <c r="E128"/>
      <c r="F128"/>
      <c r="G128"/>
      <c r="H128"/>
      <c r="I128"/>
    </row>
    <row r="129" spans="1:9">
      <c r="A129"/>
      <c r="B129"/>
      <c r="C129"/>
      <c r="D129"/>
      <c r="E129"/>
      <c r="F129"/>
      <c r="G129"/>
      <c r="H129"/>
      <c r="I129"/>
    </row>
    <row r="130" spans="1:9">
      <c r="A130"/>
      <c r="B130"/>
      <c r="C130"/>
      <c r="D130"/>
      <c r="E130"/>
      <c r="F130"/>
      <c r="G130"/>
      <c r="H130"/>
      <c r="I130"/>
    </row>
    <row r="131" spans="1:9">
      <c r="A131"/>
      <c r="B131"/>
      <c r="C131"/>
      <c r="D131"/>
      <c r="E131"/>
      <c r="F131"/>
      <c r="G131"/>
      <c r="H131"/>
      <c r="I131"/>
    </row>
    <row r="132" spans="1:9">
      <c r="A132"/>
      <c r="B132"/>
      <c r="C132"/>
      <c r="D132"/>
      <c r="E132"/>
      <c r="F132"/>
      <c r="G132"/>
      <c r="H132"/>
      <c r="I132"/>
    </row>
    <row r="133" spans="1:9">
      <c r="A133"/>
      <c r="B133"/>
      <c r="C133"/>
      <c r="D133"/>
      <c r="E133"/>
      <c r="F133"/>
      <c r="G133"/>
      <c r="H133"/>
      <c r="I133"/>
    </row>
    <row r="134" spans="1:9">
      <c r="A134"/>
      <c r="B134"/>
      <c r="C134"/>
      <c r="D134"/>
      <c r="E134"/>
      <c r="F134"/>
      <c r="G134"/>
      <c r="H134"/>
      <c r="I134"/>
    </row>
    <row r="135" spans="1:9">
      <c r="A135"/>
      <c r="B135"/>
      <c r="C135"/>
      <c r="D135"/>
      <c r="E135"/>
      <c r="F135"/>
      <c r="G135"/>
      <c r="H135"/>
      <c r="I135"/>
    </row>
    <row r="136" spans="1:9">
      <c r="A136"/>
      <c r="B136"/>
      <c r="C136"/>
      <c r="D136"/>
      <c r="E136"/>
      <c r="F136"/>
      <c r="G136"/>
      <c r="H136"/>
      <c r="I136"/>
    </row>
    <row r="137" spans="1:9">
      <c r="A137"/>
      <c r="B137"/>
      <c r="C137"/>
      <c r="D137"/>
      <c r="E137"/>
      <c r="F137"/>
      <c r="G137"/>
      <c r="H137"/>
      <c r="I137"/>
    </row>
    <row r="138" spans="1:9">
      <c r="A138"/>
      <c r="B138"/>
      <c r="C138"/>
      <c r="D138"/>
      <c r="E138"/>
      <c r="F138"/>
      <c r="G138"/>
      <c r="H138"/>
      <c r="I138"/>
    </row>
  </sheetData>
  <pageMargins left="0.7" right="0.7" top="0.75" bottom="0.75" header="0.3" footer="0.3"/>
  <pageSetup scale="6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W117"/>
  <sheetViews>
    <sheetView zoomScaleNormal="100" workbookViewId="0">
      <pane xSplit="1" ySplit="28" topLeftCell="B56" activePane="bottomRight" state="frozen"/>
      <selection activeCell="E21" sqref="E21"/>
      <selection pane="topRight" activeCell="E21" sqref="E21"/>
      <selection pane="bottomLeft" activeCell="E21" sqref="E21"/>
      <selection pane="bottomRight" activeCell="C7" sqref="C7"/>
    </sheetView>
  </sheetViews>
  <sheetFormatPr defaultColWidth="8.85546875" defaultRowHeight="12.75"/>
  <cols>
    <col min="1" max="1" width="21.7109375" style="2" customWidth="1"/>
    <col min="2" max="2" width="18.42578125" style="2" customWidth="1"/>
    <col min="3" max="3" width="18.85546875" style="2" customWidth="1"/>
    <col min="4" max="4" width="18.5703125" style="2" customWidth="1"/>
    <col min="5" max="6" width="15.7109375" style="2" customWidth="1"/>
    <col min="7" max="8" width="17.140625" style="2" customWidth="1"/>
    <col min="9" max="10" width="19.7109375" style="2" customWidth="1"/>
    <col min="11" max="11" width="21" style="2" customWidth="1"/>
    <col min="12" max="12" width="18" style="2" customWidth="1"/>
    <col min="13" max="13" width="18.5703125" style="2" customWidth="1"/>
    <col min="14" max="14" width="15.7109375" style="2" customWidth="1"/>
    <col min="15" max="15" width="18.42578125" style="2" customWidth="1"/>
    <col min="16" max="16" width="18.7109375" style="2" customWidth="1"/>
    <col min="17" max="17" width="8.85546875" style="2"/>
    <col min="18" max="18" width="13.5703125" style="2" customWidth="1"/>
    <col min="19" max="22" width="8.85546875" style="2"/>
    <col min="23" max="23" width="10.28515625" style="2" customWidth="1"/>
    <col min="24" max="16384" width="8.85546875" style="2"/>
  </cols>
  <sheetData>
    <row r="1" spans="1:23" s="10" customFormat="1">
      <c r="A1" s="6" t="s">
        <v>855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9"/>
      <c r="O1" s="80"/>
      <c r="P1" s="9"/>
      <c r="Q1" s="7"/>
      <c r="R1" s="8"/>
      <c r="S1" s="7"/>
      <c r="T1" s="7"/>
      <c r="U1" s="9"/>
    </row>
    <row r="2" spans="1:23" s="10" customFormat="1">
      <c r="A2" s="109" t="str">
        <f>+'Book Bal'!A72</f>
        <v>Total Baker Upgrade</v>
      </c>
      <c r="B2" s="7"/>
      <c r="C2" s="154" t="s">
        <v>146</v>
      </c>
      <c r="D2" s="154" t="s">
        <v>147</v>
      </c>
      <c r="F2" s="7"/>
      <c r="G2" s="159"/>
      <c r="H2" s="159"/>
      <c r="I2" s="107"/>
      <c r="L2" s="7"/>
      <c r="M2" s="8"/>
      <c r="N2" s="79"/>
      <c r="O2" s="80"/>
      <c r="P2" s="82"/>
      <c r="S2" s="8"/>
      <c r="T2" s="8"/>
      <c r="U2" s="8"/>
    </row>
    <row r="3" spans="1:23" s="10" customFormat="1">
      <c r="A3" s="113"/>
      <c r="B3" s="83"/>
      <c r="C3" s="274">
        <f>'Baker Tax Basis'!B13</f>
        <v>152062126.11249995</v>
      </c>
      <c r="D3" s="158">
        <f>+'Baker Tax Basis'!H13</f>
        <v>136740817.94672605</v>
      </c>
      <c r="E3" s="81"/>
      <c r="F3" s="8"/>
      <c r="G3" s="7"/>
      <c r="H3" s="8"/>
      <c r="L3" s="11"/>
      <c r="M3" s="11"/>
      <c r="N3" s="79"/>
      <c r="O3" s="80"/>
      <c r="P3" s="81"/>
      <c r="S3" s="8"/>
      <c r="T3" s="8"/>
      <c r="U3" s="8"/>
    </row>
    <row r="4" spans="1:23" s="10" customFormat="1" ht="18" customHeight="1">
      <c r="A4" s="2"/>
      <c r="B4" s="2"/>
      <c r="C4" s="2"/>
      <c r="D4" s="2"/>
      <c r="E4" s="2"/>
      <c r="F4" s="2"/>
      <c r="G4" s="128"/>
      <c r="H4" s="2"/>
      <c r="I4" s="2"/>
      <c r="J4" s="2"/>
      <c r="K4" s="2"/>
      <c r="L4" s="2"/>
      <c r="M4" s="2"/>
      <c r="P4" s="8"/>
      <c r="S4" s="8"/>
      <c r="T4" s="8"/>
      <c r="U4" s="8"/>
    </row>
    <row r="5" spans="1:23" s="291" customFormat="1">
      <c r="A5" s="1"/>
      <c r="B5" s="289"/>
      <c r="C5" s="289"/>
      <c r="D5" s="289"/>
      <c r="E5" s="289"/>
      <c r="F5" s="289"/>
      <c r="G5" s="290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</row>
    <row r="6" spans="1:23" s="291" customFormat="1">
      <c r="A6" s="1"/>
      <c r="B6" s="292"/>
      <c r="C6" s="292"/>
      <c r="D6" s="292"/>
      <c r="E6" s="292"/>
      <c r="F6" s="292"/>
      <c r="G6" s="292"/>
      <c r="H6" s="293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4"/>
    </row>
    <row r="7" spans="1:23" s="10" customFormat="1">
      <c r="A7" s="1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5"/>
    </row>
    <row r="8" spans="1:23" ht="5.0999999999999996" customHeight="1" thickBot="1"/>
    <row r="9" spans="1:23">
      <c r="A9" s="12" t="s">
        <v>0</v>
      </c>
      <c r="B9" s="20" t="s">
        <v>30</v>
      </c>
      <c r="C9" s="21"/>
      <c r="D9" s="21"/>
      <c r="E9" s="20" t="s">
        <v>31</v>
      </c>
      <c r="F9" s="21"/>
      <c r="G9" s="21"/>
      <c r="H9" s="21"/>
      <c r="I9" s="20" t="s">
        <v>127</v>
      </c>
      <c r="J9" s="21"/>
      <c r="K9" s="21"/>
      <c r="L9" s="20" t="s">
        <v>32</v>
      </c>
      <c r="M9" s="169"/>
      <c r="N9" s="170" t="s">
        <v>33</v>
      </c>
      <c r="O9" s="22" t="s">
        <v>34</v>
      </c>
      <c r="P9" s="22" t="s">
        <v>35</v>
      </c>
    </row>
    <row r="10" spans="1:23">
      <c r="A10" s="14"/>
      <c r="B10" s="87"/>
      <c r="C10" s="88"/>
      <c r="D10" s="24" t="s">
        <v>36</v>
      </c>
      <c r="E10" s="87"/>
      <c r="F10" s="143">
        <f>'Dep Rate'!D25</f>
        <v>2.1917949999999999E-2</v>
      </c>
      <c r="G10" s="90" t="s">
        <v>102</v>
      </c>
      <c r="H10" s="24"/>
      <c r="I10" s="87"/>
      <c r="J10" s="88"/>
      <c r="K10" s="24" t="s">
        <v>94</v>
      </c>
      <c r="L10" s="87"/>
      <c r="M10" s="171" t="s">
        <v>36</v>
      </c>
      <c r="N10" s="27"/>
      <c r="O10" s="25"/>
      <c r="P10" s="25"/>
    </row>
    <row r="11" spans="1:23">
      <c r="A11" s="13"/>
      <c r="B11" s="23" t="s">
        <v>6</v>
      </c>
      <c r="C11" s="24" t="s">
        <v>36</v>
      </c>
      <c r="D11" s="24" t="s">
        <v>93</v>
      </c>
      <c r="E11" s="23" t="s">
        <v>6</v>
      </c>
      <c r="F11" s="24" t="s">
        <v>36</v>
      </c>
      <c r="G11" s="24" t="s">
        <v>93</v>
      </c>
      <c r="H11" s="24"/>
      <c r="I11" s="23" t="s">
        <v>6</v>
      </c>
      <c r="J11" s="24" t="s">
        <v>36</v>
      </c>
      <c r="K11" s="24" t="s">
        <v>95</v>
      </c>
      <c r="L11" s="23" t="s">
        <v>6</v>
      </c>
      <c r="M11" s="171" t="s">
        <v>149</v>
      </c>
      <c r="N11" s="27" t="s">
        <v>37</v>
      </c>
      <c r="O11" s="26">
        <v>0.35</v>
      </c>
      <c r="P11" s="27" t="s">
        <v>16</v>
      </c>
    </row>
    <row r="12" spans="1:23">
      <c r="A12" s="13"/>
      <c r="B12" s="23"/>
      <c r="C12" s="24"/>
      <c r="D12"/>
      <c r="E12" s="23" t="s">
        <v>91</v>
      </c>
      <c r="F12" s="171" t="s">
        <v>144</v>
      </c>
      <c r="G12" s="171" t="s">
        <v>145</v>
      </c>
      <c r="H12" s="171" t="s">
        <v>100</v>
      </c>
      <c r="I12" s="23"/>
      <c r="J12" s="24"/>
      <c r="K12" s="24"/>
      <c r="L12" s="23"/>
      <c r="M12" s="171"/>
      <c r="N12" s="27"/>
      <c r="O12" s="26"/>
      <c r="P12" s="27" t="s">
        <v>109</v>
      </c>
    </row>
    <row r="13" spans="1:23" ht="13.5" thickBot="1">
      <c r="A13" s="15"/>
      <c r="B13" s="28" t="s">
        <v>25</v>
      </c>
      <c r="C13" s="29" t="s">
        <v>26</v>
      </c>
      <c r="D13" s="29" t="s">
        <v>96</v>
      </c>
      <c r="E13" s="28" t="s">
        <v>38</v>
      </c>
      <c r="F13" s="30" t="s">
        <v>28</v>
      </c>
      <c r="G13" s="30" t="s">
        <v>28</v>
      </c>
      <c r="H13" s="29" t="s">
        <v>101</v>
      </c>
      <c r="I13" s="28" t="s">
        <v>103</v>
      </c>
      <c r="J13" s="29" t="s">
        <v>104</v>
      </c>
      <c r="K13" s="29" t="s">
        <v>105</v>
      </c>
      <c r="L13" s="28" t="s">
        <v>106</v>
      </c>
      <c r="M13" s="1342" t="s">
        <v>150</v>
      </c>
      <c r="N13" s="1343" t="s">
        <v>107</v>
      </c>
      <c r="O13" s="32" t="s">
        <v>108</v>
      </c>
      <c r="P13" s="33" t="s">
        <v>110</v>
      </c>
    </row>
    <row r="14" spans="1:23" ht="4.9000000000000004" customHeight="1" thickTop="1">
      <c r="M14" s="128"/>
      <c r="N14" s="128"/>
    </row>
    <row r="15" spans="1:23" ht="12.75" hidden="1" customHeight="1">
      <c r="A15" s="16">
        <v>40512</v>
      </c>
      <c r="B15" s="17">
        <v>0</v>
      </c>
      <c r="C15" s="3">
        <v>0</v>
      </c>
      <c r="D15" s="3">
        <v>0</v>
      </c>
      <c r="E15" s="17">
        <f>B15*$B$6/2</f>
        <v>0</v>
      </c>
      <c r="F15" s="77">
        <f>C15*0.0428/365*22</f>
        <v>0</v>
      </c>
      <c r="G15" s="77">
        <f>D15*0.0428/365*22</f>
        <v>0</v>
      </c>
      <c r="H15" s="89"/>
      <c r="I15" s="3">
        <f>-E15</f>
        <v>0</v>
      </c>
      <c r="J15" s="3">
        <f>-F15</f>
        <v>0</v>
      </c>
      <c r="K15" s="3">
        <f>-G15</f>
        <v>0</v>
      </c>
      <c r="L15" s="3">
        <f t="shared" ref="L15:L28" si="0">B15+I15</f>
        <v>0</v>
      </c>
      <c r="M15" s="17">
        <f t="shared" ref="M15:M28" si="1">C15+J15</f>
        <v>0</v>
      </c>
      <c r="N15" s="17">
        <f>M15-L15</f>
        <v>0</v>
      </c>
      <c r="O15" s="17">
        <f>-N15*$O$11</f>
        <v>0</v>
      </c>
      <c r="P15" s="3">
        <f>-O15</f>
        <v>0</v>
      </c>
    </row>
    <row r="16" spans="1:23" ht="12.75" hidden="1" customHeight="1">
      <c r="A16" s="16">
        <v>40543</v>
      </c>
      <c r="B16" s="18">
        <f>B15+(C16-C15)</f>
        <v>0</v>
      </c>
      <c r="C16" s="18">
        <v>0</v>
      </c>
      <c r="D16" s="18">
        <v>0</v>
      </c>
      <c r="E16" s="18">
        <f>B16*$B$6-E15</f>
        <v>0</v>
      </c>
      <c r="F16" s="78">
        <f>C16*0.0428/365*53-F15</f>
        <v>0</v>
      </c>
      <c r="G16" s="78">
        <f>D16*0.0428/365*53-G15</f>
        <v>0</v>
      </c>
      <c r="H16" s="78"/>
      <c r="I16" s="18">
        <f t="shared" ref="I16:I28" si="2">I15-E16</f>
        <v>0</v>
      </c>
      <c r="J16" s="18">
        <f t="shared" ref="J16:J28" si="3">J15-F16</f>
        <v>0</v>
      </c>
      <c r="K16" s="18">
        <f t="shared" ref="K16:K28" si="4">K15-G16</f>
        <v>0</v>
      </c>
      <c r="L16" s="18">
        <f t="shared" si="0"/>
        <v>0</v>
      </c>
      <c r="M16" s="18">
        <f t="shared" si="1"/>
        <v>0</v>
      </c>
      <c r="N16" s="18">
        <f>M16-L16</f>
        <v>0</v>
      </c>
      <c r="O16" s="18">
        <f t="shared" ref="O16:O28" si="5">-N16*$O$11</f>
        <v>0</v>
      </c>
      <c r="P16" s="18">
        <f>-O16+O15</f>
        <v>0</v>
      </c>
    </row>
    <row r="17" spans="1:18" ht="12.75" hidden="1" customHeight="1">
      <c r="A17" s="83">
        <v>40574</v>
      </c>
      <c r="B17" s="84">
        <f>C17</f>
        <v>0</v>
      </c>
      <c r="C17" s="84">
        <v>0</v>
      </c>
      <c r="D17" s="84">
        <v>0</v>
      </c>
      <c r="E17" s="84">
        <f>B17*$C$6/12</f>
        <v>0</v>
      </c>
      <c r="F17" s="84">
        <f>C17*0.0428/12</f>
        <v>0</v>
      </c>
      <c r="G17" s="84">
        <f>D17*0.0428/12</f>
        <v>0</v>
      </c>
      <c r="H17" s="84"/>
      <c r="I17" s="84">
        <f t="shared" si="2"/>
        <v>0</v>
      </c>
      <c r="J17" s="84">
        <f t="shared" si="3"/>
        <v>0</v>
      </c>
      <c r="K17" s="84">
        <f t="shared" si="4"/>
        <v>0</v>
      </c>
      <c r="L17" s="84">
        <f t="shared" si="0"/>
        <v>0</v>
      </c>
      <c r="M17" s="84">
        <f t="shared" si="1"/>
        <v>0</v>
      </c>
      <c r="N17" s="84">
        <f>M17-L17</f>
        <v>0</v>
      </c>
      <c r="O17" s="84">
        <f t="shared" si="5"/>
        <v>0</v>
      </c>
      <c r="P17" s="84">
        <f>-O17+O16</f>
        <v>0</v>
      </c>
    </row>
    <row r="18" spans="1:18" ht="12.75" hidden="1" customHeight="1">
      <c r="A18" s="83">
        <v>40602</v>
      </c>
      <c r="B18" s="85">
        <f t="shared" ref="B18:B28" si="6">B17</f>
        <v>0</v>
      </c>
      <c r="C18" s="85">
        <f t="shared" ref="C18:D28" si="7">$C$17</f>
        <v>0</v>
      </c>
      <c r="D18" s="85">
        <f t="shared" si="7"/>
        <v>0</v>
      </c>
      <c r="E18" s="85">
        <f t="shared" ref="E18:E28" si="8">B18*$C$6/12</f>
        <v>0</v>
      </c>
      <c r="F18" s="85">
        <f t="shared" ref="F18:G28" si="9">F17</f>
        <v>0</v>
      </c>
      <c r="G18" s="85">
        <f t="shared" si="9"/>
        <v>0</v>
      </c>
      <c r="H18" s="85"/>
      <c r="I18" s="85">
        <f t="shared" si="2"/>
        <v>0</v>
      </c>
      <c r="J18" s="85">
        <f t="shared" si="3"/>
        <v>0</v>
      </c>
      <c r="K18" s="85">
        <f t="shared" si="4"/>
        <v>0</v>
      </c>
      <c r="L18" s="85">
        <f t="shared" si="0"/>
        <v>0</v>
      </c>
      <c r="M18" s="84">
        <f t="shared" si="1"/>
        <v>0</v>
      </c>
      <c r="N18" s="84">
        <f>M18-L18</f>
        <v>0</v>
      </c>
      <c r="O18" s="84">
        <f t="shared" si="5"/>
        <v>0</v>
      </c>
      <c r="P18" s="84">
        <f t="shared" ref="P18:P28" si="10">-O18+O17</f>
        <v>0</v>
      </c>
    </row>
    <row r="19" spans="1:18" ht="12.75" hidden="1" customHeight="1">
      <c r="A19" s="83">
        <v>40633</v>
      </c>
      <c r="B19" s="84">
        <f t="shared" si="6"/>
        <v>0</v>
      </c>
      <c r="C19" s="84">
        <f t="shared" si="7"/>
        <v>0</v>
      </c>
      <c r="D19" s="84">
        <f t="shared" si="7"/>
        <v>0</v>
      </c>
      <c r="E19" s="84">
        <f t="shared" si="8"/>
        <v>0</v>
      </c>
      <c r="F19" s="84">
        <f t="shared" si="9"/>
        <v>0</v>
      </c>
      <c r="G19" s="84">
        <f t="shared" si="9"/>
        <v>0</v>
      </c>
      <c r="H19" s="84"/>
      <c r="I19" s="84">
        <f t="shared" si="2"/>
        <v>0</v>
      </c>
      <c r="J19" s="84">
        <f t="shared" si="3"/>
        <v>0</v>
      </c>
      <c r="K19" s="84">
        <f t="shared" si="4"/>
        <v>0</v>
      </c>
      <c r="L19" s="84">
        <f t="shared" si="0"/>
        <v>0</v>
      </c>
      <c r="M19" s="86">
        <f t="shared" si="1"/>
        <v>0</v>
      </c>
      <c r="N19" s="86">
        <f>M19-L19</f>
        <v>0</v>
      </c>
      <c r="O19" s="86">
        <f t="shared" si="5"/>
        <v>0</v>
      </c>
      <c r="P19" s="86">
        <f t="shared" si="10"/>
        <v>0</v>
      </c>
    </row>
    <row r="20" spans="1:18" ht="12.75" hidden="1" customHeight="1">
      <c r="A20" s="83">
        <v>40663</v>
      </c>
      <c r="B20" s="84">
        <f t="shared" si="6"/>
        <v>0</v>
      </c>
      <c r="C20" s="84">
        <f t="shared" si="7"/>
        <v>0</v>
      </c>
      <c r="D20" s="84">
        <f t="shared" si="7"/>
        <v>0</v>
      </c>
      <c r="E20" s="84">
        <f t="shared" si="8"/>
        <v>0</v>
      </c>
      <c r="F20" s="84">
        <f t="shared" si="9"/>
        <v>0</v>
      </c>
      <c r="G20" s="84">
        <f t="shared" si="9"/>
        <v>0</v>
      </c>
      <c r="H20" s="84"/>
      <c r="I20" s="84">
        <f t="shared" si="2"/>
        <v>0</v>
      </c>
      <c r="J20" s="84">
        <f t="shared" si="3"/>
        <v>0</v>
      </c>
      <c r="K20" s="84">
        <f t="shared" si="4"/>
        <v>0</v>
      </c>
      <c r="L20" s="84">
        <f t="shared" si="0"/>
        <v>0</v>
      </c>
      <c r="M20" s="84">
        <f t="shared" si="1"/>
        <v>0</v>
      </c>
      <c r="N20" s="84">
        <f t="shared" ref="N20:N28" si="11">M20-L20</f>
        <v>0</v>
      </c>
      <c r="O20" s="84">
        <f t="shared" si="5"/>
        <v>0</v>
      </c>
      <c r="P20" s="84">
        <f t="shared" si="10"/>
        <v>0</v>
      </c>
    </row>
    <row r="21" spans="1:18" ht="12.75" hidden="1" customHeight="1">
      <c r="A21" s="83">
        <v>40694</v>
      </c>
      <c r="B21" s="84">
        <f t="shared" si="6"/>
        <v>0</v>
      </c>
      <c r="C21" s="84">
        <f t="shared" si="7"/>
        <v>0</v>
      </c>
      <c r="D21" s="84">
        <f t="shared" si="7"/>
        <v>0</v>
      </c>
      <c r="E21" s="84">
        <f t="shared" si="8"/>
        <v>0</v>
      </c>
      <c r="F21" s="84">
        <f t="shared" si="9"/>
        <v>0</v>
      </c>
      <c r="G21" s="84">
        <f t="shared" si="9"/>
        <v>0</v>
      </c>
      <c r="H21" s="84"/>
      <c r="I21" s="84">
        <f t="shared" si="2"/>
        <v>0</v>
      </c>
      <c r="J21" s="84">
        <f t="shared" si="3"/>
        <v>0</v>
      </c>
      <c r="K21" s="84">
        <f t="shared" si="4"/>
        <v>0</v>
      </c>
      <c r="L21" s="84">
        <f t="shared" si="0"/>
        <v>0</v>
      </c>
      <c r="M21" s="84">
        <f t="shared" si="1"/>
        <v>0</v>
      </c>
      <c r="N21" s="84">
        <f t="shared" si="11"/>
        <v>0</v>
      </c>
      <c r="O21" s="84">
        <f t="shared" si="5"/>
        <v>0</v>
      </c>
      <c r="P21" s="84">
        <f t="shared" si="10"/>
        <v>0</v>
      </c>
    </row>
    <row r="22" spans="1:18" ht="12.75" hidden="1" customHeight="1">
      <c r="A22" s="83">
        <v>40724</v>
      </c>
      <c r="B22" s="84">
        <f t="shared" si="6"/>
        <v>0</v>
      </c>
      <c r="C22" s="84">
        <f t="shared" si="7"/>
        <v>0</v>
      </c>
      <c r="D22" s="84">
        <f t="shared" si="7"/>
        <v>0</v>
      </c>
      <c r="E22" s="84">
        <f t="shared" si="8"/>
        <v>0</v>
      </c>
      <c r="F22" s="84">
        <f t="shared" si="9"/>
        <v>0</v>
      </c>
      <c r="G22" s="84">
        <f t="shared" si="9"/>
        <v>0</v>
      </c>
      <c r="H22" s="84"/>
      <c r="I22" s="84">
        <f t="shared" si="2"/>
        <v>0</v>
      </c>
      <c r="J22" s="84">
        <f t="shared" si="3"/>
        <v>0</v>
      </c>
      <c r="K22" s="84">
        <f t="shared" si="4"/>
        <v>0</v>
      </c>
      <c r="L22" s="84">
        <f t="shared" si="0"/>
        <v>0</v>
      </c>
      <c r="M22" s="84">
        <f t="shared" si="1"/>
        <v>0</v>
      </c>
      <c r="N22" s="84">
        <f t="shared" si="11"/>
        <v>0</v>
      </c>
      <c r="O22" s="84">
        <f t="shared" si="5"/>
        <v>0</v>
      </c>
      <c r="P22" s="84">
        <f t="shared" si="10"/>
        <v>0</v>
      </c>
    </row>
    <row r="23" spans="1:18" ht="12.75" hidden="1" customHeight="1">
      <c r="A23" s="83">
        <v>40755</v>
      </c>
      <c r="B23" s="84">
        <f t="shared" si="6"/>
        <v>0</v>
      </c>
      <c r="C23" s="84">
        <f t="shared" si="7"/>
        <v>0</v>
      </c>
      <c r="D23" s="84">
        <f t="shared" si="7"/>
        <v>0</v>
      </c>
      <c r="E23" s="84">
        <f t="shared" si="8"/>
        <v>0</v>
      </c>
      <c r="F23" s="84">
        <f t="shared" si="9"/>
        <v>0</v>
      </c>
      <c r="G23" s="84">
        <f t="shared" si="9"/>
        <v>0</v>
      </c>
      <c r="H23" s="84"/>
      <c r="I23" s="84">
        <f t="shared" si="2"/>
        <v>0</v>
      </c>
      <c r="J23" s="84">
        <f t="shared" si="3"/>
        <v>0</v>
      </c>
      <c r="K23" s="84">
        <f t="shared" si="4"/>
        <v>0</v>
      </c>
      <c r="L23" s="84">
        <f t="shared" si="0"/>
        <v>0</v>
      </c>
      <c r="M23" s="84">
        <f t="shared" si="1"/>
        <v>0</v>
      </c>
      <c r="N23" s="84">
        <f t="shared" si="11"/>
        <v>0</v>
      </c>
      <c r="O23" s="84">
        <f t="shared" si="5"/>
        <v>0</v>
      </c>
      <c r="P23" s="84">
        <f t="shared" si="10"/>
        <v>0</v>
      </c>
    </row>
    <row r="24" spans="1:18" ht="12.75" hidden="1" customHeight="1">
      <c r="A24" s="83">
        <v>40786</v>
      </c>
      <c r="B24" s="84">
        <f t="shared" si="6"/>
        <v>0</v>
      </c>
      <c r="C24" s="84">
        <f t="shared" si="7"/>
        <v>0</v>
      </c>
      <c r="D24" s="84">
        <f t="shared" si="7"/>
        <v>0</v>
      </c>
      <c r="E24" s="84">
        <f t="shared" si="8"/>
        <v>0</v>
      </c>
      <c r="F24" s="84">
        <f t="shared" si="9"/>
        <v>0</v>
      </c>
      <c r="G24" s="84">
        <f t="shared" si="9"/>
        <v>0</v>
      </c>
      <c r="H24" s="84"/>
      <c r="I24" s="84">
        <f t="shared" si="2"/>
        <v>0</v>
      </c>
      <c r="J24" s="84">
        <f t="shared" si="3"/>
        <v>0</v>
      </c>
      <c r="K24" s="84">
        <f t="shared" si="4"/>
        <v>0</v>
      </c>
      <c r="L24" s="84">
        <f t="shared" si="0"/>
        <v>0</v>
      </c>
      <c r="M24" s="84">
        <f t="shared" si="1"/>
        <v>0</v>
      </c>
      <c r="N24" s="84">
        <f t="shared" si="11"/>
        <v>0</v>
      </c>
      <c r="O24" s="84">
        <f t="shared" si="5"/>
        <v>0</v>
      </c>
      <c r="P24" s="84">
        <f t="shared" si="10"/>
        <v>0</v>
      </c>
    </row>
    <row r="25" spans="1:18" ht="12.75" hidden="1" customHeight="1">
      <c r="A25" s="83">
        <v>40816</v>
      </c>
      <c r="B25" s="84">
        <f t="shared" si="6"/>
        <v>0</v>
      </c>
      <c r="C25" s="84">
        <f t="shared" si="7"/>
        <v>0</v>
      </c>
      <c r="D25" s="84">
        <f t="shared" si="7"/>
        <v>0</v>
      </c>
      <c r="E25" s="84">
        <f t="shared" si="8"/>
        <v>0</v>
      </c>
      <c r="F25" s="84">
        <f t="shared" si="9"/>
        <v>0</v>
      </c>
      <c r="G25" s="84">
        <f t="shared" si="9"/>
        <v>0</v>
      </c>
      <c r="H25" s="84"/>
      <c r="I25" s="84">
        <f t="shared" si="2"/>
        <v>0</v>
      </c>
      <c r="J25" s="84">
        <f t="shared" si="3"/>
        <v>0</v>
      </c>
      <c r="K25" s="84">
        <f t="shared" si="4"/>
        <v>0</v>
      </c>
      <c r="L25" s="84">
        <f t="shared" si="0"/>
        <v>0</v>
      </c>
      <c r="M25" s="84">
        <f t="shared" si="1"/>
        <v>0</v>
      </c>
      <c r="N25" s="84">
        <f t="shared" si="11"/>
        <v>0</v>
      </c>
      <c r="O25" s="84">
        <f t="shared" si="5"/>
        <v>0</v>
      </c>
      <c r="P25" s="84">
        <f t="shared" si="10"/>
        <v>0</v>
      </c>
    </row>
    <row r="26" spans="1:18" ht="12.75" hidden="1" customHeight="1">
      <c r="A26" s="83">
        <v>40847</v>
      </c>
      <c r="B26" s="84">
        <f t="shared" si="6"/>
        <v>0</v>
      </c>
      <c r="C26" s="84">
        <f t="shared" si="7"/>
        <v>0</v>
      </c>
      <c r="D26" s="84">
        <f t="shared" si="7"/>
        <v>0</v>
      </c>
      <c r="E26" s="84">
        <f t="shared" si="8"/>
        <v>0</v>
      </c>
      <c r="F26" s="84">
        <f t="shared" si="9"/>
        <v>0</v>
      </c>
      <c r="G26" s="84">
        <f t="shared" si="9"/>
        <v>0</v>
      </c>
      <c r="H26" s="84"/>
      <c r="I26" s="84">
        <f t="shared" si="2"/>
        <v>0</v>
      </c>
      <c r="J26" s="84">
        <f t="shared" si="3"/>
        <v>0</v>
      </c>
      <c r="K26" s="84">
        <f t="shared" si="4"/>
        <v>0</v>
      </c>
      <c r="L26" s="84">
        <f t="shared" si="0"/>
        <v>0</v>
      </c>
      <c r="M26" s="84">
        <f t="shared" si="1"/>
        <v>0</v>
      </c>
      <c r="N26" s="84">
        <f t="shared" si="11"/>
        <v>0</v>
      </c>
      <c r="O26" s="84">
        <f t="shared" si="5"/>
        <v>0</v>
      </c>
      <c r="P26" s="84">
        <f t="shared" si="10"/>
        <v>0</v>
      </c>
    </row>
    <row r="27" spans="1:18" ht="12.75" hidden="1" customHeight="1">
      <c r="A27" s="83">
        <v>40877</v>
      </c>
      <c r="B27" s="84">
        <f t="shared" si="6"/>
        <v>0</v>
      </c>
      <c r="C27" s="84">
        <f t="shared" si="7"/>
        <v>0</v>
      </c>
      <c r="D27" s="84">
        <f t="shared" si="7"/>
        <v>0</v>
      </c>
      <c r="E27" s="84">
        <f t="shared" si="8"/>
        <v>0</v>
      </c>
      <c r="F27" s="84">
        <f t="shared" si="9"/>
        <v>0</v>
      </c>
      <c r="G27" s="84">
        <f t="shared" si="9"/>
        <v>0</v>
      </c>
      <c r="H27" s="84"/>
      <c r="I27" s="84">
        <f t="shared" si="2"/>
        <v>0</v>
      </c>
      <c r="J27" s="84">
        <f t="shared" si="3"/>
        <v>0</v>
      </c>
      <c r="K27" s="84">
        <f t="shared" si="4"/>
        <v>0</v>
      </c>
      <c r="L27" s="84">
        <f t="shared" si="0"/>
        <v>0</v>
      </c>
      <c r="M27" s="84">
        <f t="shared" si="1"/>
        <v>0</v>
      </c>
      <c r="N27" s="84">
        <f t="shared" si="11"/>
        <v>0</v>
      </c>
      <c r="O27" s="84">
        <f t="shared" si="5"/>
        <v>0</v>
      </c>
      <c r="P27" s="84">
        <f t="shared" si="10"/>
        <v>0</v>
      </c>
    </row>
    <row r="28" spans="1:18" ht="12.75" hidden="1" customHeight="1">
      <c r="A28" s="83">
        <v>40908</v>
      </c>
      <c r="B28" s="84">
        <f t="shared" si="6"/>
        <v>0</v>
      </c>
      <c r="C28" s="84">
        <f t="shared" si="7"/>
        <v>0</v>
      </c>
      <c r="D28" s="84">
        <f t="shared" si="7"/>
        <v>0</v>
      </c>
      <c r="E28" s="84">
        <f t="shared" si="8"/>
        <v>0</v>
      </c>
      <c r="F28" s="84">
        <f t="shared" si="9"/>
        <v>0</v>
      </c>
      <c r="G28" s="84">
        <f t="shared" si="9"/>
        <v>0</v>
      </c>
      <c r="H28" s="84"/>
      <c r="I28" s="84">
        <f t="shared" si="2"/>
        <v>0</v>
      </c>
      <c r="J28" s="84">
        <f t="shared" si="3"/>
        <v>0</v>
      </c>
      <c r="K28" s="84">
        <f t="shared" si="4"/>
        <v>0</v>
      </c>
      <c r="L28" s="84">
        <f t="shared" si="0"/>
        <v>0</v>
      </c>
      <c r="M28" s="84">
        <f t="shared" si="1"/>
        <v>0</v>
      </c>
      <c r="N28" s="84">
        <f t="shared" si="11"/>
        <v>0</v>
      </c>
      <c r="O28" s="84">
        <f t="shared" si="5"/>
        <v>0</v>
      </c>
      <c r="P28" s="84">
        <f t="shared" si="10"/>
        <v>0</v>
      </c>
    </row>
    <row r="29" spans="1:18" ht="12.75" customHeight="1">
      <c r="A29" s="223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213"/>
    </row>
    <row r="30" spans="1:18" ht="12.75" customHeight="1">
      <c r="A30" s="186">
        <v>41182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214"/>
    </row>
    <row r="31" spans="1:18" s="128" customFormat="1" ht="12.75" customHeight="1">
      <c r="A31" s="186">
        <v>41213</v>
      </c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214"/>
    </row>
    <row r="32" spans="1:18" s="128" customFormat="1" ht="12.75" customHeight="1">
      <c r="A32" s="186">
        <v>41243</v>
      </c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214"/>
      <c r="R32" s="135"/>
    </row>
    <row r="33" spans="1:18" s="128" customFormat="1" ht="12.75" customHeight="1">
      <c r="A33" s="186">
        <v>41274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214"/>
      <c r="R33" s="135"/>
    </row>
    <row r="34" spans="1:18" s="128" customFormat="1">
      <c r="A34" s="187">
        <v>41305</v>
      </c>
      <c r="B34" s="84">
        <f>+'#1 DFIT- FSC'!B37+'#2 DFIT- Unit 4'!B19</f>
        <v>0</v>
      </c>
      <c r="C34" s="84">
        <f>+'#1 DFIT- FSC'!C37+'#2 DFIT- Unit 4'!C19</f>
        <v>0</v>
      </c>
      <c r="D34" s="84">
        <f>+'#1 DFIT- FSC'!D37+'#2 DFIT- Unit 4'!D19</f>
        <v>0</v>
      </c>
      <c r="E34" s="84">
        <f>+'#1 DFIT- FSC'!E37+'#2 DFIT- Unit 4'!E19</f>
        <v>0</v>
      </c>
      <c r="F34" s="84">
        <f>+'#1 DFIT- FSC'!F37+'#2 DFIT- Unit 4'!F19</f>
        <v>0</v>
      </c>
      <c r="G34" s="84">
        <f>+'#1 DFIT- FSC'!G37+'#2 DFIT- Unit 4'!G19</f>
        <v>0</v>
      </c>
      <c r="H34" s="84">
        <f>+'#1 DFIT- FSC'!H37+'#2 DFIT- Unit 4'!H19</f>
        <v>0</v>
      </c>
      <c r="I34" s="84">
        <f>+'#1 DFIT- FSC'!I37+'#2 DFIT- Unit 4'!I19</f>
        <v>0</v>
      </c>
      <c r="J34" s="84">
        <f>+'#1 DFIT- FSC'!J37+'#2 DFIT- Unit 4'!J19</f>
        <v>0</v>
      </c>
      <c r="K34" s="84">
        <f>+'#1 DFIT- FSC'!K37+'#2 DFIT- Unit 4'!K19</f>
        <v>0</v>
      </c>
      <c r="L34" s="84">
        <f>+'#1 DFIT- FSC'!L37+'#2 DFIT- Unit 4'!L19</f>
        <v>0</v>
      </c>
      <c r="M34" s="84">
        <f>+'#1 DFIT- FSC'!M37+'#2 DFIT- Unit 4'!M19</f>
        <v>0</v>
      </c>
      <c r="N34" s="84">
        <f>+'#1 DFIT- FSC'!N37+'#2 DFIT- Unit 4'!N19</f>
        <v>0</v>
      </c>
      <c r="O34" s="84">
        <f>+'#1 DFIT- FSC'!O37+'#2 DFIT- Unit 4'!O19</f>
        <v>0</v>
      </c>
      <c r="P34" s="214">
        <f>+'#1 DFIT- FSC'!P37+'#2 DFIT- Unit 4'!P19</f>
        <v>0</v>
      </c>
      <c r="R34" s="135"/>
    </row>
    <row r="35" spans="1:18" s="128" customFormat="1">
      <c r="A35" s="186">
        <v>41333</v>
      </c>
      <c r="B35" s="84">
        <f>+'#1 DFIT- FSC'!B38+'#2 DFIT- Unit 4'!B20</f>
        <v>56107015.732900001</v>
      </c>
      <c r="C35" s="84">
        <f>+'#1 DFIT- FSC'!C38+'#2 DFIT- Unit 4'!C20</f>
        <v>56867149.200900003</v>
      </c>
      <c r="D35" s="84">
        <f>+'#1 DFIT- FSC'!D38+'#2 DFIT- Unit 4'!D20</f>
        <v>56107015.732900001</v>
      </c>
      <c r="E35" s="84">
        <f>+'#1 DFIT- FSC'!E38+'#2 DFIT- Unit 4'!E20</f>
        <v>2645955.8555856254</v>
      </c>
      <c r="F35" s="84">
        <f>+'#1 DFIT- FSC'!F38+'#2 DFIT- Unit 4'!F20</f>
        <v>55643.36307267259</v>
      </c>
      <c r="G35" s="84">
        <f>+'#1 DFIT- FSC'!G38+'#2 DFIT- Unit 4'!G20</f>
        <v>54899.587744773016</v>
      </c>
      <c r="H35" s="84">
        <f>+'#1 DFIT- FSC'!H38+'#2 DFIT- Unit 4'!H20</f>
        <v>743.77532789957331</v>
      </c>
      <c r="I35" s="84">
        <f>+'#1 DFIT- FSC'!I38+'#2 DFIT- Unit 4'!I20</f>
        <v>-2645955.8555856254</v>
      </c>
      <c r="J35" s="84">
        <f>+'#1 DFIT- FSC'!J38+'#2 DFIT- Unit 4'!J20</f>
        <v>-55643.36307267259</v>
      </c>
      <c r="K35" s="84">
        <f>+'#1 DFIT- FSC'!K38+'#2 DFIT- Unit 4'!K20</f>
        <v>743.77532789957331</v>
      </c>
      <c r="L35" s="84">
        <f>+'#1 DFIT- FSC'!L38+'#2 DFIT- Unit 4'!L20</f>
        <v>53461059.877314374</v>
      </c>
      <c r="M35" s="84">
        <f>+'#1 DFIT- FSC'!M38+'#2 DFIT- Unit 4'!M20</f>
        <v>56052116.145155229</v>
      </c>
      <c r="N35" s="84">
        <f>+'#1 DFIT- FSC'!N38+'#2 DFIT- Unit 4'!N20</f>
        <v>2591056.2678408548</v>
      </c>
      <c r="O35" s="84">
        <f>+'#1 DFIT- FSC'!O38+'#2 DFIT- Unit 4'!O20</f>
        <v>-906869.69374429912</v>
      </c>
      <c r="P35" s="214">
        <f>+'#1 DFIT- FSC'!P38+'#2 DFIT- Unit 4'!P20</f>
        <v>906869.69374429912</v>
      </c>
      <c r="R35" s="135"/>
    </row>
    <row r="36" spans="1:18" s="128" customFormat="1">
      <c r="A36" s="186">
        <v>41364</v>
      </c>
      <c r="B36" s="229">
        <f>+'#1 DFIT- FSC'!B39+'#2 DFIT- Unit 4'!B21</f>
        <v>56107015.732900001</v>
      </c>
      <c r="C36" s="229">
        <f>+'#1 DFIT- FSC'!C39+'#2 DFIT- Unit 4'!C21</f>
        <v>56867149.200900003</v>
      </c>
      <c r="D36" s="229">
        <f>+'#1 DFIT- FSC'!D39+'#2 DFIT- Unit 4'!D21</f>
        <v>56107015.732900001</v>
      </c>
      <c r="E36" s="229">
        <f>+'#1 DFIT- FSC'!E39+'#2 DFIT- Unit 4'!E21</f>
        <v>2645955.8555856254</v>
      </c>
      <c r="F36" s="229">
        <f>+'#1 DFIT- FSC'!F39+'#2 DFIT- Unit 4'!F21</f>
        <v>103867.61106898884</v>
      </c>
      <c r="G36" s="229">
        <f>+'#1 DFIT- FSC'!G39+'#2 DFIT- Unit 4'!G21</f>
        <v>102479.23045690963</v>
      </c>
      <c r="H36" s="229">
        <f>+'#1 DFIT- FSC'!H39+'#2 DFIT- Unit 4'!H21</f>
        <v>1388.3806120792142</v>
      </c>
      <c r="I36" s="229">
        <f>+'#1 DFIT- FSC'!I39+'#2 DFIT- Unit 4'!I21</f>
        <v>-5291911.7111712508</v>
      </c>
      <c r="J36" s="229">
        <f>+'#1 DFIT- FSC'!J39+'#2 DFIT- Unit 4'!J21</f>
        <v>-159510.97414166143</v>
      </c>
      <c r="K36" s="229">
        <f>+'#1 DFIT- FSC'!K39+'#2 DFIT- Unit 4'!K21</f>
        <v>2132.1559399787875</v>
      </c>
      <c r="L36" s="229">
        <f>+'#1 DFIT- FSC'!L39+'#2 DFIT- Unit 4'!L21</f>
        <v>50815104.021728754</v>
      </c>
      <c r="M36" s="229">
        <f>+'#1 DFIT- FSC'!M39+'#2 DFIT- Unit 4'!M21</f>
        <v>55949636.914698318</v>
      </c>
      <c r="N36" s="229">
        <f>+'#1 DFIT- FSC'!N39+'#2 DFIT- Unit 4'!N21</f>
        <v>5134532.8929695636</v>
      </c>
      <c r="O36" s="229">
        <f>+'#1 DFIT- FSC'!O39+'#2 DFIT- Unit 4'!O21</f>
        <v>-1797086.5125393472</v>
      </c>
      <c r="P36" s="230">
        <f>+'#1 DFIT- FSC'!P39+'#2 DFIT- Unit 4'!P21</f>
        <v>890216.81879504805</v>
      </c>
      <c r="R36" s="135"/>
    </row>
    <row r="37" spans="1:18" s="128" customFormat="1">
      <c r="A37" s="186">
        <v>41394</v>
      </c>
      <c r="B37" s="229">
        <f>+'#1 DFIT- FSC'!B40+'#2 DFIT- Unit 4'!B22</f>
        <v>56107015.732900001</v>
      </c>
      <c r="C37" s="229">
        <f>+'#1 DFIT- FSC'!C40+'#2 DFIT- Unit 4'!C22</f>
        <v>56867149.200900003</v>
      </c>
      <c r="D37" s="229">
        <f>+'#1 DFIT- FSC'!D40+'#2 DFIT- Unit 4'!D22</f>
        <v>56107015.732900001</v>
      </c>
      <c r="E37" s="229">
        <f>+'#1 DFIT- FSC'!E40+'#2 DFIT- Unit 4'!E22</f>
        <v>2645955.8555856254</v>
      </c>
      <c r="F37" s="229">
        <f>+'#1 DFIT- FSC'!F40+'#2 DFIT- Unit 4'!F22</f>
        <v>103867.61106898884</v>
      </c>
      <c r="G37" s="229">
        <f>+'#1 DFIT- FSC'!G40+'#2 DFIT- Unit 4'!G22</f>
        <v>102479.23045690963</v>
      </c>
      <c r="H37" s="229">
        <f>+'#1 DFIT- FSC'!H40+'#2 DFIT- Unit 4'!H22</f>
        <v>1388.3806120792142</v>
      </c>
      <c r="I37" s="229">
        <f>+'#1 DFIT- FSC'!I40+'#2 DFIT- Unit 4'!I22</f>
        <v>-7937867.5667568762</v>
      </c>
      <c r="J37" s="229">
        <f>+'#1 DFIT- FSC'!J40+'#2 DFIT- Unit 4'!J22</f>
        <v>-263378.58521065029</v>
      </c>
      <c r="K37" s="229">
        <f>+'#1 DFIT- FSC'!K40+'#2 DFIT- Unit 4'!K22</f>
        <v>3520.5365520580017</v>
      </c>
      <c r="L37" s="229">
        <f>+'#1 DFIT- FSC'!L40+'#2 DFIT- Unit 4'!L22</f>
        <v>48169148.166143127</v>
      </c>
      <c r="M37" s="229">
        <f>+'#1 DFIT- FSC'!M40+'#2 DFIT- Unit 4'!M22</f>
        <v>55847157.684241407</v>
      </c>
      <c r="N37" s="229">
        <f>+'#1 DFIT- FSC'!N40+'#2 DFIT- Unit 4'!N22</f>
        <v>7678009.5180982798</v>
      </c>
      <c r="O37" s="229">
        <f>+'#1 DFIT- FSC'!O40+'#2 DFIT- Unit 4'!O22</f>
        <v>-2687303.3313343977</v>
      </c>
      <c r="P37" s="230">
        <f>+'#1 DFIT- FSC'!P40+'#2 DFIT- Unit 4'!P22</f>
        <v>890216.81879505049</v>
      </c>
      <c r="R37" s="135"/>
    </row>
    <row r="38" spans="1:18" s="128" customFormat="1">
      <c r="A38" s="186">
        <v>41425</v>
      </c>
      <c r="B38" s="84">
        <f>+'#1 DFIT- FSC'!B41+'#2 DFIT- Unit 4'!B23</f>
        <v>56107015.732900001</v>
      </c>
      <c r="C38" s="84">
        <f>+'#1 DFIT- FSC'!C41+'#2 DFIT- Unit 4'!C23</f>
        <v>56867149.200900003</v>
      </c>
      <c r="D38" s="84">
        <f>+'#1 DFIT- FSC'!D41+'#2 DFIT- Unit 4'!D23</f>
        <v>56107015.732900001</v>
      </c>
      <c r="E38" s="84">
        <f>+'#1 DFIT- FSC'!E41+'#2 DFIT- Unit 4'!E23</f>
        <v>2645955.8555856254</v>
      </c>
      <c r="F38" s="84">
        <f>+'#1 DFIT- FSC'!F41+'#2 DFIT- Unit 4'!F23</f>
        <v>103867.61106898884</v>
      </c>
      <c r="G38" s="84">
        <f>+'#1 DFIT- FSC'!G41+'#2 DFIT- Unit 4'!G23</f>
        <v>102479.23045690963</v>
      </c>
      <c r="H38" s="84">
        <f>+'#1 DFIT- FSC'!H41+'#2 DFIT- Unit 4'!H23</f>
        <v>1388.3806120792142</v>
      </c>
      <c r="I38" s="84">
        <f>+'#1 DFIT- FSC'!I41+'#2 DFIT- Unit 4'!I23</f>
        <v>-10583823.422342502</v>
      </c>
      <c r="J38" s="84">
        <f>+'#1 DFIT- FSC'!J41+'#2 DFIT- Unit 4'!J23</f>
        <v>-367246.19627963915</v>
      </c>
      <c r="K38" s="84">
        <f>+'#1 DFIT- FSC'!K41+'#2 DFIT- Unit 4'!K23</f>
        <v>4908.9171641372159</v>
      </c>
      <c r="L38" s="84">
        <f>+'#1 DFIT- FSC'!L41+'#2 DFIT- Unit 4'!L23</f>
        <v>45523192.3105575</v>
      </c>
      <c r="M38" s="84">
        <f>+'#1 DFIT- FSC'!M41+'#2 DFIT- Unit 4'!M23</f>
        <v>55744678.453784503</v>
      </c>
      <c r="N38" s="84">
        <f>+'#1 DFIT- FSC'!N41+'#2 DFIT- Unit 4'!N23</f>
        <v>10221486.143227004</v>
      </c>
      <c r="O38" s="84">
        <f>+'#1 DFIT- FSC'!O41+'#2 DFIT- Unit 4'!O23</f>
        <v>-3577520.150129451</v>
      </c>
      <c r="P38" s="214">
        <f>+'#1 DFIT- FSC'!P41+'#2 DFIT- Unit 4'!P23</f>
        <v>890216.81879505329</v>
      </c>
      <c r="R38" s="135"/>
    </row>
    <row r="39" spans="1:18" s="128" customFormat="1">
      <c r="A39" s="186">
        <v>41455</v>
      </c>
      <c r="B39" s="229">
        <f>+'#1 DFIT- FSC'!B42+'#2 DFIT- Unit 4'!B24</f>
        <v>56107015.732900001</v>
      </c>
      <c r="C39" s="229">
        <f>+'#1 DFIT- FSC'!C42+'#2 DFIT- Unit 4'!C24</f>
        <v>56867149.200900003</v>
      </c>
      <c r="D39" s="229">
        <f>+'#1 DFIT- FSC'!D42+'#2 DFIT- Unit 4'!D24</f>
        <v>56107015.732900001</v>
      </c>
      <c r="E39" s="229">
        <f>+'#1 DFIT- FSC'!E42+'#2 DFIT- Unit 4'!E24</f>
        <v>2645955.8555856254</v>
      </c>
      <c r="F39" s="229">
        <f>+'#1 DFIT- FSC'!F42+'#2 DFIT- Unit 4'!F24</f>
        <v>103867.61106898884</v>
      </c>
      <c r="G39" s="229">
        <f>+'#1 DFIT- FSC'!G42+'#2 DFIT- Unit 4'!G24</f>
        <v>102479.23045690963</v>
      </c>
      <c r="H39" s="229">
        <f>+'#1 DFIT- FSC'!H42+'#2 DFIT- Unit 4'!H24</f>
        <v>1388.3806120792142</v>
      </c>
      <c r="I39" s="229">
        <f>+'#1 DFIT- FSC'!I42+'#2 DFIT- Unit 4'!I24</f>
        <v>-13229779.277928127</v>
      </c>
      <c r="J39" s="229">
        <f>+'#1 DFIT- FSC'!J42+'#2 DFIT- Unit 4'!J24</f>
        <v>-471113.807348628</v>
      </c>
      <c r="K39" s="229">
        <f>+'#1 DFIT- FSC'!K42+'#2 DFIT- Unit 4'!K24</f>
        <v>6297.2977762164301</v>
      </c>
      <c r="L39" s="229">
        <f>+'#1 DFIT- FSC'!L42+'#2 DFIT- Unit 4'!L24</f>
        <v>42877236.454971872</v>
      </c>
      <c r="M39" s="229">
        <f>+'#1 DFIT- FSC'!M42+'#2 DFIT- Unit 4'!M24</f>
        <v>55642199.223327585</v>
      </c>
      <c r="N39" s="229">
        <f>+'#1 DFIT- FSC'!N42+'#2 DFIT- Unit 4'!N24</f>
        <v>12764962.768355712</v>
      </c>
      <c r="O39" s="229">
        <f>+'#1 DFIT- FSC'!O42+'#2 DFIT- Unit 4'!O24</f>
        <v>-4467736.9689244991</v>
      </c>
      <c r="P39" s="230">
        <f>+'#1 DFIT- FSC'!P42+'#2 DFIT- Unit 4'!P24</f>
        <v>890216.81879504817</v>
      </c>
      <c r="R39" s="135"/>
    </row>
    <row r="40" spans="1:18" s="128" customFormat="1">
      <c r="A40" s="186">
        <v>41486</v>
      </c>
      <c r="B40" s="229">
        <f>+'#1 DFIT- FSC'!B43+'#2 DFIT- Unit 4'!B25</f>
        <v>136740817.94672605</v>
      </c>
      <c r="C40" s="229">
        <f>+'#1 DFIT- FSC'!C43+'#2 DFIT- Unit 4'!C25</f>
        <v>152062126.11249995</v>
      </c>
      <c r="D40" s="229">
        <f>+'#1 DFIT- FSC'!D43+'#2 DFIT- Unit 4'!D25</f>
        <v>136740817.94672605</v>
      </c>
      <c r="E40" s="229">
        <f>+'#1 DFIT- FSC'!E43+'#2 DFIT- Unit 4'!E25</f>
        <v>9617420.0053226706</v>
      </c>
      <c r="F40" s="229">
        <f>+'#1 DFIT- FSC'!F43+'#2 DFIT- Unit 4'!F25</f>
        <v>148738.12169693728</v>
      </c>
      <c r="G40" s="229">
        <f>+'#1 DFIT- FSC'!G43+'#2 DFIT- Unit 4'!G25</f>
        <v>140486.27659094249</v>
      </c>
      <c r="H40" s="229">
        <f>+'#1 DFIT- FSC'!H43+'#2 DFIT- Unit 4'!H25</f>
        <v>8251.8451059947693</v>
      </c>
      <c r="I40" s="229">
        <f>+'#1 DFIT- FSC'!I43+'#2 DFIT- Unit 4'!I25</f>
        <v>-22847199.283250798</v>
      </c>
      <c r="J40" s="229">
        <f>+'#1 DFIT- FSC'!J43+'#2 DFIT- Unit 4'!J25</f>
        <v>-619851.92904556531</v>
      </c>
      <c r="K40" s="229">
        <f>+'#1 DFIT- FSC'!K43+'#2 DFIT- Unit 4'!K25</f>
        <v>14549.142882211199</v>
      </c>
      <c r="L40" s="229">
        <f>+'#1 DFIT- FSC'!L43+'#2 DFIT- Unit 4'!L25</f>
        <v>113893618.66347526</v>
      </c>
      <c r="M40" s="229">
        <f>+'#1 DFIT- FSC'!M43+'#2 DFIT- Unit 4'!M25</f>
        <v>136135515.16056269</v>
      </c>
      <c r="N40" s="229">
        <f>+'#1 DFIT- FSC'!N43+'#2 DFIT- Unit 4'!N25</f>
        <v>22241896.497087441</v>
      </c>
      <c r="O40" s="229">
        <f>+'#1 DFIT- FSC'!O43+'#2 DFIT- Unit 4'!O25</f>
        <v>-7784663.7739806045</v>
      </c>
      <c r="P40" s="230">
        <f>+'#1 DFIT- FSC'!P43+'#2 DFIT- Unit 4'!P25</f>
        <v>3316926.8050561049</v>
      </c>
      <c r="R40" s="135"/>
    </row>
    <row r="41" spans="1:18" s="128" customFormat="1">
      <c r="A41" s="186">
        <v>41517</v>
      </c>
      <c r="B41" s="229">
        <f>+'#1 DFIT- FSC'!B44+'#2 DFIT- Unit 4'!B26</f>
        <v>136740817.94672605</v>
      </c>
      <c r="C41" s="229">
        <f>+'#1 DFIT- FSC'!C44+'#2 DFIT- Unit 4'!C26</f>
        <v>152062126.11249995</v>
      </c>
      <c r="D41" s="229">
        <f>+'#1 DFIT- FSC'!D44+'#2 DFIT- Unit 4'!D26</f>
        <v>136740817.94672605</v>
      </c>
      <c r="E41" s="229">
        <f>+'#1 DFIT- FSC'!E44+'#2 DFIT- Unit 4'!E26</f>
        <v>9617420.0053226706</v>
      </c>
      <c r="F41" s="229">
        <f>+'#1 DFIT- FSC'!F44+'#2 DFIT- Unit 4'!F26</f>
        <v>277740.839752289</v>
      </c>
      <c r="G41" s="229">
        <f>+'#1 DFIT- FSC'!G44+'#2 DFIT- Unit 4'!G26</f>
        <v>249756.53422628701</v>
      </c>
      <c r="H41" s="229">
        <f>+'#1 DFIT- FSC'!H44+'#2 DFIT- Unit 4'!H26</f>
        <v>27984.305526001976</v>
      </c>
      <c r="I41" s="229">
        <f>+'#1 DFIT- FSC'!I44+'#2 DFIT- Unit 4'!I26</f>
        <v>-32464619.288573466</v>
      </c>
      <c r="J41" s="229">
        <f>+'#1 DFIT- FSC'!J44+'#2 DFIT- Unit 4'!J26</f>
        <v>-897592.76879785419</v>
      </c>
      <c r="K41" s="229">
        <f>+'#1 DFIT- FSC'!K44+'#2 DFIT- Unit 4'!K26</f>
        <v>42533.448408213175</v>
      </c>
      <c r="L41" s="229">
        <f>+'#1 DFIT- FSC'!L44+'#2 DFIT- Unit 4'!L26</f>
        <v>104276198.6581526</v>
      </c>
      <c r="M41" s="229">
        <f>+'#1 DFIT- FSC'!M44+'#2 DFIT- Unit 4'!M26</f>
        <v>135885758.62633643</v>
      </c>
      <c r="N41" s="229">
        <f>+'#1 DFIT- FSC'!N44+'#2 DFIT- Unit 4'!N26</f>
        <v>31609559.96818383</v>
      </c>
      <c r="O41" s="229">
        <f>+'#1 DFIT- FSC'!O44+'#2 DFIT- Unit 4'!O26</f>
        <v>-11063345.98886434</v>
      </c>
      <c r="P41" s="230">
        <f>+'#1 DFIT- FSC'!P44+'#2 DFIT- Unit 4'!P26</f>
        <v>3278682.2148837359</v>
      </c>
      <c r="R41" s="135"/>
    </row>
    <row r="42" spans="1:18" s="128" customFormat="1">
      <c r="A42" s="186">
        <v>41547</v>
      </c>
      <c r="B42" s="229">
        <f>+'#1 DFIT- FSC'!B45+'#2 DFIT- Unit 4'!B27</f>
        <v>136740817.94672605</v>
      </c>
      <c r="C42" s="229">
        <f>+'#1 DFIT- FSC'!C45+'#2 DFIT- Unit 4'!C27</f>
        <v>152062126.11249995</v>
      </c>
      <c r="D42" s="229">
        <f>+'#1 DFIT- FSC'!D45+'#2 DFIT- Unit 4'!D27</f>
        <v>136740817.94672605</v>
      </c>
      <c r="E42" s="229">
        <f>+'#1 DFIT- FSC'!E45+'#2 DFIT- Unit 4'!E27</f>
        <v>9617420.0053226706</v>
      </c>
      <c r="F42" s="229">
        <f>+'#1 DFIT- FSC'!F45+'#2 DFIT- Unit 4'!F27</f>
        <v>277740.839752289</v>
      </c>
      <c r="G42" s="229">
        <f>+'#1 DFIT- FSC'!G45+'#2 DFIT- Unit 4'!G27</f>
        <v>249756.53422628701</v>
      </c>
      <c r="H42" s="229">
        <f>+'#1 DFIT- FSC'!H45+'#2 DFIT- Unit 4'!H27</f>
        <v>27984.305526001976</v>
      </c>
      <c r="I42" s="229">
        <f>+'#1 DFIT- FSC'!I45+'#2 DFIT- Unit 4'!I27</f>
        <v>-42082039.293896139</v>
      </c>
      <c r="J42" s="229">
        <f>+'#1 DFIT- FSC'!J45+'#2 DFIT- Unit 4'!J27</f>
        <v>-1175333.6085501432</v>
      </c>
      <c r="K42" s="229">
        <f>+'#1 DFIT- FSC'!K45+'#2 DFIT- Unit 4'!K27</f>
        <v>70517.753934215143</v>
      </c>
      <c r="L42" s="229">
        <f>+'#1 DFIT- FSC'!L45+'#2 DFIT- Unit 4'!L27</f>
        <v>94658778.652829915</v>
      </c>
      <c r="M42" s="229">
        <f>+'#1 DFIT- FSC'!M45+'#2 DFIT- Unit 4'!M27</f>
        <v>135636002.09211013</v>
      </c>
      <c r="N42" s="229">
        <f>+'#1 DFIT- FSC'!N45+'#2 DFIT- Unit 4'!N27</f>
        <v>40977223.439280197</v>
      </c>
      <c r="O42" s="229">
        <f>+'#1 DFIT- FSC'!O45+'#2 DFIT- Unit 4'!O27</f>
        <v>-14342028.203748068</v>
      </c>
      <c r="P42" s="230">
        <f>+'#1 DFIT- FSC'!P45+'#2 DFIT- Unit 4'!P27</f>
        <v>3278682.214883728</v>
      </c>
      <c r="R42" s="135"/>
    </row>
    <row r="43" spans="1:18" s="128" customFormat="1">
      <c r="A43" s="186">
        <v>41578</v>
      </c>
      <c r="B43" s="229">
        <f>+'#1 DFIT- FSC'!B46+'#2 DFIT- Unit 4'!B28</f>
        <v>136740817.94672605</v>
      </c>
      <c r="C43" s="229">
        <f>+'#1 DFIT- FSC'!C46+'#2 DFIT- Unit 4'!C28</f>
        <v>152062126.11249995</v>
      </c>
      <c r="D43" s="229">
        <f>+'#1 DFIT- FSC'!D46+'#2 DFIT- Unit 4'!D28</f>
        <v>136740817.94672605</v>
      </c>
      <c r="E43" s="229">
        <f>+'#1 DFIT- FSC'!E46+'#2 DFIT- Unit 4'!E28</f>
        <v>9617420.0053226706</v>
      </c>
      <c r="F43" s="229">
        <f>+'#1 DFIT- FSC'!F46+'#2 DFIT- Unit 4'!F28</f>
        <v>277740.839752289</v>
      </c>
      <c r="G43" s="229">
        <f>+'#1 DFIT- FSC'!G46+'#2 DFIT- Unit 4'!G28</f>
        <v>249756.53422628701</v>
      </c>
      <c r="H43" s="229">
        <f>+'#1 DFIT- FSC'!H46+'#2 DFIT- Unit 4'!H28</f>
        <v>27984.305526001976</v>
      </c>
      <c r="I43" s="229">
        <f>+'#1 DFIT- FSC'!I46+'#2 DFIT- Unit 4'!I28</f>
        <v>-51699459.299218811</v>
      </c>
      <c r="J43" s="229">
        <f>+'#1 DFIT- FSC'!J46+'#2 DFIT- Unit 4'!J28</f>
        <v>-1453074.4483024322</v>
      </c>
      <c r="K43" s="229">
        <f>+'#1 DFIT- FSC'!K46+'#2 DFIT- Unit 4'!K28</f>
        <v>98502.059460217133</v>
      </c>
      <c r="L43" s="229">
        <f>+'#1 DFIT- FSC'!L46+'#2 DFIT- Unit 4'!L28</f>
        <v>85041358.64750725</v>
      </c>
      <c r="M43" s="229">
        <f>+'#1 DFIT- FSC'!M46+'#2 DFIT- Unit 4'!M28</f>
        <v>135386245.55788386</v>
      </c>
      <c r="N43" s="229">
        <f>+'#1 DFIT- FSC'!N46+'#2 DFIT- Unit 4'!N28</f>
        <v>50344886.910376593</v>
      </c>
      <c r="O43" s="229">
        <f>+'#1 DFIT- FSC'!O46+'#2 DFIT- Unit 4'!O28</f>
        <v>-17620710.418631807</v>
      </c>
      <c r="P43" s="230">
        <f>+'#1 DFIT- FSC'!P46+'#2 DFIT- Unit 4'!P28</f>
        <v>3278682.2148837382</v>
      </c>
      <c r="R43" s="135"/>
    </row>
    <row r="44" spans="1:18" s="1344" customFormat="1">
      <c r="A44" s="186">
        <v>41608</v>
      </c>
      <c r="B44" s="229">
        <f>+'#1 DFIT- FSC'!B47+'#2 DFIT- Unit 4'!B29</f>
        <v>136740817.94672605</v>
      </c>
      <c r="C44" s="229">
        <f>+'#1 DFIT- FSC'!C47+'#2 DFIT- Unit 4'!C29</f>
        <v>152062126.11249995</v>
      </c>
      <c r="D44" s="229">
        <f>+'#1 DFIT- FSC'!D47+'#2 DFIT- Unit 4'!D29</f>
        <v>136740817.94672605</v>
      </c>
      <c r="E44" s="229">
        <f>+'#1 DFIT- FSC'!E47+'#2 DFIT- Unit 4'!E29</f>
        <v>9617420.0053226706</v>
      </c>
      <c r="F44" s="229">
        <f>+'#1 DFIT- FSC'!F47+'#2 DFIT- Unit 4'!F29</f>
        <v>277740.839752289</v>
      </c>
      <c r="G44" s="229">
        <f>+'#1 DFIT- FSC'!G47+'#2 DFIT- Unit 4'!G29</f>
        <v>249756.53422628701</v>
      </c>
      <c r="H44" s="229">
        <f>+'#1 DFIT- FSC'!H47+'#2 DFIT- Unit 4'!H29</f>
        <v>27984.305526001976</v>
      </c>
      <c r="I44" s="229">
        <f>+'#1 DFIT- FSC'!I47+'#2 DFIT- Unit 4'!I29</f>
        <v>-61316879.304541484</v>
      </c>
      <c r="J44" s="229">
        <f>+'#1 DFIT- FSC'!J47+'#2 DFIT- Unit 4'!J29</f>
        <v>-1730815.288054721</v>
      </c>
      <c r="K44" s="229">
        <f>+'#1 DFIT- FSC'!K47+'#2 DFIT- Unit 4'!K29</f>
        <v>126486.36498621909</v>
      </c>
      <c r="L44" s="229">
        <f>+'#1 DFIT- FSC'!L47+'#2 DFIT- Unit 4'!L29</f>
        <v>75423938.642184585</v>
      </c>
      <c r="M44" s="229">
        <f>+'#1 DFIT- FSC'!M47+'#2 DFIT- Unit 4'!M29</f>
        <v>135136489.02365756</v>
      </c>
      <c r="N44" s="229">
        <f>+'#1 DFIT- FSC'!N47+'#2 DFIT- Unit 4'!N29</f>
        <v>59712550.381472982</v>
      </c>
      <c r="O44" s="229">
        <f>+'#1 DFIT- FSC'!O47+'#2 DFIT- Unit 4'!O29</f>
        <v>-20899392.633515544</v>
      </c>
      <c r="P44" s="230">
        <f>+'#1 DFIT- FSC'!P47+'#2 DFIT- Unit 4'!P29</f>
        <v>3278682.2148837363</v>
      </c>
      <c r="R44" s="311"/>
    </row>
    <row r="45" spans="1:18" s="128" customFormat="1">
      <c r="A45" s="279">
        <v>41639</v>
      </c>
      <c r="B45" s="280">
        <f>+'#1 DFIT- FSC'!B48+'#2 DFIT- Unit 4'!B30</f>
        <v>136740817.94672605</v>
      </c>
      <c r="C45" s="280">
        <f>+'#1 DFIT- FSC'!C48+'#2 DFIT- Unit 4'!C30</f>
        <v>152062126.11249995</v>
      </c>
      <c r="D45" s="280">
        <f>+'#1 DFIT- FSC'!D48+'#2 DFIT- Unit 4'!D30</f>
        <v>136740817.94672605</v>
      </c>
      <c r="E45" s="280">
        <f>+'#1 DFIT- FSC'!E48+'#2 DFIT- Unit 4'!E30</f>
        <v>9617420.0053226706</v>
      </c>
      <c r="F45" s="280">
        <f>+'#1 DFIT- FSC'!F48+'#2 DFIT- Unit 4'!F30</f>
        <v>277740.839752289</v>
      </c>
      <c r="G45" s="280">
        <f>+'#1 DFIT- FSC'!G48+'#2 DFIT- Unit 4'!G30</f>
        <v>249756.53422628701</v>
      </c>
      <c r="H45" s="280">
        <f>+'#1 DFIT- FSC'!H48+'#2 DFIT- Unit 4'!H30</f>
        <v>27984.305526001976</v>
      </c>
      <c r="I45" s="280">
        <f>+'#1 DFIT- FSC'!I48+'#2 DFIT- Unit 4'!I30</f>
        <v>-70934299.309864163</v>
      </c>
      <c r="J45" s="280">
        <f>+'#1 DFIT- FSC'!J48+'#2 DFIT- Unit 4'!J30</f>
        <v>-2008556.12780701</v>
      </c>
      <c r="K45" s="280">
        <f>+'#1 DFIT- FSC'!K48+'#2 DFIT- Unit 4'!K30</f>
        <v>154470.67051222108</v>
      </c>
      <c r="L45" s="280">
        <f>+'#1 DFIT- FSC'!L48+'#2 DFIT- Unit 4'!L30</f>
        <v>65806518.636861905</v>
      </c>
      <c r="M45" s="280">
        <f>+'#1 DFIT- FSC'!M48+'#2 DFIT- Unit 4'!M30</f>
        <v>134886732.48943126</v>
      </c>
      <c r="N45" s="280">
        <f>+'#1 DFIT- FSC'!N48+'#2 DFIT- Unit 4'!N30</f>
        <v>69080213.852569357</v>
      </c>
      <c r="O45" s="280">
        <f>+'#1 DFIT- FSC'!O48+'#2 DFIT- Unit 4'!O30</f>
        <v>-24178074.848399274</v>
      </c>
      <c r="P45" s="281">
        <f>+'#1 DFIT- FSC'!P48+'#2 DFIT- Unit 4'!P30</f>
        <v>3278682.2148837317</v>
      </c>
      <c r="R45" s="135"/>
    </row>
    <row r="46" spans="1:18" s="128" customFormat="1">
      <c r="A46" s="279">
        <v>41670</v>
      </c>
      <c r="B46" s="280">
        <f>+'#1 DFIT- FSC'!B49+'#2 DFIT- Unit 4'!B31</f>
        <v>136740817.94672605</v>
      </c>
      <c r="C46" s="280">
        <f>+'#1 DFIT- FSC'!C49+'#2 DFIT- Unit 4'!C31</f>
        <v>152062126.11249995</v>
      </c>
      <c r="D46" s="280">
        <f>+'#1 DFIT- FSC'!D49+'#2 DFIT- Unit 4'!D31</f>
        <v>136740817.94672605</v>
      </c>
      <c r="E46" s="280">
        <f>+'#1 DFIT- FSC'!E49+'#2 DFIT- Unit 4'!E31</f>
        <v>411304.98531558982</v>
      </c>
      <c r="F46" s="124">
        <f>+'#1 DFIT- FSC'!F49+'#2 DFIT- Unit 4'!F31</f>
        <v>277740.839752289</v>
      </c>
      <c r="G46" s="280">
        <f>+'#1 DFIT- FSC'!G49+'#2 DFIT- Unit 4'!G31</f>
        <v>249756.53422628701</v>
      </c>
      <c r="H46" s="280">
        <f>+'#1 DFIT- FSC'!H49+'#2 DFIT- Unit 4'!H31</f>
        <v>27984.305526001976</v>
      </c>
      <c r="I46" s="280">
        <f>+'#1 DFIT- FSC'!I49+'#2 DFIT- Unit 4'!I31</f>
        <v>-71345604.29517974</v>
      </c>
      <c r="J46" s="280">
        <f>+'#1 DFIT- FSC'!J49+'#2 DFIT- Unit 4'!J31</f>
        <v>-2286296.967559299</v>
      </c>
      <c r="K46" s="280">
        <f>+'#1 DFIT- FSC'!K49+'#2 DFIT- Unit 4'!K31</f>
        <v>182454.97603822305</v>
      </c>
      <c r="L46" s="280">
        <f>+'#1 DFIT- FSC'!L49+'#2 DFIT- Unit 4'!L31</f>
        <v>65395213.651546314</v>
      </c>
      <c r="M46" s="280">
        <f>+'#1 DFIT- FSC'!M49+'#2 DFIT- Unit 4'!M31</f>
        <v>134636975.95520499</v>
      </c>
      <c r="N46" s="280">
        <f>+'#1 DFIT- FSC'!N49+'#2 DFIT- Unit 4'!N31</f>
        <v>69241762.303658679</v>
      </c>
      <c r="O46" s="280">
        <f>+'#1 DFIT- FSC'!O49+'#2 DFIT- Unit 4'!O31</f>
        <v>-24234616.806280538</v>
      </c>
      <c r="P46" s="281">
        <f>+'#1 DFIT- FSC'!P49+'#2 DFIT- Unit 4'!P31</f>
        <v>56541.957881262526</v>
      </c>
      <c r="R46" s="135"/>
    </row>
    <row r="47" spans="1:18" s="128" customFormat="1">
      <c r="A47" s="279">
        <v>41698</v>
      </c>
      <c r="B47" s="282">
        <f>+'#1 DFIT- FSC'!B50+'#2 DFIT- Unit 4'!B32</f>
        <v>136740817.94672605</v>
      </c>
      <c r="C47" s="124">
        <f>+'#1 DFIT- FSC'!C50+'#2 DFIT- Unit 4'!C32</f>
        <v>152062126.11249995</v>
      </c>
      <c r="D47" s="124">
        <f>+'#1 DFIT- FSC'!D50+'#2 DFIT- Unit 4'!D32</f>
        <v>136740817.94672605</v>
      </c>
      <c r="E47" s="124">
        <f>+'#1 DFIT- FSC'!E50+'#2 DFIT- Unit 4'!E32</f>
        <v>411304.98531558982</v>
      </c>
      <c r="F47" s="124">
        <f>+'#1 DFIT- FSC'!F50+'#2 DFIT- Unit 4'!F32</f>
        <v>277740.839752289</v>
      </c>
      <c r="G47" s="124">
        <f>+'#1 DFIT- FSC'!G50+'#2 DFIT- Unit 4'!G32</f>
        <v>249756.53422628701</v>
      </c>
      <c r="H47" s="124">
        <f>+'#1 DFIT- FSC'!H50+'#2 DFIT- Unit 4'!H32</f>
        <v>27984.305526001976</v>
      </c>
      <c r="I47" s="124">
        <f>+'#1 DFIT- FSC'!I50+'#2 DFIT- Unit 4'!I32</f>
        <v>-71756909.280495331</v>
      </c>
      <c r="J47" s="124">
        <f>+'#1 DFIT- FSC'!J50+'#2 DFIT- Unit 4'!J32</f>
        <v>-2564037.807311588</v>
      </c>
      <c r="K47" s="124">
        <f>+'#1 DFIT- FSC'!K50+'#2 DFIT- Unit 4'!K32</f>
        <v>210439.28156422504</v>
      </c>
      <c r="L47" s="124">
        <f>+'#1 DFIT- FSC'!L50+'#2 DFIT- Unit 4'!L32</f>
        <v>64983908.666230731</v>
      </c>
      <c r="M47" s="124">
        <f>+'#1 DFIT- FSC'!M50+'#2 DFIT- Unit 4'!M32</f>
        <v>134387219.4209787</v>
      </c>
      <c r="N47" s="124">
        <f>+'#1 DFIT- FSC'!N50+'#2 DFIT- Unit 4'!N32</f>
        <v>69403310.754747972</v>
      </c>
      <c r="O47" s="124">
        <f>+'#1 DFIT- FSC'!O50+'#2 DFIT- Unit 4'!O32</f>
        <v>-24291158.764161788</v>
      </c>
      <c r="P47" s="281">
        <f>+'#1 DFIT- FSC'!P50+'#2 DFIT- Unit 4'!P32</f>
        <v>56541.957881253213</v>
      </c>
      <c r="R47" s="135"/>
    </row>
    <row r="48" spans="1:18" s="128" customFormat="1">
      <c r="A48" s="279">
        <v>41729</v>
      </c>
      <c r="B48" s="282">
        <f>+'#1 DFIT- FSC'!B51+'#2 DFIT- Unit 4'!B33</f>
        <v>136740817.94672605</v>
      </c>
      <c r="C48" s="124">
        <f>+'#1 DFIT- FSC'!C51+'#2 DFIT- Unit 4'!C33</f>
        <v>152062126.11249995</v>
      </c>
      <c r="D48" s="124">
        <f>+'#1 DFIT- FSC'!D51+'#2 DFIT- Unit 4'!D33</f>
        <v>136740817.94672605</v>
      </c>
      <c r="E48" s="124">
        <f>+'#1 DFIT- FSC'!E51+'#2 DFIT- Unit 4'!E33</f>
        <v>411304.98531558982</v>
      </c>
      <c r="F48" s="124">
        <f>+'#1 DFIT- FSC'!F51+'#2 DFIT- Unit 4'!F33</f>
        <v>277740.839752289</v>
      </c>
      <c r="G48" s="124">
        <f>+'#1 DFIT- FSC'!G51+'#2 DFIT- Unit 4'!G33</f>
        <v>249756.53422628701</v>
      </c>
      <c r="H48" s="124">
        <f>+'#1 DFIT- FSC'!H51+'#2 DFIT- Unit 4'!H33</f>
        <v>27984.305526001976</v>
      </c>
      <c r="I48" s="124">
        <f>+'#1 DFIT- FSC'!I51+'#2 DFIT- Unit 4'!I33</f>
        <v>-72168214.265810922</v>
      </c>
      <c r="J48" s="124">
        <f>+'#1 DFIT- FSC'!J51+'#2 DFIT- Unit 4'!J33</f>
        <v>-2841778.647063877</v>
      </c>
      <c r="K48" s="124">
        <f>+'#1 DFIT- FSC'!K51+'#2 DFIT- Unit 4'!K33</f>
        <v>238423.587090227</v>
      </c>
      <c r="L48" s="124">
        <f>+'#1 DFIT- FSC'!L51+'#2 DFIT- Unit 4'!L33</f>
        <v>64572603.680915147</v>
      </c>
      <c r="M48" s="124">
        <f>+'#1 DFIT- FSC'!M51+'#2 DFIT- Unit 4'!M33</f>
        <v>134137462.88675241</v>
      </c>
      <c r="N48" s="124">
        <f>+'#1 DFIT- FSC'!N51+'#2 DFIT- Unit 4'!N33</f>
        <v>69564859.205837265</v>
      </c>
      <c r="O48" s="124">
        <f>+'#1 DFIT- FSC'!O51+'#2 DFIT- Unit 4'!O33</f>
        <v>-24347700.722043045</v>
      </c>
      <c r="P48" s="281">
        <f>+'#1 DFIT- FSC'!P51+'#2 DFIT- Unit 4'!P33</f>
        <v>56541.957881253213</v>
      </c>
      <c r="R48" s="135"/>
    </row>
    <row r="49" spans="1:18" s="128" customFormat="1">
      <c r="A49" s="279">
        <v>41759</v>
      </c>
      <c r="B49" s="282">
        <f>+'#1 DFIT- FSC'!B52+'#2 DFIT- Unit 4'!B34</f>
        <v>136740817.94672605</v>
      </c>
      <c r="C49" s="124">
        <f>+'#1 DFIT- FSC'!C52+'#2 DFIT- Unit 4'!C34</f>
        <v>152062126.11249995</v>
      </c>
      <c r="D49" s="124">
        <f>+'#1 DFIT- FSC'!D52+'#2 DFIT- Unit 4'!D34</f>
        <v>136740817.94672605</v>
      </c>
      <c r="E49" s="124">
        <f>+'#1 DFIT- FSC'!E52+'#2 DFIT- Unit 4'!E34</f>
        <v>411304.98531558982</v>
      </c>
      <c r="F49" s="124">
        <f>+'#1 DFIT- FSC'!F52+'#2 DFIT- Unit 4'!F34</f>
        <v>277740.839752289</v>
      </c>
      <c r="G49" s="124">
        <f>+'#1 DFIT- FSC'!G52+'#2 DFIT- Unit 4'!G34</f>
        <v>249756.53422628701</v>
      </c>
      <c r="H49" s="124">
        <f>+'#1 DFIT- FSC'!H52+'#2 DFIT- Unit 4'!H34</f>
        <v>27984.305526001976</v>
      </c>
      <c r="I49" s="124">
        <f>+'#1 DFIT- FSC'!I52+'#2 DFIT- Unit 4'!I34</f>
        <v>-72579519.251126498</v>
      </c>
      <c r="J49" s="124">
        <f>+'#1 DFIT- FSC'!J52+'#2 DFIT- Unit 4'!J34</f>
        <v>-3119519.486816166</v>
      </c>
      <c r="K49" s="124">
        <f>+'#1 DFIT- FSC'!K52+'#2 DFIT- Unit 4'!K34</f>
        <v>266407.89261622896</v>
      </c>
      <c r="L49" s="124">
        <f>+'#1 DFIT- FSC'!L52+'#2 DFIT- Unit 4'!L34</f>
        <v>64161298.695599556</v>
      </c>
      <c r="M49" s="124">
        <f>+'#1 DFIT- FSC'!M52+'#2 DFIT- Unit 4'!M34</f>
        <v>133887706.35252613</v>
      </c>
      <c r="N49" s="124">
        <f>+'#1 DFIT- FSC'!N52+'#2 DFIT- Unit 4'!N34</f>
        <v>69726407.656926572</v>
      </c>
      <c r="O49" s="124">
        <f>+'#1 DFIT- FSC'!O52+'#2 DFIT- Unit 4'!O34</f>
        <v>-24404242.679924294</v>
      </c>
      <c r="P49" s="281">
        <f>+'#1 DFIT- FSC'!P52+'#2 DFIT- Unit 4'!P34</f>
        <v>56541.957881253213</v>
      </c>
      <c r="R49" s="135"/>
    </row>
    <row r="50" spans="1:18" s="128" customFormat="1">
      <c r="A50" s="279">
        <v>41790</v>
      </c>
      <c r="B50" s="282">
        <f>+'#1 DFIT- FSC'!B53+'#2 DFIT- Unit 4'!B35</f>
        <v>136740817.94672605</v>
      </c>
      <c r="C50" s="124">
        <f>+'#1 DFIT- FSC'!C53+'#2 DFIT- Unit 4'!C35</f>
        <v>152062126.11249995</v>
      </c>
      <c r="D50" s="124">
        <f>+'#1 DFIT- FSC'!D53+'#2 DFIT- Unit 4'!D35</f>
        <v>136740817.94672605</v>
      </c>
      <c r="E50" s="124">
        <f>+'#1 DFIT- FSC'!E53+'#2 DFIT- Unit 4'!E35</f>
        <v>411304.98531558982</v>
      </c>
      <c r="F50" s="124">
        <f>+'#1 DFIT- FSC'!F53+'#2 DFIT- Unit 4'!F35</f>
        <v>277740.839752289</v>
      </c>
      <c r="G50" s="124">
        <f>+'#1 DFIT- FSC'!G53+'#2 DFIT- Unit 4'!G35</f>
        <v>249756.53422628701</v>
      </c>
      <c r="H50" s="124">
        <f>+'#1 DFIT- FSC'!H53+'#2 DFIT- Unit 4'!H35</f>
        <v>27984.305526001976</v>
      </c>
      <c r="I50" s="124">
        <f>+'#1 DFIT- FSC'!I53+'#2 DFIT- Unit 4'!I35</f>
        <v>-72990824.236442089</v>
      </c>
      <c r="J50" s="124">
        <f>+'#1 DFIT- FSC'!J53+'#2 DFIT- Unit 4'!J35</f>
        <v>-3397260.326568455</v>
      </c>
      <c r="K50" s="124">
        <f>+'#1 DFIT- FSC'!K53+'#2 DFIT- Unit 4'!K35</f>
        <v>294392.19814223098</v>
      </c>
      <c r="L50" s="124">
        <f>+'#1 DFIT- FSC'!L53+'#2 DFIT- Unit 4'!L35</f>
        <v>63749993.710283965</v>
      </c>
      <c r="M50" s="124">
        <f>+'#1 DFIT- FSC'!M53+'#2 DFIT- Unit 4'!M35</f>
        <v>133637949.81829986</v>
      </c>
      <c r="N50" s="124">
        <f>+'#1 DFIT- FSC'!N53+'#2 DFIT- Unit 4'!N35</f>
        <v>69887956.10801588</v>
      </c>
      <c r="O50" s="124">
        <f>+'#1 DFIT- FSC'!O53+'#2 DFIT- Unit 4'!O35</f>
        <v>-24460784.637805559</v>
      </c>
      <c r="P50" s="281">
        <f>+'#1 DFIT- FSC'!P53+'#2 DFIT- Unit 4'!P35</f>
        <v>56541.957881260663</v>
      </c>
      <c r="R50" s="135"/>
    </row>
    <row r="51" spans="1:18" s="128" customFormat="1">
      <c r="A51" s="279">
        <v>41820</v>
      </c>
      <c r="B51" s="282">
        <f>+'#1 DFIT- FSC'!B54+'#2 DFIT- Unit 4'!B36</f>
        <v>136740817.94672605</v>
      </c>
      <c r="C51" s="124">
        <f>+'#1 DFIT- FSC'!C54+'#2 DFIT- Unit 4'!C36</f>
        <v>152062126.11249995</v>
      </c>
      <c r="D51" s="124">
        <f>+'#1 DFIT- FSC'!D54+'#2 DFIT- Unit 4'!D36</f>
        <v>136740817.94672605</v>
      </c>
      <c r="E51" s="124">
        <f>+'#1 DFIT- FSC'!E54+'#2 DFIT- Unit 4'!E36</f>
        <v>411304.98531558982</v>
      </c>
      <c r="F51" s="124">
        <f>+'#1 DFIT- FSC'!F54+'#2 DFIT- Unit 4'!F36</f>
        <v>277740.839752289</v>
      </c>
      <c r="G51" s="124">
        <f>+'#1 DFIT- FSC'!G54+'#2 DFIT- Unit 4'!G36</f>
        <v>249756.53422628701</v>
      </c>
      <c r="H51" s="124">
        <f>+'#1 DFIT- FSC'!H54+'#2 DFIT- Unit 4'!H36</f>
        <v>27984.305526001976</v>
      </c>
      <c r="I51" s="124">
        <f>+'#1 DFIT- FSC'!I54+'#2 DFIT- Unit 4'!I36</f>
        <v>-73402129.22175768</v>
      </c>
      <c r="J51" s="124">
        <f>+'#1 DFIT- FSC'!J54+'#2 DFIT- Unit 4'!J36</f>
        <v>-3675001.166320744</v>
      </c>
      <c r="K51" s="124">
        <f>+'#1 DFIT- FSC'!K54+'#2 DFIT- Unit 4'!K36</f>
        <v>322376.50366823288</v>
      </c>
      <c r="L51" s="124">
        <f>+'#1 DFIT- FSC'!L54+'#2 DFIT- Unit 4'!L36</f>
        <v>63338688.724968381</v>
      </c>
      <c r="M51" s="124">
        <f>+'#1 DFIT- FSC'!M54+'#2 DFIT- Unit 4'!M36</f>
        <v>133388193.28407353</v>
      </c>
      <c r="N51" s="124">
        <f>+'#1 DFIT- FSC'!N54+'#2 DFIT- Unit 4'!N36</f>
        <v>70049504.559105158</v>
      </c>
      <c r="O51" s="124">
        <f>+'#1 DFIT- FSC'!O54+'#2 DFIT- Unit 4'!O36</f>
        <v>-24517326.595686805</v>
      </c>
      <c r="P51" s="281">
        <f>+'#1 DFIT- FSC'!P54+'#2 DFIT- Unit 4'!P36</f>
        <v>56541.957881247625</v>
      </c>
      <c r="R51" s="135"/>
    </row>
    <row r="52" spans="1:18" s="128" customFormat="1">
      <c r="A52" s="279">
        <v>41851</v>
      </c>
      <c r="B52" s="282">
        <f>+'#1 DFIT- FSC'!B55+'#2 DFIT- Unit 4'!B37</f>
        <v>136740817.94672605</v>
      </c>
      <c r="C52" s="124">
        <f>+'#1 DFIT- FSC'!C55+'#2 DFIT- Unit 4'!C37</f>
        <v>152062126.11249995</v>
      </c>
      <c r="D52" s="124">
        <f>+'#1 DFIT- FSC'!D55+'#2 DFIT- Unit 4'!D37</f>
        <v>136740817.94672605</v>
      </c>
      <c r="E52" s="124">
        <f>+'#1 DFIT- FSC'!E55+'#2 DFIT- Unit 4'!E37</f>
        <v>411304.98531558982</v>
      </c>
      <c r="F52" s="124">
        <f>+'#1 DFIT- FSC'!F55+'#2 DFIT- Unit 4'!F37</f>
        <v>277740.839752289</v>
      </c>
      <c r="G52" s="124">
        <f>+'#1 DFIT- FSC'!G55+'#2 DFIT- Unit 4'!G37</f>
        <v>249756.53422628701</v>
      </c>
      <c r="H52" s="124">
        <f>+'#1 DFIT- FSC'!H55+'#2 DFIT- Unit 4'!H37</f>
        <v>27984.305526001976</v>
      </c>
      <c r="I52" s="124">
        <f>+'#1 DFIT- FSC'!I55+'#2 DFIT- Unit 4'!I37</f>
        <v>-73813434.207073271</v>
      </c>
      <c r="J52" s="124">
        <f>+'#1 DFIT- FSC'!J55+'#2 DFIT- Unit 4'!J37</f>
        <v>-3952742.006073033</v>
      </c>
      <c r="K52" s="124">
        <f>+'#1 DFIT- FSC'!K55+'#2 DFIT- Unit 4'!K37</f>
        <v>350360.8091942349</v>
      </c>
      <c r="L52" s="124">
        <f>+'#1 DFIT- FSC'!L55+'#2 DFIT- Unit 4'!L37</f>
        <v>62927383.739652798</v>
      </c>
      <c r="M52" s="124">
        <f>+'#1 DFIT- FSC'!M55+'#2 DFIT- Unit 4'!M37</f>
        <v>133138436.74984726</v>
      </c>
      <c r="N52" s="124">
        <f>+'#1 DFIT- FSC'!N55+'#2 DFIT- Unit 4'!N37</f>
        <v>70211053.01019448</v>
      </c>
      <c r="O52" s="124">
        <f>+'#1 DFIT- FSC'!O55+'#2 DFIT- Unit 4'!O37</f>
        <v>-24573868.553568065</v>
      </c>
      <c r="P52" s="281">
        <f>+'#1 DFIT- FSC'!P55+'#2 DFIT- Unit 4'!P37</f>
        <v>56541.957881260663</v>
      </c>
      <c r="R52" s="135"/>
    </row>
    <row r="53" spans="1:18" s="128" customFormat="1">
      <c r="A53" s="279">
        <v>41882</v>
      </c>
      <c r="B53" s="282">
        <f>+'#1 DFIT- FSC'!B56+'#2 DFIT- Unit 4'!B38</f>
        <v>136740817.94672605</v>
      </c>
      <c r="C53" s="124">
        <f>+'#1 DFIT- FSC'!C56+'#2 DFIT- Unit 4'!C38</f>
        <v>152062126.11249995</v>
      </c>
      <c r="D53" s="124">
        <f>+'#1 DFIT- FSC'!D56+'#2 DFIT- Unit 4'!D38</f>
        <v>136740817.94672605</v>
      </c>
      <c r="E53" s="124">
        <f>+'#1 DFIT- FSC'!E56+'#2 DFIT- Unit 4'!E38</f>
        <v>411304.98531558982</v>
      </c>
      <c r="F53" s="124">
        <f>+'#1 DFIT- FSC'!F56+'#2 DFIT- Unit 4'!F38</f>
        <v>277740.839752289</v>
      </c>
      <c r="G53" s="124">
        <f>+'#1 DFIT- FSC'!G56+'#2 DFIT- Unit 4'!G38</f>
        <v>249756.53422628701</v>
      </c>
      <c r="H53" s="124">
        <f>+'#1 DFIT- FSC'!H56+'#2 DFIT- Unit 4'!H38</f>
        <v>27984.305526001976</v>
      </c>
      <c r="I53" s="124">
        <f>+'#1 DFIT- FSC'!I56+'#2 DFIT- Unit 4'!I38</f>
        <v>-74224739.192388862</v>
      </c>
      <c r="J53" s="124">
        <f>+'#1 DFIT- FSC'!J56+'#2 DFIT- Unit 4'!J38</f>
        <v>-4230482.845825322</v>
      </c>
      <c r="K53" s="124">
        <f>+'#1 DFIT- FSC'!K56+'#2 DFIT- Unit 4'!K38</f>
        <v>378345.11472023692</v>
      </c>
      <c r="L53" s="124">
        <f>+'#1 DFIT- FSC'!L56+'#2 DFIT- Unit 4'!L38</f>
        <v>62516078.754337206</v>
      </c>
      <c r="M53" s="124">
        <f>+'#1 DFIT- FSC'!M56+'#2 DFIT- Unit 4'!M38</f>
        <v>132888680.21562099</v>
      </c>
      <c r="N53" s="124">
        <f>+'#1 DFIT- FSC'!N56+'#2 DFIT- Unit 4'!N38</f>
        <v>70372601.461283773</v>
      </c>
      <c r="O53" s="124">
        <f>+'#1 DFIT- FSC'!O56+'#2 DFIT- Unit 4'!O38</f>
        <v>-24630410.511449322</v>
      </c>
      <c r="P53" s="281">
        <f>+'#1 DFIT- FSC'!P56+'#2 DFIT- Unit 4'!P38</f>
        <v>56541.957881255075</v>
      </c>
      <c r="R53" s="135"/>
    </row>
    <row r="54" spans="1:18" s="128" customFormat="1">
      <c r="A54" s="279">
        <v>41912</v>
      </c>
      <c r="B54" s="282">
        <f>+'#1 DFIT- FSC'!B57+'#2 DFIT- Unit 4'!B39</f>
        <v>136740817.94672605</v>
      </c>
      <c r="C54" s="124">
        <f>+'#1 DFIT- FSC'!C57+'#2 DFIT- Unit 4'!C39</f>
        <v>152062126.11249995</v>
      </c>
      <c r="D54" s="124">
        <f>+'#1 DFIT- FSC'!D57+'#2 DFIT- Unit 4'!D39</f>
        <v>136740817.94672605</v>
      </c>
      <c r="E54" s="124">
        <f>+'#1 DFIT- FSC'!E57+'#2 DFIT- Unit 4'!E39</f>
        <v>411304.98531558982</v>
      </c>
      <c r="F54" s="124">
        <f>+'#1 DFIT- FSC'!F57+'#2 DFIT- Unit 4'!F39</f>
        <v>277740.839752289</v>
      </c>
      <c r="G54" s="124">
        <f>+'#1 DFIT- FSC'!G57+'#2 DFIT- Unit 4'!G39</f>
        <v>249756.53422628701</v>
      </c>
      <c r="H54" s="124">
        <f>+'#1 DFIT- FSC'!H57+'#2 DFIT- Unit 4'!H39</f>
        <v>27984.305526001976</v>
      </c>
      <c r="I54" s="124">
        <f>+'#1 DFIT- FSC'!I57+'#2 DFIT- Unit 4'!I39</f>
        <v>-74636044.177704439</v>
      </c>
      <c r="J54" s="124">
        <f>+'#1 DFIT- FSC'!J57+'#2 DFIT- Unit 4'!J39</f>
        <v>-4508223.6855776114</v>
      </c>
      <c r="K54" s="124">
        <f>+'#1 DFIT- FSC'!K57+'#2 DFIT- Unit 4'!K39</f>
        <v>406329.42024623894</v>
      </c>
      <c r="L54" s="124">
        <f>+'#1 DFIT- FSC'!L57+'#2 DFIT- Unit 4'!L39</f>
        <v>62104773.769021615</v>
      </c>
      <c r="M54" s="124">
        <f>+'#1 DFIT- FSC'!M57+'#2 DFIT- Unit 4'!M39</f>
        <v>132638923.6813947</v>
      </c>
      <c r="N54" s="124">
        <f>+'#1 DFIT- FSC'!N57+'#2 DFIT- Unit 4'!N39</f>
        <v>70534149.912373066</v>
      </c>
      <c r="O54" s="124">
        <f>+'#1 DFIT- FSC'!O57+'#2 DFIT- Unit 4'!O39</f>
        <v>-24686952.469330572</v>
      </c>
      <c r="P54" s="281">
        <f>+'#1 DFIT- FSC'!P57+'#2 DFIT- Unit 4'!P39</f>
        <v>56541.95788125135</v>
      </c>
      <c r="R54" s="135"/>
    </row>
    <row r="55" spans="1:18" s="1344" customFormat="1">
      <c r="A55" s="279">
        <v>41943</v>
      </c>
      <c r="B55" s="282">
        <f>+'#1 DFIT- FSC'!B58+'#2 DFIT- Unit 4'!B40</f>
        <v>136740817.94672605</v>
      </c>
      <c r="C55" s="124">
        <f>+'#1 DFIT- FSC'!C58+'#2 DFIT- Unit 4'!C40</f>
        <v>152062126.11249995</v>
      </c>
      <c r="D55" s="124">
        <f>+'#1 DFIT- FSC'!D58+'#2 DFIT- Unit 4'!D40</f>
        <v>136740817.94672605</v>
      </c>
      <c r="E55" s="124">
        <f>+'#1 DFIT- FSC'!E58+'#2 DFIT- Unit 4'!E40</f>
        <v>411304.98531558982</v>
      </c>
      <c r="F55" s="124">
        <f>+'#1 DFIT- FSC'!F58+'#2 DFIT- Unit 4'!F40</f>
        <v>277740.839752289</v>
      </c>
      <c r="G55" s="124">
        <f>+'#1 DFIT- FSC'!G58+'#2 DFIT- Unit 4'!G40</f>
        <v>249756.53422628701</v>
      </c>
      <c r="H55" s="124">
        <f>+'#1 DFIT- FSC'!H58+'#2 DFIT- Unit 4'!H40</f>
        <v>27984.305526001976</v>
      </c>
      <c r="I55" s="124">
        <f>+'#1 DFIT- FSC'!I58+'#2 DFIT- Unit 4'!I40</f>
        <v>-75047349.16302003</v>
      </c>
      <c r="J55" s="124">
        <f>+'#1 DFIT- FSC'!J58+'#2 DFIT- Unit 4'!J40</f>
        <v>-4785964.5253299009</v>
      </c>
      <c r="K55" s="124">
        <f>+'#1 DFIT- FSC'!K58+'#2 DFIT- Unit 4'!K40</f>
        <v>434313.7257722409</v>
      </c>
      <c r="L55" s="124">
        <f>+'#1 DFIT- FSC'!L58+'#2 DFIT- Unit 4'!L40</f>
        <v>61693468.783706032</v>
      </c>
      <c r="M55" s="124">
        <f>+'#1 DFIT- FSC'!M58+'#2 DFIT- Unit 4'!M40</f>
        <v>132389167.1471684</v>
      </c>
      <c r="N55" s="124">
        <f>+'#1 DFIT- FSC'!N58+'#2 DFIT- Unit 4'!N40</f>
        <v>70695698.363462374</v>
      </c>
      <c r="O55" s="124">
        <f>+'#1 DFIT- FSC'!O58+'#2 DFIT- Unit 4'!O40</f>
        <v>-24743494.427211829</v>
      </c>
      <c r="P55" s="281">
        <f>+'#1 DFIT- FSC'!P58+'#2 DFIT- Unit 4'!P40</f>
        <v>56541.957881256938</v>
      </c>
      <c r="R55" s="311"/>
    </row>
    <row r="56" spans="1:18" s="128" customFormat="1">
      <c r="A56" s="1341">
        <v>41973</v>
      </c>
      <c r="B56" s="280">
        <f>+'#1 DFIT- FSC'!B59+'#2 DFIT- Unit 4'!B41</f>
        <v>136740817.94672605</v>
      </c>
      <c r="C56" s="280">
        <f>+'#1 DFIT- FSC'!C59+'#2 DFIT- Unit 4'!C41</f>
        <v>152062126.11249995</v>
      </c>
      <c r="D56" s="280">
        <f>+'#1 DFIT- FSC'!D59+'#2 DFIT- Unit 4'!D41</f>
        <v>136740817.94672605</v>
      </c>
      <c r="E56" s="280">
        <f>+'#1 DFIT- FSC'!E59+'#2 DFIT- Unit 4'!E41</f>
        <v>411304.98531558982</v>
      </c>
      <c r="F56" s="280">
        <f>+'#1 DFIT- FSC'!F59+'#2 DFIT- Unit 4'!F41</f>
        <v>277740.839752289</v>
      </c>
      <c r="G56" s="280">
        <f>+'#1 DFIT- FSC'!G59+'#2 DFIT- Unit 4'!G41</f>
        <v>249756.53422628701</v>
      </c>
      <c r="H56" s="280">
        <f>+'#1 DFIT- FSC'!H59+'#2 DFIT- Unit 4'!H41</f>
        <v>27984.305526001976</v>
      </c>
      <c r="I56" s="280">
        <f>+'#1 DFIT- FSC'!I59+'#2 DFIT- Unit 4'!I41</f>
        <v>-75458654.148335621</v>
      </c>
      <c r="J56" s="280">
        <f>+'#1 DFIT- FSC'!J59+'#2 DFIT- Unit 4'!J41</f>
        <v>-5063705.3650821894</v>
      </c>
      <c r="K56" s="280">
        <f>+'#1 DFIT- FSC'!K59+'#2 DFIT- Unit 4'!K41</f>
        <v>462298.03129824292</v>
      </c>
      <c r="L56" s="280">
        <f>+'#1 DFIT- FSC'!L59+'#2 DFIT- Unit 4'!L41</f>
        <v>61282163.798390448</v>
      </c>
      <c r="M56" s="280">
        <f>+'#1 DFIT- FSC'!M59+'#2 DFIT- Unit 4'!M41</f>
        <v>132139410.61294211</v>
      </c>
      <c r="N56" s="280">
        <f>+'#1 DFIT- FSC'!N59+'#2 DFIT- Unit 4'!N41</f>
        <v>70857246.814551666</v>
      </c>
      <c r="O56" s="280">
        <f>+'#1 DFIT- FSC'!O59+'#2 DFIT- Unit 4'!O41</f>
        <v>-24800036.385093082</v>
      </c>
      <c r="P56" s="281">
        <f>+'#1 DFIT- FSC'!P59+'#2 DFIT- Unit 4'!P41</f>
        <v>56541.957881253213</v>
      </c>
      <c r="R56" s="135"/>
    </row>
    <row r="57" spans="1:18" s="128" customFormat="1">
      <c r="A57" s="187">
        <v>42004</v>
      </c>
      <c r="B57" s="229">
        <f>+'#1 DFIT- FSC'!B60+'#2 DFIT- Unit 4'!B42</f>
        <v>136740817.94672605</v>
      </c>
      <c r="C57" s="229">
        <f>+'#1 DFIT- FSC'!C60+'#2 DFIT- Unit 4'!C42</f>
        <v>152062126.11249995</v>
      </c>
      <c r="D57" s="229">
        <f>+'#1 DFIT- FSC'!D60+'#2 DFIT- Unit 4'!D42</f>
        <v>136740817.94672605</v>
      </c>
      <c r="E57" s="229">
        <f>+'#1 DFIT- FSC'!E60+'#2 DFIT- Unit 4'!E42</f>
        <v>411304.98531558982</v>
      </c>
      <c r="F57" s="229">
        <f>+'#1 DFIT- FSC'!F60+'#2 DFIT- Unit 4'!F42</f>
        <v>277740.839752289</v>
      </c>
      <c r="G57" s="229">
        <f>+'#1 DFIT- FSC'!G60+'#2 DFIT- Unit 4'!G42</f>
        <v>249756.53422628701</v>
      </c>
      <c r="H57" s="229">
        <f>+'#1 DFIT- FSC'!H60+'#2 DFIT- Unit 4'!H42</f>
        <v>27984.305526001976</v>
      </c>
      <c r="I57" s="229">
        <f>+'#1 DFIT- FSC'!I60+'#2 DFIT- Unit 4'!I42</f>
        <v>-75869959.133651197</v>
      </c>
      <c r="J57" s="229">
        <f>+'#1 DFIT- FSC'!J60+'#2 DFIT- Unit 4'!J42</f>
        <v>-5341446.204834478</v>
      </c>
      <c r="K57" s="229">
        <f>+'#1 DFIT- FSC'!K60+'#2 DFIT- Unit 4'!K42</f>
        <v>490282.33682424494</v>
      </c>
      <c r="L57" s="229">
        <f>+'#1 DFIT- FSC'!L60+'#2 DFIT- Unit 4'!L42</f>
        <v>60870858.813074857</v>
      </c>
      <c r="M57" s="229">
        <f>+'#1 DFIT- FSC'!M60+'#2 DFIT- Unit 4'!M42</f>
        <v>131889654.07871583</v>
      </c>
      <c r="N57" s="229">
        <f>+'#1 DFIT- FSC'!N60+'#2 DFIT- Unit 4'!N42</f>
        <v>71018795.265640974</v>
      </c>
      <c r="O57" s="229">
        <f>+'#1 DFIT- FSC'!O60+'#2 DFIT- Unit 4'!O42</f>
        <v>-24856578.342974335</v>
      </c>
      <c r="P57" s="230">
        <f>+'#1 DFIT- FSC'!P60+'#2 DFIT- Unit 4'!P42</f>
        <v>56541.957881255075</v>
      </c>
      <c r="R57" s="135"/>
    </row>
    <row r="58" spans="1:18" s="128" customFormat="1">
      <c r="A58" s="186" t="s">
        <v>70</v>
      </c>
      <c r="B58" s="229">
        <f>+'#1 DFIT- FSC'!B61+'#2 DFIT- Unit 4'!B43</f>
        <v>136740817.94672605</v>
      </c>
      <c r="C58" s="229">
        <f>+'#1 DFIT- FSC'!C61+'#2 DFIT- Unit 4'!C43</f>
        <v>152062126.11249995</v>
      </c>
      <c r="D58" s="229">
        <f>+'#1 DFIT- FSC'!D61+'#2 DFIT- Unit 4'!D43</f>
        <v>136740817.94672605</v>
      </c>
      <c r="E58" s="229">
        <f>+'#1 DFIT- FSC'!E61+'#2 DFIT- Unit 4'!E43</f>
        <v>4565092.2071514493</v>
      </c>
      <c r="F58" s="229">
        <f>+'#1 DFIT- FSC'!F61+'#2 DFIT- Unit 4'!F43</f>
        <v>3332890.077027468</v>
      </c>
      <c r="G58" s="229">
        <f>+'#1 DFIT- FSC'!G61+'#2 DFIT- Unit 4'!G43</f>
        <v>2997078.410715444</v>
      </c>
      <c r="H58" s="229">
        <f>+'#1 DFIT- FSC'!H61+'#2 DFIT- Unit 4'!H43</f>
        <v>335811.66631202353</v>
      </c>
      <c r="I58" s="229">
        <f>+'#1 DFIT- FSC'!I61+'#2 DFIT- Unit 4'!I43</f>
        <v>-80435051.340802655</v>
      </c>
      <c r="J58" s="229">
        <f>+'#1 DFIT- FSC'!J61+'#2 DFIT- Unit 4'!J43</f>
        <v>-8674336.281861946</v>
      </c>
      <c r="K58" s="229">
        <f>+'#1 DFIT- FSC'!K61+'#2 DFIT- Unit 4'!K43</f>
        <v>826094.00313626847</v>
      </c>
      <c r="L58" s="229">
        <f>+'#1 DFIT- FSC'!L61+'#2 DFIT- Unit 4'!L43</f>
        <v>56305766.605923407</v>
      </c>
      <c r="M58" s="229">
        <f>+'#1 DFIT- FSC'!M61+'#2 DFIT- Unit 4'!M43</f>
        <v>128892575.66800037</v>
      </c>
      <c r="N58" s="229">
        <f>+'#1 DFIT- FSC'!N61+'#2 DFIT- Unit 4'!N43</f>
        <v>72586809.062076971</v>
      </c>
      <c r="O58" s="229">
        <f>+'#1 DFIT- FSC'!O61+'#2 DFIT- Unit 4'!O43</f>
        <v>-25405383.171726938</v>
      </c>
      <c r="P58" s="230">
        <f>+'#1 DFIT- FSC'!P61+'#2 DFIT- Unit 4'!P43</f>
        <v>548804.82875260152</v>
      </c>
      <c r="R58" s="135"/>
    </row>
    <row r="59" spans="1:18" s="128" customFormat="1">
      <c r="A59" s="186" t="s">
        <v>71</v>
      </c>
      <c r="B59" s="229">
        <f>+'#1 DFIT- FSC'!B62+'#2 DFIT- Unit 4'!B44</f>
        <v>136740817.94672605</v>
      </c>
      <c r="C59" s="229">
        <f>+'#1 DFIT- FSC'!C62+'#2 DFIT- Unit 4'!C44</f>
        <v>152062126.11249995</v>
      </c>
      <c r="D59" s="229">
        <f>+'#1 DFIT- FSC'!D62+'#2 DFIT- Unit 4'!D44</f>
        <v>136740817.94672605</v>
      </c>
      <c r="E59" s="229">
        <f>+'#1 DFIT- FSC'!E62+'#2 DFIT- Unit 4'!E44</f>
        <v>4223240.1622846341</v>
      </c>
      <c r="F59" s="229">
        <f>+'#1 DFIT- FSC'!F62+'#2 DFIT- Unit 4'!F44</f>
        <v>3332890.077027468</v>
      </c>
      <c r="G59" s="229">
        <f>+'#1 DFIT- FSC'!G62+'#2 DFIT- Unit 4'!G44</f>
        <v>2997078.410715444</v>
      </c>
      <c r="H59" s="229">
        <f>+'#1 DFIT- FSC'!H62+'#2 DFIT- Unit 4'!H44</f>
        <v>335811.66631202353</v>
      </c>
      <c r="I59" s="229">
        <f>+'#1 DFIT- FSC'!I62+'#2 DFIT- Unit 4'!I44</f>
        <v>-84658291.503087282</v>
      </c>
      <c r="J59" s="229">
        <f>+'#1 DFIT- FSC'!J62+'#2 DFIT- Unit 4'!J44</f>
        <v>-12007226.358889414</v>
      </c>
      <c r="K59" s="229">
        <f>+'#1 DFIT- FSC'!K62+'#2 DFIT- Unit 4'!K44</f>
        <v>1161905.6694482919</v>
      </c>
      <c r="L59" s="229">
        <f>+'#1 DFIT- FSC'!L62+'#2 DFIT- Unit 4'!L44</f>
        <v>52082526.443638772</v>
      </c>
      <c r="M59" s="229">
        <f>+'#1 DFIT- FSC'!M62+'#2 DFIT- Unit 4'!M44</f>
        <v>125895497.25728494</v>
      </c>
      <c r="N59" s="229">
        <f>+'#1 DFIT- FSC'!N62+'#2 DFIT- Unit 4'!N44</f>
        <v>73812970.813646168</v>
      </c>
      <c r="O59" s="229">
        <f>+'#1 DFIT- FSC'!O62+'#2 DFIT- Unit 4'!O44</f>
        <v>-25834539.784776155</v>
      </c>
      <c r="P59" s="230">
        <f>+'#1 DFIT- FSC'!P62+'#2 DFIT- Unit 4'!P44</f>
        <v>429156.61304921657</v>
      </c>
    </row>
    <row r="60" spans="1:18" s="128" customFormat="1">
      <c r="A60" s="186" t="s">
        <v>72</v>
      </c>
      <c r="B60" s="229">
        <f>+'#1 DFIT- FSC'!B63+'#2 DFIT- Unit 4'!B45</f>
        <v>136740817.94672605</v>
      </c>
      <c r="C60" s="229">
        <f>+'#1 DFIT- FSC'!C63+'#2 DFIT- Unit 4'!C45</f>
        <v>152062126.11249995</v>
      </c>
      <c r="D60" s="229">
        <f>+'#1 DFIT- FSC'!D63+'#2 DFIT- Unit 4'!D45</f>
        <v>136740817.94672605</v>
      </c>
      <c r="E60" s="229">
        <f>+'#1 DFIT- FSC'!E63+'#2 DFIT- Unit 4'!E45</f>
        <v>3906001.46464823</v>
      </c>
      <c r="F60" s="229">
        <f>+'#1 DFIT- FSC'!F63+'#2 DFIT- Unit 4'!F45</f>
        <v>3332890.077027468</v>
      </c>
      <c r="G60" s="229">
        <f>+'#1 DFIT- FSC'!G63+'#2 DFIT- Unit 4'!G45</f>
        <v>2997078.410715444</v>
      </c>
      <c r="H60" s="229">
        <f>+'#1 DFIT- FSC'!H63+'#2 DFIT- Unit 4'!H45</f>
        <v>335811.66631202353</v>
      </c>
      <c r="I60" s="229">
        <f>+'#1 DFIT- FSC'!I63+'#2 DFIT- Unit 4'!I45</f>
        <v>-88564292.967735529</v>
      </c>
      <c r="J60" s="229">
        <f>+'#1 DFIT- FSC'!J63+'#2 DFIT- Unit 4'!J45</f>
        <v>-15340116.435916882</v>
      </c>
      <c r="K60" s="229">
        <f>+'#1 DFIT- FSC'!K63+'#2 DFIT- Unit 4'!K45</f>
        <v>1497717.3357603154</v>
      </c>
      <c r="L60" s="229">
        <f>+'#1 DFIT- FSC'!L63+'#2 DFIT- Unit 4'!L45</f>
        <v>48176524.97899054</v>
      </c>
      <c r="M60" s="229">
        <f>+'#1 DFIT- FSC'!M63+'#2 DFIT- Unit 4'!M45</f>
        <v>122898418.84656948</v>
      </c>
      <c r="N60" s="229">
        <f>+'#1 DFIT- FSC'!N63+'#2 DFIT- Unit 4'!N45</f>
        <v>74721893.867578954</v>
      </c>
      <c r="O60" s="229">
        <f>+'#1 DFIT- FSC'!O63+'#2 DFIT- Unit 4'!O45</f>
        <v>-26152662.853652626</v>
      </c>
      <c r="P60" s="230">
        <f>+'#1 DFIT- FSC'!P63+'#2 DFIT- Unit 4'!P45</f>
        <v>318123.06887647323</v>
      </c>
    </row>
    <row r="61" spans="1:18" s="128" customFormat="1">
      <c r="A61" s="186" t="s">
        <v>73</v>
      </c>
      <c r="B61" s="229">
        <f>+'#1 DFIT- FSC'!B64+'#2 DFIT- Unit 4'!B46</f>
        <v>136740817.94672605</v>
      </c>
      <c r="C61" s="229">
        <f>+'#1 DFIT- FSC'!C64+'#2 DFIT- Unit 4'!C46</f>
        <v>152062126.11249995</v>
      </c>
      <c r="D61" s="229">
        <f>+'#1 DFIT- FSC'!D64+'#2 DFIT- Unit 4'!D46</f>
        <v>136740817.94672605</v>
      </c>
      <c r="E61" s="229">
        <f>+'#1 DFIT- FSC'!E64+'#2 DFIT- Unit 4'!E46</f>
        <v>3613376.1142422361</v>
      </c>
      <c r="F61" s="229">
        <f>+'#1 DFIT- FSC'!F64+'#2 DFIT- Unit 4'!F46</f>
        <v>3332890.077027468</v>
      </c>
      <c r="G61" s="229">
        <f>+'#1 DFIT- FSC'!G64+'#2 DFIT- Unit 4'!G46</f>
        <v>2997078.410715444</v>
      </c>
      <c r="H61" s="229">
        <f>+'#1 DFIT- FSC'!H64+'#2 DFIT- Unit 4'!H46</f>
        <v>335811.66631202353</v>
      </c>
      <c r="I61" s="229">
        <f>+'#1 DFIT- FSC'!I64+'#2 DFIT- Unit 4'!I46</f>
        <v>-92177669.081977755</v>
      </c>
      <c r="J61" s="229">
        <f>+'#1 DFIT- FSC'!J64+'#2 DFIT- Unit 4'!J46</f>
        <v>-18673006.512944348</v>
      </c>
      <c r="K61" s="229">
        <f>+'#1 DFIT- FSC'!K64+'#2 DFIT- Unit 4'!K46</f>
        <v>1833529.0020723389</v>
      </c>
      <c r="L61" s="229">
        <f>+'#1 DFIT- FSC'!L64+'#2 DFIT- Unit 4'!L46</f>
        <v>44563148.864748299</v>
      </c>
      <c r="M61" s="229">
        <f>+'#1 DFIT- FSC'!M64+'#2 DFIT- Unit 4'!M46</f>
        <v>119901340.43585406</v>
      </c>
      <c r="N61" s="229">
        <f>+'#1 DFIT- FSC'!N64+'#2 DFIT- Unit 4'!N46</f>
        <v>75338191.571105763</v>
      </c>
      <c r="O61" s="229">
        <f>+'#1 DFIT- FSC'!O64+'#2 DFIT- Unit 4'!O46</f>
        <v>-26368367.049887016</v>
      </c>
      <c r="P61" s="230">
        <f>+'#1 DFIT- FSC'!P64+'#2 DFIT- Unit 4'!P46</f>
        <v>215704.19623438828</v>
      </c>
    </row>
    <row r="62" spans="1:18" s="128" customFormat="1">
      <c r="A62" s="186" t="s">
        <v>74</v>
      </c>
      <c r="B62" s="229">
        <f>+'#1 DFIT- FSC'!B65+'#2 DFIT- Unit 4'!B47</f>
        <v>136740817.94672605</v>
      </c>
      <c r="C62" s="229">
        <f>+'#1 DFIT- FSC'!C65+'#2 DFIT- Unit 4'!C47</f>
        <v>152062126.11249995</v>
      </c>
      <c r="D62" s="229">
        <f>+'#1 DFIT- FSC'!D65+'#2 DFIT- Unit 4'!D47</f>
        <v>136740817.94672605</v>
      </c>
      <c r="E62" s="229">
        <f>+'#1 DFIT- FSC'!E65+'#2 DFIT- Unit 4'!E47</f>
        <v>3341945.590617985</v>
      </c>
      <c r="F62" s="229">
        <f>+'#1 DFIT- FSC'!F65+'#2 DFIT- Unit 4'!F47</f>
        <v>3332890.077027468</v>
      </c>
      <c r="G62" s="229">
        <f>+'#1 DFIT- FSC'!G65+'#2 DFIT- Unit 4'!G47</f>
        <v>2997078.410715444</v>
      </c>
      <c r="H62" s="229">
        <f>+'#1 DFIT- FSC'!H65+'#2 DFIT- Unit 4'!H47</f>
        <v>335811.66631202353</v>
      </c>
      <c r="I62" s="229">
        <f>+'#1 DFIT- FSC'!I65+'#2 DFIT- Unit 4'!I47</f>
        <v>-95519614.672595739</v>
      </c>
      <c r="J62" s="229">
        <f>+'#1 DFIT- FSC'!J65+'#2 DFIT- Unit 4'!J47</f>
        <v>-22005896.589971818</v>
      </c>
      <c r="K62" s="229">
        <f>+'#1 DFIT- FSC'!K65+'#2 DFIT- Unit 4'!K47</f>
        <v>2169340.6683843625</v>
      </c>
      <c r="L62" s="229">
        <f>+'#1 DFIT- FSC'!L65+'#2 DFIT- Unit 4'!L47</f>
        <v>41221203.274130315</v>
      </c>
      <c r="M62" s="229">
        <f>+'#1 DFIT- FSC'!M65+'#2 DFIT- Unit 4'!M47</f>
        <v>116904262.0251386</v>
      </c>
      <c r="N62" s="229">
        <f>+'#1 DFIT- FSC'!N65+'#2 DFIT- Unit 4'!N47</f>
        <v>75683058.751008287</v>
      </c>
      <c r="O62" s="229">
        <f>+'#1 DFIT- FSC'!O65+'#2 DFIT- Unit 4'!O47</f>
        <v>-26489070.562852897</v>
      </c>
      <c r="P62" s="230">
        <f>+'#1 DFIT- FSC'!P65+'#2 DFIT- Unit 4'!P47</f>
        <v>120703.5129658822</v>
      </c>
    </row>
    <row r="63" spans="1:18" s="128" customFormat="1">
      <c r="A63" s="186" t="s">
        <v>75</v>
      </c>
      <c r="B63" s="229">
        <f>+'#1 DFIT- FSC'!B66+'#2 DFIT- Unit 4'!B48</f>
        <v>136740817.94672605</v>
      </c>
      <c r="C63" s="229">
        <f>+'#1 DFIT- FSC'!C66+'#2 DFIT- Unit 4'!C48</f>
        <v>152062126.11249995</v>
      </c>
      <c r="D63" s="229">
        <f>+'#1 DFIT- FSC'!D66+'#2 DFIT- Unit 4'!D48</f>
        <v>136740817.94672605</v>
      </c>
      <c r="E63" s="229">
        <f>+'#1 DFIT- FSC'!E66+'#2 DFIT- Unit 4'!E48</f>
        <v>3091709.8937754761</v>
      </c>
      <c r="F63" s="229">
        <f>+'#1 DFIT- FSC'!F66+'#2 DFIT- Unit 4'!F48</f>
        <v>3332890.077027468</v>
      </c>
      <c r="G63" s="229">
        <f>+'#1 DFIT- FSC'!G66+'#2 DFIT- Unit 4'!G48</f>
        <v>2997078.410715444</v>
      </c>
      <c r="H63" s="229">
        <f>+'#1 DFIT- FSC'!H66+'#2 DFIT- Unit 4'!H48</f>
        <v>335811.66631202353</v>
      </c>
      <c r="I63" s="229">
        <f>+'#1 DFIT- FSC'!I66+'#2 DFIT- Unit 4'!I48</f>
        <v>-98611324.566371217</v>
      </c>
      <c r="J63" s="229">
        <f>+'#1 DFIT- FSC'!J66+'#2 DFIT- Unit 4'!J48</f>
        <v>-25338786.666999288</v>
      </c>
      <c r="K63" s="229">
        <f>+'#1 DFIT- FSC'!K66+'#2 DFIT- Unit 4'!K48</f>
        <v>2505152.334696386</v>
      </c>
      <c r="L63" s="229">
        <f>+'#1 DFIT- FSC'!L66+'#2 DFIT- Unit 4'!L48</f>
        <v>38129493.380354844</v>
      </c>
      <c r="M63" s="229">
        <f>+'#1 DFIT- FSC'!M66+'#2 DFIT- Unit 4'!M48</f>
        <v>113907183.61442316</v>
      </c>
      <c r="N63" s="229">
        <f>+'#1 DFIT- FSC'!N66+'#2 DFIT- Unit 4'!N48</f>
        <v>75777690.234068304</v>
      </c>
      <c r="O63" s="229">
        <f>+'#1 DFIT- FSC'!O66+'#2 DFIT- Unit 4'!O48</f>
        <v>-26522191.581923906</v>
      </c>
      <c r="P63" s="230">
        <f>+'#1 DFIT- FSC'!P66+'#2 DFIT- Unit 4'!P48</f>
        <v>33121.019071007147</v>
      </c>
    </row>
    <row r="64" spans="1:18" s="128" customFormat="1">
      <c r="A64" s="186" t="s">
        <v>76</v>
      </c>
      <c r="B64" s="229">
        <f>+'#1 DFIT- FSC'!B67+'#2 DFIT- Unit 4'!B49</f>
        <v>136740817.94672605</v>
      </c>
      <c r="C64" s="229">
        <f>+'#1 DFIT- FSC'!C67+'#2 DFIT- Unit 4'!C49</f>
        <v>152062126.11249995</v>
      </c>
      <c r="D64" s="229">
        <f>+'#1 DFIT- FSC'!D67+'#2 DFIT- Unit 4'!D49</f>
        <v>136740817.94672605</v>
      </c>
      <c r="E64" s="229">
        <f>+'#1 DFIT- FSC'!E67+'#2 DFIT- Unit 4'!E49</f>
        <v>3050687.6483914582</v>
      </c>
      <c r="F64" s="229">
        <f>+'#1 DFIT- FSC'!F67+'#2 DFIT- Unit 4'!F49</f>
        <v>3332890.077027468</v>
      </c>
      <c r="G64" s="229">
        <f>+'#1 DFIT- FSC'!G67+'#2 DFIT- Unit 4'!G49</f>
        <v>2997078.410715444</v>
      </c>
      <c r="H64" s="229">
        <f>+'#1 DFIT- FSC'!H67+'#2 DFIT- Unit 4'!H49</f>
        <v>335811.66631202353</v>
      </c>
      <c r="I64" s="229">
        <f>+'#1 DFIT- FSC'!I67+'#2 DFIT- Unit 4'!I49</f>
        <v>-101662012.21476267</v>
      </c>
      <c r="J64" s="229">
        <f>+'#1 DFIT- FSC'!J67+'#2 DFIT- Unit 4'!J49</f>
        <v>-28671676.744026754</v>
      </c>
      <c r="K64" s="229">
        <f>+'#1 DFIT- FSC'!K67+'#2 DFIT- Unit 4'!K49</f>
        <v>2840964.0010084095</v>
      </c>
      <c r="L64" s="229">
        <f>+'#1 DFIT- FSC'!L67+'#2 DFIT- Unit 4'!L49</f>
        <v>35078805.731963389</v>
      </c>
      <c r="M64" s="229">
        <f>+'#1 DFIT- FSC'!M67+'#2 DFIT- Unit 4'!M49</f>
        <v>110910105.20370771</v>
      </c>
      <c r="N64" s="229">
        <f>+'#1 DFIT- FSC'!N67+'#2 DFIT- Unit 4'!N49</f>
        <v>75831299.471744329</v>
      </c>
      <c r="O64" s="229">
        <f>+'#1 DFIT- FSC'!O67+'#2 DFIT- Unit 4'!O49</f>
        <v>-26540954.815110512</v>
      </c>
      <c r="P64" s="230">
        <f>+'#1 DFIT- FSC'!P67+'#2 DFIT- Unit 4'!P49</f>
        <v>18763.233186606318</v>
      </c>
    </row>
    <row r="65" spans="1:16" s="128" customFormat="1">
      <c r="A65" s="186" t="s">
        <v>77</v>
      </c>
      <c r="B65" s="229">
        <f>+'#1 DFIT- FSC'!B68+'#2 DFIT- Unit 4'!B50</f>
        <v>136740817.94672605</v>
      </c>
      <c r="C65" s="229">
        <f>+'#1 DFIT- FSC'!C68+'#2 DFIT- Unit 4'!C50</f>
        <v>152062126.11249995</v>
      </c>
      <c r="D65" s="229">
        <f>+'#1 DFIT- FSC'!D68+'#2 DFIT- Unit 4'!D50</f>
        <v>136740817.94672605</v>
      </c>
      <c r="E65" s="229">
        <f>+'#1 DFIT- FSC'!E68+'#2 DFIT- Unit 4'!E50</f>
        <v>3050003.9443017254</v>
      </c>
      <c r="F65" s="229">
        <f>+'#1 DFIT- FSC'!F68+'#2 DFIT- Unit 4'!F50</f>
        <v>3332890.077027468</v>
      </c>
      <c r="G65" s="229">
        <f>+'#1 DFIT- FSC'!G68+'#2 DFIT- Unit 4'!G50</f>
        <v>2997078.410715444</v>
      </c>
      <c r="H65" s="229">
        <f>+'#1 DFIT- FSC'!H68+'#2 DFIT- Unit 4'!H50</f>
        <v>335811.66631202353</v>
      </c>
      <c r="I65" s="229">
        <f>+'#1 DFIT- FSC'!I68+'#2 DFIT- Unit 4'!I50</f>
        <v>-104712016.1590644</v>
      </c>
      <c r="J65" s="229">
        <f>+'#1 DFIT- FSC'!J68+'#2 DFIT- Unit 4'!J50</f>
        <v>-32004566.82105422</v>
      </c>
      <c r="K65" s="229">
        <f>+'#1 DFIT- FSC'!K68+'#2 DFIT- Unit 4'!K50</f>
        <v>3176775.6673204331</v>
      </c>
      <c r="L65" s="229">
        <f>+'#1 DFIT- FSC'!L68+'#2 DFIT- Unit 4'!L50</f>
        <v>32028801.787661664</v>
      </c>
      <c r="M65" s="229">
        <f>+'#1 DFIT- FSC'!M68+'#2 DFIT- Unit 4'!M50</f>
        <v>107913026.79299226</v>
      </c>
      <c r="N65" s="229">
        <f>+'#1 DFIT- FSC'!N68+'#2 DFIT- Unit 4'!N50</f>
        <v>75884225.005330607</v>
      </c>
      <c r="O65" s="229">
        <f>+'#1 DFIT- FSC'!O68+'#2 DFIT- Unit 4'!O50</f>
        <v>-26559478.751865707</v>
      </c>
      <c r="P65" s="230">
        <f>+'#1 DFIT- FSC'!P68+'#2 DFIT- Unit 4'!P50</f>
        <v>18523.936755197123</v>
      </c>
    </row>
    <row r="66" spans="1:16" s="128" customFormat="1">
      <c r="A66" s="186" t="s">
        <v>78</v>
      </c>
      <c r="B66" s="229">
        <f>+'#1 DFIT- FSC'!B69+'#2 DFIT- Unit 4'!B51</f>
        <v>136740817.94672605</v>
      </c>
      <c r="C66" s="229">
        <f>+'#1 DFIT- FSC'!C69+'#2 DFIT- Unit 4'!C51</f>
        <v>152062126.11249995</v>
      </c>
      <c r="D66" s="229">
        <f>+'#1 DFIT- FSC'!D69+'#2 DFIT- Unit 4'!D51</f>
        <v>136740817.94672605</v>
      </c>
      <c r="E66" s="229">
        <f>+'#1 DFIT- FSC'!E69+'#2 DFIT- Unit 4'!E51</f>
        <v>3050687.6483914582</v>
      </c>
      <c r="F66" s="229">
        <f>+'#1 DFIT- FSC'!F69+'#2 DFIT- Unit 4'!F51</f>
        <v>3332890.077027468</v>
      </c>
      <c r="G66" s="229">
        <f>+'#1 DFIT- FSC'!G69+'#2 DFIT- Unit 4'!G51</f>
        <v>2997078.410715444</v>
      </c>
      <c r="H66" s="229">
        <f>+'#1 DFIT- FSC'!H69+'#2 DFIT- Unit 4'!H51</f>
        <v>335811.66631202353</v>
      </c>
      <c r="I66" s="229">
        <f>+'#1 DFIT- FSC'!I69+'#2 DFIT- Unit 4'!I51</f>
        <v>-107762703.80745585</v>
      </c>
      <c r="J66" s="229">
        <f>+'#1 DFIT- FSC'!J69+'#2 DFIT- Unit 4'!J51</f>
        <v>-35337456.89808169</v>
      </c>
      <c r="K66" s="229">
        <f>+'#1 DFIT- FSC'!K69+'#2 DFIT- Unit 4'!K51</f>
        <v>3512587.3336324566</v>
      </c>
      <c r="L66" s="229">
        <f>+'#1 DFIT- FSC'!L69+'#2 DFIT- Unit 4'!L51</f>
        <v>28978114.139270209</v>
      </c>
      <c r="M66" s="229">
        <f>+'#1 DFIT- FSC'!M69+'#2 DFIT- Unit 4'!M51</f>
        <v>104915948.38227683</v>
      </c>
      <c r="N66" s="229">
        <f>+'#1 DFIT- FSC'!N69+'#2 DFIT- Unit 4'!N51</f>
        <v>75937834.243006617</v>
      </c>
      <c r="O66" s="229">
        <f>+'#1 DFIT- FSC'!O69+'#2 DFIT- Unit 4'!O51</f>
        <v>-26578241.985052317</v>
      </c>
      <c r="P66" s="230">
        <f>+'#1 DFIT- FSC'!P69+'#2 DFIT- Unit 4'!P51</f>
        <v>18763.233186606318</v>
      </c>
    </row>
    <row r="67" spans="1:16" s="128" customFormat="1">
      <c r="A67" s="186" t="s">
        <v>79</v>
      </c>
      <c r="B67" s="229">
        <f>+'#1 DFIT- FSC'!B70+'#2 DFIT- Unit 4'!B52</f>
        <v>136740817.94672605</v>
      </c>
      <c r="C67" s="229">
        <f>+'#1 DFIT- FSC'!C70+'#2 DFIT- Unit 4'!C52</f>
        <v>152062126.11249995</v>
      </c>
      <c r="D67" s="229">
        <f>+'#1 DFIT- FSC'!D70+'#2 DFIT- Unit 4'!D52</f>
        <v>136740817.94672605</v>
      </c>
      <c r="E67" s="229">
        <f>+'#1 DFIT- FSC'!E70+'#2 DFIT- Unit 4'!E52</f>
        <v>3050003.9443017254</v>
      </c>
      <c r="F67" s="229">
        <f>+'#1 DFIT- FSC'!F70+'#2 DFIT- Unit 4'!F52</f>
        <v>3332890.077027468</v>
      </c>
      <c r="G67" s="229">
        <f>+'#1 DFIT- FSC'!G70+'#2 DFIT- Unit 4'!G52</f>
        <v>2997078.410715444</v>
      </c>
      <c r="H67" s="229">
        <f>+'#1 DFIT- FSC'!H70+'#2 DFIT- Unit 4'!H52</f>
        <v>335811.66631202353</v>
      </c>
      <c r="I67" s="229">
        <f>+'#1 DFIT- FSC'!I70+'#2 DFIT- Unit 4'!I52</f>
        <v>-110812707.75175758</v>
      </c>
      <c r="J67" s="229">
        <f>+'#1 DFIT- FSC'!J70+'#2 DFIT- Unit 4'!J52</f>
        <v>-38670346.975109152</v>
      </c>
      <c r="K67" s="229">
        <f>+'#1 DFIT- FSC'!K70+'#2 DFIT- Unit 4'!K52</f>
        <v>3848398.9999444801</v>
      </c>
      <c r="L67" s="229">
        <f>+'#1 DFIT- FSC'!L70+'#2 DFIT- Unit 4'!L52</f>
        <v>25928110.194968484</v>
      </c>
      <c r="M67" s="229">
        <f>+'#1 DFIT- FSC'!M70+'#2 DFIT- Unit 4'!M52</f>
        <v>101918869.97156139</v>
      </c>
      <c r="N67" s="229">
        <f>+'#1 DFIT- FSC'!N70+'#2 DFIT- Unit 4'!N52</f>
        <v>75990759.77659291</v>
      </c>
      <c r="O67" s="229">
        <f>+'#1 DFIT- FSC'!O70+'#2 DFIT- Unit 4'!O52</f>
        <v>-26596765.921807513</v>
      </c>
      <c r="P67" s="230">
        <f>+'#1 DFIT- FSC'!P70+'#2 DFIT- Unit 4'!P52</f>
        <v>18523.936755198985</v>
      </c>
    </row>
    <row r="68" spans="1:16" s="128" customFormat="1">
      <c r="A68" s="186" t="s">
        <v>80</v>
      </c>
      <c r="B68" s="229">
        <f>+'#1 DFIT- FSC'!B71+'#2 DFIT- Unit 4'!B53</f>
        <v>136740817.94672605</v>
      </c>
      <c r="C68" s="229">
        <f>+'#1 DFIT- FSC'!C71+'#2 DFIT- Unit 4'!C53</f>
        <v>152062126.11249995</v>
      </c>
      <c r="D68" s="229">
        <f>+'#1 DFIT- FSC'!D71+'#2 DFIT- Unit 4'!D53</f>
        <v>136740817.94672605</v>
      </c>
      <c r="E68" s="229">
        <f>+'#1 DFIT- FSC'!E71+'#2 DFIT- Unit 4'!E53</f>
        <v>3050687.6483914582</v>
      </c>
      <c r="F68" s="229">
        <f>+'#1 DFIT- FSC'!F71+'#2 DFIT- Unit 4'!F53</f>
        <v>3332890.077027468</v>
      </c>
      <c r="G68" s="229">
        <f>+'#1 DFIT- FSC'!G71+'#2 DFIT- Unit 4'!G53</f>
        <v>2997078.410715444</v>
      </c>
      <c r="H68" s="229">
        <f>+'#1 DFIT- FSC'!H71+'#2 DFIT- Unit 4'!H53</f>
        <v>335811.66631202353</v>
      </c>
      <c r="I68" s="229">
        <f>+'#1 DFIT- FSC'!I71+'#2 DFIT- Unit 4'!I53</f>
        <v>-113863395.40014903</v>
      </c>
      <c r="J68" s="229">
        <f>+'#1 DFIT- FSC'!J71+'#2 DFIT- Unit 4'!J53</f>
        <v>-42003237.052136615</v>
      </c>
      <c r="K68" s="229">
        <f>+'#1 DFIT- FSC'!K71+'#2 DFIT- Unit 4'!K53</f>
        <v>4184210.6662565037</v>
      </c>
      <c r="L68" s="229">
        <f>+'#1 DFIT- FSC'!L71+'#2 DFIT- Unit 4'!L53</f>
        <v>22877422.546577029</v>
      </c>
      <c r="M68" s="229">
        <f>+'#1 DFIT- FSC'!M71+'#2 DFIT- Unit 4'!M53</f>
        <v>98921791.560845941</v>
      </c>
      <c r="N68" s="229">
        <f>+'#1 DFIT- FSC'!N71+'#2 DFIT- Unit 4'!N53</f>
        <v>76044369.014268905</v>
      </c>
      <c r="O68" s="229">
        <f>+'#1 DFIT- FSC'!O71+'#2 DFIT- Unit 4'!O53</f>
        <v>-26615529.154994115</v>
      </c>
      <c r="P68" s="230">
        <f>+'#1 DFIT- FSC'!P71+'#2 DFIT- Unit 4'!P53</f>
        <v>18763.233186602592</v>
      </c>
    </row>
    <row r="69" spans="1:16" s="128" customFormat="1">
      <c r="A69" s="186" t="s">
        <v>81</v>
      </c>
      <c r="B69" s="229">
        <f>+'#1 DFIT- FSC'!B72+'#2 DFIT- Unit 4'!B54</f>
        <v>136740817.94672605</v>
      </c>
      <c r="C69" s="229">
        <f>+'#1 DFIT- FSC'!C72+'#2 DFIT- Unit 4'!C54</f>
        <v>152062126.11249995</v>
      </c>
      <c r="D69" s="229">
        <f>+'#1 DFIT- FSC'!D72+'#2 DFIT- Unit 4'!D54</f>
        <v>136740817.94672605</v>
      </c>
      <c r="E69" s="229">
        <f>+'#1 DFIT- FSC'!E72+'#2 DFIT- Unit 4'!E54</f>
        <v>3050003.9443017254</v>
      </c>
      <c r="F69" s="229">
        <f>+'#1 DFIT- FSC'!F72+'#2 DFIT- Unit 4'!F54</f>
        <v>3332890.077027468</v>
      </c>
      <c r="G69" s="229">
        <f>+'#1 DFIT- FSC'!G72+'#2 DFIT- Unit 4'!G54</f>
        <v>2997078.410715444</v>
      </c>
      <c r="H69" s="229">
        <f>+'#1 DFIT- FSC'!H72+'#2 DFIT- Unit 4'!H54</f>
        <v>335811.66631202353</v>
      </c>
      <c r="I69" s="229">
        <f>+'#1 DFIT- FSC'!I72+'#2 DFIT- Unit 4'!I54</f>
        <v>-116913399.34445076</v>
      </c>
      <c r="J69" s="229">
        <f>+'#1 DFIT- FSC'!J72+'#2 DFIT- Unit 4'!J54</f>
        <v>-45336127.129164085</v>
      </c>
      <c r="K69" s="229">
        <f>+'#1 DFIT- FSC'!K72+'#2 DFIT- Unit 4'!K54</f>
        <v>4520022.3325685272</v>
      </c>
      <c r="L69" s="229">
        <f>+'#1 DFIT- FSC'!L72+'#2 DFIT- Unit 4'!L54</f>
        <v>19827418.602275304</v>
      </c>
      <c r="M69" s="229">
        <f>+'#1 DFIT- FSC'!M72+'#2 DFIT- Unit 4'!M54</f>
        <v>95924713.150130495</v>
      </c>
      <c r="N69" s="229">
        <f>+'#1 DFIT- FSC'!N72+'#2 DFIT- Unit 4'!N54</f>
        <v>76097294.547855198</v>
      </c>
      <c r="O69" s="229">
        <f>+'#1 DFIT- FSC'!O72+'#2 DFIT- Unit 4'!O54</f>
        <v>-26634053.091749314</v>
      </c>
      <c r="P69" s="230">
        <f>+'#1 DFIT- FSC'!P72+'#2 DFIT- Unit 4'!P54</f>
        <v>18523.936755197123</v>
      </c>
    </row>
    <row r="70" spans="1:16" s="128" customFormat="1">
      <c r="A70" s="186" t="s">
        <v>82</v>
      </c>
      <c r="B70" s="229">
        <f>+'#1 DFIT- FSC'!B73+'#2 DFIT- Unit 4'!B55</f>
        <v>136740817.94672605</v>
      </c>
      <c r="C70" s="229">
        <f>+'#1 DFIT- FSC'!C73+'#2 DFIT- Unit 4'!C55</f>
        <v>152062126.11249995</v>
      </c>
      <c r="D70" s="229">
        <f>+'#1 DFIT- FSC'!D73+'#2 DFIT- Unit 4'!D55</f>
        <v>136740817.94672605</v>
      </c>
      <c r="E70" s="229">
        <f>+'#1 DFIT- FSC'!E73+'#2 DFIT- Unit 4'!E55</f>
        <v>3050687.6483914582</v>
      </c>
      <c r="F70" s="229">
        <f>+'#1 DFIT- FSC'!F73+'#2 DFIT- Unit 4'!F55</f>
        <v>3332890.077027468</v>
      </c>
      <c r="G70" s="229">
        <f>+'#1 DFIT- FSC'!G73+'#2 DFIT- Unit 4'!G55</f>
        <v>2997078.410715444</v>
      </c>
      <c r="H70" s="229">
        <f>+'#1 DFIT- FSC'!H73+'#2 DFIT- Unit 4'!H55</f>
        <v>335811.66631202353</v>
      </c>
      <c r="I70" s="229">
        <f>+'#1 DFIT- FSC'!I73+'#2 DFIT- Unit 4'!I55</f>
        <v>-119964086.99284221</v>
      </c>
      <c r="J70" s="229">
        <f>+'#1 DFIT- FSC'!J73+'#2 DFIT- Unit 4'!J55</f>
        <v>-48669017.206191555</v>
      </c>
      <c r="K70" s="229">
        <f>+'#1 DFIT- FSC'!K73+'#2 DFIT- Unit 4'!K55</f>
        <v>4855833.9988805512</v>
      </c>
      <c r="L70" s="229">
        <f>+'#1 DFIT- FSC'!L73+'#2 DFIT- Unit 4'!L55</f>
        <v>16776730.953883849</v>
      </c>
      <c r="M70" s="229">
        <f>+'#1 DFIT- FSC'!M73+'#2 DFIT- Unit 4'!M55</f>
        <v>92927634.73941505</v>
      </c>
      <c r="N70" s="229">
        <f>+'#1 DFIT- FSC'!N73+'#2 DFIT- Unit 4'!N55</f>
        <v>76150903.785531208</v>
      </c>
      <c r="O70" s="229">
        <f>+'#1 DFIT- FSC'!O73+'#2 DFIT- Unit 4'!O55</f>
        <v>-26652816.324935921</v>
      </c>
      <c r="P70" s="230">
        <f>+'#1 DFIT- FSC'!P73+'#2 DFIT- Unit 4'!P55</f>
        <v>18763.233186606318</v>
      </c>
    </row>
    <row r="71" spans="1:16" s="128" customFormat="1">
      <c r="A71" s="186" t="s">
        <v>83</v>
      </c>
      <c r="B71" s="229">
        <f>+'#1 DFIT- FSC'!B74+'#2 DFIT- Unit 4'!B56</f>
        <v>136740817.94672605</v>
      </c>
      <c r="C71" s="229">
        <f>+'#1 DFIT- FSC'!C74+'#2 DFIT- Unit 4'!C56</f>
        <v>152062126.11249995</v>
      </c>
      <c r="D71" s="229">
        <f>+'#1 DFIT- FSC'!D74+'#2 DFIT- Unit 4'!D56</f>
        <v>136740817.94672605</v>
      </c>
      <c r="E71" s="229">
        <f>+'#1 DFIT- FSC'!E74+'#2 DFIT- Unit 4'!E56</f>
        <v>3050003.9443017254</v>
      </c>
      <c r="F71" s="229">
        <f>+'#1 DFIT- FSC'!F74+'#2 DFIT- Unit 4'!F56</f>
        <v>3332890.077027468</v>
      </c>
      <c r="G71" s="229">
        <f>+'#1 DFIT- FSC'!G74+'#2 DFIT- Unit 4'!G56</f>
        <v>2997078.410715444</v>
      </c>
      <c r="H71" s="229">
        <f>+'#1 DFIT- FSC'!H74+'#2 DFIT- Unit 4'!H56</f>
        <v>335811.66631202353</v>
      </c>
      <c r="I71" s="229">
        <f>+'#1 DFIT- FSC'!I74+'#2 DFIT- Unit 4'!I56</f>
        <v>-123014090.93714394</v>
      </c>
      <c r="J71" s="229">
        <f>+'#1 DFIT- FSC'!J74+'#2 DFIT- Unit 4'!J56</f>
        <v>-52001907.283219017</v>
      </c>
      <c r="K71" s="229">
        <f>+'#1 DFIT- FSC'!K74+'#2 DFIT- Unit 4'!K56</f>
        <v>5191645.6651925752</v>
      </c>
      <c r="L71" s="229">
        <f>+'#1 DFIT- FSC'!L74+'#2 DFIT- Unit 4'!L56</f>
        <v>13726727.009582125</v>
      </c>
      <c r="M71" s="229">
        <f>+'#1 DFIT- FSC'!M74+'#2 DFIT- Unit 4'!M56</f>
        <v>89930556.328699619</v>
      </c>
      <c r="N71" s="229">
        <f>+'#1 DFIT- FSC'!N74+'#2 DFIT- Unit 4'!N56</f>
        <v>76203829.319117486</v>
      </c>
      <c r="O71" s="229">
        <f>+'#1 DFIT- FSC'!O74+'#2 DFIT- Unit 4'!O56</f>
        <v>-26671340.261691123</v>
      </c>
      <c r="P71" s="230">
        <f>+'#1 DFIT- FSC'!P74+'#2 DFIT- Unit 4'!P56</f>
        <v>18523.936755200848</v>
      </c>
    </row>
    <row r="72" spans="1:16" s="128" customFormat="1">
      <c r="A72" s="186" t="s">
        <v>84</v>
      </c>
      <c r="B72" s="229">
        <f>+'#1 DFIT- FSC'!B75+'#2 DFIT- Unit 4'!B57</f>
        <v>136740817.94672605</v>
      </c>
      <c r="C72" s="229">
        <f>+'#1 DFIT- FSC'!C75+'#2 DFIT- Unit 4'!C57</f>
        <v>152062126.11249995</v>
      </c>
      <c r="D72" s="229">
        <f>+'#1 DFIT- FSC'!D75+'#2 DFIT- Unit 4'!D57</f>
        <v>136740817.94672605</v>
      </c>
      <c r="E72" s="229">
        <f>+'#1 DFIT- FSC'!E75+'#2 DFIT- Unit 4'!E57</f>
        <v>3050687.6483914582</v>
      </c>
      <c r="F72" s="229">
        <f>+'#1 DFIT- FSC'!F75+'#2 DFIT- Unit 4'!F57</f>
        <v>3332890.077027468</v>
      </c>
      <c r="G72" s="229">
        <f>+'#1 DFIT- FSC'!G75+'#2 DFIT- Unit 4'!G57</f>
        <v>2997078.410715444</v>
      </c>
      <c r="H72" s="229">
        <f>+'#1 DFIT- FSC'!H75+'#2 DFIT- Unit 4'!H57</f>
        <v>335811.66631202353</v>
      </c>
      <c r="I72" s="229">
        <f>+'#1 DFIT- FSC'!I75+'#2 DFIT- Unit 4'!I57</f>
        <v>-126064778.58553539</v>
      </c>
      <c r="J72" s="229">
        <f>+'#1 DFIT- FSC'!J75+'#2 DFIT- Unit 4'!J57</f>
        <v>-55334797.36024648</v>
      </c>
      <c r="K72" s="229">
        <f>+'#1 DFIT- FSC'!K75+'#2 DFIT- Unit 4'!K57</f>
        <v>5527457.3315045992</v>
      </c>
      <c r="L72" s="229">
        <f>+'#1 DFIT- FSC'!L75+'#2 DFIT- Unit 4'!L57</f>
        <v>10676039.361190669</v>
      </c>
      <c r="M72" s="229">
        <f>+'#1 DFIT- FSC'!M75+'#2 DFIT- Unit 4'!M57</f>
        <v>86933477.917984173</v>
      </c>
      <c r="N72" s="229">
        <f>+'#1 DFIT- FSC'!N75+'#2 DFIT- Unit 4'!N57</f>
        <v>76257438.556793511</v>
      </c>
      <c r="O72" s="229">
        <f>+'#1 DFIT- FSC'!O75+'#2 DFIT- Unit 4'!O57</f>
        <v>-26690103.494877726</v>
      </c>
      <c r="P72" s="230">
        <f>+'#1 DFIT- FSC'!P75+'#2 DFIT- Unit 4'!P57</f>
        <v>18763.233186602592</v>
      </c>
    </row>
    <row r="73" spans="1:16" s="128" customFormat="1">
      <c r="A73" s="186" t="s">
        <v>85</v>
      </c>
      <c r="B73" s="229">
        <f>+'#1 DFIT- FSC'!B76+'#2 DFIT- Unit 4'!B58</f>
        <v>136740817.94672605</v>
      </c>
      <c r="C73" s="229">
        <f>+'#1 DFIT- FSC'!C76+'#2 DFIT- Unit 4'!C58</f>
        <v>152062126.11249995</v>
      </c>
      <c r="D73" s="229">
        <f>+'#1 DFIT- FSC'!D76+'#2 DFIT- Unit 4'!D58</f>
        <v>136740817.94672605</v>
      </c>
      <c r="E73" s="229">
        <f>+'#1 DFIT- FSC'!E76+'#2 DFIT- Unit 4'!E58</f>
        <v>3050003.9443017254</v>
      </c>
      <c r="F73" s="229">
        <f>+'#1 DFIT- FSC'!F76+'#2 DFIT- Unit 4'!F58</f>
        <v>3332890.077027468</v>
      </c>
      <c r="G73" s="229">
        <f>+'#1 DFIT- FSC'!G76+'#2 DFIT- Unit 4'!G58</f>
        <v>2997078.410715444</v>
      </c>
      <c r="H73" s="229">
        <f>+'#1 DFIT- FSC'!H76+'#2 DFIT- Unit 4'!H58</f>
        <v>335811.66631202353</v>
      </c>
      <c r="I73" s="229">
        <f>+'#1 DFIT- FSC'!I76+'#2 DFIT- Unit 4'!I58</f>
        <v>-129114782.52983712</v>
      </c>
      <c r="J73" s="229">
        <f>+'#1 DFIT- FSC'!J76+'#2 DFIT- Unit 4'!J58</f>
        <v>-58667687.437273949</v>
      </c>
      <c r="K73" s="229">
        <f>+'#1 DFIT- FSC'!K76+'#2 DFIT- Unit 4'!K58</f>
        <v>5863268.9978166232</v>
      </c>
      <c r="L73" s="229">
        <f>+'#1 DFIT- FSC'!L76+'#2 DFIT- Unit 4'!L58</f>
        <v>7626035.4168889448</v>
      </c>
      <c r="M73" s="229">
        <f>+'#1 DFIT- FSC'!M76+'#2 DFIT- Unit 4'!M58</f>
        <v>83936399.507268727</v>
      </c>
      <c r="N73" s="229">
        <f>+'#1 DFIT- FSC'!N76+'#2 DFIT- Unit 4'!N58</f>
        <v>76310364.090379789</v>
      </c>
      <c r="O73" s="229">
        <f>+'#1 DFIT- FSC'!O76+'#2 DFIT- Unit 4'!O58</f>
        <v>-26708627.431632925</v>
      </c>
      <c r="P73" s="230">
        <f>+'#1 DFIT- FSC'!P76+'#2 DFIT- Unit 4'!P58</f>
        <v>18523.936755200848</v>
      </c>
    </row>
    <row r="74" spans="1:16" s="128" customFormat="1">
      <c r="A74" s="186" t="s">
        <v>86</v>
      </c>
      <c r="B74" s="229">
        <f>+'#1 DFIT- FSC'!B77+'#2 DFIT- Unit 4'!B59</f>
        <v>136740817.94672605</v>
      </c>
      <c r="C74" s="229">
        <f>+'#1 DFIT- FSC'!C77+'#2 DFIT- Unit 4'!C59</f>
        <v>152062126.11249995</v>
      </c>
      <c r="D74" s="229">
        <f>+'#1 DFIT- FSC'!D77+'#2 DFIT- Unit 4'!D59</f>
        <v>136740817.94672605</v>
      </c>
      <c r="E74" s="229">
        <f>+'#1 DFIT- FSC'!E77+'#2 DFIT- Unit 4'!E59</f>
        <v>3050687.6483914582</v>
      </c>
      <c r="F74" s="229">
        <f>+'#1 DFIT- FSC'!F77+'#2 DFIT- Unit 4'!F59</f>
        <v>3332890.077027468</v>
      </c>
      <c r="G74" s="229">
        <f>+'#1 DFIT- FSC'!G77+'#2 DFIT- Unit 4'!G59</f>
        <v>2997078.410715444</v>
      </c>
      <c r="H74" s="229">
        <f>+'#1 DFIT- FSC'!H77+'#2 DFIT- Unit 4'!H59</f>
        <v>335811.66631202353</v>
      </c>
      <c r="I74" s="229">
        <f>+'#1 DFIT- FSC'!I77+'#2 DFIT- Unit 4'!I59</f>
        <v>-132165470.17822857</v>
      </c>
      <c r="J74" s="229">
        <f>+'#1 DFIT- FSC'!J77+'#2 DFIT- Unit 4'!J59</f>
        <v>-62000577.514301419</v>
      </c>
      <c r="K74" s="229">
        <f>+'#1 DFIT- FSC'!K77+'#2 DFIT- Unit 4'!K59</f>
        <v>6199080.6641286472</v>
      </c>
      <c r="L74" s="229">
        <f>+'#1 DFIT- FSC'!L77+'#2 DFIT- Unit 4'!L59</f>
        <v>4575347.7684974894</v>
      </c>
      <c r="M74" s="229">
        <f>+'#1 DFIT- FSC'!M77+'#2 DFIT- Unit 4'!M59</f>
        <v>80939321.096553281</v>
      </c>
      <c r="N74" s="229">
        <f>+'#1 DFIT- FSC'!N77+'#2 DFIT- Unit 4'!N59</f>
        <v>76363973.328055799</v>
      </c>
      <c r="O74" s="229">
        <f>+'#1 DFIT- FSC'!O77+'#2 DFIT- Unit 4'!O59</f>
        <v>-26727390.664819527</v>
      </c>
      <c r="P74" s="230">
        <f>+'#1 DFIT- FSC'!P77+'#2 DFIT- Unit 4'!P59</f>
        <v>18763.233186602592</v>
      </c>
    </row>
    <row r="75" spans="1:16" s="128" customFormat="1">
      <c r="A75" s="186" t="s">
        <v>87</v>
      </c>
      <c r="B75" s="229">
        <f>+'#1 DFIT- FSC'!B78+'#2 DFIT- Unit 4'!B60</f>
        <v>136740817.94672605</v>
      </c>
      <c r="C75" s="229">
        <f>+'#1 DFIT- FSC'!C78+'#2 DFIT- Unit 4'!C60</f>
        <v>152062126.11249995</v>
      </c>
      <c r="D75" s="229">
        <f>+'#1 DFIT- FSC'!D78+'#2 DFIT- Unit 4'!D60</f>
        <v>136740817.94672605</v>
      </c>
      <c r="E75" s="229">
        <f>+'#1 DFIT- FSC'!E78+'#2 DFIT- Unit 4'!E60</f>
        <v>3050003.9443017254</v>
      </c>
      <c r="F75" s="229">
        <f>+'#1 DFIT- FSC'!F78+'#2 DFIT- Unit 4'!F60</f>
        <v>3332890.077027468</v>
      </c>
      <c r="G75" s="229">
        <f>+'#1 DFIT- FSC'!G78+'#2 DFIT- Unit 4'!G60</f>
        <v>2997078.410715444</v>
      </c>
      <c r="H75" s="229">
        <f>+'#1 DFIT- FSC'!H78+'#2 DFIT- Unit 4'!H60</f>
        <v>335811.66631202353</v>
      </c>
      <c r="I75" s="229">
        <f>+'#1 DFIT- FSC'!I78+'#2 DFIT- Unit 4'!I60</f>
        <v>-135215474.12253028</v>
      </c>
      <c r="J75" s="229">
        <f>+'#1 DFIT- FSC'!J78+'#2 DFIT- Unit 4'!J60</f>
        <v>-65333467.591328889</v>
      </c>
      <c r="K75" s="229">
        <f>+'#1 DFIT- FSC'!K78+'#2 DFIT- Unit 4'!K60</f>
        <v>6534892.3304406712</v>
      </c>
      <c r="L75" s="229">
        <f>+'#1 DFIT- FSC'!L78+'#2 DFIT- Unit 4'!L60</f>
        <v>1525343.824195765</v>
      </c>
      <c r="M75" s="229">
        <f>+'#1 DFIT- FSC'!M78+'#2 DFIT- Unit 4'!M60</f>
        <v>77942242.685837835</v>
      </c>
      <c r="N75" s="229">
        <f>+'#1 DFIT- FSC'!N78+'#2 DFIT- Unit 4'!N60</f>
        <v>76416898.861642078</v>
      </c>
      <c r="O75" s="229">
        <f>+'#1 DFIT- FSC'!O78+'#2 DFIT- Unit 4'!O60</f>
        <v>-26745914.601574726</v>
      </c>
      <c r="P75" s="230">
        <f>+'#1 DFIT- FSC'!P78+'#2 DFIT- Unit 4'!P60</f>
        <v>18523.936755197123</v>
      </c>
    </row>
    <row r="76" spans="1:16" s="128" customFormat="1">
      <c r="A76" s="186" t="s">
        <v>88</v>
      </c>
      <c r="B76" s="229">
        <f>+'#1 DFIT- FSC'!B79+'#2 DFIT- Unit 4'!B61</f>
        <v>136740817.94672605</v>
      </c>
      <c r="C76" s="229">
        <f>+'#1 DFIT- FSC'!C79+'#2 DFIT- Unit 4'!C61</f>
        <v>152062126.11249995</v>
      </c>
      <c r="D76" s="229">
        <f>+'#1 DFIT- FSC'!D79+'#2 DFIT- Unit 4'!D61</f>
        <v>136740817.94672605</v>
      </c>
      <c r="E76" s="229">
        <f>+'#1 DFIT- FSC'!E79+'#2 DFIT- Unit 4'!E61</f>
        <v>1525343.8241957291</v>
      </c>
      <c r="F76" s="229">
        <f>+'#1 DFIT- FSC'!F79+'#2 DFIT- Unit 4'!F61</f>
        <v>3332890.077027468</v>
      </c>
      <c r="G76" s="229">
        <f>+'#1 DFIT- FSC'!G79+'#2 DFIT- Unit 4'!G61</f>
        <v>2997078.410715444</v>
      </c>
      <c r="H76" s="229">
        <f>+'#1 DFIT- FSC'!H79+'#2 DFIT- Unit 4'!H61</f>
        <v>335811.66631202353</v>
      </c>
      <c r="I76" s="229">
        <f>+'#1 DFIT- FSC'!I79+'#2 DFIT- Unit 4'!I61</f>
        <v>-136740817.94672602</v>
      </c>
      <c r="J76" s="229">
        <f>+'#1 DFIT- FSC'!J79+'#2 DFIT- Unit 4'!J61</f>
        <v>-68666357.668356359</v>
      </c>
      <c r="K76" s="229">
        <f>+'#1 DFIT- FSC'!K79+'#2 DFIT- Unit 4'!K61</f>
        <v>6870703.9967526952</v>
      </c>
      <c r="L76" s="229">
        <f>+'#1 DFIT- FSC'!L79+'#2 DFIT- Unit 4'!L61</f>
        <v>0</v>
      </c>
      <c r="M76" s="229">
        <f>+'#1 DFIT- FSC'!M79+'#2 DFIT- Unit 4'!M61</f>
        <v>74945164.275122404</v>
      </c>
      <c r="N76" s="229">
        <f>+'#1 DFIT- FSC'!N79+'#2 DFIT- Unit 4'!N61</f>
        <v>74945164.275122404</v>
      </c>
      <c r="O76" s="229">
        <f>+'#1 DFIT- FSC'!O79+'#2 DFIT- Unit 4'!O61</f>
        <v>-26230807.496292837</v>
      </c>
      <c r="P76" s="230">
        <f>+'#1 DFIT- FSC'!P79+'#2 DFIT- Unit 4'!P61</f>
        <v>-515107.10528188758</v>
      </c>
    </row>
    <row r="77" spans="1:16" s="128" customFormat="1">
      <c r="A77" s="186" t="s">
        <v>89</v>
      </c>
      <c r="B77" s="229">
        <f>+'#1 DFIT- FSC'!B80+'#2 DFIT- Unit 4'!B62</f>
        <v>136740817.94672605</v>
      </c>
      <c r="C77" s="229">
        <f>+'#1 DFIT- FSC'!C80+'#2 DFIT- Unit 4'!C62</f>
        <v>152062126.11249995</v>
      </c>
      <c r="D77" s="229">
        <f>+'#1 DFIT- FSC'!D80+'#2 DFIT- Unit 4'!D62</f>
        <v>136740817.94672605</v>
      </c>
      <c r="E77" s="229">
        <f>+'#1 DFIT- FSC'!E80+'#2 DFIT- Unit 4'!E62</f>
        <v>0</v>
      </c>
      <c r="F77" s="229">
        <f>+'#1 DFIT- FSC'!F80+'#2 DFIT- Unit 4'!F62</f>
        <v>3332890.077027468</v>
      </c>
      <c r="G77" s="229">
        <f>+'#1 DFIT- FSC'!G80+'#2 DFIT- Unit 4'!G62</f>
        <v>2997078.410715444</v>
      </c>
      <c r="H77" s="229">
        <f>+'#1 DFIT- FSC'!H80+'#2 DFIT- Unit 4'!H62</f>
        <v>335811.66631202353</v>
      </c>
      <c r="I77" s="229">
        <f>+'#1 DFIT- FSC'!I80+'#2 DFIT- Unit 4'!I62</f>
        <v>-136740817.94672602</v>
      </c>
      <c r="J77" s="229">
        <f>+'#1 DFIT- FSC'!J80+'#2 DFIT- Unit 4'!J62</f>
        <v>-71999247.745383829</v>
      </c>
      <c r="K77" s="229">
        <f>+'#1 DFIT- FSC'!K80+'#2 DFIT- Unit 4'!K62</f>
        <v>7206515.6630647192</v>
      </c>
      <c r="L77" s="229">
        <f>+'#1 DFIT- FSC'!L80+'#2 DFIT- Unit 4'!L62</f>
        <v>0</v>
      </c>
      <c r="M77" s="229">
        <f>+'#1 DFIT- FSC'!M80+'#2 DFIT- Unit 4'!M62</f>
        <v>71948085.864406943</v>
      </c>
      <c r="N77" s="229">
        <f>+'#1 DFIT- FSC'!N80+'#2 DFIT- Unit 4'!N62</f>
        <v>71948085.864406943</v>
      </c>
      <c r="O77" s="229">
        <f>+'#1 DFIT- FSC'!O80+'#2 DFIT- Unit 4'!O62</f>
        <v>-25181830.052542426</v>
      </c>
      <c r="P77" s="230">
        <f>+'#1 DFIT- FSC'!P80+'#2 DFIT- Unit 4'!P62</f>
        <v>-1048977.4437504094</v>
      </c>
    </row>
    <row r="78" spans="1:16" s="128" customFormat="1">
      <c r="A78" s="186" t="s">
        <v>90</v>
      </c>
      <c r="B78" s="229">
        <f>+'#1 DFIT- FSC'!B81+'#2 DFIT- Unit 4'!B63</f>
        <v>136740817.94672605</v>
      </c>
      <c r="C78" s="229">
        <f>+'#1 DFIT- FSC'!C81+'#2 DFIT- Unit 4'!C63</f>
        <v>152062126.11249995</v>
      </c>
      <c r="D78" s="229">
        <f>+'#1 DFIT- FSC'!D81+'#2 DFIT- Unit 4'!D63</f>
        <v>136740817.94672605</v>
      </c>
      <c r="E78" s="229">
        <f>+'#1 DFIT- FSC'!E81+'#2 DFIT- Unit 4'!E63</f>
        <v>0</v>
      </c>
      <c r="F78" s="229">
        <f>+'#1 DFIT- FSC'!F81+'#2 DFIT- Unit 4'!F63</f>
        <v>3332890.077027468</v>
      </c>
      <c r="G78" s="229">
        <f>+'#1 DFIT- FSC'!G81+'#2 DFIT- Unit 4'!G63</f>
        <v>2997078.410715444</v>
      </c>
      <c r="H78" s="229">
        <f>+'#1 DFIT- FSC'!H81+'#2 DFIT- Unit 4'!H63</f>
        <v>335811.66631202353</v>
      </c>
      <c r="I78" s="229">
        <f>+'#1 DFIT- FSC'!I81+'#2 DFIT- Unit 4'!I63</f>
        <v>-136740817.94672602</v>
      </c>
      <c r="J78" s="229">
        <f>+'#1 DFIT- FSC'!J81+'#2 DFIT- Unit 4'!J63</f>
        <v>-75332137.822411299</v>
      </c>
      <c r="K78" s="229">
        <f>+'#1 DFIT- FSC'!K81+'#2 DFIT- Unit 4'!K63</f>
        <v>7542327.3293767432</v>
      </c>
      <c r="L78" s="229">
        <f>+'#1 DFIT- FSC'!L81+'#2 DFIT- Unit 4'!L63</f>
        <v>0</v>
      </c>
      <c r="M78" s="229">
        <f>+'#1 DFIT- FSC'!M81+'#2 DFIT- Unit 4'!M63</f>
        <v>68951007.453691497</v>
      </c>
      <c r="N78" s="229">
        <f>+'#1 DFIT- FSC'!N81+'#2 DFIT- Unit 4'!N63</f>
        <v>68951007.453691497</v>
      </c>
      <c r="O78" s="229">
        <f>+'#1 DFIT- FSC'!O81+'#2 DFIT- Unit 4'!O63</f>
        <v>-24132852.608792022</v>
      </c>
      <c r="P78" s="230">
        <f>+'#1 DFIT- FSC'!P81+'#2 DFIT- Unit 4'!P63</f>
        <v>-1048977.4437504038</v>
      </c>
    </row>
    <row r="79" spans="1:16" s="128" customFormat="1">
      <c r="A79" s="186" t="s">
        <v>92</v>
      </c>
      <c r="B79" s="229">
        <f>+'#1 DFIT- FSC'!B82+'#2 DFIT- Unit 4'!B64</f>
        <v>136740817.94672605</v>
      </c>
      <c r="C79" s="229">
        <f>+'#1 DFIT- FSC'!C82+'#2 DFIT- Unit 4'!C64</f>
        <v>152062126.11249995</v>
      </c>
      <c r="D79" s="229">
        <f>+'#1 DFIT- FSC'!D82+'#2 DFIT- Unit 4'!D64</f>
        <v>136740817.94672605</v>
      </c>
      <c r="E79" s="229">
        <f>+'#1 DFIT- FSC'!E82+'#2 DFIT- Unit 4'!E64</f>
        <v>0</v>
      </c>
      <c r="F79" s="229">
        <f>+'#1 DFIT- FSC'!F82+'#2 DFIT- Unit 4'!F64</f>
        <v>3332890.077027468</v>
      </c>
      <c r="G79" s="229">
        <f>+'#1 DFIT- FSC'!G82+'#2 DFIT- Unit 4'!G64</f>
        <v>2997078.410715444</v>
      </c>
      <c r="H79" s="229">
        <f>+'#1 DFIT- FSC'!H82+'#2 DFIT- Unit 4'!H64</f>
        <v>335811.66631202353</v>
      </c>
      <c r="I79" s="229">
        <f>+'#1 DFIT- FSC'!I82+'#2 DFIT- Unit 4'!I64</f>
        <v>-136740817.94672602</v>
      </c>
      <c r="J79" s="229">
        <f>+'#1 DFIT- FSC'!J82+'#2 DFIT- Unit 4'!J64</f>
        <v>-78665027.899438769</v>
      </c>
      <c r="K79" s="229">
        <f>+'#1 DFIT- FSC'!K82+'#2 DFIT- Unit 4'!K64</f>
        <v>7878138.9956887672</v>
      </c>
      <c r="L79" s="229">
        <f>+'#1 DFIT- FSC'!L82+'#2 DFIT- Unit 4'!L64</f>
        <v>0</v>
      </c>
      <c r="M79" s="229">
        <f>+'#1 DFIT- FSC'!M82+'#2 DFIT- Unit 4'!M64</f>
        <v>65953929.042976052</v>
      </c>
      <c r="N79" s="229">
        <f>+'#1 DFIT- FSC'!N82+'#2 DFIT- Unit 4'!N64</f>
        <v>65953929.042976052</v>
      </c>
      <c r="O79" s="229">
        <f>+'#1 DFIT- FSC'!O82+'#2 DFIT- Unit 4'!O64</f>
        <v>-23083875.165041618</v>
      </c>
      <c r="P79" s="230">
        <f>+'#1 DFIT- FSC'!P82+'#2 DFIT- Unit 4'!P64</f>
        <v>-1048977.4437504057</v>
      </c>
    </row>
    <row r="80" spans="1:16" s="128" customFormat="1">
      <c r="A80" s="186" t="s">
        <v>114</v>
      </c>
      <c r="B80" s="229">
        <f>+'#1 DFIT- FSC'!B83+'#2 DFIT- Unit 4'!B65</f>
        <v>136740817.94672605</v>
      </c>
      <c r="C80" s="229">
        <f>+'#1 DFIT- FSC'!C83+'#2 DFIT- Unit 4'!C65</f>
        <v>152062126.11249995</v>
      </c>
      <c r="D80" s="229">
        <f>+'#1 DFIT- FSC'!D83+'#2 DFIT- Unit 4'!D65</f>
        <v>136740817.94672605</v>
      </c>
      <c r="E80" s="229">
        <f>+'#1 DFIT- FSC'!E83+'#2 DFIT- Unit 4'!E65</f>
        <v>0</v>
      </c>
      <c r="F80" s="229">
        <f>+'#1 DFIT- FSC'!F83+'#2 DFIT- Unit 4'!F65</f>
        <v>3332890.077027468</v>
      </c>
      <c r="G80" s="229">
        <f>+'#1 DFIT- FSC'!G83+'#2 DFIT- Unit 4'!G65</f>
        <v>2997078.410715444</v>
      </c>
      <c r="H80" s="229">
        <f>+'#1 DFIT- FSC'!H83+'#2 DFIT- Unit 4'!H65</f>
        <v>335811.66631202353</v>
      </c>
      <c r="I80" s="229">
        <f>+'#1 DFIT- FSC'!I83+'#2 DFIT- Unit 4'!I65</f>
        <v>-136740817.94672602</v>
      </c>
      <c r="J80" s="229">
        <f>+'#1 DFIT- FSC'!J83+'#2 DFIT- Unit 4'!J65</f>
        <v>-81997917.976466238</v>
      </c>
      <c r="K80" s="229">
        <f>+'#1 DFIT- FSC'!K83+'#2 DFIT- Unit 4'!K65</f>
        <v>8213950.6620007912</v>
      </c>
      <c r="L80" s="229">
        <f>+'#1 DFIT- FSC'!L83+'#2 DFIT- Unit 4'!L65</f>
        <v>0</v>
      </c>
      <c r="M80" s="229">
        <f>+'#1 DFIT- FSC'!M83+'#2 DFIT- Unit 4'!M65</f>
        <v>62956850.632260613</v>
      </c>
      <c r="N80" s="229">
        <f>+'#1 DFIT- FSC'!N83+'#2 DFIT- Unit 4'!N65</f>
        <v>62956850.632260613</v>
      </c>
      <c r="O80" s="229">
        <f>+'#1 DFIT- FSC'!O83+'#2 DFIT- Unit 4'!O65</f>
        <v>-22034897.721291214</v>
      </c>
      <c r="P80" s="230">
        <f>+'#1 DFIT- FSC'!P83+'#2 DFIT- Unit 4'!P65</f>
        <v>-1048977.4437504057</v>
      </c>
    </row>
    <row r="81" spans="1:16" s="128" customFormat="1">
      <c r="A81" s="186" t="s">
        <v>118</v>
      </c>
      <c r="B81" s="229">
        <f>+'#1 DFIT- FSC'!B84+'#2 DFIT- Unit 4'!B66</f>
        <v>136740817.94672605</v>
      </c>
      <c r="C81" s="229">
        <f>+'#1 DFIT- FSC'!C84+'#2 DFIT- Unit 4'!C66</f>
        <v>152062126.11249995</v>
      </c>
      <c r="D81" s="229">
        <f>+'#1 DFIT- FSC'!D84+'#2 DFIT- Unit 4'!D66</f>
        <v>136740817.94672605</v>
      </c>
      <c r="E81" s="229">
        <f>+'#1 DFIT- FSC'!E84+'#2 DFIT- Unit 4'!E66</f>
        <v>0</v>
      </c>
      <c r="F81" s="229">
        <f>+'#1 DFIT- FSC'!F84+'#2 DFIT- Unit 4'!F66</f>
        <v>3332890.077027468</v>
      </c>
      <c r="G81" s="229">
        <f>+'#1 DFIT- FSC'!G84+'#2 DFIT- Unit 4'!G66</f>
        <v>2997078.410715444</v>
      </c>
      <c r="H81" s="229">
        <f>+'#1 DFIT- FSC'!H84+'#2 DFIT- Unit 4'!H66</f>
        <v>335811.66631202353</v>
      </c>
      <c r="I81" s="229">
        <f>+'#1 DFIT- FSC'!I84+'#2 DFIT- Unit 4'!I66</f>
        <v>-136740817.94672602</v>
      </c>
      <c r="J81" s="229">
        <f>+'#1 DFIT- FSC'!J84+'#2 DFIT- Unit 4'!J66</f>
        <v>-85330808.053493708</v>
      </c>
      <c r="K81" s="229">
        <f>+'#1 DFIT- FSC'!K84+'#2 DFIT- Unit 4'!K66</f>
        <v>8549762.3283128142</v>
      </c>
      <c r="L81" s="229">
        <f>+'#1 DFIT- FSC'!L84+'#2 DFIT- Unit 4'!L66</f>
        <v>0</v>
      </c>
      <c r="M81" s="229">
        <f>+'#1 DFIT- FSC'!M84+'#2 DFIT- Unit 4'!M66</f>
        <v>59959772.221545167</v>
      </c>
      <c r="N81" s="229">
        <f>+'#1 DFIT- FSC'!N84+'#2 DFIT- Unit 4'!N66</f>
        <v>59959772.221545167</v>
      </c>
      <c r="O81" s="229">
        <f>+'#1 DFIT- FSC'!O84+'#2 DFIT- Unit 4'!O66</f>
        <v>-20985920.277540807</v>
      </c>
      <c r="P81" s="230">
        <f>+'#1 DFIT- FSC'!P84+'#2 DFIT- Unit 4'!P66</f>
        <v>-1048977.4437504057</v>
      </c>
    </row>
    <row r="82" spans="1:16" s="128" customFormat="1">
      <c r="A82" s="186" t="s">
        <v>119</v>
      </c>
      <c r="B82" s="229">
        <f>+'#1 DFIT- FSC'!B85+'#2 DFIT- Unit 4'!B67</f>
        <v>136740817.94672605</v>
      </c>
      <c r="C82" s="229">
        <f>+'#1 DFIT- FSC'!C85+'#2 DFIT- Unit 4'!C67</f>
        <v>152062126.11249995</v>
      </c>
      <c r="D82" s="229">
        <f>+'#1 DFIT- FSC'!D85+'#2 DFIT- Unit 4'!D67</f>
        <v>136740817.94672605</v>
      </c>
      <c r="E82" s="229">
        <f>+'#1 DFIT- FSC'!E85+'#2 DFIT- Unit 4'!E67</f>
        <v>0</v>
      </c>
      <c r="F82" s="229">
        <f>+'#1 DFIT- FSC'!F85+'#2 DFIT- Unit 4'!F67</f>
        <v>3332890.077027468</v>
      </c>
      <c r="G82" s="229">
        <f>+'#1 DFIT- FSC'!G85+'#2 DFIT- Unit 4'!G67</f>
        <v>2997078.410715444</v>
      </c>
      <c r="H82" s="229">
        <f>+'#1 DFIT- FSC'!H85+'#2 DFIT- Unit 4'!H67</f>
        <v>335811.66631202353</v>
      </c>
      <c r="I82" s="229">
        <f>+'#1 DFIT- FSC'!I85+'#2 DFIT- Unit 4'!I67</f>
        <v>-136740817.94672602</v>
      </c>
      <c r="J82" s="229">
        <f>+'#1 DFIT- FSC'!J85+'#2 DFIT- Unit 4'!J67</f>
        <v>-88663698.130521178</v>
      </c>
      <c r="K82" s="229">
        <f>+'#1 DFIT- FSC'!K85+'#2 DFIT- Unit 4'!K67</f>
        <v>8885573.9946248382</v>
      </c>
      <c r="L82" s="229">
        <f>+'#1 DFIT- FSC'!L85+'#2 DFIT- Unit 4'!L67</f>
        <v>0</v>
      </c>
      <c r="M82" s="229">
        <f>+'#1 DFIT- FSC'!M85+'#2 DFIT- Unit 4'!M67</f>
        <v>56962693.810829714</v>
      </c>
      <c r="N82" s="229">
        <f>+'#1 DFIT- FSC'!N85+'#2 DFIT- Unit 4'!N67</f>
        <v>56962693.810829714</v>
      </c>
      <c r="O82" s="229">
        <f>+'#1 DFIT- FSC'!O85+'#2 DFIT- Unit 4'!O67</f>
        <v>-19936942.833790399</v>
      </c>
      <c r="P82" s="230">
        <f>+'#1 DFIT- FSC'!P85+'#2 DFIT- Unit 4'!P67</f>
        <v>-1048977.4437504066</v>
      </c>
    </row>
    <row r="83" spans="1:16" s="128" customFormat="1">
      <c r="A83" s="186" t="s">
        <v>120</v>
      </c>
      <c r="B83" s="229">
        <f>+'#1 DFIT- FSC'!B86+'#2 DFIT- Unit 4'!B68</f>
        <v>136740817.94672605</v>
      </c>
      <c r="C83" s="229">
        <f>+'#1 DFIT- FSC'!C86+'#2 DFIT- Unit 4'!C68</f>
        <v>152062126.11249995</v>
      </c>
      <c r="D83" s="229">
        <f>+'#1 DFIT- FSC'!D86+'#2 DFIT- Unit 4'!D68</f>
        <v>136740817.94672605</v>
      </c>
      <c r="E83" s="229">
        <f>+'#1 DFIT- FSC'!E86+'#2 DFIT- Unit 4'!E68</f>
        <v>0</v>
      </c>
      <c r="F83" s="229">
        <f>+'#1 DFIT- FSC'!F86+'#2 DFIT- Unit 4'!F68</f>
        <v>3332890.077027468</v>
      </c>
      <c r="G83" s="229">
        <f>+'#1 DFIT- FSC'!G86+'#2 DFIT- Unit 4'!G68</f>
        <v>2997078.410715444</v>
      </c>
      <c r="H83" s="229">
        <f>+'#1 DFIT- FSC'!H86+'#2 DFIT- Unit 4'!H68</f>
        <v>335811.66631202353</v>
      </c>
      <c r="I83" s="229">
        <f>+'#1 DFIT- FSC'!I86+'#2 DFIT- Unit 4'!I68</f>
        <v>-136740817.94672602</v>
      </c>
      <c r="J83" s="229">
        <f>+'#1 DFIT- FSC'!J86+'#2 DFIT- Unit 4'!J68</f>
        <v>-91996588.207548648</v>
      </c>
      <c r="K83" s="229">
        <f>+'#1 DFIT- FSC'!K86+'#2 DFIT- Unit 4'!K68</f>
        <v>9221385.6609368622</v>
      </c>
      <c r="L83" s="229">
        <f>+'#1 DFIT- FSC'!L86+'#2 DFIT- Unit 4'!L68</f>
        <v>0</v>
      </c>
      <c r="M83" s="229">
        <f>+'#1 DFIT- FSC'!M86+'#2 DFIT- Unit 4'!M68</f>
        <v>53965615.400114276</v>
      </c>
      <c r="N83" s="229">
        <f>+'#1 DFIT- FSC'!N86+'#2 DFIT- Unit 4'!N68</f>
        <v>53965615.400114276</v>
      </c>
      <c r="O83" s="229">
        <f>+'#1 DFIT- FSC'!O86+'#2 DFIT- Unit 4'!O68</f>
        <v>-18887965.390039995</v>
      </c>
      <c r="P83" s="230">
        <f>+'#1 DFIT- FSC'!P86+'#2 DFIT- Unit 4'!P68</f>
        <v>-1048977.4437504048</v>
      </c>
    </row>
    <row r="84" spans="1:16" s="128" customFormat="1">
      <c r="A84" s="186" t="s">
        <v>121</v>
      </c>
      <c r="B84" s="229">
        <f>+'#1 DFIT- FSC'!B87+'#2 DFIT- Unit 4'!B69</f>
        <v>136740817.94672605</v>
      </c>
      <c r="C84" s="229">
        <f>+'#1 DFIT- FSC'!C87+'#2 DFIT- Unit 4'!C69</f>
        <v>152062126.11249995</v>
      </c>
      <c r="D84" s="229">
        <f>+'#1 DFIT- FSC'!D87+'#2 DFIT- Unit 4'!D69</f>
        <v>136740817.94672605</v>
      </c>
      <c r="E84" s="229">
        <f>+'#1 DFIT- FSC'!E87+'#2 DFIT- Unit 4'!E69</f>
        <v>0</v>
      </c>
      <c r="F84" s="229">
        <f>+'#1 DFIT- FSC'!F87+'#2 DFIT- Unit 4'!F69</f>
        <v>3332890.077027468</v>
      </c>
      <c r="G84" s="229">
        <f>+'#1 DFIT- FSC'!G87+'#2 DFIT- Unit 4'!G69</f>
        <v>2997078.410715444</v>
      </c>
      <c r="H84" s="229">
        <f>+'#1 DFIT- FSC'!H87+'#2 DFIT- Unit 4'!H69</f>
        <v>335811.66631202353</v>
      </c>
      <c r="I84" s="229">
        <f>+'#1 DFIT- FSC'!I87+'#2 DFIT- Unit 4'!I69</f>
        <v>-136740817.94672602</v>
      </c>
      <c r="J84" s="229">
        <f>+'#1 DFIT- FSC'!J87+'#2 DFIT- Unit 4'!J69</f>
        <v>-95329478.284576118</v>
      </c>
      <c r="K84" s="229">
        <f>+'#1 DFIT- FSC'!K87+'#2 DFIT- Unit 4'!K69</f>
        <v>9557197.3272488862</v>
      </c>
      <c r="L84" s="229">
        <f>+'#1 DFIT- FSC'!L87+'#2 DFIT- Unit 4'!L69</f>
        <v>0</v>
      </c>
      <c r="M84" s="229">
        <f>+'#1 DFIT- FSC'!M87+'#2 DFIT- Unit 4'!M69</f>
        <v>50968536.989398837</v>
      </c>
      <c r="N84" s="229">
        <f>+'#1 DFIT- FSC'!N87+'#2 DFIT- Unit 4'!N69</f>
        <v>50968536.989398837</v>
      </c>
      <c r="O84" s="229">
        <f>+'#1 DFIT- FSC'!O87+'#2 DFIT- Unit 4'!O69</f>
        <v>-17838987.946289591</v>
      </c>
      <c r="P84" s="230">
        <f>+'#1 DFIT- FSC'!P87+'#2 DFIT- Unit 4'!P69</f>
        <v>-1048977.4437504048</v>
      </c>
    </row>
    <row r="85" spans="1:16" s="128" customFormat="1">
      <c r="A85" s="186" t="s">
        <v>122</v>
      </c>
      <c r="B85" s="229">
        <f>+'#1 DFIT- FSC'!B88+'#2 DFIT- Unit 4'!B70</f>
        <v>136740817.94672605</v>
      </c>
      <c r="C85" s="229">
        <f>+'#1 DFIT- FSC'!C88+'#2 DFIT- Unit 4'!C70</f>
        <v>152062126.11249995</v>
      </c>
      <c r="D85" s="229">
        <f>+'#1 DFIT- FSC'!D88+'#2 DFIT- Unit 4'!D70</f>
        <v>136740817.94672605</v>
      </c>
      <c r="E85" s="229">
        <f>+'#1 DFIT- FSC'!E88+'#2 DFIT- Unit 4'!E70</f>
        <v>0</v>
      </c>
      <c r="F85" s="229">
        <f>+'#1 DFIT- FSC'!F88+'#2 DFIT- Unit 4'!F70</f>
        <v>3332890.077027468</v>
      </c>
      <c r="G85" s="229">
        <f>+'#1 DFIT- FSC'!G88+'#2 DFIT- Unit 4'!G70</f>
        <v>2997078.410715444</v>
      </c>
      <c r="H85" s="229">
        <f>+'#1 DFIT- FSC'!H88+'#2 DFIT- Unit 4'!H70</f>
        <v>335811.66631202353</v>
      </c>
      <c r="I85" s="229">
        <f>+'#1 DFIT- FSC'!I88+'#2 DFIT- Unit 4'!I70</f>
        <v>-136740817.94672602</v>
      </c>
      <c r="J85" s="229">
        <f>+'#1 DFIT- FSC'!J88+'#2 DFIT- Unit 4'!J70</f>
        <v>-98662368.361603588</v>
      </c>
      <c r="K85" s="229">
        <f>+'#1 DFIT- FSC'!K88+'#2 DFIT- Unit 4'!K70</f>
        <v>9893008.9935609102</v>
      </c>
      <c r="L85" s="229">
        <f>+'#1 DFIT- FSC'!L88+'#2 DFIT- Unit 4'!L70</f>
        <v>0</v>
      </c>
      <c r="M85" s="229">
        <f>+'#1 DFIT- FSC'!M88+'#2 DFIT- Unit 4'!M70</f>
        <v>47971458.578683384</v>
      </c>
      <c r="N85" s="229">
        <f>+'#1 DFIT- FSC'!N88+'#2 DFIT- Unit 4'!N70</f>
        <v>47971458.578683384</v>
      </c>
      <c r="O85" s="229">
        <f>+'#1 DFIT- FSC'!O88+'#2 DFIT- Unit 4'!O70</f>
        <v>-16790010.502539184</v>
      </c>
      <c r="P85" s="230">
        <f>+'#1 DFIT- FSC'!P88+'#2 DFIT- Unit 4'!P70</f>
        <v>-1048977.4437504075</v>
      </c>
    </row>
    <row r="86" spans="1:16" s="128" customFormat="1">
      <c r="A86" s="186" t="s">
        <v>123</v>
      </c>
      <c r="B86" s="229">
        <f>+'#1 DFIT- FSC'!B89+'#2 DFIT- Unit 4'!B71</f>
        <v>136740817.94672605</v>
      </c>
      <c r="C86" s="229">
        <f>+'#1 DFIT- FSC'!C89+'#2 DFIT- Unit 4'!C71</f>
        <v>152062126.11249995</v>
      </c>
      <c r="D86" s="229">
        <f>+'#1 DFIT- FSC'!D89+'#2 DFIT- Unit 4'!D71</f>
        <v>136740817.94672605</v>
      </c>
      <c r="E86" s="229">
        <f>+'#1 DFIT- FSC'!E89+'#2 DFIT- Unit 4'!E71</f>
        <v>0</v>
      </c>
      <c r="F86" s="229">
        <f>+'#1 DFIT- FSC'!F89+'#2 DFIT- Unit 4'!F71</f>
        <v>3332890.077027468</v>
      </c>
      <c r="G86" s="229">
        <f>+'#1 DFIT- FSC'!G89+'#2 DFIT- Unit 4'!G71</f>
        <v>2997078.410715444</v>
      </c>
      <c r="H86" s="229">
        <f>+'#1 DFIT- FSC'!H89+'#2 DFIT- Unit 4'!H71</f>
        <v>335811.66631202353</v>
      </c>
      <c r="I86" s="229">
        <f>+'#1 DFIT- FSC'!I89+'#2 DFIT- Unit 4'!I71</f>
        <v>-136740817.94672602</v>
      </c>
      <c r="J86" s="229">
        <f>+'#1 DFIT- FSC'!J89+'#2 DFIT- Unit 4'!J71</f>
        <v>-101995258.43863106</v>
      </c>
      <c r="K86" s="229">
        <f>+'#1 DFIT- FSC'!K89+'#2 DFIT- Unit 4'!K71</f>
        <v>10228820.659872934</v>
      </c>
      <c r="L86" s="229">
        <f>+'#1 DFIT- FSC'!L89+'#2 DFIT- Unit 4'!L71</f>
        <v>0</v>
      </c>
      <c r="M86" s="229">
        <f>+'#1 DFIT- FSC'!M89+'#2 DFIT- Unit 4'!M71</f>
        <v>44974380.167967938</v>
      </c>
      <c r="N86" s="229">
        <f>+'#1 DFIT- FSC'!N89+'#2 DFIT- Unit 4'!N71</f>
        <v>44974380.167967938</v>
      </c>
      <c r="O86" s="229">
        <f>+'#1 DFIT- FSC'!O89+'#2 DFIT- Unit 4'!O71</f>
        <v>-15741033.058788776</v>
      </c>
      <c r="P86" s="230">
        <f>+'#1 DFIT- FSC'!P89+'#2 DFIT- Unit 4'!P71</f>
        <v>-1048977.4437504066</v>
      </c>
    </row>
    <row r="87" spans="1:16" s="128" customFormat="1">
      <c r="A87" s="186" t="s">
        <v>124</v>
      </c>
      <c r="B87" s="229">
        <f>+'#1 DFIT- FSC'!B90+'#2 DFIT- Unit 4'!B72</f>
        <v>136740817.94672605</v>
      </c>
      <c r="C87" s="229">
        <f>+'#1 DFIT- FSC'!C90+'#2 DFIT- Unit 4'!C72</f>
        <v>152062126.11249995</v>
      </c>
      <c r="D87" s="229">
        <f>+'#1 DFIT- FSC'!D90+'#2 DFIT- Unit 4'!D72</f>
        <v>136740817.94672605</v>
      </c>
      <c r="E87" s="229">
        <f>+'#1 DFIT- FSC'!E90+'#2 DFIT- Unit 4'!E72</f>
        <v>0</v>
      </c>
      <c r="F87" s="229">
        <f>+'#1 DFIT- FSC'!F90+'#2 DFIT- Unit 4'!F72</f>
        <v>3332890.077027468</v>
      </c>
      <c r="G87" s="229">
        <f>+'#1 DFIT- FSC'!G90+'#2 DFIT- Unit 4'!G72</f>
        <v>2997078.410715444</v>
      </c>
      <c r="H87" s="229">
        <f>+'#1 DFIT- FSC'!H90+'#2 DFIT- Unit 4'!H72</f>
        <v>335811.66631202353</v>
      </c>
      <c r="I87" s="229">
        <f>+'#1 DFIT- FSC'!I90+'#2 DFIT- Unit 4'!I72</f>
        <v>-136740817.94672602</v>
      </c>
      <c r="J87" s="229">
        <f>+'#1 DFIT- FSC'!J90+'#2 DFIT- Unit 4'!J72</f>
        <v>-105328148.51565853</v>
      </c>
      <c r="K87" s="229">
        <f>+'#1 DFIT- FSC'!K90+'#2 DFIT- Unit 4'!K72</f>
        <v>10564632.326184958</v>
      </c>
      <c r="L87" s="229">
        <f>+'#1 DFIT- FSC'!L90+'#2 DFIT- Unit 4'!L72</f>
        <v>0</v>
      </c>
      <c r="M87" s="229">
        <f>+'#1 DFIT- FSC'!M90+'#2 DFIT- Unit 4'!M72</f>
        <v>41977301.757252492</v>
      </c>
      <c r="N87" s="229">
        <f>+'#1 DFIT- FSC'!N90+'#2 DFIT- Unit 4'!N72</f>
        <v>41977301.757252492</v>
      </c>
      <c r="O87" s="229">
        <f>+'#1 DFIT- FSC'!O90+'#2 DFIT- Unit 4'!O72</f>
        <v>-14692055.615038373</v>
      </c>
      <c r="P87" s="230">
        <f>+'#1 DFIT- FSC'!P90+'#2 DFIT- Unit 4'!P72</f>
        <v>-1048977.4437504038</v>
      </c>
    </row>
    <row r="88" spans="1:16" s="128" customFormat="1">
      <c r="A88" s="186" t="s">
        <v>125</v>
      </c>
      <c r="B88" s="229">
        <f>+'#1 DFIT- FSC'!B91+'#2 DFIT- Unit 4'!B73</f>
        <v>136740817.94672605</v>
      </c>
      <c r="C88" s="229">
        <f>+'#1 DFIT- FSC'!C91+'#2 DFIT- Unit 4'!C73</f>
        <v>152062126.11249995</v>
      </c>
      <c r="D88" s="229">
        <f>+'#1 DFIT- FSC'!D91+'#2 DFIT- Unit 4'!D73</f>
        <v>136740817.94672605</v>
      </c>
      <c r="E88" s="229">
        <f>+'#1 DFIT- FSC'!E91+'#2 DFIT- Unit 4'!E73</f>
        <v>0</v>
      </c>
      <c r="F88" s="229">
        <f>+'#1 DFIT- FSC'!F91+'#2 DFIT- Unit 4'!F73</f>
        <v>3332890.077027468</v>
      </c>
      <c r="G88" s="229">
        <f>+'#1 DFIT- FSC'!G91+'#2 DFIT- Unit 4'!G73</f>
        <v>2997078.410715444</v>
      </c>
      <c r="H88" s="229">
        <f>+'#1 DFIT- FSC'!H91+'#2 DFIT- Unit 4'!H73</f>
        <v>335811.66631202353</v>
      </c>
      <c r="I88" s="229">
        <f>+'#1 DFIT- FSC'!I91+'#2 DFIT- Unit 4'!I73</f>
        <v>-136740817.94672602</v>
      </c>
      <c r="J88" s="229">
        <f>+'#1 DFIT- FSC'!J91+'#2 DFIT- Unit 4'!J73</f>
        <v>-108661038.592686</v>
      </c>
      <c r="K88" s="229">
        <f>+'#1 DFIT- FSC'!K91+'#2 DFIT- Unit 4'!K73</f>
        <v>10900443.992496982</v>
      </c>
      <c r="L88" s="229">
        <f>+'#1 DFIT- FSC'!L91+'#2 DFIT- Unit 4'!L73</f>
        <v>0</v>
      </c>
      <c r="M88" s="229">
        <f>+'#1 DFIT- FSC'!M91+'#2 DFIT- Unit 4'!M73</f>
        <v>38980223.346537046</v>
      </c>
      <c r="N88" s="229">
        <f>+'#1 DFIT- FSC'!N91+'#2 DFIT- Unit 4'!N73</f>
        <v>38980223.346537046</v>
      </c>
      <c r="O88" s="229">
        <f>+'#1 DFIT- FSC'!O91+'#2 DFIT- Unit 4'!O73</f>
        <v>-13643078.171287965</v>
      </c>
      <c r="P88" s="230">
        <f>+'#1 DFIT- FSC'!P91+'#2 DFIT- Unit 4'!P73</f>
        <v>-1048977.4437504066</v>
      </c>
    </row>
    <row r="89" spans="1:16" s="128" customFormat="1">
      <c r="A89" s="186" t="s">
        <v>157</v>
      </c>
      <c r="B89" s="311">
        <f>+'#1 DFIT- FSC'!B92+'#2 DFIT- Unit 4'!B74</f>
        <v>136740817.94672605</v>
      </c>
      <c r="C89" s="311">
        <f>+'#1 DFIT- FSC'!C92+'#2 DFIT- Unit 4'!C74</f>
        <v>152062126.11249995</v>
      </c>
      <c r="D89" s="311">
        <f>+'#1 DFIT- FSC'!D92+'#2 DFIT- Unit 4'!D74</f>
        <v>136740817.94672605</v>
      </c>
      <c r="E89" s="311">
        <f>+'#1 DFIT- FSC'!E92+'#2 DFIT- Unit 4'!E74</f>
        <v>0</v>
      </c>
      <c r="F89" s="311">
        <f>+'#1 DFIT- FSC'!F92+'#2 DFIT- Unit 4'!F74</f>
        <v>3332890.077027468</v>
      </c>
      <c r="G89" s="311">
        <f>+'#1 DFIT- FSC'!G92+'#2 DFIT- Unit 4'!G74</f>
        <v>2997078.410715444</v>
      </c>
      <c r="H89" s="311">
        <f>+'#1 DFIT- FSC'!H92+'#2 DFIT- Unit 4'!H74</f>
        <v>335811.66631202353</v>
      </c>
      <c r="I89" s="311">
        <f>+'#1 DFIT- FSC'!I92+'#2 DFIT- Unit 4'!I74</f>
        <v>-136740817.94672602</v>
      </c>
      <c r="J89" s="311">
        <f>+'#1 DFIT- FSC'!J92+'#2 DFIT- Unit 4'!J74</f>
        <v>-111993928.66971347</v>
      </c>
      <c r="K89" s="311">
        <f>+'#1 DFIT- FSC'!K92+'#2 DFIT- Unit 4'!K74</f>
        <v>11236255.658809006</v>
      </c>
      <c r="L89" s="311">
        <f>+'#1 DFIT- FSC'!L92+'#2 DFIT- Unit 4'!L74</f>
        <v>0</v>
      </c>
      <c r="M89" s="311">
        <f>+'#1 DFIT- FSC'!M92+'#2 DFIT- Unit 4'!M74</f>
        <v>35983144.9358216</v>
      </c>
      <c r="N89" s="311">
        <f>+'#1 DFIT- FSC'!N92+'#2 DFIT- Unit 4'!N74</f>
        <v>35983144.9358216</v>
      </c>
      <c r="O89" s="311">
        <f>+'#1 DFIT- FSC'!O92+'#2 DFIT- Unit 4'!O74</f>
        <v>-12594100.727537559</v>
      </c>
      <c r="P89" s="230">
        <f>+'#1 DFIT- FSC'!P92+'#2 DFIT- Unit 4'!P74</f>
        <v>-1048977.4437504066</v>
      </c>
    </row>
    <row r="90" spans="1:16" s="128" customFormat="1">
      <c r="A90" s="186" t="s">
        <v>158</v>
      </c>
      <c r="B90" s="311">
        <f>+'#1 DFIT- FSC'!B93+'#2 DFIT- Unit 4'!B75</f>
        <v>136740817.94672605</v>
      </c>
      <c r="C90" s="311">
        <f>+'#1 DFIT- FSC'!C93+'#2 DFIT- Unit 4'!C75</f>
        <v>152062126.11249995</v>
      </c>
      <c r="D90" s="311">
        <f>+'#1 DFIT- FSC'!D93+'#2 DFIT- Unit 4'!D75</f>
        <v>136740817.94672605</v>
      </c>
      <c r="E90" s="311">
        <f>+'#1 DFIT- FSC'!E93+'#2 DFIT- Unit 4'!E75</f>
        <v>0</v>
      </c>
      <c r="F90" s="311">
        <f>+'#1 DFIT- FSC'!F93+'#2 DFIT- Unit 4'!F75</f>
        <v>3332890.077027468</v>
      </c>
      <c r="G90" s="311">
        <f>+'#1 DFIT- FSC'!G93+'#2 DFIT- Unit 4'!G75</f>
        <v>2997078.410715444</v>
      </c>
      <c r="H90" s="311">
        <f>+'#1 DFIT- FSC'!H93+'#2 DFIT- Unit 4'!H75</f>
        <v>335811.66631202353</v>
      </c>
      <c r="I90" s="311">
        <f>+'#1 DFIT- FSC'!I93+'#2 DFIT- Unit 4'!I75</f>
        <v>-136740817.94672602</v>
      </c>
      <c r="J90" s="311">
        <f>+'#1 DFIT- FSC'!J93+'#2 DFIT- Unit 4'!J75</f>
        <v>-115326818.74674094</v>
      </c>
      <c r="K90" s="311">
        <f>+'#1 DFIT- FSC'!K93+'#2 DFIT- Unit 4'!K75</f>
        <v>11572067.32512103</v>
      </c>
      <c r="L90" s="311">
        <f>+'#1 DFIT- FSC'!L93+'#2 DFIT- Unit 4'!L75</f>
        <v>0</v>
      </c>
      <c r="M90" s="311">
        <f>+'#1 DFIT- FSC'!M93+'#2 DFIT- Unit 4'!M75</f>
        <v>32986066.525106154</v>
      </c>
      <c r="N90" s="311">
        <f>+'#1 DFIT- FSC'!N93+'#2 DFIT- Unit 4'!N75</f>
        <v>32986066.525106154</v>
      </c>
      <c r="O90" s="311">
        <f>+'#1 DFIT- FSC'!O93+'#2 DFIT- Unit 4'!O75</f>
        <v>-11545123.283787154</v>
      </c>
      <c r="P90" s="230">
        <f>+'#1 DFIT- FSC'!P93+'#2 DFIT- Unit 4'!P75</f>
        <v>-1048977.4437504066</v>
      </c>
    </row>
    <row r="91" spans="1:16" s="128" customFormat="1">
      <c r="A91" s="186" t="s">
        <v>159</v>
      </c>
      <c r="B91" s="311">
        <f>+'#1 DFIT- FSC'!B94+'#2 DFIT- Unit 4'!B76</f>
        <v>136740817.94672605</v>
      </c>
      <c r="C91" s="311">
        <f>+'#1 DFIT- FSC'!C94+'#2 DFIT- Unit 4'!C76</f>
        <v>152062126.11249995</v>
      </c>
      <c r="D91" s="311">
        <f>+'#1 DFIT- FSC'!D94+'#2 DFIT- Unit 4'!D76</f>
        <v>136740817.94672605</v>
      </c>
      <c r="E91" s="311">
        <f>+'#1 DFIT- FSC'!E94+'#2 DFIT- Unit 4'!E76</f>
        <v>0</v>
      </c>
      <c r="F91" s="311">
        <f>+'#1 DFIT- FSC'!F94+'#2 DFIT- Unit 4'!F76</f>
        <v>3332890.077027468</v>
      </c>
      <c r="G91" s="311">
        <f>+'#1 DFIT- FSC'!G94+'#2 DFIT- Unit 4'!G76</f>
        <v>2997078.410715444</v>
      </c>
      <c r="H91" s="311">
        <f>+'#1 DFIT- FSC'!H94+'#2 DFIT- Unit 4'!H76</f>
        <v>335811.66631202353</v>
      </c>
      <c r="I91" s="311">
        <f>+'#1 DFIT- FSC'!I94+'#2 DFIT- Unit 4'!I76</f>
        <v>-136740817.94672602</v>
      </c>
      <c r="J91" s="311">
        <f>+'#1 DFIT- FSC'!J94+'#2 DFIT- Unit 4'!J76</f>
        <v>-118659708.82376841</v>
      </c>
      <c r="K91" s="311">
        <f>+'#1 DFIT- FSC'!K94+'#2 DFIT- Unit 4'!K76</f>
        <v>11907878.991433054</v>
      </c>
      <c r="L91" s="311">
        <f>+'#1 DFIT- FSC'!L94+'#2 DFIT- Unit 4'!L76</f>
        <v>0</v>
      </c>
      <c r="M91" s="311">
        <f>+'#1 DFIT- FSC'!M94+'#2 DFIT- Unit 4'!M76</f>
        <v>29988988.114390709</v>
      </c>
      <c r="N91" s="311">
        <f>+'#1 DFIT- FSC'!N94+'#2 DFIT- Unit 4'!N76</f>
        <v>29988988.114390709</v>
      </c>
      <c r="O91" s="311">
        <f>+'#1 DFIT- FSC'!O94+'#2 DFIT- Unit 4'!O76</f>
        <v>-10496145.840036746</v>
      </c>
      <c r="P91" s="230">
        <f>+'#1 DFIT- FSC'!P94+'#2 DFIT- Unit 4'!P76</f>
        <v>-1048977.4437504057</v>
      </c>
    </row>
    <row r="92" spans="1:16" s="128" customFormat="1">
      <c r="A92" s="186" t="s">
        <v>160</v>
      </c>
      <c r="B92" s="311">
        <f>+'#1 DFIT- FSC'!B95+'#2 DFIT- Unit 4'!B77</f>
        <v>136740817.94672605</v>
      </c>
      <c r="C92" s="311">
        <f>+'#1 DFIT- FSC'!C95+'#2 DFIT- Unit 4'!C77</f>
        <v>152062126.11249995</v>
      </c>
      <c r="D92" s="311">
        <f>+'#1 DFIT- FSC'!D95+'#2 DFIT- Unit 4'!D77</f>
        <v>136740817.94672605</v>
      </c>
      <c r="E92" s="311">
        <f>+'#1 DFIT- FSC'!E95+'#2 DFIT- Unit 4'!E77</f>
        <v>0</v>
      </c>
      <c r="F92" s="311">
        <f>+'#1 DFIT- FSC'!F95+'#2 DFIT- Unit 4'!F77</f>
        <v>3332890.077027468</v>
      </c>
      <c r="G92" s="311">
        <f>+'#1 DFIT- FSC'!G95+'#2 DFIT- Unit 4'!G77</f>
        <v>2997078.410715444</v>
      </c>
      <c r="H92" s="311">
        <f>+'#1 DFIT- FSC'!H95+'#2 DFIT- Unit 4'!H77</f>
        <v>335811.66631202353</v>
      </c>
      <c r="I92" s="311">
        <f>+'#1 DFIT- FSC'!I95+'#2 DFIT- Unit 4'!I77</f>
        <v>-136740817.94672602</v>
      </c>
      <c r="J92" s="311">
        <f>+'#1 DFIT- FSC'!J95+'#2 DFIT- Unit 4'!J77</f>
        <v>-121992598.90079588</v>
      </c>
      <c r="K92" s="311">
        <f>+'#1 DFIT- FSC'!K95+'#2 DFIT- Unit 4'!K77</f>
        <v>12243690.657745078</v>
      </c>
      <c r="L92" s="311">
        <f>+'#1 DFIT- FSC'!L95+'#2 DFIT- Unit 4'!L77</f>
        <v>0</v>
      </c>
      <c r="M92" s="311">
        <f>+'#1 DFIT- FSC'!M95+'#2 DFIT- Unit 4'!M77</f>
        <v>26991909.703675263</v>
      </c>
      <c r="N92" s="311">
        <f>+'#1 DFIT- FSC'!N95+'#2 DFIT- Unit 4'!N77</f>
        <v>26991909.703675263</v>
      </c>
      <c r="O92" s="311">
        <f>+'#1 DFIT- FSC'!O95+'#2 DFIT- Unit 4'!O77</f>
        <v>-9447168.3962863423</v>
      </c>
      <c r="P92" s="230">
        <f>+'#1 DFIT- FSC'!P95+'#2 DFIT- Unit 4'!P77</f>
        <v>-1048977.4437504057</v>
      </c>
    </row>
    <row r="93" spans="1:16" s="128" customFormat="1">
      <c r="A93" s="186" t="s">
        <v>161</v>
      </c>
      <c r="B93" s="311">
        <f>+'#1 DFIT- FSC'!B96+'#2 DFIT- Unit 4'!B78</f>
        <v>136740817.94672605</v>
      </c>
      <c r="C93" s="311">
        <f>+'#1 DFIT- FSC'!C96+'#2 DFIT- Unit 4'!C78</f>
        <v>152062126.11249995</v>
      </c>
      <c r="D93" s="311">
        <f>+'#1 DFIT- FSC'!D96+'#2 DFIT- Unit 4'!D78</f>
        <v>136740817.94672605</v>
      </c>
      <c r="E93" s="311">
        <f>+'#1 DFIT- FSC'!E96+'#2 DFIT- Unit 4'!E78</f>
        <v>0</v>
      </c>
      <c r="F93" s="311">
        <f>+'#1 DFIT- FSC'!F96+'#2 DFIT- Unit 4'!F78</f>
        <v>3332890.077027468</v>
      </c>
      <c r="G93" s="311">
        <f>+'#1 DFIT- FSC'!G96+'#2 DFIT- Unit 4'!G78</f>
        <v>2997078.410715444</v>
      </c>
      <c r="H93" s="311">
        <f>+'#1 DFIT- FSC'!H96+'#2 DFIT- Unit 4'!H78</f>
        <v>335811.66631202353</v>
      </c>
      <c r="I93" s="311">
        <f>+'#1 DFIT- FSC'!I96+'#2 DFIT- Unit 4'!I78</f>
        <v>-136740817.94672602</v>
      </c>
      <c r="J93" s="311">
        <f>+'#1 DFIT- FSC'!J96+'#2 DFIT- Unit 4'!J78</f>
        <v>-125325488.97782335</v>
      </c>
      <c r="K93" s="311">
        <f>+'#1 DFIT- FSC'!K96+'#2 DFIT- Unit 4'!K78</f>
        <v>12579502.324057102</v>
      </c>
      <c r="L93" s="311">
        <f>+'#1 DFIT- FSC'!L96+'#2 DFIT- Unit 4'!L78</f>
        <v>0</v>
      </c>
      <c r="M93" s="311">
        <f>+'#1 DFIT- FSC'!M96+'#2 DFIT- Unit 4'!M78</f>
        <v>23994831.292959817</v>
      </c>
      <c r="N93" s="311">
        <f>+'#1 DFIT- FSC'!N96+'#2 DFIT- Unit 4'!N78</f>
        <v>23994831.292959817</v>
      </c>
      <c r="O93" s="311">
        <f>+'#1 DFIT- FSC'!O96+'#2 DFIT- Unit 4'!O78</f>
        <v>-8398190.9525359347</v>
      </c>
      <c r="P93" s="230">
        <f>+'#1 DFIT- FSC'!P96+'#2 DFIT- Unit 4'!P78</f>
        <v>-1048977.4437504061</v>
      </c>
    </row>
    <row r="94" spans="1:16" s="128" customFormat="1">
      <c r="A94" s="186" t="s">
        <v>169</v>
      </c>
      <c r="B94" s="311">
        <f>+'#1 DFIT- FSC'!B97+'#2 DFIT- Unit 4'!B79</f>
        <v>136740817.94672605</v>
      </c>
      <c r="C94" s="311">
        <f>+'#1 DFIT- FSC'!C97+'#2 DFIT- Unit 4'!C79</f>
        <v>152062126.11249995</v>
      </c>
      <c r="D94" s="311">
        <f>+'#1 DFIT- FSC'!D97+'#2 DFIT- Unit 4'!D79</f>
        <v>136740817.94672605</v>
      </c>
      <c r="E94" s="311">
        <f>+'#1 DFIT- FSC'!E97+'#2 DFIT- Unit 4'!E79</f>
        <v>0</v>
      </c>
      <c r="F94" s="311">
        <f>+'#1 DFIT- FSC'!F97+'#2 DFIT- Unit 4'!F79</f>
        <v>3332890.077027468</v>
      </c>
      <c r="G94" s="311">
        <f>+'#1 DFIT- FSC'!G97+'#2 DFIT- Unit 4'!G79</f>
        <v>2997078.410715444</v>
      </c>
      <c r="H94" s="311">
        <f>+'#1 DFIT- FSC'!H97+'#2 DFIT- Unit 4'!H79</f>
        <v>335811.66631202353</v>
      </c>
      <c r="I94" s="311">
        <f>+'#1 DFIT- FSC'!I97+'#2 DFIT- Unit 4'!I79</f>
        <v>-136740817.94672602</v>
      </c>
      <c r="J94" s="311">
        <f>+'#1 DFIT- FSC'!J97+'#2 DFIT- Unit 4'!J79</f>
        <v>-128658379.05485082</v>
      </c>
      <c r="K94" s="311">
        <f>+'#1 DFIT- FSC'!K97+'#2 DFIT- Unit 4'!K79</f>
        <v>12915313.990369126</v>
      </c>
      <c r="L94" s="311">
        <f>+'#1 DFIT- FSC'!L97+'#2 DFIT- Unit 4'!L79</f>
        <v>0</v>
      </c>
      <c r="M94" s="311">
        <f>+'#1 DFIT- FSC'!M97+'#2 DFIT- Unit 4'!M79</f>
        <v>20997752.882244371</v>
      </c>
      <c r="N94" s="311">
        <f>+'#1 DFIT- FSC'!N97+'#2 DFIT- Unit 4'!N79</f>
        <v>20997752.882244371</v>
      </c>
      <c r="O94" s="311">
        <f>+'#1 DFIT- FSC'!O97+'#2 DFIT- Unit 4'!O79</f>
        <v>-7349213.5087855291</v>
      </c>
      <c r="P94" s="230">
        <f>+'#1 DFIT- FSC'!P97+'#2 DFIT- Unit 4'!P79</f>
        <v>-1048977.4437504057</v>
      </c>
    </row>
    <row r="95" spans="1:16" s="128" customFormat="1">
      <c r="A95" s="186" t="s">
        <v>170</v>
      </c>
      <c r="B95" s="311">
        <f>+'#1 DFIT- FSC'!B98+'#2 DFIT- Unit 4'!B80</f>
        <v>136740817.94672605</v>
      </c>
      <c r="C95" s="311">
        <f>+'#1 DFIT- FSC'!C98+'#2 DFIT- Unit 4'!C80</f>
        <v>152062126.11249995</v>
      </c>
      <c r="D95" s="311">
        <f>+'#1 DFIT- FSC'!D98+'#2 DFIT- Unit 4'!D80</f>
        <v>136740817.94672605</v>
      </c>
      <c r="E95" s="311">
        <f>+'#1 DFIT- FSC'!E98+'#2 DFIT- Unit 4'!E80</f>
        <v>0</v>
      </c>
      <c r="F95" s="311">
        <f>+'#1 DFIT- FSC'!F98+'#2 DFIT- Unit 4'!F80</f>
        <v>3332890.077027468</v>
      </c>
      <c r="G95" s="311">
        <f>+'#1 DFIT- FSC'!G98+'#2 DFIT- Unit 4'!G80</f>
        <v>2997078.410715444</v>
      </c>
      <c r="H95" s="311">
        <f>+'#1 DFIT- FSC'!H98+'#2 DFIT- Unit 4'!H80</f>
        <v>335811.66631202353</v>
      </c>
      <c r="I95" s="311">
        <f>+'#1 DFIT- FSC'!I98+'#2 DFIT- Unit 4'!I80</f>
        <v>-136740817.94672602</v>
      </c>
      <c r="J95" s="311">
        <f>+'#1 DFIT- FSC'!J98+'#2 DFIT- Unit 4'!J80</f>
        <v>-131991269.13187829</v>
      </c>
      <c r="K95" s="311">
        <f>+'#1 DFIT- FSC'!K98+'#2 DFIT- Unit 4'!K80</f>
        <v>13251125.65668115</v>
      </c>
      <c r="L95" s="311">
        <f>+'#1 DFIT- FSC'!L98+'#2 DFIT- Unit 4'!L80</f>
        <v>0</v>
      </c>
      <c r="M95" s="311">
        <f>+'#1 DFIT- FSC'!M98+'#2 DFIT- Unit 4'!M80</f>
        <v>18000674.471528925</v>
      </c>
      <c r="N95" s="311">
        <f>+'#1 DFIT- FSC'!N98+'#2 DFIT- Unit 4'!N80</f>
        <v>18000674.471528925</v>
      </c>
      <c r="O95" s="311">
        <f>+'#1 DFIT- FSC'!O98+'#2 DFIT- Unit 4'!O80</f>
        <v>-6300236.0650351234</v>
      </c>
      <c r="P95" s="230">
        <f>+'#1 DFIT- FSC'!P98+'#2 DFIT- Unit 4'!P80</f>
        <v>-1048977.4437504061</v>
      </c>
    </row>
    <row r="96" spans="1:16" s="128" customFormat="1">
      <c r="A96" s="186" t="s">
        <v>171</v>
      </c>
      <c r="B96" s="311">
        <f>+'#1 DFIT- FSC'!B99+'#2 DFIT- Unit 4'!B81</f>
        <v>136740817.94672605</v>
      </c>
      <c r="C96" s="311">
        <f>+'#1 DFIT- FSC'!C99+'#2 DFIT- Unit 4'!C81</f>
        <v>152062126.11249995</v>
      </c>
      <c r="D96" s="311">
        <f>+'#1 DFIT- FSC'!D99+'#2 DFIT- Unit 4'!D81</f>
        <v>136740817.94672605</v>
      </c>
      <c r="E96" s="311">
        <f>+'#1 DFIT- FSC'!E99+'#2 DFIT- Unit 4'!E81</f>
        <v>0</v>
      </c>
      <c r="F96" s="311">
        <f>+'#1 DFIT- FSC'!F99+'#2 DFIT- Unit 4'!F81</f>
        <v>3332890.077027468</v>
      </c>
      <c r="G96" s="311">
        <f>+'#1 DFIT- FSC'!G99+'#2 DFIT- Unit 4'!G81</f>
        <v>2997078.410715444</v>
      </c>
      <c r="H96" s="311">
        <f>+'#1 DFIT- FSC'!H99+'#2 DFIT- Unit 4'!H81</f>
        <v>335811.66631202353</v>
      </c>
      <c r="I96" s="311">
        <f>+'#1 DFIT- FSC'!I99+'#2 DFIT- Unit 4'!I81</f>
        <v>-136740817.94672602</v>
      </c>
      <c r="J96" s="311">
        <f>+'#1 DFIT- FSC'!J99+'#2 DFIT- Unit 4'!J81</f>
        <v>-135324159.20890576</v>
      </c>
      <c r="K96" s="311">
        <f>+'#1 DFIT- FSC'!K99+'#2 DFIT- Unit 4'!K81</f>
        <v>13586937.322993174</v>
      </c>
      <c r="L96" s="311">
        <f>+'#1 DFIT- FSC'!L99+'#2 DFIT- Unit 4'!L81</f>
        <v>0</v>
      </c>
      <c r="M96" s="311">
        <f>+'#1 DFIT- FSC'!M99+'#2 DFIT- Unit 4'!M81</f>
        <v>15003596.060813479</v>
      </c>
      <c r="N96" s="311">
        <f>+'#1 DFIT- FSC'!N99+'#2 DFIT- Unit 4'!N81</f>
        <v>15003596.060813479</v>
      </c>
      <c r="O96" s="311">
        <f>+'#1 DFIT- FSC'!O99+'#2 DFIT- Unit 4'!O81</f>
        <v>-5251258.6212847177</v>
      </c>
      <c r="P96" s="230">
        <f>+'#1 DFIT- FSC'!P99+'#2 DFIT- Unit 4'!P81</f>
        <v>-1048977.4437504057</v>
      </c>
    </row>
    <row r="97" spans="1:17" s="128" customFormat="1">
      <c r="A97" s="186" t="s">
        <v>172</v>
      </c>
      <c r="B97" s="311">
        <f>+'#1 DFIT- FSC'!B100+'#2 DFIT- Unit 4'!B82</f>
        <v>136740817.94672605</v>
      </c>
      <c r="C97" s="311">
        <f>+'#1 DFIT- FSC'!C100+'#2 DFIT- Unit 4'!C82</f>
        <v>152062126.11249995</v>
      </c>
      <c r="D97" s="311">
        <f>+'#1 DFIT- FSC'!D100+'#2 DFIT- Unit 4'!D82</f>
        <v>136740817.94672605</v>
      </c>
      <c r="E97" s="311">
        <f>+'#1 DFIT- FSC'!E100+'#2 DFIT- Unit 4'!E82</f>
        <v>0</v>
      </c>
      <c r="F97" s="311">
        <f>+'#1 DFIT- FSC'!F100+'#2 DFIT- Unit 4'!F82</f>
        <v>3332890.077027468</v>
      </c>
      <c r="G97" s="311">
        <f>+'#1 DFIT- FSC'!G100+'#2 DFIT- Unit 4'!G82</f>
        <v>2997078.410715444</v>
      </c>
      <c r="H97" s="311">
        <f>+'#1 DFIT- FSC'!H100+'#2 DFIT- Unit 4'!H82</f>
        <v>335811.66631202353</v>
      </c>
      <c r="I97" s="311">
        <f>+'#1 DFIT- FSC'!I100+'#2 DFIT- Unit 4'!I82</f>
        <v>-136740817.94672602</v>
      </c>
      <c r="J97" s="311">
        <f>+'#1 DFIT- FSC'!J100+'#2 DFIT- Unit 4'!J82</f>
        <v>-138657049.28593323</v>
      </c>
      <c r="K97" s="311">
        <f>+'#1 DFIT- FSC'!K100+'#2 DFIT- Unit 4'!K82</f>
        <v>13922748.989305198</v>
      </c>
      <c r="L97" s="311">
        <f>+'#1 DFIT- FSC'!L100+'#2 DFIT- Unit 4'!L82</f>
        <v>0</v>
      </c>
      <c r="M97" s="311">
        <f>+'#1 DFIT- FSC'!M100+'#2 DFIT- Unit 4'!M82</f>
        <v>12006517.650098033</v>
      </c>
      <c r="N97" s="311">
        <f>+'#1 DFIT- FSC'!N100+'#2 DFIT- Unit 4'!N82</f>
        <v>12006517.650098033</v>
      </c>
      <c r="O97" s="311">
        <f>+'#1 DFIT- FSC'!O100+'#2 DFIT- Unit 4'!O82</f>
        <v>-4202281.177534312</v>
      </c>
      <c r="P97" s="230">
        <f>+'#1 DFIT- FSC'!P100+'#2 DFIT- Unit 4'!P82</f>
        <v>-1048977.4437504059</v>
      </c>
    </row>
    <row r="98" spans="1:17" s="128" customFormat="1">
      <c r="A98" s="186" t="s">
        <v>173</v>
      </c>
      <c r="B98" s="311">
        <f>+'#1 DFIT- FSC'!B101+'#2 DFIT- Unit 4'!B83</f>
        <v>136740817.94672605</v>
      </c>
      <c r="C98" s="311">
        <f>+'#1 DFIT- FSC'!C101+'#2 DFIT- Unit 4'!C83</f>
        <v>152062126.11249995</v>
      </c>
      <c r="D98" s="311">
        <f>+'#1 DFIT- FSC'!D101+'#2 DFIT- Unit 4'!D83</f>
        <v>136740817.94672605</v>
      </c>
      <c r="E98" s="311">
        <f>+'#1 DFIT- FSC'!E101+'#2 DFIT- Unit 4'!E83</f>
        <v>0</v>
      </c>
      <c r="F98" s="311">
        <f>+'#1 DFIT- FSC'!F101+'#2 DFIT- Unit 4'!F83</f>
        <v>3332890.077027468</v>
      </c>
      <c r="G98" s="311">
        <f>+'#1 DFIT- FSC'!G101+'#2 DFIT- Unit 4'!G83</f>
        <v>2997078.410715444</v>
      </c>
      <c r="H98" s="311">
        <f>+'#1 DFIT- FSC'!H101+'#2 DFIT- Unit 4'!H83</f>
        <v>335811.66631202353</v>
      </c>
      <c r="I98" s="311">
        <f>+'#1 DFIT- FSC'!I101+'#2 DFIT- Unit 4'!I83</f>
        <v>-136740817.94672602</v>
      </c>
      <c r="J98" s="311">
        <f>+'#1 DFIT- FSC'!J101+'#2 DFIT- Unit 4'!J83</f>
        <v>-141989939.3629607</v>
      </c>
      <c r="K98" s="311">
        <f>+'#1 DFIT- FSC'!K101+'#2 DFIT- Unit 4'!K83</f>
        <v>14258560.655617222</v>
      </c>
      <c r="L98" s="311">
        <f>+'#1 DFIT- FSC'!L101+'#2 DFIT- Unit 4'!L83</f>
        <v>0</v>
      </c>
      <c r="M98" s="311">
        <f>+'#1 DFIT- FSC'!M101+'#2 DFIT- Unit 4'!M83</f>
        <v>9009439.2393825874</v>
      </c>
      <c r="N98" s="311">
        <f>+'#1 DFIT- FSC'!N101+'#2 DFIT- Unit 4'!N83</f>
        <v>9009439.2393825874</v>
      </c>
      <c r="O98" s="311">
        <f>+'#1 DFIT- FSC'!O101+'#2 DFIT- Unit 4'!O83</f>
        <v>-3153303.7337839054</v>
      </c>
      <c r="P98" s="230">
        <f>+'#1 DFIT- FSC'!P101+'#2 DFIT- Unit 4'!P83</f>
        <v>-1048977.4437504061</v>
      </c>
    </row>
    <row r="99" spans="1:17" s="128" customFormat="1">
      <c r="A99" s="186" t="s">
        <v>174</v>
      </c>
      <c r="B99" s="311">
        <f>+'#1 DFIT- FSC'!B102+'#2 DFIT- Unit 4'!B84</f>
        <v>136740817.94672605</v>
      </c>
      <c r="C99" s="311">
        <f>+'#1 DFIT- FSC'!C102+'#2 DFIT- Unit 4'!C84</f>
        <v>152062126.11249995</v>
      </c>
      <c r="D99" s="311">
        <f>+'#1 DFIT- FSC'!D102+'#2 DFIT- Unit 4'!D84</f>
        <v>136740817.94672605</v>
      </c>
      <c r="E99" s="311">
        <f>+'#1 DFIT- FSC'!E102+'#2 DFIT- Unit 4'!E84</f>
        <v>0</v>
      </c>
      <c r="F99" s="311">
        <f>+'#1 DFIT- FSC'!F102+'#2 DFIT- Unit 4'!F84</f>
        <v>3332890.077027468</v>
      </c>
      <c r="G99" s="311">
        <f>+'#1 DFIT- FSC'!G102+'#2 DFIT- Unit 4'!G84</f>
        <v>2997078.410715444</v>
      </c>
      <c r="H99" s="311">
        <f>+'#1 DFIT- FSC'!H102+'#2 DFIT- Unit 4'!H84</f>
        <v>335811.66631202353</v>
      </c>
      <c r="I99" s="311">
        <f>+'#1 DFIT- FSC'!I102+'#2 DFIT- Unit 4'!I84</f>
        <v>-136740817.94672602</v>
      </c>
      <c r="J99" s="311">
        <f>+'#1 DFIT- FSC'!J102+'#2 DFIT- Unit 4'!J84</f>
        <v>-145322829.43998817</v>
      </c>
      <c r="K99" s="311">
        <f>+'#1 DFIT- FSC'!K102+'#2 DFIT- Unit 4'!K84</f>
        <v>14594372.321929246</v>
      </c>
      <c r="L99" s="311">
        <f>+'#1 DFIT- FSC'!L102+'#2 DFIT- Unit 4'!L84</f>
        <v>0</v>
      </c>
      <c r="M99" s="311">
        <f>+'#1 DFIT- FSC'!M102+'#2 DFIT- Unit 4'!M84</f>
        <v>6012360.8286671424</v>
      </c>
      <c r="N99" s="311">
        <f>+'#1 DFIT- FSC'!N102+'#2 DFIT- Unit 4'!N84</f>
        <v>6012360.8286671424</v>
      </c>
      <c r="O99" s="311">
        <f>+'#1 DFIT- FSC'!O102+'#2 DFIT- Unit 4'!O84</f>
        <v>-2104326.2900334997</v>
      </c>
      <c r="P99" s="230">
        <f>+'#1 DFIT- FSC'!P102+'#2 DFIT- Unit 4'!P84</f>
        <v>-1048977.4437504061</v>
      </c>
    </row>
    <row r="100" spans="1:17" s="128" customFormat="1">
      <c r="A100" s="186" t="s">
        <v>175</v>
      </c>
      <c r="B100" s="311">
        <f>+'#1 DFIT- FSC'!B103+'#2 DFIT- Unit 4'!B85</f>
        <v>136740817.94672605</v>
      </c>
      <c r="C100" s="311">
        <f>+'#1 DFIT- FSC'!C103+'#2 DFIT- Unit 4'!C85</f>
        <v>152062126.11249995</v>
      </c>
      <c r="D100" s="311">
        <f>+'#1 DFIT- FSC'!D103+'#2 DFIT- Unit 4'!D85</f>
        <v>136740817.94672605</v>
      </c>
      <c r="E100" s="311">
        <f>+'#1 DFIT- FSC'!E103+'#2 DFIT- Unit 4'!E85</f>
        <v>0</v>
      </c>
      <c r="F100" s="311">
        <f>+'#1 DFIT- FSC'!F103+'#2 DFIT- Unit 4'!F85</f>
        <v>3332890.077027468</v>
      </c>
      <c r="G100" s="311">
        <f>+'#1 DFIT- FSC'!G103+'#2 DFIT- Unit 4'!G85</f>
        <v>2997078.410715444</v>
      </c>
      <c r="H100" s="311">
        <f>+'#1 DFIT- FSC'!H103+'#2 DFIT- Unit 4'!H85</f>
        <v>335811.66631202353</v>
      </c>
      <c r="I100" s="311">
        <f>+'#1 DFIT- FSC'!I103+'#2 DFIT- Unit 4'!I85</f>
        <v>-136740817.94672602</v>
      </c>
      <c r="J100" s="311">
        <f>+'#1 DFIT- FSC'!J103+'#2 DFIT- Unit 4'!J85</f>
        <v>-148655719.51701564</v>
      </c>
      <c r="K100" s="311">
        <f>+'#1 DFIT- FSC'!K103+'#2 DFIT- Unit 4'!K85</f>
        <v>14930183.98824127</v>
      </c>
      <c r="L100" s="311">
        <f>+'#1 DFIT- FSC'!L103+'#2 DFIT- Unit 4'!L85</f>
        <v>0</v>
      </c>
      <c r="M100" s="311">
        <f>+'#1 DFIT- FSC'!M103+'#2 DFIT- Unit 4'!M85</f>
        <v>3015282.4179516966</v>
      </c>
      <c r="N100" s="311">
        <f>+'#1 DFIT- FSC'!N103+'#2 DFIT- Unit 4'!N85</f>
        <v>3015282.4179516966</v>
      </c>
      <c r="O100" s="311">
        <f>+'#1 DFIT- FSC'!O103+'#2 DFIT- Unit 4'!O85</f>
        <v>-1055348.8462830938</v>
      </c>
      <c r="P100" s="230">
        <f>+'#1 DFIT- FSC'!P103+'#2 DFIT- Unit 4'!P85</f>
        <v>-1048977.4437504059</v>
      </c>
    </row>
    <row r="101" spans="1:17" s="128" customFormat="1">
      <c r="A101" s="186" t="s">
        <v>176</v>
      </c>
      <c r="B101" s="311">
        <f>+'#1 DFIT- FSC'!B104+'#2 DFIT- Unit 4'!B86</f>
        <v>136740817.94672605</v>
      </c>
      <c r="C101" s="311">
        <f>+'#1 DFIT- FSC'!C104+'#2 DFIT- Unit 4'!C86</f>
        <v>152062126.11249995</v>
      </c>
      <c r="D101" s="311">
        <f>+'#1 DFIT- FSC'!D104+'#2 DFIT- Unit 4'!D86</f>
        <v>136740817.94672605</v>
      </c>
      <c r="E101" s="311">
        <f>+'#1 DFIT- FSC'!E104+'#2 DFIT- Unit 4'!E86</f>
        <v>0</v>
      </c>
      <c r="F101" s="311">
        <f>+'#1 DFIT- FSC'!F104+'#2 DFIT- Unit 4'!F86</f>
        <v>3406406.5954843014</v>
      </c>
      <c r="G101" s="311">
        <f>+'#1 DFIT- FSC'!G104+'#2 DFIT- Unit 4'!G86</f>
        <v>3015282.4179516966</v>
      </c>
      <c r="H101" s="311">
        <f>+'#1 DFIT- FSC'!H104+'#2 DFIT- Unit 4'!H86</f>
        <v>391124.17753260501</v>
      </c>
      <c r="I101" s="311">
        <f>+'#1 DFIT- FSC'!I104+'#2 DFIT- Unit 4'!I86</f>
        <v>-136740817.94672602</v>
      </c>
      <c r="J101" s="311">
        <f>+'#1 DFIT- FSC'!J104+'#2 DFIT- Unit 4'!J86</f>
        <v>-152062126.11249995</v>
      </c>
      <c r="K101" s="311">
        <f>+'#1 DFIT- FSC'!K104+'#2 DFIT- Unit 4'!K86</f>
        <v>15321308.165773876</v>
      </c>
      <c r="L101" s="311">
        <f>+'#1 DFIT- FSC'!L104+'#2 DFIT- Unit 4'!L86</f>
        <v>0</v>
      </c>
      <c r="M101" s="311">
        <f>+'#1 DFIT- FSC'!M104+'#2 DFIT- Unit 4'!M86</f>
        <v>0</v>
      </c>
      <c r="N101" s="311">
        <f>+'#1 DFIT- FSC'!N104+'#2 DFIT- Unit 4'!N86</f>
        <v>0</v>
      </c>
      <c r="O101" s="311">
        <f>+'#1 DFIT- FSC'!O104+'#2 DFIT- Unit 4'!O86</f>
        <v>0</v>
      </c>
      <c r="P101" s="230">
        <f>+'#1 DFIT- FSC'!P104+'#2 DFIT- Unit 4'!P86</f>
        <v>-1055348.8462830938</v>
      </c>
    </row>
    <row r="102" spans="1:17" s="128" customFormat="1">
      <c r="A102" s="186" t="s">
        <v>177</v>
      </c>
      <c r="B102" s="311">
        <f>+'#1 DFIT- FSC'!B105+'#2 DFIT- Unit 4'!B87</f>
        <v>136740817.94672605</v>
      </c>
      <c r="C102" s="311">
        <f>+'#1 DFIT- FSC'!C105+'#2 DFIT- Unit 4'!C87</f>
        <v>152062126.11249995</v>
      </c>
      <c r="D102" s="311">
        <f>+'#1 DFIT- FSC'!D105+'#2 DFIT- Unit 4'!D87</f>
        <v>136740817.94672605</v>
      </c>
      <c r="E102" s="311">
        <f>+'#1 DFIT- FSC'!E105+'#2 DFIT- Unit 4'!E87</f>
        <v>0</v>
      </c>
      <c r="F102" s="311">
        <f>+'#1 DFIT- FSC'!F105+'#2 DFIT- Unit 4'!F87</f>
        <v>0</v>
      </c>
      <c r="G102" s="311">
        <f>+'#1 DFIT- FSC'!G105+'#2 DFIT- Unit 4'!G87</f>
        <v>0</v>
      </c>
      <c r="H102" s="311">
        <f>+'#1 DFIT- FSC'!H105+'#2 DFIT- Unit 4'!H87</f>
        <v>0</v>
      </c>
      <c r="I102" s="311">
        <f>+'#1 DFIT- FSC'!I105+'#2 DFIT- Unit 4'!I87</f>
        <v>-136740817.94672602</v>
      </c>
      <c r="J102" s="311">
        <f>+'#1 DFIT- FSC'!J105+'#2 DFIT- Unit 4'!J87</f>
        <v>-152062126.11249995</v>
      </c>
      <c r="K102" s="311">
        <f>+'#1 DFIT- FSC'!K105+'#2 DFIT- Unit 4'!K87</f>
        <v>15321308.165773876</v>
      </c>
      <c r="L102" s="311">
        <f>+'#1 DFIT- FSC'!L105+'#2 DFIT- Unit 4'!L87</f>
        <v>0</v>
      </c>
      <c r="M102" s="311">
        <f>+'#1 DFIT- FSC'!M105+'#2 DFIT- Unit 4'!M87</f>
        <v>0</v>
      </c>
      <c r="N102" s="311">
        <f>+'#1 DFIT- FSC'!N105+'#2 DFIT- Unit 4'!N87</f>
        <v>0</v>
      </c>
      <c r="O102" s="311">
        <f>+'#1 DFIT- FSC'!O105+'#2 DFIT- Unit 4'!O87</f>
        <v>0</v>
      </c>
      <c r="P102" s="230">
        <f>+'#1 DFIT- FSC'!P105+'#2 DFIT- Unit 4'!P87</f>
        <v>0</v>
      </c>
    </row>
    <row r="103" spans="1:17" s="128" customFormat="1">
      <c r="A103" s="186" t="s">
        <v>178</v>
      </c>
      <c r="B103" s="311">
        <f>+'#1 DFIT- FSC'!B106+'#2 DFIT- Unit 4'!B88</f>
        <v>136740817.94672605</v>
      </c>
      <c r="C103" s="311">
        <f>+'#1 DFIT- FSC'!C106+'#2 DFIT- Unit 4'!C88</f>
        <v>152062126.11249995</v>
      </c>
      <c r="D103" s="311">
        <f>+'#1 DFIT- FSC'!D106+'#2 DFIT- Unit 4'!D88</f>
        <v>136740817.94672605</v>
      </c>
      <c r="E103" s="311">
        <f>+'#1 DFIT- FSC'!E106+'#2 DFIT- Unit 4'!E88</f>
        <v>0</v>
      </c>
      <c r="F103" s="311">
        <f>+'#1 DFIT- FSC'!F106+'#2 DFIT- Unit 4'!F88</f>
        <v>0</v>
      </c>
      <c r="G103" s="311">
        <f>+'#1 DFIT- FSC'!G106+'#2 DFIT- Unit 4'!G88</f>
        <v>0</v>
      </c>
      <c r="H103" s="311">
        <f>+'#1 DFIT- FSC'!H106+'#2 DFIT- Unit 4'!H88</f>
        <v>0</v>
      </c>
      <c r="I103" s="311">
        <f>+'#1 DFIT- FSC'!I106+'#2 DFIT- Unit 4'!I88</f>
        <v>-136740817.94672602</v>
      </c>
      <c r="J103" s="311">
        <f>+'#1 DFIT- FSC'!J106+'#2 DFIT- Unit 4'!J88</f>
        <v>-152062126.11249995</v>
      </c>
      <c r="K103" s="311">
        <f>+'#1 DFIT- FSC'!K106+'#2 DFIT- Unit 4'!K88</f>
        <v>15321308.165773876</v>
      </c>
      <c r="L103" s="311">
        <f>+'#1 DFIT- FSC'!L106+'#2 DFIT- Unit 4'!L88</f>
        <v>0</v>
      </c>
      <c r="M103" s="311">
        <f>+'#1 DFIT- FSC'!M106+'#2 DFIT- Unit 4'!M88</f>
        <v>0</v>
      </c>
      <c r="N103" s="311">
        <f>+'#1 DFIT- FSC'!N106+'#2 DFIT- Unit 4'!N88</f>
        <v>0</v>
      </c>
      <c r="O103" s="311">
        <f>+'#1 DFIT- FSC'!O106+'#2 DFIT- Unit 4'!O88</f>
        <v>0</v>
      </c>
      <c r="P103" s="230">
        <f>+'#1 DFIT- FSC'!P106+'#2 DFIT- Unit 4'!P88</f>
        <v>0</v>
      </c>
    </row>
    <row r="104" spans="1:17" s="128" customFormat="1">
      <c r="A104" s="186" t="s">
        <v>179</v>
      </c>
      <c r="B104" s="311">
        <f>+'#1 DFIT- FSC'!B107+'#2 DFIT- Unit 4'!B89</f>
        <v>0</v>
      </c>
      <c r="C104" s="311">
        <f>+'#1 DFIT- FSC'!C107+'#2 DFIT- Unit 4'!C89</f>
        <v>0</v>
      </c>
      <c r="D104" s="311">
        <f>+'#1 DFIT- FSC'!D107+'#2 DFIT- Unit 4'!D89</f>
        <v>0</v>
      </c>
      <c r="E104" s="311">
        <f>+'#1 DFIT- FSC'!E107+'#2 DFIT- Unit 4'!E89</f>
        <v>0</v>
      </c>
      <c r="F104" s="311">
        <f>+'#1 DFIT- FSC'!F107+'#2 DFIT- Unit 4'!F89</f>
        <v>0</v>
      </c>
      <c r="G104" s="311">
        <f>+'#1 DFIT- FSC'!G107+'#2 DFIT- Unit 4'!G89</f>
        <v>0</v>
      </c>
      <c r="H104" s="311">
        <f>+'#1 DFIT- FSC'!H107+'#2 DFIT- Unit 4'!H89</f>
        <v>0</v>
      </c>
      <c r="I104" s="311">
        <f>+'#1 DFIT- FSC'!I107+'#2 DFIT- Unit 4'!I89</f>
        <v>0</v>
      </c>
      <c r="J104" s="311">
        <f>+'#1 DFIT- FSC'!J107+'#2 DFIT- Unit 4'!J89</f>
        <v>0</v>
      </c>
      <c r="K104" s="311">
        <f>+'#1 DFIT- FSC'!K107+'#2 DFIT- Unit 4'!K89</f>
        <v>0</v>
      </c>
      <c r="L104" s="311">
        <f>+'#1 DFIT- FSC'!L107+'#2 DFIT- Unit 4'!L89</f>
        <v>0</v>
      </c>
      <c r="M104" s="311">
        <f>+'#1 DFIT- FSC'!M107+'#2 DFIT- Unit 4'!M89</f>
        <v>0</v>
      </c>
      <c r="N104" s="311">
        <f>+'#1 DFIT- FSC'!N107+'#2 DFIT- Unit 4'!N89</f>
        <v>0</v>
      </c>
      <c r="O104" s="311">
        <f>+'#1 DFIT- FSC'!O107+'#2 DFIT- Unit 4'!O89</f>
        <v>0</v>
      </c>
      <c r="P104" s="230">
        <f>+'#1 DFIT- FSC'!P107+'#2 DFIT- Unit 4'!P89</f>
        <v>0</v>
      </c>
    </row>
    <row r="105" spans="1:17" s="128" customFormat="1">
      <c r="A105" s="186" t="s">
        <v>180</v>
      </c>
      <c r="B105" s="311">
        <f>+'#1 DFIT- FSC'!B108+'#2 DFIT- Unit 4'!B90</f>
        <v>0</v>
      </c>
      <c r="C105" s="311">
        <f>+'#1 DFIT- FSC'!C108+'#2 DFIT- Unit 4'!C90</f>
        <v>0</v>
      </c>
      <c r="D105" s="311">
        <f>+'#1 DFIT- FSC'!D108+'#2 DFIT- Unit 4'!D90</f>
        <v>0</v>
      </c>
      <c r="E105" s="311">
        <f>+'#1 DFIT- FSC'!E108+'#2 DFIT- Unit 4'!E90</f>
        <v>0</v>
      </c>
      <c r="F105" s="311">
        <f>+'#1 DFIT- FSC'!F108+'#2 DFIT- Unit 4'!F90</f>
        <v>0</v>
      </c>
      <c r="G105" s="311">
        <f>+'#1 DFIT- FSC'!G108+'#2 DFIT- Unit 4'!G90</f>
        <v>0</v>
      </c>
      <c r="H105" s="311">
        <f>+'#1 DFIT- FSC'!H108+'#2 DFIT- Unit 4'!H90</f>
        <v>0</v>
      </c>
      <c r="I105" s="311">
        <f>+'#1 DFIT- FSC'!I108+'#2 DFIT- Unit 4'!I90</f>
        <v>0</v>
      </c>
      <c r="J105" s="311">
        <f>+'#1 DFIT- FSC'!J108+'#2 DFIT- Unit 4'!J90</f>
        <v>0</v>
      </c>
      <c r="K105" s="311">
        <f>+'#1 DFIT- FSC'!K108+'#2 DFIT- Unit 4'!K90</f>
        <v>0</v>
      </c>
      <c r="L105" s="311">
        <f>+'#1 DFIT- FSC'!L108+'#2 DFIT- Unit 4'!L90</f>
        <v>0</v>
      </c>
      <c r="M105" s="311">
        <f>+'#1 DFIT- FSC'!M108+'#2 DFIT- Unit 4'!M90</f>
        <v>0</v>
      </c>
      <c r="N105" s="311">
        <f>+'#1 DFIT- FSC'!N108+'#2 DFIT- Unit 4'!N90</f>
        <v>0</v>
      </c>
      <c r="O105" s="311">
        <f>+'#1 DFIT- FSC'!O108+'#2 DFIT- Unit 4'!O90</f>
        <v>0</v>
      </c>
      <c r="P105" s="230">
        <f>+'#1 DFIT- FSC'!P108+'#2 DFIT- Unit 4'!P90</f>
        <v>0</v>
      </c>
    </row>
    <row r="106" spans="1:17" ht="3.75" customHeight="1">
      <c r="A106" s="224"/>
      <c r="B106" s="225"/>
      <c r="C106" s="225"/>
      <c r="D106" s="225"/>
      <c r="E106" s="225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6"/>
    </row>
    <row r="107" spans="1:17">
      <c r="A107" s="1336" t="s">
        <v>852</v>
      </c>
      <c r="B107" s="1337"/>
      <c r="C107" s="1337"/>
      <c r="D107" s="1337"/>
      <c r="E107" s="232">
        <f>SUM(E45:E56)</f>
        <v>14141774.843794152</v>
      </c>
      <c r="F107" s="232">
        <f>SUM(F45:F56)</f>
        <v>3332890.077027468</v>
      </c>
      <c r="G107" s="232">
        <f>SUM(G45:G56)</f>
        <v>2997078.4107154445</v>
      </c>
      <c r="H107" s="232">
        <f>SUM(H45:H56)</f>
        <v>335811.66631202359</v>
      </c>
      <c r="I107" s="1338"/>
      <c r="J107" s="1338"/>
      <c r="K107" s="1338"/>
      <c r="L107" s="1338"/>
      <c r="M107" s="1338"/>
      <c r="N107" s="1338"/>
      <c r="O107" s="1338"/>
      <c r="P107" s="232">
        <f>SUM(P45:P56)</f>
        <v>3900643.7515775394</v>
      </c>
      <c r="Q107" s="4"/>
    </row>
    <row r="108" spans="1:17" ht="13.5" thickBot="1">
      <c r="A108" s="1339" t="s">
        <v>853</v>
      </c>
      <c r="B108" s="231">
        <f>(B44+B56+SUM(B45:B55)*2)/24</f>
        <v>136740817.94672605</v>
      </c>
      <c r="C108" s="231">
        <f>(C44+C56+SUM(C45:C55)*2)/24</f>
        <v>152062126.11249995</v>
      </c>
      <c r="D108" s="231">
        <f>(D44+D56+SUM(D45:D55)*2)/24</f>
        <v>136740817.94672605</v>
      </c>
      <c r="E108" s="1327"/>
      <c r="F108" s="34"/>
      <c r="G108" s="34"/>
      <c r="H108" s="34"/>
      <c r="I108" s="231">
        <f>(I44+I56+SUM(I45:I55)*2)/24</f>
        <v>-72607236.110608473</v>
      </c>
      <c r="J108" s="231">
        <f>(J44+J56+SUM(J45:J55)*2)/24</f>
        <v>-3397260.326568455</v>
      </c>
      <c r="K108" s="231">
        <f>(K44+K56+SUM(K45:K55)*2)/24</f>
        <v>294392.19814223092</v>
      </c>
      <c r="L108" s="231">
        <f>(L44+L56+SUM(L45:L55)*2)/24</f>
        <v>64133581.836117603</v>
      </c>
      <c r="M108" s="231">
        <f>(M44+M56+SUM(M45:M55)*2)/24</f>
        <v>133637949.81829983</v>
      </c>
      <c r="N108" s="234"/>
      <c r="O108" s="231">
        <f>(O44+O56+SUM(O45:O55)*2)/24</f>
        <v>-24326528.793763787</v>
      </c>
      <c r="P108" s="234"/>
      <c r="Q108" s="4"/>
    </row>
    <row r="109" spans="1:17" customFormat="1" ht="13.5" thickTop="1"/>
    <row r="110" spans="1:17" customFormat="1"/>
    <row r="111" spans="1:17" customFormat="1"/>
    <row r="112" spans="1:17" customFormat="1"/>
    <row r="113" spans="5:7" customFormat="1"/>
    <row r="114" spans="5:7" customFormat="1"/>
    <row r="115" spans="5:7">
      <c r="E115" s="311"/>
    </row>
    <row r="116" spans="5:7">
      <c r="E116" s="311"/>
      <c r="G116" s="4"/>
    </row>
    <row r="117" spans="5:7">
      <c r="E117" s="368"/>
    </row>
  </sheetData>
  <printOptions horizontalCentered="1"/>
  <pageMargins left="0.45" right="0.45" top="0.5" bottom="0.5" header="0.3" footer="0.3"/>
  <pageSetup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W119"/>
  <sheetViews>
    <sheetView zoomScaleNormal="100" workbookViewId="0">
      <pane xSplit="1" ySplit="37" topLeftCell="B40" activePane="bottomRight" state="frozen"/>
      <selection activeCell="E21" sqref="E21"/>
      <selection pane="topRight" activeCell="E21" sqref="E21"/>
      <selection pane="bottomLeft" activeCell="E21" sqref="E21"/>
      <selection pane="bottomRight" activeCell="A109" sqref="A109:XFD110"/>
    </sheetView>
  </sheetViews>
  <sheetFormatPr defaultColWidth="8.85546875" defaultRowHeight="12.75" outlineLevelRow="1"/>
  <cols>
    <col min="1" max="1" width="31.42578125" style="2" customWidth="1"/>
    <col min="2" max="2" width="15.140625" style="2" customWidth="1"/>
    <col min="3" max="3" width="15.7109375" style="2" customWidth="1"/>
    <col min="4" max="4" width="15.42578125" style="2" bestFit="1" customWidth="1"/>
    <col min="5" max="5" width="13.7109375" style="2" bestFit="1" customWidth="1"/>
    <col min="6" max="6" width="15.28515625" style="2" bestFit="1" customWidth="1"/>
    <col min="7" max="7" width="15.42578125" style="2" bestFit="1" customWidth="1"/>
    <col min="8" max="8" width="14" style="2" bestFit="1" customWidth="1"/>
    <col min="9" max="9" width="20.42578125" style="2" bestFit="1" customWidth="1"/>
    <col min="10" max="10" width="19.7109375" style="2" customWidth="1"/>
    <col min="11" max="11" width="21" style="2" customWidth="1"/>
    <col min="12" max="14" width="15.7109375" style="2" customWidth="1"/>
    <col min="15" max="15" width="17.140625" style="2" customWidth="1"/>
    <col min="16" max="16" width="18.7109375" style="2" customWidth="1"/>
    <col min="17" max="17" width="8.85546875" style="2"/>
    <col min="18" max="18" width="10.85546875" style="2" customWidth="1"/>
    <col min="19" max="22" width="8.85546875" style="2"/>
    <col min="23" max="23" width="9.85546875" style="2" bestFit="1" customWidth="1"/>
    <col min="24" max="16384" width="8.85546875" style="2"/>
  </cols>
  <sheetData>
    <row r="1" spans="1:23" s="10" customFormat="1">
      <c r="A1" s="6" t="str">
        <f>+'#1+#2+3 Tot Baker DFIT'!A1</f>
        <v>Baker Upgrade Book &amp; Tax Depreciation:  December 1, 2013 through November 30, 2014</v>
      </c>
      <c r="B1" s="7"/>
      <c r="C1" s="7"/>
      <c r="D1" s="7"/>
      <c r="E1" s="7"/>
      <c r="F1"/>
      <c r="G1"/>
      <c r="H1"/>
      <c r="I1"/>
      <c r="J1"/>
      <c r="K1"/>
      <c r="L1" s="7"/>
      <c r="M1" s="7"/>
      <c r="N1" s="9"/>
      <c r="O1" s="80"/>
      <c r="P1" s="9"/>
      <c r="Q1" s="7"/>
      <c r="R1" s="7"/>
      <c r="S1" s="7"/>
      <c r="T1" s="7"/>
      <c r="U1" s="9"/>
      <c r="V1" s="126"/>
      <c r="W1" s="126"/>
    </row>
    <row r="2" spans="1:23" s="10" customFormat="1">
      <c r="A2" s="109" t="s">
        <v>233</v>
      </c>
      <c r="B2" s="126"/>
      <c r="C2" s="154" t="s">
        <v>146</v>
      </c>
      <c r="D2" s="154" t="s">
        <v>147</v>
      </c>
      <c r="E2" s="126"/>
      <c r="F2"/>
      <c r="G2"/>
      <c r="H2"/>
      <c r="I2"/>
      <c r="J2"/>
      <c r="K2"/>
      <c r="L2" s="7"/>
      <c r="M2" s="7"/>
      <c r="N2" s="156"/>
      <c r="O2" s="80"/>
      <c r="P2" s="9"/>
      <c r="Q2" s="126"/>
      <c r="R2" s="126"/>
      <c r="S2" s="7"/>
      <c r="T2" s="7"/>
      <c r="U2" s="7"/>
      <c r="V2" s="126"/>
      <c r="W2" s="126"/>
    </row>
    <row r="3" spans="1:23" s="10" customFormat="1">
      <c r="A3" s="113" t="s">
        <v>223</v>
      </c>
      <c r="B3" s="126"/>
      <c r="C3" s="157">
        <f>'Baker Tax Basis'!B10</f>
        <v>56867149.200900003</v>
      </c>
      <c r="D3" s="157">
        <f>+'Baker Tax Basis'!H10</f>
        <v>56107015.732900001</v>
      </c>
      <c r="E3" s="7"/>
      <c r="F3" s="7"/>
      <c r="G3" s="159"/>
      <c r="H3" s="159"/>
      <c r="I3" s="126"/>
      <c r="J3" s="126"/>
      <c r="K3" s="126"/>
      <c r="L3" s="11"/>
      <c r="M3" s="11"/>
      <c r="N3" s="156"/>
      <c r="O3" s="80"/>
      <c r="P3" s="159"/>
      <c r="Q3" s="126"/>
      <c r="R3" s="126"/>
      <c r="S3" s="7"/>
      <c r="T3" s="7"/>
      <c r="U3" s="7"/>
      <c r="V3" s="126"/>
      <c r="W3" s="126"/>
    </row>
    <row r="4" spans="1:23" s="10" customFormat="1" ht="18" customHeight="1">
      <c r="A4" s="128"/>
      <c r="B4" s="218" t="str">
        <f>IF(ROUND(SUM(E37:E48)/$D$3-B6,5)=0,"OK",SUM(E37:E48)/$D$3-B6)</f>
        <v>OK</v>
      </c>
      <c r="C4" s="218" t="str">
        <f>IF(ROUND(SUM(E49:E60)/$D$3-C6,5)=0,"OK",SUM(E49:E60)/$D$3-C6)</f>
        <v>OK</v>
      </c>
      <c r="D4" s="218" t="str">
        <f>IF(ROUND(E61/$D$3-D6,5)=0,"OK",E61/$D$3-D6)</f>
        <v>OK</v>
      </c>
      <c r="E4" s="218" t="str">
        <f>IF(ROUND(E62/$D$3-E6,5)=0,"OK",E62/$D$3-E6)</f>
        <v>OK</v>
      </c>
      <c r="F4" s="218" t="str">
        <f>IF(ROUND(E63/$D$3-F6,5)=0,"OK",E63/$D$3-F6)</f>
        <v>OK</v>
      </c>
      <c r="G4" s="218" t="str">
        <f>IF(ROUND(E64/$D$3-G6,5)=0,"OK",E64/$D$3-G6)</f>
        <v>OK</v>
      </c>
      <c r="H4" s="218" t="str">
        <f>IF(ROUND(E65/$D$3-H6,5)=0,"OK",E65/$D$3-H6)</f>
        <v>OK</v>
      </c>
      <c r="I4" s="218" t="str">
        <f>IF(ROUND(E66/$D$3-I6,5)=0,"OK",E66/$D$3-I6)</f>
        <v>OK</v>
      </c>
      <c r="J4" s="218" t="str">
        <f>IF(ROUND(E67/$D$3-J6,5)=0,"OK",E67/$D$3-J6)</f>
        <v>OK</v>
      </c>
      <c r="K4" s="218" t="str">
        <f>IF(ROUND(E68/$D$3-K6,5)=0,"OK",E68/$D$3-K6)</f>
        <v>OK</v>
      </c>
      <c r="L4" s="218" t="str">
        <f>IF(ROUND(E69/$D$3-L6,5)=0,"OK",E69/$D$3-L6)</f>
        <v>OK</v>
      </c>
      <c r="M4" s="218" t="str">
        <f>IF(ROUND(E70/$D$3-M6,5)=0,"OK",E70/$D$3-M6)</f>
        <v>OK</v>
      </c>
      <c r="N4" s="218" t="str">
        <f>IF(ROUND(E71/$D$3-N6,5)=0,"OK",E71/$D$3-N6)</f>
        <v>OK</v>
      </c>
      <c r="O4" s="218" t="str">
        <f>IF(ROUND(E72/$D$3-O6,5)=0,"OK",E72/$D$3-O6)</f>
        <v>OK</v>
      </c>
      <c r="P4" s="218" t="str">
        <f>IF(ROUND(E73/$D$3-P6,5)=0,"OK",E73/$D$3-P6)</f>
        <v>OK</v>
      </c>
    </row>
    <row r="5" spans="1:23" s="10" customFormat="1">
      <c r="A5" s="160" t="s">
        <v>141</v>
      </c>
      <c r="B5" s="161">
        <v>2013</v>
      </c>
      <c r="C5" s="161">
        <f>+B5+1</f>
        <v>2014</v>
      </c>
      <c r="D5" s="161">
        <f t="shared" ref="D5" si="0">+C5+1</f>
        <v>2015</v>
      </c>
      <c r="E5" s="161">
        <f t="shared" ref="E5" si="1">+D5+1</f>
        <v>2016</v>
      </c>
      <c r="F5" s="161">
        <f t="shared" ref="F5" si="2">+E5+1</f>
        <v>2017</v>
      </c>
      <c r="G5" s="161">
        <f t="shared" ref="G5" si="3">+F5+1</f>
        <v>2018</v>
      </c>
      <c r="H5" s="161">
        <f t="shared" ref="H5" si="4">+G5+1</f>
        <v>2019</v>
      </c>
      <c r="I5" s="161">
        <f t="shared" ref="I5" si="5">+H5+1</f>
        <v>2020</v>
      </c>
      <c r="J5" s="161">
        <f t="shared" ref="J5" si="6">+I5+1</f>
        <v>2021</v>
      </c>
      <c r="K5" s="161">
        <f t="shared" ref="K5" si="7">+J5+1</f>
        <v>2022</v>
      </c>
      <c r="L5" s="161">
        <f t="shared" ref="L5" si="8">+K5+1</f>
        <v>2023</v>
      </c>
      <c r="M5" s="161">
        <f t="shared" ref="M5" si="9">+L5+1</f>
        <v>2024</v>
      </c>
      <c r="N5" s="161">
        <f t="shared" ref="N5" si="10">+M5+1</f>
        <v>2025</v>
      </c>
      <c r="O5" s="161">
        <f t="shared" ref="O5" si="11">+N5+1</f>
        <v>2026</v>
      </c>
      <c r="P5" s="161">
        <f t="shared" ref="P5" si="12">+O5+1</f>
        <v>2027</v>
      </c>
    </row>
    <row r="6" spans="1:23" s="10" customFormat="1">
      <c r="A6" s="162" t="s">
        <v>164</v>
      </c>
      <c r="B6" s="163">
        <f>3.75%+SUM(C6:V6,B10:G10)</f>
        <v>0.51875000000000004</v>
      </c>
      <c r="C6" s="163">
        <f>7.219%/2</f>
        <v>3.6095000000000002E-2</v>
      </c>
      <c r="D6" s="163">
        <f>6.677%/2</f>
        <v>3.3384999999999998E-2</v>
      </c>
      <c r="E6" s="163">
        <f>6.177%/2</f>
        <v>3.0884999999999999E-2</v>
      </c>
      <c r="F6" s="163">
        <f>5.713%/2</f>
        <v>2.8565E-2</v>
      </c>
      <c r="G6" s="163">
        <f>5.285%/2</f>
        <v>2.6425000000000001E-2</v>
      </c>
      <c r="H6" s="164">
        <f>4.888%/2</f>
        <v>2.444E-2</v>
      </c>
      <c r="I6" s="163">
        <f>4.522%/2</f>
        <v>2.2610000000000002E-2</v>
      </c>
      <c r="J6" s="163">
        <f>4.462%/2</f>
        <v>2.231E-2</v>
      </c>
      <c r="K6" s="163">
        <f>4.461%/2</f>
        <v>2.2305000000000002E-2</v>
      </c>
      <c r="L6" s="163">
        <f>4.462%/2</f>
        <v>2.231E-2</v>
      </c>
      <c r="M6" s="163">
        <f>4.461%/2</f>
        <v>2.2305000000000002E-2</v>
      </c>
      <c r="N6" s="163">
        <f>4.462%/2</f>
        <v>2.231E-2</v>
      </c>
      <c r="O6" s="163">
        <f>4.461%/2</f>
        <v>2.2305000000000002E-2</v>
      </c>
      <c r="P6" s="163">
        <f>4.462%/2</f>
        <v>2.231E-2</v>
      </c>
    </row>
    <row r="7" spans="1:23" s="10" customFormat="1">
      <c r="A7" s="165"/>
      <c r="B7" s="166">
        <v>1</v>
      </c>
      <c r="C7" s="166">
        <f>+B7+1</f>
        <v>2</v>
      </c>
      <c r="D7" s="166">
        <f t="shared" ref="D7:P7" si="13">+C7+1</f>
        <v>3</v>
      </c>
      <c r="E7" s="166">
        <f t="shared" si="13"/>
        <v>4</v>
      </c>
      <c r="F7" s="166">
        <f t="shared" si="13"/>
        <v>5</v>
      </c>
      <c r="G7" s="166">
        <f t="shared" si="13"/>
        <v>6</v>
      </c>
      <c r="H7" s="166">
        <f t="shared" si="13"/>
        <v>7</v>
      </c>
      <c r="I7" s="166">
        <f t="shared" si="13"/>
        <v>8</v>
      </c>
      <c r="J7" s="166">
        <f t="shared" si="13"/>
        <v>9</v>
      </c>
      <c r="K7" s="166">
        <f t="shared" si="13"/>
        <v>10</v>
      </c>
      <c r="L7" s="166">
        <f t="shared" si="13"/>
        <v>11</v>
      </c>
      <c r="M7" s="166">
        <f t="shared" si="13"/>
        <v>12</v>
      </c>
      <c r="N7" s="166">
        <f t="shared" si="13"/>
        <v>13</v>
      </c>
      <c r="O7" s="166">
        <f t="shared" si="13"/>
        <v>14</v>
      </c>
      <c r="P7" s="166">
        <f t="shared" si="13"/>
        <v>15</v>
      </c>
    </row>
    <row r="8" spans="1:23" s="10" customFormat="1">
      <c r="A8" s="165"/>
      <c r="B8" s="218" t="str">
        <f>IF(ROUND(E74/$D$3-B10,5)=0,"OK",E74/$D$3-B10)</f>
        <v>OK</v>
      </c>
      <c r="C8" s="218" t="str">
        <f>IF(ROUND(E75/$D$3-C10,5)=0,"OK",E75/$D$3-C10)</f>
        <v>OK</v>
      </c>
      <c r="D8" s="218" t="str">
        <f>IF(ROUND(E76/$D$3-D10,5)=0,"OK",E76/$D$3-D10)</f>
        <v>OK</v>
      </c>
      <c r="E8" s="218" t="str">
        <f>IF(ROUND(E77/$D$3-E10,5)=0,"OK",E77/$D$3-E10)</f>
        <v>OK</v>
      </c>
      <c r="F8" s="218" t="str">
        <f>IF(ROUND(E78/$D$3-F10,5)=0,"OK",E78/$D$3-F10)</f>
        <v>OK</v>
      </c>
      <c r="G8" s="218" t="str">
        <f>IF(ROUND(E79/$D$3-G10,5)=0,"OK",E79/$D$3-G10)</f>
        <v>OK</v>
      </c>
      <c r="H8" s="12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7"/>
    </row>
    <row r="9" spans="1:23" s="10" customFormat="1">
      <c r="A9" s="165"/>
      <c r="B9" s="161">
        <f>+P5+1</f>
        <v>2028</v>
      </c>
      <c r="C9" s="161">
        <f t="shared" ref="C9" si="14">+B9+1</f>
        <v>2029</v>
      </c>
      <c r="D9" s="161">
        <f t="shared" ref="D9" si="15">+C9+1</f>
        <v>2030</v>
      </c>
      <c r="E9" s="161">
        <f t="shared" ref="E9" si="16">+D9+1</f>
        <v>2031</v>
      </c>
      <c r="F9" s="161">
        <f>+E9+1</f>
        <v>2032</v>
      </c>
      <c r="G9" s="161">
        <f>+F9+1</f>
        <v>2033</v>
      </c>
      <c r="H9" s="12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7"/>
    </row>
    <row r="10" spans="1:23" s="10" customFormat="1">
      <c r="A10" s="165"/>
      <c r="B10" s="163">
        <f>4.461%/2</f>
        <v>2.2305000000000002E-2</v>
      </c>
      <c r="C10" s="163">
        <f>4.462%/2</f>
        <v>2.231E-2</v>
      </c>
      <c r="D10" s="163">
        <f>4.461%/2</f>
        <v>2.2305000000000002E-2</v>
      </c>
      <c r="E10" s="163">
        <f>4.462%/2</f>
        <v>2.231E-2</v>
      </c>
      <c r="F10" s="163">
        <f>4.461%/2</f>
        <v>2.2305000000000002E-2</v>
      </c>
      <c r="G10" s="163">
        <f>2.231%/2</f>
        <v>1.1155E-2</v>
      </c>
      <c r="H10" s="228">
        <f>SUM(B6:V6,B10:G10)</f>
        <v>1.0000000000000004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7"/>
    </row>
    <row r="11" spans="1:23" s="10" customFormat="1">
      <c r="A11" s="165"/>
      <c r="B11" s="166">
        <f>+P7+1</f>
        <v>16</v>
      </c>
      <c r="C11" s="166">
        <f>+B11+1</f>
        <v>17</v>
      </c>
      <c r="D11" s="166">
        <f>+C11+1</f>
        <v>18</v>
      </c>
      <c r="E11" s="166">
        <f>+D11+1</f>
        <v>19</v>
      </c>
      <c r="F11" s="166">
        <f>+E11+1</f>
        <v>20</v>
      </c>
      <c r="G11" s="166">
        <f>+F11+1</f>
        <v>21</v>
      </c>
      <c r="H11" s="167">
        <f>+H10-1</f>
        <v>0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7"/>
    </row>
    <row r="12" spans="1:23" ht="5.0999999999999996" customHeight="1" thickBo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</row>
    <row r="13" spans="1:23">
      <c r="A13" s="127" t="s">
        <v>0</v>
      </c>
      <c r="B13" s="168" t="s">
        <v>30</v>
      </c>
      <c r="C13" s="169"/>
      <c r="D13" s="169"/>
      <c r="E13" s="168" t="s">
        <v>31</v>
      </c>
      <c r="F13" s="169"/>
      <c r="G13" s="169"/>
      <c r="H13" s="169"/>
      <c r="I13" s="168" t="s">
        <v>127</v>
      </c>
      <c r="J13" s="169"/>
      <c r="K13" s="169"/>
      <c r="L13" s="168" t="s">
        <v>32</v>
      </c>
      <c r="M13" s="169"/>
      <c r="N13" s="170" t="s">
        <v>33</v>
      </c>
      <c r="O13" s="170" t="s">
        <v>34</v>
      </c>
      <c r="P13" s="170" t="s">
        <v>35</v>
      </c>
      <c r="Q13" s="128"/>
      <c r="R13" s="128"/>
      <c r="S13" s="128"/>
      <c r="T13" s="128"/>
      <c r="U13" s="128"/>
      <c r="V13" s="128"/>
      <c r="W13" s="128"/>
    </row>
    <row r="14" spans="1:23">
      <c r="A14" s="130"/>
      <c r="B14" s="219"/>
      <c r="C14" s="220"/>
      <c r="D14" s="171" t="s">
        <v>36</v>
      </c>
      <c r="E14" s="219"/>
      <c r="F14" s="143">
        <f>'Dep Rate'!D25</f>
        <v>2.1917949999999999E-2</v>
      </c>
      <c r="G14" s="221" t="s">
        <v>102</v>
      </c>
      <c r="H14" s="171"/>
      <c r="I14" s="219"/>
      <c r="J14" s="220"/>
      <c r="K14" s="171" t="s">
        <v>94</v>
      </c>
      <c r="L14" s="219"/>
      <c r="M14" s="171" t="s">
        <v>36</v>
      </c>
      <c r="N14" s="27"/>
      <c r="O14" s="27"/>
      <c r="P14" s="27"/>
      <c r="Q14" s="128"/>
      <c r="R14" s="128"/>
      <c r="S14" s="128"/>
      <c r="T14" s="128"/>
      <c r="U14" s="128"/>
      <c r="V14" s="128"/>
      <c r="W14" s="128"/>
    </row>
    <row r="15" spans="1:23">
      <c r="A15" s="13"/>
      <c r="B15" s="23" t="s">
        <v>6</v>
      </c>
      <c r="C15" s="24" t="s">
        <v>36</v>
      </c>
      <c r="D15" s="24" t="s">
        <v>93</v>
      </c>
      <c r="E15" s="23" t="s">
        <v>6</v>
      </c>
      <c r="F15" s="24" t="s">
        <v>36</v>
      </c>
      <c r="G15" s="24" t="s">
        <v>93</v>
      </c>
      <c r="H15" s="24"/>
      <c r="I15" s="23" t="s">
        <v>6</v>
      </c>
      <c r="J15" s="24" t="s">
        <v>36</v>
      </c>
      <c r="K15" s="24" t="s">
        <v>95</v>
      </c>
      <c r="L15" s="23" t="s">
        <v>6</v>
      </c>
      <c r="M15" s="171" t="s">
        <v>149</v>
      </c>
      <c r="N15" s="25" t="s">
        <v>37</v>
      </c>
      <c r="O15" s="26">
        <v>0.35</v>
      </c>
      <c r="P15" s="27" t="s">
        <v>16</v>
      </c>
    </row>
    <row r="16" spans="1:23">
      <c r="A16" s="13"/>
      <c r="B16" s="23"/>
      <c r="C16" s="24"/>
      <c r="D16" s="104"/>
      <c r="E16" s="23" t="s">
        <v>91</v>
      </c>
      <c r="F16" s="171" t="s">
        <v>167</v>
      </c>
      <c r="G16" s="171" t="s">
        <v>168</v>
      </c>
      <c r="H16" s="24" t="s">
        <v>100</v>
      </c>
      <c r="I16" s="23"/>
      <c r="J16" s="24"/>
      <c r="K16" s="24"/>
      <c r="L16" s="23"/>
      <c r="M16" s="171"/>
      <c r="N16" s="25"/>
      <c r="O16" s="26"/>
      <c r="P16" s="27" t="s">
        <v>109</v>
      </c>
    </row>
    <row r="17" spans="1:16" ht="13.5" thickBot="1">
      <c r="A17" s="15"/>
      <c r="B17" s="28" t="s">
        <v>25</v>
      </c>
      <c r="C17" s="29" t="s">
        <v>26</v>
      </c>
      <c r="D17" s="29" t="s">
        <v>96</v>
      </c>
      <c r="E17" s="28" t="s">
        <v>38</v>
      </c>
      <c r="F17" s="30" t="s">
        <v>28</v>
      </c>
      <c r="G17" s="30" t="s">
        <v>28</v>
      </c>
      <c r="H17" s="29" t="s">
        <v>101</v>
      </c>
      <c r="I17" s="28" t="s">
        <v>103</v>
      </c>
      <c r="J17" s="29" t="s">
        <v>104</v>
      </c>
      <c r="K17" s="29" t="s">
        <v>105</v>
      </c>
      <c r="L17" s="28" t="s">
        <v>106</v>
      </c>
      <c r="M17" s="1342" t="s">
        <v>150</v>
      </c>
      <c r="N17" s="31" t="s">
        <v>107</v>
      </c>
      <c r="O17" s="32" t="s">
        <v>108</v>
      </c>
      <c r="P17" s="33" t="s">
        <v>110</v>
      </c>
    </row>
    <row r="18" spans="1:16" ht="4.9000000000000004" customHeight="1" thickTop="1"/>
    <row r="19" spans="1:16" ht="12.75" hidden="1" customHeight="1">
      <c r="A19" s="16">
        <v>40512</v>
      </c>
      <c r="B19" s="17">
        <v>0</v>
      </c>
      <c r="C19" s="3">
        <v>0</v>
      </c>
      <c r="D19" s="3">
        <v>0</v>
      </c>
      <c r="E19" s="17">
        <f>B19*$B$6/2</f>
        <v>0</v>
      </c>
      <c r="F19" s="77">
        <f>C19*0.0428/365*22</f>
        <v>0</v>
      </c>
      <c r="G19" s="77">
        <f>D19*0.0428/365*22</f>
        <v>0</v>
      </c>
      <c r="H19" s="89"/>
      <c r="I19" s="3">
        <f>-E19</f>
        <v>0</v>
      </c>
      <c r="J19" s="3">
        <f>-F19</f>
        <v>0</v>
      </c>
      <c r="K19" s="3">
        <f>-G19</f>
        <v>0</v>
      </c>
      <c r="L19" s="3">
        <f t="shared" ref="L19:M38" si="17">B19+I19</f>
        <v>0</v>
      </c>
      <c r="M19" s="17">
        <f t="shared" si="17"/>
        <v>0</v>
      </c>
      <c r="N19" s="17">
        <f>M19-L19</f>
        <v>0</v>
      </c>
      <c r="O19" s="17">
        <f>-N19*$O$15</f>
        <v>0</v>
      </c>
      <c r="P19" s="3">
        <f>-O19</f>
        <v>0</v>
      </c>
    </row>
    <row r="20" spans="1:16" ht="12.75" hidden="1" customHeight="1">
      <c r="A20" s="16">
        <v>40543</v>
      </c>
      <c r="B20" s="18">
        <f>B19+(C20-C19)</f>
        <v>0</v>
      </c>
      <c r="C20" s="18">
        <v>0</v>
      </c>
      <c r="D20" s="18">
        <v>0</v>
      </c>
      <c r="E20" s="18">
        <f>B20*$B$6-E19</f>
        <v>0</v>
      </c>
      <c r="F20" s="78">
        <f>C20*0.0428/365*53-F19</f>
        <v>0</v>
      </c>
      <c r="G20" s="78">
        <f>D20*0.0428/365*53-G19</f>
        <v>0</v>
      </c>
      <c r="H20" s="78"/>
      <c r="I20" s="18">
        <f t="shared" ref="I20:K32" si="18">I19-E20</f>
        <v>0</v>
      </c>
      <c r="J20" s="18">
        <f t="shared" si="18"/>
        <v>0</v>
      </c>
      <c r="K20" s="18">
        <f t="shared" si="18"/>
        <v>0</v>
      </c>
      <c r="L20" s="18">
        <f t="shared" si="17"/>
        <v>0</v>
      </c>
      <c r="M20" s="18">
        <f t="shared" si="17"/>
        <v>0</v>
      </c>
      <c r="N20" s="18">
        <f>M20-L20</f>
        <v>0</v>
      </c>
      <c r="O20" s="18">
        <f t="shared" ref="O20:O82" si="19">-N20*$O$15</f>
        <v>0</v>
      </c>
      <c r="P20" s="18">
        <f>-O20+O19</f>
        <v>0</v>
      </c>
    </row>
    <row r="21" spans="1:16" ht="12.75" hidden="1" customHeight="1">
      <c r="A21" s="83">
        <v>40574</v>
      </c>
      <c r="B21" s="84">
        <f>C21</f>
        <v>0</v>
      </c>
      <c r="C21" s="84">
        <v>0</v>
      </c>
      <c r="D21" s="84">
        <v>0</v>
      </c>
      <c r="E21" s="84">
        <f>B21*$C$6/12</f>
        <v>0</v>
      </c>
      <c r="F21" s="84">
        <f>C21*0.0428/12</f>
        <v>0</v>
      </c>
      <c r="G21" s="84">
        <f>D21*0.0428/12</f>
        <v>0</v>
      </c>
      <c r="H21" s="84"/>
      <c r="I21" s="84">
        <f t="shared" si="18"/>
        <v>0</v>
      </c>
      <c r="J21" s="84">
        <f t="shared" si="18"/>
        <v>0</v>
      </c>
      <c r="K21" s="84">
        <f t="shared" si="18"/>
        <v>0</v>
      </c>
      <c r="L21" s="84">
        <f t="shared" si="17"/>
        <v>0</v>
      </c>
      <c r="M21" s="84">
        <f t="shared" si="17"/>
        <v>0</v>
      </c>
      <c r="N21" s="84">
        <f>M21-L21</f>
        <v>0</v>
      </c>
      <c r="O21" s="84">
        <f t="shared" si="19"/>
        <v>0</v>
      </c>
      <c r="P21" s="84">
        <f>-O21+O20</f>
        <v>0</v>
      </c>
    </row>
    <row r="22" spans="1:16" ht="12.75" hidden="1" customHeight="1">
      <c r="A22" s="83">
        <v>40602</v>
      </c>
      <c r="B22" s="85">
        <f t="shared" ref="B22:B32" si="20">B21</f>
        <v>0</v>
      </c>
      <c r="C22" s="85">
        <f t="shared" ref="C22:D32" si="21">$C$21</f>
        <v>0</v>
      </c>
      <c r="D22" s="85">
        <f t="shared" si="21"/>
        <v>0</v>
      </c>
      <c r="E22" s="85">
        <f t="shared" ref="E22:E32" si="22">B22*$C$6/12</f>
        <v>0</v>
      </c>
      <c r="F22" s="85">
        <f t="shared" ref="F22:G32" si="23">F21</f>
        <v>0</v>
      </c>
      <c r="G22" s="85">
        <f t="shared" si="23"/>
        <v>0</v>
      </c>
      <c r="H22" s="152"/>
      <c r="I22" s="85">
        <f t="shared" si="18"/>
        <v>0</v>
      </c>
      <c r="J22" s="85">
        <f t="shared" si="18"/>
        <v>0</v>
      </c>
      <c r="K22" s="85">
        <f t="shared" si="18"/>
        <v>0</v>
      </c>
      <c r="L22" s="85">
        <f t="shared" si="17"/>
        <v>0</v>
      </c>
      <c r="M22" s="84">
        <f t="shared" si="17"/>
        <v>0</v>
      </c>
      <c r="N22" s="84">
        <f>M22-L22</f>
        <v>0</v>
      </c>
      <c r="O22" s="84">
        <f t="shared" si="19"/>
        <v>0</v>
      </c>
      <c r="P22" s="84">
        <f t="shared" ref="P22:P89" si="24">-O22+O21</f>
        <v>0</v>
      </c>
    </row>
    <row r="23" spans="1:16" ht="12.75" hidden="1" customHeight="1">
      <c r="A23" s="83">
        <v>40633</v>
      </c>
      <c r="B23" s="84">
        <f t="shared" si="20"/>
        <v>0</v>
      </c>
      <c r="C23" s="84">
        <f t="shared" si="21"/>
        <v>0</v>
      </c>
      <c r="D23" s="84">
        <f t="shared" si="21"/>
        <v>0</v>
      </c>
      <c r="E23" s="84">
        <f t="shared" si="22"/>
        <v>0</v>
      </c>
      <c r="F23" s="84">
        <f t="shared" si="23"/>
        <v>0</v>
      </c>
      <c r="G23" s="84">
        <f t="shared" si="23"/>
        <v>0</v>
      </c>
      <c r="H23" s="124"/>
      <c r="I23" s="84">
        <f t="shared" si="18"/>
        <v>0</v>
      </c>
      <c r="J23" s="84">
        <f t="shared" si="18"/>
        <v>0</v>
      </c>
      <c r="K23" s="84">
        <f t="shared" si="18"/>
        <v>0</v>
      </c>
      <c r="L23" s="84">
        <f t="shared" si="17"/>
        <v>0</v>
      </c>
      <c r="M23" s="86">
        <f t="shared" si="17"/>
        <v>0</v>
      </c>
      <c r="N23" s="86">
        <f>M23-L23</f>
        <v>0</v>
      </c>
      <c r="O23" s="86">
        <f t="shared" si="19"/>
        <v>0</v>
      </c>
      <c r="P23" s="86">
        <f t="shared" si="24"/>
        <v>0</v>
      </c>
    </row>
    <row r="24" spans="1:16" ht="12.75" hidden="1" customHeight="1">
      <c r="A24" s="83">
        <v>40663</v>
      </c>
      <c r="B24" s="84">
        <f t="shared" si="20"/>
        <v>0</v>
      </c>
      <c r="C24" s="84">
        <f t="shared" si="21"/>
        <v>0</v>
      </c>
      <c r="D24" s="84">
        <f t="shared" si="21"/>
        <v>0</v>
      </c>
      <c r="E24" s="84">
        <f t="shared" si="22"/>
        <v>0</v>
      </c>
      <c r="F24" s="84">
        <f t="shared" si="23"/>
        <v>0</v>
      </c>
      <c r="G24" s="84">
        <f t="shared" si="23"/>
        <v>0</v>
      </c>
      <c r="H24" s="124"/>
      <c r="I24" s="84">
        <f t="shared" si="18"/>
        <v>0</v>
      </c>
      <c r="J24" s="84">
        <f t="shared" si="18"/>
        <v>0</v>
      </c>
      <c r="K24" s="84">
        <f t="shared" si="18"/>
        <v>0</v>
      </c>
      <c r="L24" s="84">
        <f t="shared" si="17"/>
        <v>0</v>
      </c>
      <c r="M24" s="84">
        <f t="shared" si="17"/>
        <v>0</v>
      </c>
      <c r="N24" s="84">
        <f t="shared" ref="N24:N32" si="25">M24-L24</f>
        <v>0</v>
      </c>
      <c r="O24" s="84">
        <f t="shared" si="19"/>
        <v>0</v>
      </c>
      <c r="P24" s="84">
        <f t="shared" si="24"/>
        <v>0</v>
      </c>
    </row>
    <row r="25" spans="1:16" ht="12.75" hidden="1" customHeight="1">
      <c r="A25" s="83">
        <v>40694</v>
      </c>
      <c r="B25" s="84">
        <f t="shared" si="20"/>
        <v>0</v>
      </c>
      <c r="C25" s="84">
        <f t="shared" si="21"/>
        <v>0</v>
      </c>
      <c r="D25" s="84">
        <f t="shared" si="21"/>
        <v>0</v>
      </c>
      <c r="E25" s="84">
        <f t="shared" si="22"/>
        <v>0</v>
      </c>
      <c r="F25" s="84">
        <f t="shared" si="23"/>
        <v>0</v>
      </c>
      <c r="G25" s="84">
        <f t="shared" si="23"/>
        <v>0</v>
      </c>
      <c r="H25" s="124"/>
      <c r="I25" s="84">
        <f t="shared" si="18"/>
        <v>0</v>
      </c>
      <c r="J25" s="84">
        <f t="shared" si="18"/>
        <v>0</v>
      </c>
      <c r="K25" s="84">
        <f t="shared" si="18"/>
        <v>0</v>
      </c>
      <c r="L25" s="84">
        <f t="shared" si="17"/>
        <v>0</v>
      </c>
      <c r="M25" s="84">
        <f t="shared" si="17"/>
        <v>0</v>
      </c>
      <c r="N25" s="84">
        <f t="shared" si="25"/>
        <v>0</v>
      </c>
      <c r="O25" s="84">
        <f t="shared" si="19"/>
        <v>0</v>
      </c>
      <c r="P25" s="84">
        <f t="shared" si="24"/>
        <v>0</v>
      </c>
    </row>
    <row r="26" spans="1:16" ht="12.75" hidden="1" customHeight="1">
      <c r="A26" s="83">
        <v>40724</v>
      </c>
      <c r="B26" s="84">
        <f t="shared" si="20"/>
        <v>0</v>
      </c>
      <c r="C26" s="84">
        <f t="shared" si="21"/>
        <v>0</v>
      </c>
      <c r="D26" s="84">
        <f t="shared" si="21"/>
        <v>0</v>
      </c>
      <c r="E26" s="84">
        <f t="shared" si="22"/>
        <v>0</v>
      </c>
      <c r="F26" s="84">
        <f t="shared" si="23"/>
        <v>0</v>
      </c>
      <c r="G26" s="84">
        <f t="shared" si="23"/>
        <v>0</v>
      </c>
      <c r="H26" s="124"/>
      <c r="I26" s="84">
        <f t="shared" si="18"/>
        <v>0</v>
      </c>
      <c r="J26" s="84">
        <f t="shared" si="18"/>
        <v>0</v>
      </c>
      <c r="K26" s="84">
        <f t="shared" si="18"/>
        <v>0</v>
      </c>
      <c r="L26" s="84">
        <f t="shared" si="17"/>
        <v>0</v>
      </c>
      <c r="M26" s="84">
        <f t="shared" si="17"/>
        <v>0</v>
      </c>
      <c r="N26" s="84">
        <f t="shared" si="25"/>
        <v>0</v>
      </c>
      <c r="O26" s="84">
        <f t="shared" si="19"/>
        <v>0</v>
      </c>
      <c r="P26" s="84">
        <f t="shared" si="24"/>
        <v>0</v>
      </c>
    </row>
    <row r="27" spans="1:16" ht="12.75" hidden="1" customHeight="1">
      <c r="A27" s="83">
        <v>40755</v>
      </c>
      <c r="B27" s="84">
        <f t="shared" si="20"/>
        <v>0</v>
      </c>
      <c r="C27" s="84">
        <f t="shared" si="21"/>
        <v>0</v>
      </c>
      <c r="D27" s="84">
        <f t="shared" si="21"/>
        <v>0</v>
      </c>
      <c r="E27" s="84">
        <f t="shared" si="22"/>
        <v>0</v>
      </c>
      <c r="F27" s="84">
        <f t="shared" si="23"/>
        <v>0</v>
      </c>
      <c r="G27" s="84">
        <f t="shared" si="23"/>
        <v>0</v>
      </c>
      <c r="H27" s="124"/>
      <c r="I27" s="84">
        <f t="shared" si="18"/>
        <v>0</v>
      </c>
      <c r="J27" s="84">
        <f t="shared" si="18"/>
        <v>0</v>
      </c>
      <c r="K27" s="84">
        <f t="shared" si="18"/>
        <v>0</v>
      </c>
      <c r="L27" s="84">
        <f t="shared" si="17"/>
        <v>0</v>
      </c>
      <c r="M27" s="84">
        <f t="shared" si="17"/>
        <v>0</v>
      </c>
      <c r="N27" s="84">
        <f t="shared" si="25"/>
        <v>0</v>
      </c>
      <c r="O27" s="84">
        <f t="shared" si="19"/>
        <v>0</v>
      </c>
      <c r="P27" s="84">
        <f t="shared" si="24"/>
        <v>0</v>
      </c>
    </row>
    <row r="28" spans="1:16" ht="12.75" hidden="1" customHeight="1">
      <c r="A28" s="83">
        <v>40786</v>
      </c>
      <c r="B28" s="84">
        <f t="shared" si="20"/>
        <v>0</v>
      </c>
      <c r="C28" s="84">
        <f t="shared" si="21"/>
        <v>0</v>
      </c>
      <c r="D28" s="84">
        <f t="shared" si="21"/>
        <v>0</v>
      </c>
      <c r="E28" s="84">
        <f t="shared" si="22"/>
        <v>0</v>
      </c>
      <c r="F28" s="84">
        <f t="shared" si="23"/>
        <v>0</v>
      </c>
      <c r="G28" s="84">
        <f t="shared" si="23"/>
        <v>0</v>
      </c>
      <c r="H28" s="124"/>
      <c r="I28" s="84">
        <f t="shared" si="18"/>
        <v>0</v>
      </c>
      <c r="J28" s="84">
        <f t="shared" si="18"/>
        <v>0</v>
      </c>
      <c r="K28" s="84">
        <f t="shared" si="18"/>
        <v>0</v>
      </c>
      <c r="L28" s="84">
        <f t="shared" si="17"/>
        <v>0</v>
      </c>
      <c r="M28" s="84">
        <f t="shared" si="17"/>
        <v>0</v>
      </c>
      <c r="N28" s="84">
        <f t="shared" si="25"/>
        <v>0</v>
      </c>
      <c r="O28" s="84">
        <f t="shared" si="19"/>
        <v>0</v>
      </c>
      <c r="P28" s="84">
        <f t="shared" si="24"/>
        <v>0</v>
      </c>
    </row>
    <row r="29" spans="1:16" ht="12.75" hidden="1" customHeight="1">
      <c r="A29" s="83">
        <v>40816</v>
      </c>
      <c r="B29" s="84">
        <f t="shared" si="20"/>
        <v>0</v>
      </c>
      <c r="C29" s="84">
        <f t="shared" si="21"/>
        <v>0</v>
      </c>
      <c r="D29" s="84">
        <f t="shared" si="21"/>
        <v>0</v>
      </c>
      <c r="E29" s="84">
        <f t="shared" si="22"/>
        <v>0</v>
      </c>
      <c r="F29" s="84">
        <f t="shared" si="23"/>
        <v>0</v>
      </c>
      <c r="G29" s="84">
        <f t="shared" si="23"/>
        <v>0</v>
      </c>
      <c r="H29" s="124"/>
      <c r="I29" s="84">
        <f t="shared" si="18"/>
        <v>0</v>
      </c>
      <c r="J29" s="84">
        <f t="shared" si="18"/>
        <v>0</v>
      </c>
      <c r="K29" s="84">
        <f t="shared" si="18"/>
        <v>0</v>
      </c>
      <c r="L29" s="84">
        <f t="shared" si="17"/>
        <v>0</v>
      </c>
      <c r="M29" s="84">
        <f t="shared" si="17"/>
        <v>0</v>
      </c>
      <c r="N29" s="84">
        <f t="shared" si="25"/>
        <v>0</v>
      </c>
      <c r="O29" s="84">
        <f t="shared" si="19"/>
        <v>0</v>
      </c>
      <c r="P29" s="84">
        <f t="shared" si="24"/>
        <v>0</v>
      </c>
    </row>
    <row r="30" spans="1:16" ht="12.75" hidden="1" customHeight="1">
      <c r="A30" s="83">
        <v>40847</v>
      </c>
      <c r="B30" s="84">
        <f t="shared" si="20"/>
        <v>0</v>
      </c>
      <c r="C30" s="84">
        <f t="shared" si="21"/>
        <v>0</v>
      </c>
      <c r="D30" s="84">
        <f t="shared" si="21"/>
        <v>0</v>
      </c>
      <c r="E30" s="84">
        <f t="shared" si="22"/>
        <v>0</v>
      </c>
      <c r="F30" s="84">
        <f t="shared" si="23"/>
        <v>0</v>
      </c>
      <c r="G30" s="84">
        <f t="shared" si="23"/>
        <v>0</v>
      </c>
      <c r="H30" s="124"/>
      <c r="I30" s="84">
        <f t="shared" si="18"/>
        <v>0</v>
      </c>
      <c r="J30" s="84">
        <f t="shared" si="18"/>
        <v>0</v>
      </c>
      <c r="K30" s="84">
        <f t="shared" si="18"/>
        <v>0</v>
      </c>
      <c r="L30" s="84">
        <f t="shared" si="17"/>
        <v>0</v>
      </c>
      <c r="M30" s="84">
        <f t="shared" si="17"/>
        <v>0</v>
      </c>
      <c r="N30" s="84">
        <f t="shared" si="25"/>
        <v>0</v>
      </c>
      <c r="O30" s="84">
        <f t="shared" si="19"/>
        <v>0</v>
      </c>
      <c r="P30" s="84">
        <f t="shared" si="24"/>
        <v>0</v>
      </c>
    </row>
    <row r="31" spans="1:16" ht="12.75" hidden="1" customHeight="1">
      <c r="A31" s="83">
        <v>40877</v>
      </c>
      <c r="B31" s="84">
        <f t="shared" si="20"/>
        <v>0</v>
      </c>
      <c r="C31" s="84">
        <f t="shared" si="21"/>
        <v>0</v>
      </c>
      <c r="D31" s="84">
        <f t="shared" si="21"/>
        <v>0</v>
      </c>
      <c r="E31" s="84">
        <f t="shared" si="22"/>
        <v>0</v>
      </c>
      <c r="F31" s="84">
        <f t="shared" si="23"/>
        <v>0</v>
      </c>
      <c r="G31" s="84">
        <f t="shared" si="23"/>
        <v>0</v>
      </c>
      <c r="H31" s="124"/>
      <c r="I31" s="84">
        <f t="shared" si="18"/>
        <v>0</v>
      </c>
      <c r="J31" s="84">
        <f t="shared" si="18"/>
        <v>0</v>
      </c>
      <c r="K31" s="84">
        <f t="shared" si="18"/>
        <v>0</v>
      </c>
      <c r="L31" s="84">
        <f t="shared" si="17"/>
        <v>0</v>
      </c>
      <c r="M31" s="84">
        <f t="shared" si="17"/>
        <v>0</v>
      </c>
      <c r="N31" s="84">
        <f t="shared" si="25"/>
        <v>0</v>
      </c>
      <c r="O31" s="84">
        <f t="shared" si="19"/>
        <v>0</v>
      </c>
      <c r="P31" s="84">
        <f t="shared" si="24"/>
        <v>0</v>
      </c>
    </row>
    <row r="32" spans="1:16" ht="12.75" hidden="1" customHeight="1">
      <c r="A32" s="83">
        <v>40908</v>
      </c>
      <c r="B32" s="84">
        <f t="shared" si="20"/>
        <v>0</v>
      </c>
      <c r="C32" s="84">
        <f t="shared" si="21"/>
        <v>0</v>
      </c>
      <c r="D32" s="84">
        <f t="shared" si="21"/>
        <v>0</v>
      </c>
      <c r="E32" s="84">
        <f t="shared" si="22"/>
        <v>0</v>
      </c>
      <c r="F32" s="84">
        <f t="shared" si="23"/>
        <v>0</v>
      </c>
      <c r="G32" s="84">
        <f t="shared" si="23"/>
        <v>0</v>
      </c>
      <c r="H32" s="124"/>
      <c r="I32" s="84">
        <f t="shared" si="18"/>
        <v>0</v>
      </c>
      <c r="J32" s="84">
        <f t="shared" si="18"/>
        <v>0</v>
      </c>
      <c r="K32" s="84">
        <f t="shared" si="18"/>
        <v>0</v>
      </c>
      <c r="L32" s="84">
        <f t="shared" si="17"/>
        <v>0</v>
      </c>
      <c r="M32" s="84">
        <f t="shared" si="17"/>
        <v>0</v>
      </c>
      <c r="N32" s="84">
        <f t="shared" si="25"/>
        <v>0</v>
      </c>
      <c r="O32" s="84">
        <f t="shared" si="19"/>
        <v>0</v>
      </c>
      <c r="P32" s="84">
        <f t="shared" si="24"/>
        <v>0</v>
      </c>
    </row>
    <row r="33" spans="1:19" s="128" customFormat="1" ht="12.75" hidden="1" customHeight="1" outlineLevel="1">
      <c r="A33" s="185">
        <v>41182</v>
      </c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213"/>
      <c r="R33" s="287"/>
      <c r="S33" s="287"/>
    </row>
    <row r="34" spans="1:19" s="128" customFormat="1" ht="12.75" hidden="1" customHeight="1" outlineLevel="1">
      <c r="A34" s="186">
        <v>41213</v>
      </c>
      <c r="B34" s="295"/>
      <c r="C34" s="295"/>
      <c r="D34" s="84"/>
      <c r="E34" s="84"/>
      <c r="F34" s="108"/>
      <c r="G34" s="84"/>
      <c r="H34" s="84"/>
      <c r="I34" s="84"/>
      <c r="J34" s="84"/>
      <c r="K34" s="84"/>
      <c r="L34" s="215"/>
      <c r="M34" s="84"/>
      <c r="N34" s="151"/>
      <c r="O34" s="84"/>
      <c r="P34" s="214"/>
      <c r="R34" s="287"/>
      <c r="S34" s="287"/>
    </row>
    <row r="35" spans="1:19" s="128" customFormat="1" ht="12.75" hidden="1" customHeight="1" outlineLevel="1">
      <c r="A35" s="186">
        <v>41243</v>
      </c>
      <c r="B35" s="295"/>
      <c r="C35" s="295"/>
      <c r="D35" s="84"/>
      <c r="E35" s="84"/>
      <c r="F35" s="108"/>
      <c r="G35" s="84"/>
      <c r="H35" s="84"/>
      <c r="I35" s="84"/>
      <c r="J35" s="84"/>
      <c r="K35" s="84"/>
      <c r="L35" s="215"/>
      <c r="M35" s="84"/>
      <c r="N35" s="151"/>
      <c r="O35" s="84"/>
      <c r="P35" s="214"/>
      <c r="R35"/>
      <c r="S35" s="287"/>
    </row>
    <row r="36" spans="1:19" s="128" customFormat="1" ht="12.75" hidden="1" customHeight="1" outlineLevel="1">
      <c r="A36" s="186">
        <v>41274</v>
      </c>
      <c r="B36" s="295"/>
      <c r="C36" s="295"/>
      <c r="D36" s="84"/>
      <c r="E36" s="84"/>
      <c r="F36" s="108"/>
      <c r="G36" s="84"/>
      <c r="H36" s="84"/>
      <c r="I36" s="84"/>
      <c r="J36" s="84"/>
      <c r="K36" s="84"/>
      <c r="L36" s="215"/>
      <c r="M36" s="84"/>
      <c r="N36" s="151"/>
      <c r="O36" s="84"/>
      <c r="P36" s="214"/>
      <c r="R36"/>
      <c r="S36" s="287"/>
    </row>
    <row r="37" spans="1:19" s="128" customFormat="1" hidden="1" outlineLevel="1">
      <c r="A37" s="187">
        <v>41305</v>
      </c>
      <c r="B37" s="295"/>
      <c r="C37" s="295"/>
      <c r="D37" s="84"/>
      <c r="E37" s="84"/>
      <c r="F37" s="108"/>
      <c r="G37" s="84"/>
      <c r="H37" s="84"/>
      <c r="I37" s="84"/>
      <c r="J37" s="84"/>
      <c r="K37" s="84"/>
      <c r="L37" s="215"/>
      <c r="M37" s="84"/>
      <c r="N37" s="151"/>
      <c r="O37" s="84"/>
      <c r="P37" s="214"/>
      <c r="R37"/>
      <c r="S37" s="287"/>
    </row>
    <row r="38" spans="1:19" s="128" customFormat="1" collapsed="1">
      <c r="A38" s="186">
        <v>41333</v>
      </c>
      <c r="B38" s="295">
        <f>+D3</f>
        <v>56107015.732900001</v>
      </c>
      <c r="C38" s="295">
        <f>+C3</f>
        <v>56867149.200900003</v>
      </c>
      <c r="D38" s="84">
        <f>+B38</f>
        <v>56107015.732900001</v>
      </c>
      <c r="E38" s="84">
        <f>B38*$B$6/11</f>
        <v>2645955.8555856254</v>
      </c>
      <c r="F38" s="108">
        <f>C38*F$14/12*15/28</f>
        <v>55643.36307267259</v>
      </c>
      <c r="G38" s="84">
        <f>D38*F$14/12*15/28</f>
        <v>54899.587744773016</v>
      </c>
      <c r="H38" s="84">
        <f>F38-G38</f>
        <v>743.77532789957331</v>
      </c>
      <c r="I38" s="84">
        <f t="shared" ref="I38:I90" si="26">I37-E38</f>
        <v>-2645955.8555856254</v>
      </c>
      <c r="J38" s="84">
        <f t="shared" ref="J38:J60" si="27">J37-F38</f>
        <v>-55643.36307267259</v>
      </c>
      <c r="K38" s="84">
        <f t="shared" ref="K38:K40" si="28">K37+H38</f>
        <v>743.77532789957331</v>
      </c>
      <c r="L38" s="84">
        <f t="shared" si="17"/>
        <v>53461059.877314374</v>
      </c>
      <c r="M38" s="84">
        <f t="shared" ref="M38:M40" si="29">D38+J38+K38</f>
        <v>56052116.145155229</v>
      </c>
      <c r="N38" s="151">
        <f t="shared" ref="N38:N88" si="30">M38-L38</f>
        <v>2591056.2678408548</v>
      </c>
      <c r="O38" s="84">
        <f>-N38*$O$15</f>
        <v>-906869.69374429912</v>
      </c>
      <c r="P38" s="214">
        <f>-O38+O37</f>
        <v>906869.69374429912</v>
      </c>
      <c r="R38"/>
      <c r="S38" s="287"/>
    </row>
    <row r="39" spans="1:19" s="128" customFormat="1">
      <c r="A39" s="186">
        <v>41364</v>
      </c>
      <c r="B39" s="295">
        <f>+D3</f>
        <v>56107015.732900001</v>
      </c>
      <c r="C39" s="295">
        <f>+C3</f>
        <v>56867149.200900003</v>
      </c>
      <c r="D39" s="84">
        <f>+B39</f>
        <v>56107015.732900001</v>
      </c>
      <c r="E39" s="84">
        <f t="shared" ref="E39:E48" si="31">B39*$B$6/11</f>
        <v>2645955.8555856254</v>
      </c>
      <c r="F39" s="108">
        <f t="shared" ref="F39:F60" si="32">C39*F$14/12</f>
        <v>103867.61106898884</v>
      </c>
      <c r="G39" s="84">
        <f t="shared" ref="G39:G60" si="33">D39*F$14/12</f>
        <v>102479.23045690963</v>
      </c>
      <c r="H39" s="84">
        <f>F39-G39</f>
        <v>1388.3806120792142</v>
      </c>
      <c r="I39" s="84">
        <f t="shared" si="26"/>
        <v>-5291911.7111712508</v>
      </c>
      <c r="J39" s="84">
        <f t="shared" si="27"/>
        <v>-159510.97414166143</v>
      </c>
      <c r="K39" s="84">
        <f t="shared" si="28"/>
        <v>2132.1559399787875</v>
      </c>
      <c r="L39" s="84">
        <f t="shared" ref="L39:L77" si="34">B39+I39</f>
        <v>50815104.021728754</v>
      </c>
      <c r="M39" s="84">
        <f t="shared" si="29"/>
        <v>55949636.914698318</v>
      </c>
      <c r="N39" s="151">
        <f t="shared" si="30"/>
        <v>5134532.8929695636</v>
      </c>
      <c r="O39" s="84">
        <f t="shared" si="19"/>
        <v>-1797086.5125393472</v>
      </c>
      <c r="P39" s="214">
        <f>-O39+O38</f>
        <v>890216.81879504805</v>
      </c>
      <c r="R39"/>
      <c r="S39" s="287"/>
    </row>
    <row r="40" spans="1:19" s="128" customFormat="1">
      <c r="A40" s="186">
        <v>41394</v>
      </c>
      <c r="B40" s="295">
        <f t="shared" ref="B40:C90" si="35">B39</f>
        <v>56107015.732900001</v>
      </c>
      <c r="C40" s="295">
        <f t="shared" si="35"/>
        <v>56867149.200900003</v>
      </c>
      <c r="D40" s="84">
        <f t="shared" ref="D40:D91" si="36">+B40</f>
        <v>56107015.732900001</v>
      </c>
      <c r="E40" s="84">
        <f t="shared" si="31"/>
        <v>2645955.8555856254</v>
      </c>
      <c r="F40" s="108">
        <f t="shared" si="32"/>
        <v>103867.61106898884</v>
      </c>
      <c r="G40" s="84">
        <f t="shared" si="33"/>
        <v>102479.23045690963</v>
      </c>
      <c r="H40" s="84">
        <f>F40-G40</f>
        <v>1388.3806120792142</v>
      </c>
      <c r="I40" s="84">
        <f t="shared" si="26"/>
        <v>-7937867.5667568762</v>
      </c>
      <c r="J40" s="84">
        <f t="shared" si="27"/>
        <v>-263378.58521065029</v>
      </c>
      <c r="K40" s="84">
        <f t="shared" si="28"/>
        <v>3520.5365520580017</v>
      </c>
      <c r="L40" s="84">
        <f t="shared" si="34"/>
        <v>48169148.166143127</v>
      </c>
      <c r="M40" s="84">
        <f t="shared" si="29"/>
        <v>55847157.684241407</v>
      </c>
      <c r="N40" s="151">
        <f t="shared" si="30"/>
        <v>7678009.5180982798</v>
      </c>
      <c r="O40" s="84">
        <f t="shared" si="19"/>
        <v>-2687303.3313343977</v>
      </c>
      <c r="P40" s="214">
        <f t="shared" ref="P40:P45" si="37">-O40+O39</f>
        <v>890216.81879505049</v>
      </c>
      <c r="R40"/>
      <c r="S40" s="287"/>
    </row>
    <row r="41" spans="1:19" s="128" customFormat="1">
      <c r="A41" s="187">
        <v>41425</v>
      </c>
      <c r="B41" s="295">
        <f t="shared" si="35"/>
        <v>56107015.732900001</v>
      </c>
      <c r="C41" s="295">
        <f t="shared" si="35"/>
        <v>56867149.200900003</v>
      </c>
      <c r="D41" s="84">
        <f t="shared" si="36"/>
        <v>56107015.732900001</v>
      </c>
      <c r="E41" s="84">
        <f t="shared" si="31"/>
        <v>2645955.8555856254</v>
      </c>
      <c r="F41" s="108">
        <f t="shared" si="32"/>
        <v>103867.61106898884</v>
      </c>
      <c r="G41" s="84">
        <f t="shared" si="33"/>
        <v>102479.23045690963</v>
      </c>
      <c r="H41" s="84">
        <f t="shared" ref="H41:H87" si="38">F41-G41</f>
        <v>1388.3806120792142</v>
      </c>
      <c r="I41" s="84">
        <f t="shared" si="26"/>
        <v>-10583823.422342502</v>
      </c>
      <c r="J41" s="84">
        <f t="shared" si="27"/>
        <v>-367246.19627963915</v>
      </c>
      <c r="K41" s="84">
        <f t="shared" ref="K41:K88" si="39">K40+H41</f>
        <v>4908.9171641372159</v>
      </c>
      <c r="L41" s="215">
        <f t="shared" si="34"/>
        <v>45523192.3105575</v>
      </c>
      <c r="M41" s="84">
        <f>D41+J41+K41</f>
        <v>55744678.453784503</v>
      </c>
      <c r="N41" s="151">
        <f t="shared" si="30"/>
        <v>10221486.143227004</v>
      </c>
      <c r="O41" s="84">
        <f t="shared" si="19"/>
        <v>-3577520.150129451</v>
      </c>
      <c r="P41" s="214">
        <f t="shared" si="37"/>
        <v>890216.81879505329</v>
      </c>
      <c r="R41"/>
      <c r="S41" s="287"/>
    </row>
    <row r="42" spans="1:19" s="128" customFormat="1">
      <c r="A42" s="186">
        <v>41455</v>
      </c>
      <c r="B42" s="295">
        <f t="shared" si="35"/>
        <v>56107015.732900001</v>
      </c>
      <c r="C42" s="295">
        <f t="shared" si="35"/>
        <v>56867149.200900003</v>
      </c>
      <c r="D42" s="84">
        <f t="shared" si="36"/>
        <v>56107015.732900001</v>
      </c>
      <c r="E42" s="84">
        <f t="shared" si="31"/>
        <v>2645955.8555856254</v>
      </c>
      <c r="F42" s="108">
        <f t="shared" si="32"/>
        <v>103867.61106898884</v>
      </c>
      <c r="G42" s="84">
        <f t="shared" si="33"/>
        <v>102479.23045690963</v>
      </c>
      <c r="H42" s="84">
        <f t="shared" si="38"/>
        <v>1388.3806120792142</v>
      </c>
      <c r="I42" s="84">
        <f t="shared" si="26"/>
        <v>-13229779.277928127</v>
      </c>
      <c r="J42" s="84">
        <f t="shared" si="27"/>
        <v>-471113.807348628</v>
      </c>
      <c r="K42" s="84">
        <f t="shared" si="39"/>
        <v>6297.2977762164301</v>
      </c>
      <c r="L42" s="84">
        <f t="shared" si="34"/>
        <v>42877236.454971872</v>
      </c>
      <c r="M42" s="84">
        <f t="shared" ref="M42:M53" si="40">D42+J42+K42</f>
        <v>55642199.223327585</v>
      </c>
      <c r="N42" s="151">
        <f t="shared" si="30"/>
        <v>12764962.768355712</v>
      </c>
      <c r="O42" s="84">
        <f t="shared" si="19"/>
        <v>-4467736.9689244991</v>
      </c>
      <c r="P42" s="214">
        <f t="shared" si="37"/>
        <v>890216.81879504817</v>
      </c>
      <c r="R42"/>
      <c r="S42" s="287"/>
    </row>
    <row r="43" spans="1:19" s="128" customFormat="1">
      <c r="A43" s="186">
        <v>41486</v>
      </c>
      <c r="B43" s="295">
        <f t="shared" si="35"/>
        <v>56107015.732900001</v>
      </c>
      <c r="C43" s="295">
        <f t="shared" si="35"/>
        <v>56867149.200900003</v>
      </c>
      <c r="D43" s="84">
        <f t="shared" si="36"/>
        <v>56107015.732900001</v>
      </c>
      <c r="E43" s="84">
        <f t="shared" si="31"/>
        <v>2645955.8555856254</v>
      </c>
      <c r="F43" s="108">
        <f t="shared" si="32"/>
        <v>103867.61106898884</v>
      </c>
      <c r="G43" s="84">
        <f t="shared" si="33"/>
        <v>102479.23045690963</v>
      </c>
      <c r="H43" s="84">
        <f t="shared" si="38"/>
        <v>1388.3806120792142</v>
      </c>
      <c r="I43" s="84">
        <f t="shared" si="26"/>
        <v>-15875735.133513752</v>
      </c>
      <c r="J43" s="84">
        <f t="shared" si="27"/>
        <v>-574981.41841761686</v>
      </c>
      <c r="K43" s="84">
        <f t="shared" si="39"/>
        <v>7685.6783882956443</v>
      </c>
      <c r="L43" s="84">
        <f t="shared" si="34"/>
        <v>40231280.599386245</v>
      </c>
      <c r="M43" s="84">
        <f t="shared" si="40"/>
        <v>55539719.992870681</v>
      </c>
      <c r="N43" s="151">
        <f t="shared" si="30"/>
        <v>15308439.393484436</v>
      </c>
      <c r="O43" s="84">
        <f t="shared" si="19"/>
        <v>-5357953.7877195524</v>
      </c>
      <c r="P43" s="214">
        <f t="shared" si="37"/>
        <v>890216.81879505329</v>
      </c>
      <c r="R43"/>
      <c r="S43" s="287"/>
    </row>
    <row r="44" spans="1:19" s="128" customFormat="1">
      <c r="A44" s="186">
        <v>41517</v>
      </c>
      <c r="B44" s="295">
        <f t="shared" si="35"/>
        <v>56107015.732900001</v>
      </c>
      <c r="C44" s="295">
        <f t="shared" si="35"/>
        <v>56867149.200900003</v>
      </c>
      <c r="D44" s="84">
        <f t="shared" si="36"/>
        <v>56107015.732900001</v>
      </c>
      <c r="E44" s="84">
        <f t="shared" si="31"/>
        <v>2645955.8555856254</v>
      </c>
      <c r="F44" s="108">
        <f t="shared" si="32"/>
        <v>103867.61106898884</v>
      </c>
      <c r="G44" s="84">
        <f t="shared" si="33"/>
        <v>102479.23045690963</v>
      </c>
      <c r="H44" s="84">
        <f t="shared" si="38"/>
        <v>1388.3806120792142</v>
      </c>
      <c r="I44" s="84">
        <f t="shared" si="26"/>
        <v>-18521690.989099376</v>
      </c>
      <c r="J44" s="84">
        <f t="shared" si="27"/>
        <v>-678849.02948660566</v>
      </c>
      <c r="K44" s="84">
        <f>K43+H44</f>
        <v>9074.0590003748584</v>
      </c>
      <c r="L44" s="84">
        <f t="shared" si="34"/>
        <v>37585324.743800625</v>
      </c>
      <c r="M44" s="84">
        <f t="shared" si="40"/>
        <v>55437240.76241377</v>
      </c>
      <c r="N44" s="151">
        <f t="shared" si="30"/>
        <v>17851916.018613145</v>
      </c>
      <c r="O44" s="84">
        <f t="shared" si="19"/>
        <v>-6248170.6065146001</v>
      </c>
      <c r="P44" s="214">
        <f t="shared" si="37"/>
        <v>890216.8187950477</v>
      </c>
      <c r="R44"/>
      <c r="S44" s="287"/>
    </row>
    <row r="45" spans="1:19" s="128" customFormat="1">
      <c r="A45" s="186">
        <v>41547</v>
      </c>
      <c r="B45" s="295">
        <f t="shared" si="35"/>
        <v>56107015.732900001</v>
      </c>
      <c r="C45" s="295">
        <f t="shared" si="35"/>
        <v>56867149.200900003</v>
      </c>
      <c r="D45" s="84">
        <f t="shared" si="36"/>
        <v>56107015.732900001</v>
      </c>
      <c r="E45" s="84">
        <f t="shared" si="31"/>
        <v>2645955.8555856254</v>
      </c>
      <c r="F45" s="108">
        <f t="shared" si="32"/>
        <v>103867.61106898884</v>
      </c>
      <c r="G45" s="84">
        <f t="shared" si="33"/>
        <v>102479.23045690963</v>
      </c>
      <c r="H45" s="84">
        <f t="shared" si="38"/>
        <v>1388.3806120792142</v>
      </c>
      <c r="I45" s="84">
        <f t="shared" si="26"/>
        <v>-21167646.844685003</v>
      </c>
      <c r="J45" s="84">
        <f t="shared" si="27"/>
        <v>-782716.64055559447</v>
      </c>
      <c r="K45" s="84">
        <f t="shared" si="39"/>
        <v>10462.439612454073</v>
      </c>
      <c r="L45" s="84">
        <f t="shared" si="34"/>
        <v>34939368.888214998</v>
      </c>
      <c r="M45" s="84">
        <f t="shared" si="40"/>
        <v>55334761.531956859</v>
      </c>
      <c r="N45" s="151">
        <f t="shared" si="30"/>
        <v>20395392.643741861</v>
      </c>
      <c r="O45" s="84">
        <f t="shared" si="19"/>
        <v>-7138387.4253096506</v>
      </c>
      <c r="P45" s="214">
        <f t="shared" si="37"/>
        <v>890216.81879505049</v>
      </c>
      <c r="R45"/>
      <c r="S45" s="287"/>
    </row>
    <row r="46" spans="1:19" s="128" customFormat="1">
      <c r="A46" s="186">
        <v>41578</v>
      </c>
      <c r="B46" s="295">
        <f t="shared" si="35"/>
        <v>56107015.732900001</v>
      </c>
      <c r="C46" s="295">
        <f t="shared" si="35"/>
        <v>56867149.200900003</v>
      </c>
      <c r="D46" s="84">
        <f t="shared" si="36"/>
        <v>56107015.732900001</v>
      </c>
      <c r="E46" s="84">
        <f t="shared" si="31"/>
        <v>2645955.8555856254</v>
      </c>
      <c r="F46" s="108">
        <f t="shared" si="32"/>
        <v>103867.61106898884</v>
      </c>
      <c r="G46" s="84">
        <f t="shared" si="33"/>
        <v>102479.23045690963</v>
      </c>
      <c r="H46" s="84">
        <f t="shared" si="38"/>
        <v>1388.3806120792142</v>
      </c>
      <c r="I46" s="84">
        <f t="shared" si="26"/>
        <v>-23813602.70027063</v>
      </c>
      <c r="J46" s="84">
        <f t="shared" si="27"/>
        <v>-886584.25162458327</v>
      </c>
      <c r="K46" s="84">
        <f>K45+H46</f>
        <v>11850.820224533287</v>
      </c>
      <c r="L46" s="84">
        <f>B46+I46</f>
        <v>32293413.032629371</v>
      </c>
      <c r="M46" s="84">
        <f t="shared" si="40"/>
        <v>55232282.301499948</v>
      </c>
      <c r="N46" s="151">
        <f t="shared" si="30"/>
        <v>22938869.268870577</v>
      </c>
      <c r="O46" s="84">
        <f t="shared" si="19"/>
        <v>-8028604.2441047011</v>
      </c>
      <c r="P46" s="214">
        <f>-O46+O45</f>
        <v>890216.81879505049</v>
      </c>
      <c r="R46"/>
      <c r="S46" s="287"/>
    </row>
    <row r="47" spans="1:19" s="1344" customFormat="1">
      <c r="A47" s="186">
        <v>41608</v>
      </c>
      <c r="B47" s="310">
        <f t="shared" si="35"/>
        <v>56107015.732900001</v>
      </c>
      <c r="C47" s="311">
        <f t="shared" si="35"/>
        <v>56867149.200900003</v>
      </c>
      <c r="D47" s="311">
        <f t="shared" si="36"/>
        <v>56107015.732900001</v>
      </c>
      <c r="E47" s="311">
        <f t="shared" si="31"/>
        <v>2645955.8555856254</v>
      </c>
      <c r="F47" s="312">
        <f t="shared" si="32"/>
        <v>103867.61106898884</v>
      </c>
      <c r="G47" s="311">
        <f t="shared" si="33"/>
        <v>102479.23045690963</v>
      </c>
      <c r="H47" s="311">
        <f t="shared" si="38"/>
        <v>1388.3806120792142</v>
      </c>
      <c r="I47" s="311">
        <f t="shared" si="26"/>
        <v>-26459558.555856258</v>
      </c>
      <c r="J47" s="311">
        <f t="shared" si="27"/>
        <v>-990451.86269357207</v>
      </c>
      <c r="K47" s="311">
        <f t="shared" si="39"/>
        <v>13239.200836612501</v>
      </c>
      <c r="L47" s="311">
        <f t="shared" si="34"/>
        <v>29647457.177043743</v>
      </c>
      <c r="M47" s="311">
        <f t="shared" si="40"/>
        <v>55129803.071043044</v>
      </c>
      <c r="N47" s="314">
        <f t="shared" si="30"/>
        <v>25482345.893999301</v>
      </c>
      <c r="O47" s="311">
        <f t="shared" si="19"/>
        <v>-8918821.0628997553</v>
      </c>
      <c r="P47" s="230">
        <f t="shared" si="24"/>
        <v>890216.81879505422</v>
      </c>
      <c r="R47" s="1345"/>
      <c r="S47" s="1346"/>
    </row>
    <row r="48" spans="1:19" s="1344" customFormat="1">
      <c r="A48" s="279">
        <v>41639</v>
      </c>
      <c r="B48" s="1347">
        <f t="shared" si="35"/>
        <v>56107015.732900001</v>
      </c>
      <c r="C48" s="124">
        <f t="shared" si="35"/>
        <v>56867149.200900003</v>
      </c>
      <c r="D48" s="124">
        <f t="shared" si="36"/>
        <v>56107015.732900001</v>
      </c>
      <c r="E48" s="124">
        <f t="shared" si="31"/>
        <v>2645955.8555856254</v>
      </c>
      <c r="F48" s="1348">
        <f t="shared" si="32"/>
        <v>103867.61106898884</v>
      </c>
      <c r="G48" s="124">
        <f t="shared" si="33"/>
        <v>102479.23045690963</v>
      </c>
      <c r="H48" s="124">
        <f t="shared" si="38"/>
        <v>1388.3806120792142</v>
      </c>
      <c r="I48" s="124">
        <f t="shared" si="26"/>
        <v>-29105514.411441885</v>
      </c>
      <c r="J48" s="124">
        <f t="shared" si="27"/>
        <v>-1094319.4737625609</v>
      </c>
      <c r="K48" s="124">
        <f>K47+H48</f>
        <v>14627.581448691715</v>
      </c>
      <c r="L48" s="124">
        <f t="shared" si="34"/>
        <v>27001501.321458116</v>
      </c>
      <c r="M48" s="124">
        <f t="shared" si="40"/>
        <v>55027323.840586126</v>
      </c>
      <c r="N48" s="1349">
        <f t="shared" si="30"/>
        <v>28025822.51912801</v>
      </c>
      <c r="O48" s="124">
        <f t="shared" si="19"/>
        <v>-9809037.881694803</v>
      </c>
      <c r="P48" s="1350">
        <f t="shared" si="24"/>
        <v>890216.8187950477</v>
      </c>
      <c r="R48" s="1345"/>
      <c r="S48" s="1346"/>
    </row>
    <row r="49" spans="1:19" s="1344" customFormat="1">
      <c r="A49" s="279">
        <v>41670</v>
      </c>
      <c r="B49" s="1351">
        <f t="shared" si="35"/>
        <v>56107015.732900001</v>
      </c>
      <c r="C49" s="124">
        <f t="shared" si="35"/>
        <v>56867149.200900003</v>
      </c>
      <c r="D49" s="124">
        <f t="shared" si="36"/>
        <v>56107015.732900001</v>
      </c>
      <c r="E49" s="124">
        <f>B49*$C$6/12</f>
        <v>168765.2277399188</v>
      </c>
      <c r="F49" s="1348">
        <f t="shared" si="32"/>
        <v>103867.61106898884</v>
      </c>
      <c r="G49" s="124">
        <f t="shared" si="33"/>
        <v>102479.23045690963</v>
      </c>
      <c r="H49" s="124">
        <f t="shared" si="38"/>
        <v>1388.3806120792142</v>
      </c>
      <c r="I49" s="124">
        <f t="shared" si="26"/>
        <v>-29274279.639181804</v>
      </c>
      <c r="J49" s="124">
        <f t="shared" si="27"/>
        <v>-1198187.0848315498</v>
      </c>
      <c r="K49" s="124">
        <f t="shared" si="39"/>
        <v>16015.962060770929</v>
      </c>
      <c r="L49" s="124">
        <f t="shared" si="34"/>
        <v>26832736.093718197</v>
      </c>
      <c r="M49" s="124">
        <f t="shared" si="40"/>
        <v>54924844.610129222</v>
      </c>
      <c r="N49" s="1349">
        <f t="shared" si="30"/>
        <v>28092108.516411025</v>
      </c>
      <c r="O49" s="124">
        <f t="shared" si="19"/>
        <v>-9832237.980743859</v>
      </c>
      <c r="P49" s="281">
        <f t="shared" si="24"/>
        <v>23200.099049055949</v>
      </c>
      <c r="R49" s="1345"/>
      <c r="S49" s="1346"/>
    </row>
    <row r="50" spans="1:19" s="1344" customFormat="1">
      <c r="A50" s="1352">
        <v>41698</v>
      </c>
      <c r="B50" s="124">
        <f t="shared" si="35"/>
        <v>56107015.732900001</v>
      </c>
      <c r="C50" s="124">
        <f t="shared" si="35"/>
        <v>56867149.200900003</v>
      </c>
      <c r="D50" s="124">
        <f t="shared" si="36"/>
        <v>56107015.732900001</v>
      </c>
      <c r="E50" s="124">
        <f t="shared" ref="E50:E60" si="41">B50*$C$6/12</f>
        <v>168765.2277399188</v>
      </c>
      <c r="F50" s="1348">
        <f t="shared" si="32"/>
        <v>103867.61106898884</v>
      </c>
      <c r="G50" s="124">
        <f t="shared" si="33"/>
        <v>102479.23045690963</v>
      </c>
      <c r="H50" s="124">
        <f t="shared" si="38"/>
        <v>1388.3806120792142</v>
      </c>
      <c r="I50" s="124">
        <f t="shared" si="26"/>
        <v>-29443044.866921723</v>
      </c>
      <c r="J50" s="124">
        <f t="shared" si="27"/>
        <v>-1302054.6959005387</v>
      </c>
      <c r="K50" s="124">
        <f>K49+H50</f>
        <v>17404.342672850144</v>
      </c>
      <c r="L50" s="124">
        <f t="shared" si="34"/>
        <v>26663970.865978278</v>
      </c>
      <c r="M50" s="124">
        <f t="shared" si="40"/>
        <v>54822365.379672311</v>
      </c>
      <c r="N50" s="1349">
        <f t="shared" si="30"/>
        <v>28158394.513694033</v>
      </c>
      <c r="O50" s="124">
        <f t="shared" si="19"/>
        <v>-9855438.0797929112</v>
      </c>
      <c r="P50" s="1350">
        <f t="shared" si="24"/>
        <v>23200.099049052224</v>
      </c>
      <c r="R50" s="1345"/>
      <c r="S50" s="1346"/>
    </row>
    <row r="51" spans="1:19" s="1344" customFormat="1">
      <c r="A51" s="1352">
        <v>41729</v>
      </c>
      <c r="B51" s="124">
        <f t="shared" si="35"/>
        <v>56107015.732900001</v>
      </c>
      <c r="C51" s="124">
        <f t="shared" si="35"/>
        <v>56867149.200900003</v>
      </c>
      <c r="D51" s="124">
        <f t="shared" si="36"/>
        <v>56107015.732900001</v>
      </c>
      <c r="E51" s="124">
        <f t="shared" si="41"/>
        <v>168765.2277399188</v>
      </c>
      <c r="F51" s="1348">
        <f t="shared" si="32"/>
        <v>103867.61106898884</v>
      </c>
      <c r="G51" s="124">
        <f>D51*F$14/12</f>
        <v>102479.23045690963</v>
      </c>
      <c r="H51" s="124">
        <f t="shared" si="38"/>
        <v>1388.3806120792142</v>
      </c>
      <c r="I51" s="124">
        <f t="shared" si="26"/>
        <v>-29611810.094661642</v>
      </c>
      <c r="J51" s="124">
        <f t="shared" si="27"/>
        <v>-1405922.3069695276</v>
      </c>
      <c r="K51" s="124">
        <f>K50+H51</f>
        <v>18792.723284929358</v>
      </c>
      <c r="L51" s="124">
        <f t="shared" si="34"/>
        <v>26495205.638238359</v>
      </c>
      <c r="M51" s="124">
        <f t="shared" si="40"/>
        <v>54719886.1492154</v>
      </c>
      <c r="N51" s="1349">
        <f t="shared" si="30"/>
        <v>28224680.510977041</v>
      </c>
      <c r="O51" s="124">
        <f t="shared" si="19"/>
        <v>-9878638.1788419634</v>
      </c>
      <c r="P51" s="1350">
        <f t="shared" si="24"/>
        <v>23200.099049052224</v>
      </c>
      <c r="R51" s="1345"/>
      <c r="S51" s="1346"/>
    </row>
    <row r="52" spans="1:19" s="1344" customFormat="1">
      <c r="A52" s="1352">
        <v>41759</v>
      </c>
      <c r="B52" s="124">
        <f t="shared" si="35"/>
        <v>56107015.732900001</v>
      </c>
      <c r="C52" s="124">
        <f t="shared" si="35"/>
        <v>56867149.200900003</v>
      </c>
      <c r="D52" s="124">
        <f t="shared" si="36"/>
        <v>56107015.732900001</v>
      </c>
      <c r="E52" s="124">
        <f t="shared" si="41"/>
        <v>168765.2277399188</v>
      </c>
      <c r="F52" s="1348">
        <f t="shared" si="32"/>
        <v>103867.61106898884</v>
      </c>
      <c r="G52" s="124">
        <f t="shared" si="33"/>
        <v>102479.23045690963</v>
      </c>
      <c r="H52" s="124">
        <f t="shared" si="38"/>
        <v>1388.3806120792142</v>
      </c>
      <c r="I52" s="124">
        <f t="shared" si="26"/>
        <v>-29780575.322401561</v>
      </c>
      <c r="J52" s="124">
        <f t="shared" si="27"/>
        <v>-1509789.9180385165</v>
      </c>
      <c r="K52" s="124">
        <f t="shared" si="39"/>
        <v>20181.103897008572</v>
      </c>
      <c r="L52" s="124">
        <f t="shared" si="34"/>
        <v>26326440.41049844</v>
      </c>
      <c r="M52" s="124">
        <f t="shared" si="40"/>
        <v>54617406.918758489</v>
      </c>
      <c r="N52" s="1349">
        <f t="shared" si="30"/>
        <v>28290966.508260049</v>
      </c>
      <c r="O52" s="124">
        <f t="shared" si="19"/>
        <v>-9901838.2778910156</v>
      </c>
      <c r="P52" s="1350">
        <f t="shared" si="24"/>
        <v>23200.099049052224</v>
      </c>
      <c r="R52" s="1345"/>
      <c r="S52" s="1346"/>
    </row>
    <row r="53" spans="1:19" s="1344" customFormat="1">
      <c r="A53" s="1352">
        <v>41790</v>
      </c>
      <c r="B53" s="124">
        <f t="shared" si="35"/>
        <v>56107015.732900001</v>
      </c>
      <c r="C53" s="124">
        <f t="shared" si="35"/>
        <v>56867149.200900003</v>
      </c>
      <c r="D53" s="124">
        <f t="shared" si="36"/>
        <v>56107015.732900001</v>
      </c>
      <c r="E53" s="124">
        <f t="shared" si="41"/>
        <v>168765.2277399188</v>
      </c>
      <c r="F53" s="1348">
        <f t="shared" si="32"/>
        <v>103867.61106898884</v>
      </c>
      <c r="G53" s="124">
        <f t="shared" si="33"/>
        <v>102479.23045690963</v>
      </c>
      <c r="H53" s="124">
        <f t="shared" si="38"/>
        <v>1388.3806120792142</v>
      </c>
      <c r="I53" s="124">
        <f t="shared" si="26"/>
        <v>-29949340.55014148</v>
      </c>
      <c r="J53" s="124">
        <f t="shared" si="27"/>
        <v>-1613657.5291075055</v>
      </c>
      <c r="K53" s="124">
        <f>K52+H53</f>
        <v>21569.484509087786</v>
      </c>
      <c r="L53" s="124">
        <f t="shared" si="34"/>
        <v>26157675.182758521</v>
      </c>
      <c r="M53" s="124">
        <f t="shared" si="40"/>
        <v>54514927.688301586</v>
      </c>
      <c r="N53" s="1349">
        <f t="shared" si="30"/>
        <v>28357252.505543064</v>
      </c>
      <c r="O53" s="124">
        <f t="shared" si="19"/>
        <v>-9925038.3769400716</v>
      </c>
      <c r="P53" s="1350">
        <f t="shared" si="24"/>
        <v>23200.099049055949</v>
      </c>
      <c r="R53" s="1345"/>
      <c r="S53" s="1346"/>
    </row>
    <row r="54" spans="1:19" s="1344" customFormat="1">
      <c r="A54" s="1352">
        <v>41820</v>
      </c>
      <c r="B54" s="124">
        <f t="shared" si="35"/>
        <v>56107015.732900001</v>
      </c>
      <c r="C54" s="124">
        <f t="shared" si="35"/>
        <v>56867149.200900003</v>
      </c>
      <c r="D54" s="124">
        <f t="shared" si="36"/>
        <v>56107015.732900001</v>
      </c>
      <c r="E54" s="124">
        <f t="shared" si="41"/>
        <v>168765.2277399188</v>
      </c>
      <c r="F54" s="1348">
        <f t="shared" si="32"/>
        <v>103867.61106898884</v>
      </c>
      <c r="G54" s="124">
        <f t="shared" si="33"/>
        <v>102479.23045690963</v>
      </c>
      <c r="H54" s="124">
        <f t="shared" si="38"/>
        <v>1388.3806120792142</v>
      </c>
      <c r="I54" s="124">
        <f t="shared" si="26"/>
        <v>-30118105.777881399</v>
      </c>
      <c r="J54" s="124">
        <f t="shared" si="27"/>
        <v>-1717525.1401764944</v>
      </c>
      <c r="K54" s="124">
        <f t="shared" si="39"/>
        <v>22957.865121167</v>
      </c>
      <c r="L54" s="124">
        <f t="shared" si="34"/>
        <v>25988909.955018602</v>
      </c>
      <c r="M54" s="124">
        <f>D54+J54+K54</f>
        <v>54412448.457844667</v>
      </c>
      <c r="N54" s="1349">
        <f t="shared" si="30"/>
        <v>28423538.502826065</v>
      </c>
      <c r="O54" s="124">
        <f t="shared" si="19"/>
        <v>-9948238.4759891219</v>
      </c>
      <c r="P54" s="1350">
        <f t="shared" si="24"/>
        <v>23200.099049050361</v>
      </c>
      <c r="R54" s="1345"/>
      <c r="S54" s="1346"/>
    </row>
    <row r="55" spans="1:19" s="1344" customFormat="1">
      <c r="A55" s="1352">
        <v>41851</v>
      </c>
      <c r="B55" s="124">
        <f t="shared" si="35"/>
        <v>56107015.732900001</v>
      </c>
      <c r="C55" s="124">
        <f t="shared" si="35"/>
        <v>56867149.200900003</v>
      </c>
      <c r="D55" s="124">
        <f t="shared" si="36"/>
        <v>56107015.732900001</v>
      </c>
      <c r="E55" s="1348">
        <f t="shared" si="41"/>
        <v>168765.2277399188</v>
      </c>
      <c r="F55" s="1348">
        <f t="shared" si="32"/>
        <v>103867.61106898884</v>
      </c>
      <c r="G55" s="124">
        <f t="shared" si="33"/>
        <v>102479.23045690963</v>
      </c>
      <c r="H55" s="124">
        <f t="shared" si="38"/>
        <v>1388.3806120792142</v>
      </c>
      <c r="I55" s="124">
        <f t="shared" si="26"/>
        <v>-30286871.005621318</v>
      </c>
      <c r="J55" s="124">
        <f t="shared" si="27"/>
        <v>-1821392.7512454833</v>
      </c>
      <c r="K55" s="124">
        <f t="shared" si="39"/>
        <v>24346.245733246215</v>
      </c>
      <c r="L55" s="124">
        <f t="shared" si="34"/>
        <v>25820144.727278683</v>
      </c>
      <c r="M55" s="124">
        <f>D55+J55+K55</f>
        <v>54309969.227387764</v>
      </c>
      <c r="N55" s="1349">
        <f t="shared" si="30"/>
        <v>28489824.50010908</v>
      </c>
      <c r="O55" s="124">
        <f>-N55*$O$15</f>
        <v>-9971438.5750381779</v>
      </c>
      <c r="P55" s="1350">
        <f t="shared" si="24"/>
        <v>23200.099049055949</v>
      </c>
      <c r="R55" s="1345"/>
      <c r="S55" s="1346"/>
    </row>
    <row r="56" spans="1:19" s="1344" customFormat="1">
      <c r="A56" s="1352">
        <v>41882</v>
      </c>
      <c r="B56" s="124">
        <f t="shared" si="35"/>
        <v>56107015.732900001</v>
      </c>
      <c r="C56" s="124">
        <f t="shared" si="35"/>
        <v>56867149.200900003</v>
      </c>
      <c r="D56" s="124">
        <f t="shared" si="36"/>
        <v>56107015.732900001</v>
      </c>
      <c r="E56" s="1348">
        <f t="shared" si="41"/>
        <v>168765.2277399188</v>
      </c>
      <c r="F56" s="1348">
        <f t="shared" si="32"/>
        <v>103867.61106898884</v>
      </c>
      <c r="G56" s="124">
        <f t="shared" si="33"/>
        <v>102479.23045690963</v>
      </c>
      <c r="H56" s="124">
        <f t="shared" si="38"/>
        <v>1388.3806120792142</v>
      </c>
      <c r="I56" s="124">
        <f t="shared" si="26"/>
        <v>-30455636.233361237</v>
      </c>
      <c r="J56" s="124">
        <f t="shared" si="27"/>
        <v>-1925260.3623144722</v>
      </c>
      <c r="K56" s="124">
        <f t="shared" si="39"/>
        <v>25734.626345325429</v>
      </c>
      <c r="L56" s="124">
        <f t="shared" si="34"/>
        <v>25651379.499538764</v>
      </c>
      <c r="M56" s="124">
        <f t="shared" ref="M56:M89" si="42">D56+J56+K56</f>
        <v>54207489.99693086</v>
      </c>
      <c r="N56" s="1349">
        <f t="shared" si="30"/>
        <v>28556110.497392096</v>
      </c>
      <c r="O56" s="124">
        <f t="shared" si="19"/>
        <v>-9994638.674087232</v>
      </c>
      <c r="P56" s="1350">
        <f t="shared" si="24"/>
        <v>23200.099049054086</v>
      </c>
      <c r="R56" s="1345"/>
      <c r="S56" s="1346"/>
    </row>
    <row r="57" spans="1:19" s="1344" customFormat="1">
      <c r="A57" s="1352">
        <v>41912</v>
      </c>
      <c r="B57" s="124">
        <f t="shared" si="35"/>
        <v>56107015.732900001</v>
      </c>
      <c r="C57" s="124">
        <f t="shared" si="35"/>
        <v>56867149.200900003</v>
      </c>
      <c r="D57" s="124">
        <f t="shared" si="36"/>
        <v>56107015.732900001</v>
      </c>
      <c r="E57" s="1348">
        <f t="shared" si="41"/>
        <v>168765.2277399188</v>
      </c>
      <c r="F57" s="1348">
        <f t="shared" si="32"/>
        <v>103867.61106898884</v>
      </c>
      <c r="G57" s="124">
        <f t="shared" si="33"/>
        <v>102479.23045690963</v>
      </c>
      <c r="H57" s="124">
        <f t="shared" si="38"/>
        <v>1388.3806120792142</v>
      </c>
      <c r="I57" s="124">
        <f t="shared" si="26"/>
        <v>-30624401.461101156</v>
      </c>
      <c r="J57" s="124">
        <f t="shared" si="27"/>
        <v>-2029127.9733834611</v>
      </c>
      <c r="K57" s="124">
        <f t="shared" si="39"/>
        <v>27123.006957404643</v>
      </c>
      <c r="L57" s="124">
        <f t="shared" si="34"/>
        <v>25482614.271798845</v>
      </c>
      <c r="M57" s="124">
        <f t="shared" si="42"/>
        <v>54105010.766473942</v>
      </c>
      <c r="N57" s="1349">
        <f t="shared" si="30"/>
        <v>28622396.494675096</v>
      </c>
      <c r="O57" s="124">
        <f t="shared" si="19"/>
        <v>-10017838.773136282</v>
      </c>
      <c r="P57" s="1350">
        <f t="shared" si="24"/>
        <v>23200.099049050361</v>
      </c>
      <c r="R57" s="1345"/>
      <c r="S57" s="1346"/>
    </row>
    <row r="58" spans="1:19" s="1344" customFormat="1">
      <c r="A58" s="1352">
        <v>41943</v>
      </c>
      <c r="B58" s="124">
        <f t="shared" si="35"/>
        <v>56107015.732900001</v>
      </c>
      <c r="C58" s="124">
        <f t="shared" si="35"/>
        <v>56867149.200900003</v>
      </c>
      <c r="D58" s="124">
        <f t="shared" si="36"/>
        <v>56107015.732900001</v>
      </c>
      <c r="E58" s="1348">
        <f t="shared" si="41"/>
        <v>168765.2277399188</v>
      </c>
      <c r="F58" s="1348">
        <f t="shared" si="32"/>
        <v>103867.61106898884</v>
      </c>
      <c r="G58" s="124">
        <f t="shared" si="33"/>
        <v>102479.23045690963</v>
      </c>
      <c r="H58" s="124">
        <f t="shared" si="38"/>
        <v>1388.3806120792142</v>
      </c>
      <c r="I58" s="124">
        <f t="shared" si="26"/>
        <v>-30793166.688841075</v>
      </c>
      <c r="J58" s="124">
        <f t="shared" si="27"/>
        <v>-2132995.5844524498</v>
      </c>
      <c r="K58" s="124">
        <f t="shared" si="39"/>
        <v>28511.387569483857</v>
      </c>
      <c r="L58" s="124">
        <f t="shared" si="34"/>
        <v>25313849.044058926</v>
      </c>
      <c r="M58" s="124">
        <f t="shared" si="42"/>
        <v>54002531.536017038</v>
      </c>
      <c r="N58" s="1349">
        <f t="shared" si="30"/>
        <v>28688682.491958112</v>
      </c>
      <c r="O58" s="124">
        <f t="shared" si="19"/>
        <v>-10041038.872185338</v>
      </c>
      <c r="P58" s="1350">
        <f t="shared" si="24"/>
        <v>23200.099049055949</v>
      </c>
      <c r="R58" s="1345"/>
      <c r="S58" s="1346"/>
    </row>
    <row r="59" spans="1:19" s="128" customFormat="1">
      <c r="A59" s="1341">
        <v>41973</v>
      </c>
      <c r="B59" s="1347">
        <f t="shared" si="35"/>
        <v>56107015.732900001</v>
      </c>
      <c r="C59" s="1347">
        <f t="shared" si="35"/>
        <v>56867149.200900003</v>
      </c>
      <c r="D59" s="124">
        <f t="shared" si="36"/>
        <v>56107015.732900001</v>
      </c>
      <c r="E59" s="1348">
        <f t="shared" si="41"/>
        <v>168765.2277399188</v>
      </c>
      <c r="F59" s="1348">
        <f t="shared" si="32"/>
        <v>103867.61106898884</v>
      </c>
      <c r="G59" s="124">
        <f t="shared" si="33"/>
        <v>102479.23045690963</v>
      </c>
      <c r="H59" s="124">
        <f t="shared" si="38"/>
        <v>1388.3806120792142</v>
      </c>
      <c r="I59" s="124">
        <f t="shared" si="26"/>
        <v>-30961931.916580994</v>
      </c>
      <c r="J59" s="124">
        <f t="shared" si="27"/>
        <v>-2236863.1955214385</v>
      </c>
      <c r="K59" s="124">
        <f t="shared" si="39"/>
        <v>29899.768181563071</v>
      </c>
      <c r="L59" s="124">
        <f t="shared" si="34"/>
        <v>25145083.816319007</v>
      </c>
      <c r="M59" s="124">
        <f t="shared" si="42"/>
        <v>53900052.305560127</v>
      </c>
      <c r="N59" s="1349">
        <f t="shared" si="30"/>
        <v>28754968.489241119</v>
      </c>
      <c r="O59" s="124">
        <f t="shared" si="19"/>
        <v>-10064238.971234391</v>
      </c>
      <c r="P59" s="1350">
        <f t="shared" si="24"/>
        <v>23200.099049052224</v>
      </c>
      <c r="R59"/>
      <c r="S59" s="287"/>
    </row>
    <row r="60" spans="1:19" s="128" customFormat="1">
      <c r="A60" s="187">
        <v>42004</v>
      </c>
      <c r="B60" s="295">
        <f t="shared" si="35"/>
        <v>56107015.732900001</v>
      </c>
      <c r="C60" s="295">
        <f t="shared" si="35"/>
        <v>56867149.200900003</v>
      </c>
      <c r="D60" s="84">
        <f t="shared" si="36"/>
        <v>56107015.732900001</v>
      </c>
      <c r="E60" s="108">
        <f t="shared" si="41"/>
        <v>168765.2277399188</v>
      </c>
      <c r="F60" s="108">
        <f t="shared" si="32"/>
        <v>103867.61106898884</v>
      </c>
      <c r="G60" s="84">
        <f t="shared" si="33"/>
        <v>102479.23045690963</v>
      </c>
      <c r="H60" s="84">
        <f t="shared" si="38"/>
        <v>1388.3806120792142</v>
      </c>
      <c r="I60" s="84">
        <f t="shared" si="26"/>
        <v>-31130697.144320913</v>
      </c>
      <c r="J60" s="84">
        <f t="shared" si="27"/>
        <v>-2340730.8065904272</v>
      </c>
      <c r="K60" s="84">
        <f t="shared" si="39"/>
        <v>31288.148793642285</v>
      </c>
      <c r="L60" s="84">
        <f t="shared" si="34"/>
        <v>24976318.588579088</v>
      </c>
      <c r="M60" s="84">
        <f t="shared" si="42"/>
        <v>53797573.075103216</v>
      </c>
      <c r="N60" s="151">
        <f t="shared" si="30"/>
        <v>28821254.486524127</v>
      </c>
      <c r="O60" s="84">
        <f t="shared" si="19"/>
        <v>-10087439.070283445</v>
      </c>
      <c r="P60" s="214">
        <f t="shared" si="24"/>
        <v>23200.099049054086</v>
      </c>
      <c r="R60"/>
      <c r="S60" s="287"/>
    </row>
    <row r="61" spans="1:19" s="128" customFormat="1">
      <c r="A61" s="186" t="s">
        <v>70</v>
      </c>
      <c r="B61" s="295">
        <f t="shared" si="35"/>
        <v>56107015.732900001</v>
      </c>
      <c r="C61" s="295">
        <f t="shared" si="35"/>
        <v>56867149.200900003</v>
      </c>
      <c r="D61" s="84">
        <f t="shared" si="36"/>
        <v>56107015.732900001</v>
      </c>
      <c r="E61" s="84">
        <f>$D$6*B61</f>
        <v>1873132.7202428663</v>
      </c>
      <c r="F61" s="84">
        <f>C61*$F$14</f>
        <v>1246411.3328278661</v>
      </c>
      <c r="G61" s="84">
        <f>D61*F$14</f>
        <v>1229750.7654829156</v>
      </c>
      <c r="H61" s="84">
        <f>F61-G61</f>
        <v>16660.567344950512</v>
      </c>
      <c r="I61" s="84">
        <f t="shared" si="26"/>
        <v>-33003829.864563778</v>
      </c>
      <c r="J61" s="84">
        <f>J60-F61</f>
        <v>-3587142.1394182933</v>
      </c>
      <c r="K61" s="84">
        <f>K60+H61</f>
        <v>47948.716138592798</v>
      </c>
      <c r="L61" s="84">
        <f>B61+I61</f>
        <v>23103185.868336223</v>
      </c>
      <c r="M61" s="84">
        <f t="shared" si="42"/>
        <v>52567822.309620298</v>
      </c>
      <c r="N61" s="151">
        <f t="shared" si="30"/>
        <v>29464636.441284075</v>
      </c>
      <c r="O61" s="84">
        <f t="shared" si="19"/>
        <v>-10312622.754449425</v>
      </c>
      <c r="P61" s="214">
        <f t="shared" si="24"/>
        <v>225183.68416598067</v>
      </c>
      <c r="R61"/>
      <c r="S61" s="287"/>
    </row>
    <row r="62" spans="1:19" s="128" customFormat="1">
      <c r="A62" s="186" t="s">
        <v>71</v>
      </c>
      <c r="B62" s="295">
        <f t="shared" si="35"/>
        <v>56107015.732900001</v>
      </c>
      <c r="C62" s="295">
        <f t="shared" si="35"/>
        <v>56867149.200900003</v>
      </c>
      <c r="D62" s="84">
        <f t="shared" si="36"/>
        <v>56107015.732900001</v>
      </c>
      <c r="E62" s="84">
        <f>$E$6*B62</f>
        <v>1732865.1809106164</v>
      </c>
      <c r="F62" s="84">
        <f t="shared" ref="F62:F103" si="43">C62*F$14</f>
        <v>1246411.3328278661</v>
      </c>
      <c r="G62" s="84">
        <f t="shared" ref="G62:G87" si="44">D62*F$14</f>
        <v>1229750.7654829156</v>
      </c>
      <c r="H62" s="84">
        <f t="shared" si="38"/>
        <v>16660.567344950512</v>
      </c>
      <c r="I62" s="84">
        <f t="shared" si="26"/>
        <v>-34736695.045474395</v>
      </c>
      <c r="J62" s="84">
        <f t="shared" ref="J62:J86" si="45">J61-F62</f>
        <v>-4833553.4722461589</v>
      </c>
      <c r="K62" s="84">
        <f t="shared" si="39"/>
        <v>64609.28348354331</v>
      </c>
      <c r="L62" s="84">
        <f t="shared" si="34"/>
        <v>21370320.687425606</v>
      </c>
      <c r="M62" s="84">
        <f t="shared" si="42"/>
        <v>51338071.544137381</v>
      </c>
      <c r="N62" s="151">
        <f t="shared" si="30"/>
        <v>29967750.856711775</v>
      </c>
      <c r="O62" s="84">
        <f t="shared" si="19"/>
        <v>-10488712.799849121</v>
      </c>
      <c r="P62" s="214">
        <f t="shared" si="24"/>
        <v>176090.04539969563</v>
      </c>
      <c r="R62"/>
      <c r="S62" s="287"/>
    </row>
    <row r="63" spans="1:19" s="128" customFormat="1">
      <c r="A63" s="186" t="s">
        <v>72</v>
      </c>
      <c r="B63" s="295">
        <f t="shared" si="35"/>
        <v>56107015.732900001</v>
      </c>
      <c r="C63" s="295">
        <f t="shared" si="35"/>
        <v>56867149.200900003</v>
      </c>
      <c r="D63" s="84">
        <f t="shared" si="36"/>
        <v>56107015.732900001</v>
      </c>
      <c r="E63" s="84">
        <f>$F$6*B63</f>
        <v>1602696.9044102884</v>
      </c>
      <c r="F63" s="84">
        <f t="shared" si="43"/>
        <v>1246411.3328278661</v>
      </c>
      <c r="G63" s="84">
        <f t="shared" si="44"/>
        <v>1229750.7654829156</v>
      </c>
      <c r="H63" s="84">
        <f t="shared" si="38"/>
        <v>16660.567344950512</v>
      </c>
      <c r="I63" s="84">
        <f t="shared" si="26"/>
        <v>-36339391.949884683</v>
      </c>
      <c r="J63" s="84">
        <f t="shared" si="45"/>
        <v>-6079964.8050740249</v>
      </c>
      <c r="K63" s="84">
        <f t="shared" si="39"/>
        <v>81269.850828493829</v>
      </c>
      <c r="L63" s="84">
        <f t="shared" si="34"/>
        <v>19767623.783015318</v>
      </c>
      <c r="M63" s="84">
        <f t="shared" si="42"/>
        <v>50108320.778654464</v>
      </c>
      <c r="N63" s="151">
        <f t="shared" si="30"/>
        <v>30340696.995639145</v>
      </c>
      <c r="O63" s="84">
        <f t="shared" si="19"/>
        <v>-10619243.948473699</v>
      </c>
      <c r="P63" s="214">
        <f t="shared" si="24"/>
        <v>130531.14862457849</v>
      </c>
      <c r="R63"/>
      <c r="S63" s="287"/>
    </row>
    <row r="64" spans="1:19" s="128" customFormat="1">
      <c r="A64" s="186" t="s">
        <v>73</v>
      </c>
      <c r="B64" s="295">
        <f t="shared" si="35"/>
        <v>56107015.732900001</v>
      </c>
      <c r="C64" s="295">
        <f t="shared" si="35"/>
        <v>56867149.200900003</v>
      </c>
      <c r="D64" s="84">
        <f t="shared" si="36"/>
        <v>56107015.732900001</v>
      </c>
      <c r="E64" s="84">
        <f>$G$6*B64</f>
        <v>1482627.8907418826</v>
      </c>
      <c r="F64" s="84">
        <f t="shared" si="43"/>
        <v>1246411.3328278661</v>
      </c>
      <c r="G64" s="84">
        <f t="shared" si="44"/>
        <v>1229750.7654829156</v>
      </c>
      <c r="H64" s="84">
        <f t="shared" si="38"/>
        <v>16660.567344950512</v>
      </c>
      <c r="I64" s="84">
        <f t="shared" si="26"/>
        <v>-37822019.840626568</v>
      </c>
      <c r="J64" s="84">
        <f t="shared" si="45"/>
        <v>-7326376.137901891</v>
      </c>
      <c r="K64" s="84">
        <f t="shared" si="39"/>
        <v>97930.418173444341</v>
      </c>
      <c r="L64" s="84">
        <f t="shared" si="34"/>
        <v>18284995.892273434</v>
      </c>
      <c r="M64" s="84">
        <f t="shared" si="42"/>
        <v>48878570.013171554</v>
      </c>
      <c r="N64" s="151">
        <f t="shared" si="30"/>
        <v>30593574.12089812</v>
      </c>
      <c r="O64" s="84">
        <f t="shared" si="19"/>
        <v>-10707750.942314342</v>
      </c>
      <c r="P64" s="214">
        <f t="shared" si="24"/>
        <v>88506.993840642273</v>
      </c>
      <c r="R64"/>
      <c r="S64" s="287"/>
    </row>
    <row r="65" spans="1:19" s="128" customFormat="1">
      <c r="A65" s="186" t="s">
        <v>74</v>
      </c>
      <c r="B65" s="295">
        <f t="shared" si="35"/>
        <v>56107015.732900001</v>
      </c>
      <c r="C65" s="295">
        <f t="shared" si="35"/>
        <v>56867149.200900003</v>
      </c>
      <c r="D65" s="84">
        <f t="shared" si="36"/>
        <v>56107015.732900001</v>
      </c>
      <c r="E65" s="84">
        <f>$H$6*B65</f>
        <v>1371255.464512076</v>
      </c>
      <c r="F65" s="84">
        <f t="shared" si="43"/>
        <v>1246411.3328278661</v>
      </c>
      <c r="G65" s="84">
        <f t="shared" si="44"/>
        <v>1229750.7654829156</v>
      </c>
      <c r="H65" s="84">
        <f t="shared" si="38"/>
        <v>16660.567344950512</v>
      </c>
      <c r="I65" s="84">
        <f t="shared" si="26"/>
        <v>-39193275.30513864</v>
      </c>
      <c r="J65" s="84">
        <f t="shared" si="45"/>
        <v>-8572787.4707297571</v>
      </c>
      <c r="K65" s="84">
        <f t="shared" si="39"/>
        <v>114590.98551839485</v>
      </c>
      <c r="L65" s="84">
        <f t="shared" si="34"/>
        <v>16913740.427761361</v>
      </c>
      <c r="M65" s="84">
        <f t="shared" si="42"/>
        <v>47648819.247688636</v>
      </c>
      <c r="N65" s="151">
        <f t="shared" si="30"/>
        <v>30735078.819927275</v>
      </c>
      <c r="O65" s="84">
        <f t="shared" si="19"/>
        <v>-10757277.586974546</v>
      </c>
      <c r="P65" s="214">
        <f t="shared" si="24"/>
        <v>49526.644660204649</v>
      </c>
      <c r="R65"/>
      <c r="S65" s="287"/>
    </row>
    <row r="66" spans="1:19" s="128" customFormat="1">
      <c r="A66" s="186" t="s">
        <v>75</v>
      </c>
      <c r="B66" s="295">
        <f t="shared" si="35"/>
        <v>56107015.732900001</v>
      </c>
      <c r="C66" s="295">
        <f t="shared" si="35"/>
        <v>56867149.200900003</v>
      </c>
      <c r="D66" s="84">
        <f t="shared" si="36"/>
        <v>56107015.732900001</v>
      </c>
      <c r="E66" s="84">
        <f>$I$6*B66</f>
        <v>1268579.6257208691</v>
      </c>
      <c r="F66" s="84">
        <f t="shared" si="43"/>
        <v>1246411.3328278661</v>
      </c>
      <c r="G66" s="84">
        <f t="shared" si="44"/>
        <v>1229750.7654829156</v>
      </c>
      <c r="H66" s="84">
        <f t="shared" si="38"/>
        <v>16660.567344950512</v>
      </c>
      <c r="I66" s="84">
        <f t="shared" si="26"/>
        <v>-40461854.930859506</v>
      </c>
      <c r="J66" s="84">
        <f t="shared" si="45"/>
        <v>-9819198.8035576232</v>
      </c>
      <c r="K66" s="84">
        <f>K65+H66</f>
        <v>131251.55286334537</v>
      </c>
      <c r="L66" s="84">
        <f t="shared" si="34"/>
        <v>15645160.802040495</v>
      </c>
      <c r="M66" s="84">
        <f t="shared" si="42"/>
        <v>46419068.482205719</v>
      </c>
      <c r="N66" s="151">
        <f t="shared" si="30"/>
        <v>30773907.680165224</v>
      </c>
      <c r="O66" s="84">
        <f t="shared" si="19"/>
        <v>-10770867.688057827</v>
      </c>
      <c r="P66" s="214">
        <f t="shared" si="24"/>
        <v>13590.101083280519</v>
      </c>
      <c r="R66"/>
      <c r="S66" s="287"/>
    </row>
    <row r="67" spans="1:19" s="128" customFormat="1">
      <c r="A67" s="186" t="s">
        <v>76</v>
      </c>
      <c r="B67" s="295">
        <f t="shared" si="35"/>
        <v>56107015.732900001</v>
      </c>
      <c r="C67" s="295">
        <f t="shared" si="35"/>
        <v>56867149.200900003</v>
      </c>
      <c r="D67" s="84">
        <f t="shared" si="36"/>
        <v>56107015.732900001</v>
      </c>
      <c r="E67" s="84">
        <f>$J$6*B67</f>
        <v>1251747.521000999</v>
      </c>
      <c r="F67" s="84">
        <f t="shared" si="43"/>
        <v>1246411.3328278661</v>
      </c>
      <c r="G67" s="84">
        <f t="shared" si="44"/>
        <v>1229750.7654829156</v>
      </c>
      <c r="H67" s="84">
        <f t="shared" si="38"/>
        <v>16660.567344950512</v>
      </c>
      <c r="I67" s="84">
        <f t="shared" si="26"/>
        <v>-41713602.451860502</v>
      </c>
      <c r="J67" s="84">
        <f t="shared" si="45"/>
        <v>-11065610.136385489</v>
      </c>
      <c r="K67" s="84">
        <f t="shared" si="39"/>
        <v>147912.12020829588</v>
      </c>
      <c r="L67" s="84">
        <f t="shared" si="34"/>
        <v>14393413.281039499</v>
      </c>
      <c r="M67" s="84">
        <f t="shared" si="42"/>
        <v>45189317.716722801</v>
      </c>
      <c r="N67" s="151">
        <f t="shared" si="30"/>
        <v>30795904.435683303</v>
      </c>
      <c r="O67" s="84">
        <f t="shared" si="19"/>
        <v>-10778566.552489156</v>
      </c>
      <c r="P67" s="214">
        <f t="shared" si="24"/>
        <v>7698.8644313290715</v>
      </c>
      <c r="R67"/>
      <c r="S67" s="287"/>
    </row>
    <row r="68" spans="1:19" s="128" customFormat="1">
      <c r="A68" s="186" t="s">
        <v>77</v>
      </c>
      <c r="B68" s="295">
        <f t="shared" si="35"/>
        <v>56107015.732900001</v>
      </c>
      <c r="C68" s="295">
        <f t="shared" si="35"/>
        <v>56867149.200900003</v>
      </c>
      <c r="D68" s="84">
        <f t="shared" si="36"/>
        <v>56107015.732900001</v>
      </c>
      <c r="E68" s="84">
        <f>$K$6*B68</f>
        <v>1251466.9859223347</v>
      </c>
      <c r="F68" s="84">
        <f t="shared" si="43"/>
        <v>1246411.3328278661</v>
      </c>
      <c r="G68" s="84">
        <f t="shared" si="44"/>
        <v>1229750.7654829156</v>
      </c>
      <c r="H68" s="84">
        <f t="shared" si="38"/>
        <v>16660.567344950512</v>
      </c>
      <c r="I68" s="84">
        <f t="shared" si="26"/>
        <v>-42965069.437782839</v>
      </c>
      <c r="J68" s="84">
        <f t="shared" si="45"/>
        <v>-12312021.469213355</v>
      </c>
      <c r="K68" s="84">
        <f t="shared" si="39"/>
        <v>164572.68755324639</v>
      </c>
      <c r="L68" s="84">
        <f t="shared" si="34"/>
        <v>13141946.295117162</v>
      </c>
      <c r="M68" s="84">
        <f t="shared" si="42"/>
        <v>43959566.951239891</v>
      </c>
      <c r="N68" s="151">
        <f t="shared" si="30"/>
        <v>30817620.656122729</v>
      </c>
      <c r="O68" s="84">
        <f t="shared" si="19"/>
        <v>-10786167.229642954</v>
      </c>
      <c r="P68" s="214">
        <f t="shared" si="24"/>
        <v>7600.6771537978202</v>
      </c>
      <c r="R68"/>
      <c r="S68" s="287"/>
    </row>
    <row r="69" spans="1:19" s="128" customFormat="1">
      <c r="A69" s="186" t="s">
        <v>78</v>
      </c>
      <c r="B69" s="295">
        <f t="shared" si="35"/>
        <v>56107015.732900001</v>
      </c>
      <c r="C69" s="295">
        <f t="shared" si="35"/>
        <v>56867149.200900003</v>
      </c>
      <c r="D69" s="84">
        <f t="shared" si="36"/>
        <v>56107015.732900001</v>
      </c>
      <c r="E69" s="84">
        <f>$L$6*B69</f>
        <v>1251747.521000999</v>
      </c>
      <c r="F69" s="84">
        <f t="shared" si="43"/>
        <v>1246411.3328278661</v>
      </c>
      <c r="G69" s="84">
        <f t="shared" si="44"/>
        <v>1229750.7654829156</v>
      </c>
      <c r="H69" s="84">
        <f t="shared" si="38"/>
        <v>16660.567344950512</v>
      </c>
      <c r="I69" s="84">
        <f t="shared" si="26"/>
        <v>-44216816.958783835</v>
      </c>
      <c r="J69" s="84">
        <f t="shared" si="45"/>
        <v>-13558432.802041221</v>
      </c>
      <c r="K69" s="84">
        <f t="shared" si="39"/>
        <v>181233.2548981969</v>
      </c>
      <c r="L69" s="84">
        <f t="shared" si="34"/>
        <v>11890198.774116166</v>
      </c>
      <c r="M69" s="84">
        <f t="shared" si="42"/>
        <v>42729816.185756974</v>
      </c>
      <c r="N69" s="151">
        <f t="shared" si="30"/>
        <v>30839617.411640808</v>
      </c>
      <c r="O69" s="84">
        <f t="shared" si="19"/>
        <v>-10793866.094074283</v>
      </c>
      <c r="P69" s="214">
        <f>-O69+O68</f>
        <v>7698.8644313290715</v>
      </c>
      <c r="R69"/>
      <c r="S69" s="287"/>
    </row>
    <row r="70" spans="1:19" s="128" customFormat="1">
      <c r="A70" s="186" t="s">
        <v>79</v>
      </c>
      <c r="B70" s="295">
        <f t="shared" si="35"/>
        <v>56107015.732900001</v>
      </c>
      <c r="C70" s="295">
        <f t="shared" si="35"/>
        <v>56867149.200900003</v>
      </c>
      <c r="D70" s="84">
        <f t="shared" si="36"/>
        <v>56107015.732900001</v>
      </c>
      <c r="E70" s="84">
        <f>$M$6*B70</f>
        <v>1251466.9859223347</v>
      </c>
      <c r="F70" s="84">
        <f t="shared" si="43"/>
        <v>1246411.3328278661</v>
      </c>
      <c r="G70" s="84">
        <f t="shared" si="44"/>
        <v>1229750.7654829156</v>
      </c>
      <c r="H70" s="84">
        <f t="shared" si="38"/>
        <v>16660.567344950512</v>
      </c>
      <c r="I70" s="84">
        <f t="shared" si="26"/>
        <v>-45468283.944706172</v>
      </c>
      <c r="J70" s="84">
        <f t="shared" si="45"/>
        <v>-14804844.134869087</v>
      </c>
      <c r="K70" s="84">
        <f>K69+H70</f>
        <v>197893.82224314741</v>
      </c>
      <c r="L70" s="84">
        <f t="shared" si="34"/>
        <v>10638731.788193829</v>
      </c>
      <c r="M70" s="84">
        <f t="shared" si="42"/>
        <v>41500065.420274056</v>
      </c>
      <c r="N70" s="151">
        <f t="shared" si="30"/>
        <v>30861333.632080227</v>
      </c>
      <c r="O70" s="84">
        <f t="shared" si="19"/>
        <v>-10801466.771228079</v>
      </c>
      <c r="P70" s="214">
        <f t="shared" si="24"/>
        <v>7600.6771537959576</v>
      </c>
      <c r="R70"/>
      <c r="S70" s="287"/>
    </row>
    <row r="71" spans="1:19" s="128" customFormat="1">
      <c r="A71" s="186" t="s">
        <v>80</v>
      </c>
      <c r="B71" s="295">
        <f t="shared" si="35"/>
        <v>56107015.732900001</v>
      </c>
      <c r="C71" s="295">
        <f t="shared" si="35"/>
        <v>56867149.200900003</v>
      </c>
      <c r="D71" s="84">
        <f t="shared" si="36"/>
        <v>56107015.732900001</v>
      </c>
      <c r="E71" s="84">
        <f>$N$6*B71</f>
        <v>1251747.521000999</v>
      </c>
      <c r="F71" s="84">
        <f t="shared" si="43"/>
        <v>1246411.3328278661</v>
      </c>
      <c r="G71" s="84">
        <f t="shared" si="44"/>
        <v>1229750.7654829156</v>
      </c>
      <c r="H71" s="84">
        <f t="shared" si="38"/>
        <v>16660.567344950512</v>
      </c>
      <c r="I71" s="84">
        <f t="shared" si="26"/>
        <v>-46720031.465707168</v>
      </c>
      <c r="J71" s="84">
        <f t="shared" si="45"/>
        <v>-16051255.467696954</v>
      </c>
      <c r="K71" s="84">
        <f t="shared" si="39"/>
        <v>214554.38958809793</v>
      </c>
      <c r="L71" s="84">
        <f t="shared" si="34"/>
        <v>9386984.2671928331</v>
      </c>
      <c r="M71" s="84">
        <f t="shared" si="42"/>
        <v>40270314.654791139</v>
      </c>
      <c r="N71" s="151">
        <f t="shared" si="30"/>
        <v>30883330.387598306</v>
      </c>
      <c r="O71" s="84">
        <f t="shared" si="19"/>
        <v>-10809165.635659406</v>
      </c>
      <c r="P71" s="214">
        <f t="shared" si="24"/>
        <v>7698.8644313272089</v>
      </c>
      <c r="R71"/>
      <c r="S71" s="287"/>
    </row>
    <row r="72" spans="1:19" s="128" customFormat="1">
      <c r="A72" s="186" t="s">
        <v>81</v>
      </c>
      <c r="B72" s="295">
        <f t="shared" si="35"/>
        <v>56107015.732900001</v>
      </c>
      <c r="C72" s="295">
        <f t="shared" si="35"/>
        <v>56867149.200900003</v>
      </c>
      <c r="D72" s="84">
        <f t="shared" si="36"/>
        <v>56107015.732900001</v>
      </c>
      <c r="E72" s="84">
        <f>$O$6*B72</f>
        <v>1251466.9859223347</v>
      </c>
      <c r="F72" s="84">
        <f t="shared" si="43"/>
        <v>1246411.3328278661</v>
      </c>
      <c r="G72" s="84">
        <f t="shared" si="44"/>
        <v>1229750.7654829156</v>
      </c>
      <c r="H72" s="84">
        <f t="shared" si="38"/>
        <v>16660.567344950512</v>
      </c>
      <c r="I72" s="84">
        <f t="shared" si="26"/>
        <v>-47971498.451629505</v>
      </c>
      <c r="J72" s="84">
        <f t="shared" si="45"/>
        <v>-17297666.80052482</v>
      </c>
      <c r="K72" s="84">
        <f t="shared" si="39"/>
        <v>231214.95693304844</v>
      </c>
      <c r="L72" s="84">
        <f t="shared" si="34"/>
        <v>8135517.2812704965</v>
      </c>
      <c r="M72" s="84">
        <f t="shared" si="42"/>
        <v>39040563.889308229</v>
      </c>
      <c r="N72" s="151">
        <f t="shared" si="30"/>
        <v>30905046.608037733</v>
      </c>
      <c r="O72" s="84">
        <f t="shared" si="19"/>
        <v>-10816766.312813206</v>
      </c>
      <c r="P72" s="214">
        <f t="shared" si="24"/>
        <v>7600.6771537996829</v>
      </c>
      <c r="R72"/>
      <c r="S72" s="287"/>
    </row>
    <row r="73" spans="1:19" s="128" customFormat="1">
      <c r="A73" s="186" t="s">
        <v>82</v>
      </c>
      <c r="B73" s="295">
        <f t="shared" si="35"/>
        <v>56107015.732900001</v>
      </c>
      <c r="C73" s="295">
        <f t="shared" si="35"/>
        <v>56867149.200900003</v>
      </c>
      <c r="D73" s="84">
        <f t="shared" si="36"/>
        <v>56107015.732900001</v>
      </c>
      <c r="E73" s="84">
        <f>$P$6*B73</f>
        <v>1251747.521000999</v>
      </c>
      <c r="F73" s="84">
        <f t="shared" si="43"/>
        <v>1246411.3328278661</v>
      </c>
      <c r="G73" s="84">
        <f t="shared" si="44"/>
        <v>1229750.7654829156</v>
      </c>
      <c r="H73" s="84">
        <f t="shared" si="38"/>
        <v>16660.567344950512</v>
      </c>
      <c r="I73" s="84">
        <f t="shared" si="26"/>
        <v>-49223245.972630501</v>
      </c>
      <c r="J73" s="84">
        <f t="shared" si="45"/>
        <v>-18544078.133352686</v>
      </c>
      <c r="K73" s="84">
        <f>K72+H73</f>
        <v>247875.52427799895</v>
      </c>
      <c r="L73" s="84">
        <f t="shared" si="34"/>
        <v>6883769.7602695003</v>
      </c>
      <c r="M73" s="84">
        <f t="shared" si="42"/>
        <v>37810813.123825312</v>
      </c>
      <c r="N73" s="151">
        <f t="shared" si="30"/>
        <v>30927043.363555811</v>
      </c>
      <c r="O73" s="84">
        <f t="shared" si="19"/>
        <v>-10824465.177244533</v>
      </c>
      <c r="P73" s="214">
        <f t="shared" si="24"/>
        <v>7698.8644313272089</v>
      </c>
      <c r="R73"/>
      <c r="S73" s="287"/>
    </row>
    <row r="74" spans="1:19" s="128" customFormat="1">
      <c r="A74" s="186" t="s">
        <v>83</v>
      </c>
      <c r="B74" s="295">
        <f t="shared" si="35"/>
        <v>56107015.732900001</v>
      </c>
      <c r="C74" s="295">
        <f t="shared" si="35"/>
        <v>56867149.200900003</v>
      </c>
      <c r="D74" s="84">
        <f t="shared" si="36"/>
        <v>56107015.732900001</v>
      </c>
      <c r="E74" s="84">
        <f>$B$10*B74</f>
        <v>1251466.9859223347</v>
      </c>
      <c r="F74" s="84">
        <f t="shared" si="43"/>
        <v>1246411.3328278661</v>
      </c>
      <c r="G74" s="84">
        <f t="shared" si="44"/>
        <v>1229750.7654829156</v>
      </c>
      <c r="H74" s="84">
        <f t="shared" si="38"/>
        <v>16660.567344950512</v>
      </c>
      <c r="I74" s="84">
        <f>I73-E74</f>
        <v>-50474712.958552837</v>
      </c>
      <c r="J74" s="84">
        <f>J73-F74</f>
        <v>-19790489.466180552</v>
      </c>
      <c r="K74" s="84">
        <f t="shared" si="39"/>
        <v>264536.09162294946</v>
      </c>
      <c r="L74" s="84">
        <f t="shared" si="34"/>
        <v>5632302.7743471637</v>
      </c>
      <c r="M74" s="84">
        <f t="shared" si="42"/>
        <v>36581062.358342394</v>
      </c>
      <c r="N74" s="151">
        <f t="shared" si="30"/>
        <v>30948759.58399523</v>
      </c>
      <c r="O74" s="84">
        <f t="shared" si="19"/>
        <v>-10832065.854398331</v>
      </c>
      <c r="P74" s="214">
        <f t="shared" si="24"/>
        <v>7600.6771537978202</v>
      </c>
      <c r="R74"/>
      <c r="S74" s="287"/>
    </row>
    <row r="75" spans="1:19" s="128" customFormat="1">
      <c r="A75" s="186" t="s">
        <v>84</v>
      </c>
      <c r="B75" s="295">
        <f t="shared" si="35"/>
        <v>56107015.732900001</v>
      </c>
      <c r="C75" s="295">
        <f t="shared" si="35"/>
        <v>56867149.200900003</v>
      </c>
      <c r="D75" s="84">
        <f t="shared" si="36"/>
        <v>56107015.732900001</v>
      </c>
      <c r="E75" s="84">
        <f>$C$10*B75</f>
        <v>1251747.521000999</v>
      </c>
      <c r="F75" s="84">
        <f t="shared" si="43"/>
        <v>1246411.3328278661</v>
      </c>
      <c r="G75" s="84">
        <f t="shared" si="44"/>
        <v>1229750.7654829156</v>
      </c>
      <c r="H75" s="84">
        <f t="shared" si="38"/>
        <v>16660.567344950512</v>
      </c>
      <c r="I75" s="84">
        <f t="shared" si="26"/>
        <v>-51726460.479553834</v>
      </c>
      <c r="J75" s="84">
        <f t="shared" si="45"/>
        <v>-21036900.799008418</v>
      </c>
      <c r="K75" s="84">
        <f>K74+H75</f>
        <v>281196.65896789997</v>
      </c>
      <c r="L75" s="84">
        <f t="shared" si="34"/>
        <v>4380555.2533461675</v>
      </c>
      <c r="M75" s="84">
        <f t="shared" si="42"/>
        <v>35351311.592859477</v>
      </c>
      <c r="N75" s="151">
        <f t="shared" si="30"/>
        <v>30970756.339513309</v>
      </c>
      <c r="O75" s="84">
        <f t="shared" si="19"/>
        <v>-10839764.718829658</v>
      </c>
      <c r="P75" s="214">
        <f t="shared" si="24"/>
        <v>7698.8644313272089</v>
      </c>
      <c r="R75"/>
      <c r="S75" s="287"/>
    </row>
    <row r="76" spans="1:19" s="128" customFormat="1">
      <c r="A76" s="186" t="s">
        <v>85</v>
      </c>
      <c r="B76" s="295">
        <f t="shared" si="35"/>
        <v>56107015.732900001</v>
      </c>
      <c r="C76" s="295">
        <f t="shared" si="35"/>
        <v>56867149.200900003</v>
      </c>
      <c r="D76" s="84">
        <f t="shared" si="36"/>
        <v>56107015.732900001</v>
      </c>
      <c r="E76" s="84">
        <f>$D$10*B76</f>
        <v>1251466.9859223347</v>
      </c>
      <c r="F76" s="84">
        <f t="shared" si="43"/>
        <v>1246411.3328278661</v>
      </c>
      <c r="G76" s="84">
        <f t="shared" si="44"/>
        <v>1229750.7654829156</v>
      </c>
      <c r="H76" s="84">
        <f t="shared" si="38"/>
        <v>16660.567344950512</v>
      </c>
      <c r="I76" s="84">
        <f t="shared" si="26"/>
        <v>-52977927.46547617</v>
      </c>
      <c r="J76" s="84">
        <f t="shared" si="45"/>
        <v>-22283312.131836284</v>
      </c>
      <c r="K76" s="84">
        <f t="shared" si="39"/>
        <v>297857.22631285049</v>
      </c>
      <c r="L76" s="84">
        <f t="shared" si="34"/>
        <v>3129088.2674238309</v>
      </c>
      <c r="M76" s="84">
        <f t="shared" si="42"/>
        <v>34121560.827376567</v>
      </c>
      <c r="N76" s="151">
        <f t="shared" si="30"/>
        <v>30992472.559952736</v>
      </c>
      <c r="O76" s="84">
        <f t="shared" si="19"/>
        <v>-10847365.395983458</v>
      </c>
      <c r="P76" s="214">
        <f t="shared" si="24"/>
        <v>7600.6771537996829</v>
      </c>
      <c r="R76"/>
      <c r="S76" s="287"/>
    </row>
    <row r="77" spans="1:19" s="128" customFormat="1">
      <c r="A77" s="186" t="s">
        <v>86</v>
      </c>
      <c r="B77" s="295">
        <f t="shared" si="35"/>
        <v>56107015.732900001</v>
      </c>
      <c r="C77" s="295">
        <f t="shared" si="35"/>
        <v>56867149.200900003</v>
      </c>
      <c r="D77" s="84">
        <f t="shared" si="36"/>
        <v>56107015.732900001</v>
      </c>
      <c r="E77" s="84">
        <f>$E$10*B77</f>
        <v>1251747.521000999</v>
      </c>
      <c r="F77" s="84">
        <f t="shared" si="43"/>
        <v>1246411.3328278661</v>
      </c>
      <c r="G77" s="84">
        <f t="shared" si="44"/>
        <v>1229750.7654829156</v>
      </c>
      <c r="H77" s="84">
        <f t="shared" si="38"/>
        <v>16660.567344950512</v>
      </c>
      <c r="I77" s="84">
        <f t="shared" si="26"/>
        <v>-54229674.986477166</v>
      </c>
      <c r="J77" s="84">
        <f t="shared" si="45"/>
        <v>-23529723.46466415</v>
      </c>
      <c r="K77" s="84">
        <f t="shared" si="39"/>
        <v>314517.793657801</v>
      </c>
      <c r="L77" s="84">
        <f t="shared" si="34"/>
        <v>1877340.7464228347</v>
      </c>
      <c r="M77" s="84">
        <f t="shared" si="42"/>
        <v>32891810.061893653</v>
      </c>
      <c r="N77" s="151">
        <f t="shared" si="30"/>
        <v>31014469.315470818</v>
      </c>
      <c r="O77" s="84">
        <f t="shared" si="19"/>
        <v>-10855064.260414787</v>
      </c>
      <c r="P77" s="214">
        <f t="shared" si="24"/>
        <v>7698.8644313290715</v>
      </c>
      <c r="R77"/>
      <c r="S77" s="287"/>
    </row>
    <row r="78" spans="1:19" s="128" customFormat="1">
      <c r="A78" s="186" t="s">
        <v>87</v>
      </c>
      <c r="B78" s="295">
        <f t="shared" si="35"/>
        <v>56107015.732900001</v>
      </c>
      <c r="C78" s="295">
        <f t="shared" si="35"/>
        <v>56867149.200900003</v>
      </c>
      <c r="D78" s="84">
        <f t="shared" si="36"/>
        <v>56107015.732900001</v>
      </c>
      <c r="E78" s="84">
        <f>$F$10*B78</f>
        <v>1251466.9859223347</v>
      </c>
      <c r="F78" s="84">
        <f t="shared" si="43"/>
        <v>1246411.3328278661</v>
      </c>
      <c r="G78" s="84">
        <f t="shared" si="44"/>
        <v>1229750.7654829156</v>
      </c>
      <c r="H78" s="84">
        <f t="shared" si="38"/>
        <v>16660.567344950512</v>
      </c>
      <c r="I78" s="84">
        <f t="shared" si="26"/>
        <v>-55481141.972399503</v>
      </c>
      <c r="J78" s="84">
        <f t="shared" si="45"/>
        <v>-24776134.797492016</v>
      </c>
      <c r="K78" s="84">
        <f t="shared" si="39"/>
        <v>331178.36100275151</v>
      </c>
      <c r="L78" s="151">
        <f>B78+I78</f>
        <v>625873.76050049812</v>
      </c>
      <c r="M78" s="84">
        <f t="shared" si="42"/>
        <v>31662059.296410736</v>
      </c>
      <c r="N78" s="151">
        <f t="shared" si="30"/>
        <v>31036185.535910238</v>
      </c>
      <c r="O78" s="84">
        <f t="shared" si="19"/>
        <v>-10862664.937568583</v>
      </c>
      <c r="P78" s="214">
        <f t="shared" si="24"/>
        <v>7600.6771537959576</v>
      </c>
      <c r="R78"/>
      <c r="S78" s="287"/>
    </row>
    <row r="79" spans="1:19" s="128" customFormat="1">
      <c r="A79" s="186" t="s">
        <v>88</v>
      </c>
      <c r="B79" s="295">
        <f t="shared" si="35"/>
        <v>56107015.732900001</v>
      </c>
      <c r="C79" s="295">
        <f t="shared" si="35"/>
        <v>56867149.200900003</v>
      </c>
      <c r="D79" s="84">
        <f t="shared" si="36"/>
        <v>56107015.732900001</v>
      </c>
      <c r="E79" s="84">
        <f>$G$10*B79</f>
        <v>625873.76050049951</v>
      </c>
      <c r="F79" s="84">
        <f t="shared" si="43"/>
        <v>1246411.3328278661</v>
      </c>
      <c r="G79" s="84">
        <f t="shared" si="44"/>
        <v>1229750.7654829156</v>
      </c>
      <c r="H79" s="84">
        <f t="shared" si="38"/>
        <v>16660.567344950512</v>
      </c>
      <c r="I79" s="84">
        <f t="shared" si="26"/>
        <v>-56107015.732900001</v>
      </c>
      <c r="J79" s="84">
        <f>J78-F79</f>
        <v>-26022546.130319882</v>
      </c>
      <c r="K79" s="84">
        <f t="shared" si="39"/>
        <v>347838.92834770202</v>
      </c>
      <c r="L79" s="151">
        <f t="shared" ref="L79:L106" si="46">B79+I79</f>
        <v>0</v>
      </c>
      <c r="M79" s="84">
        <f t="shared" si="42"/>
        <v>30432308.530927822</v>
      </c>
      <c r="N79" s="151">
        <f t="shared" si="30"/>
        <v>30432308.530927822</v>
      </c>
      <c r="O79" s="84">
        <f t="shared" si="19"/>
        <v>-10651307.985824738</v>
      </c>
      <c r="P79" s="214">
        <f t="shared" si="24"/>
        <v>-211356.9517438449</v>
      </c>
      <c r="R79"/>
      <c r="S79" s="287"/>
    </row>
    <row r="80" spans="1:19" s="128" customFormat="1">
      <c r="A80" s="186" t="s">
        <v>89</v>
      </c>
      <c r="B80" s="295">
        <f t="shared" si="35"/>
        <v>56107015.732900001</v>
      </c>
      <c r="C80" s="295">
        <f t="shared" si="35"/>
        <v>56867149.200900003</v>
      </c>
      <c r="D80" s="84">
        <f t="shared" si="36"/>
        <v>56107015.732900001</v>
      </c>
      <c r="E80" s="84"/>
      <c r="F80" s="84">
        <f t="shared" si="43"/>
        <v>1246411.3328278661</v>
      </c>
      <c r="G80" s="84">
        <f>D80*F$14</f>
        <v>1229750.7654829156</v>
      </c>
      <c r="H80" s="84">
        <f t="shared" si="38"/>
        <v>16660.567344950512</v>
      </c>
      <c r="I80" s="84">
        <f t="shared" si="26"/>
        <v>-56107015.732900001</v>
      </c>
      <c r="J80" s="84">
        <f t="shared" si="45"/>
        <v>-27268957.463147748</v>
      </c>
      <c r="K80" s="84">
        <f t="shared" si="39"/>
        <v>364499.49569265253</v>
      </c>
      <c r="L80" s="151">
        <f t="shared" si="46"/>
        <v>0</v>
      </c>
      <c r="M80" s="84">
        <f t="shared" si="42"/>
        <v>29202557.765444905</v>
      </c>
      <c r="N80" s="151">
        <f>M80-L80</f>
        <v>29202557.765444905</v>
      </c>
      <c r="O80" s="84">
        <f t="shared" si="19"/>
        <v>-10220895.217905715</v>
      </c>
      <c r="P80" s="214">
        <f t="shared" si="24"/>
        <v>-430412.76791902259</v>
      </c>
      <c r="R80"/>
      <c r="S80" s="287"/>
    </row>
    <row r="81" spans="1:19" s="128" customFormat="1">
      <c r="A81" s="186" t="s">
        <v>90</v>
      </c>
      <c r="B81" s="295">
        <f t="shared" si="35"/>
        <v>56107015.732900001</v>
      </c>
      <c r="C81" s="295">
        <f t="shared" si="35"/>
        <v>56867149.200900003</v>
      </c>
      <c r="D81" s="84">
        <f t="shared" si="36"/>
        <v>56107015.732900001</v>
      </c>
      <c r="E81" s="84"/>
      <c r="F81" s="84">
        <f t="shared" si="43"/>
        <v>1246411.3328278661</v>
      </c>
      <c r="G81" s="84">
        <f t="shared" si="44"/>
        <v>1229750.7654829156</v>
      </c>
      <c r="H81" s="84">
        <f t="shared" si="38"/>
        <v>16660.567344950512</v>
      </c>
      <c r="I81" s="84">
        <f t="shared" si="26"/>
        <v>-56107015.732900001</v>
      </c>
      <c r="J81" s="84">
        <f t="shared" si="45"/>
        <v>-28515368.795975614</v>
      </c>
      <c r="K81" s="84">
        <f>K80+H81</f>
        <v>381160.06303760305</v>
      </c>
      <c r="L81" s="151">
        <f t="shared" si="46"/>
        <v>0</v>
      </c>
      <c r="M81" s="84">
        <f t="shared" si="42"/>
        <v>27972806.999961991</v>
      </c>
      <c r="N81" s="151">
        <f t="shared" si="30"/>
        <v>27972806.999961991</v>
      </c>
      <c r="O81" s="84">
        <f t="shared" si="19"/>
        <v>-9790482.4499866962</v>
      </c>
      <c r="P81" s="214">
        <f t="shared" si="24"/>
        <v>-430412.76791901886</v>
      </c>
      <c r="R81"/>
      <c r="S81" s="287"/>
    </row>
    <row r="82" spans="1:19" s="128" customFormat="1">
      <c r="A82" s="186" t="s">
        <v>92</v>
      </c>
      <c r="B82" s="295">
        <f t="shared" si="35"/>
        <v>56107015.732900001</v>
      </c>
      <c r="C82" s="295">
        <f t="shared" si="35"/>
        <v>56867149.200900003</v>
      </c>
      <c r="D82" s="84">
        <f t="shared" si="36"/>
        <v>56107015.732900001</v>
      </c>
      <c r="E82" s="84"/>
      <c r="F82" s="84">
        <f t="shared" si="43"/>
        <v>1246411.3328278661</v>
      </c>
      <c r="G82" s="84">
        <f t="shared" si="44"/>
        <v>1229750.7654829156</v>
      </c>
      <c r="H82" s="84">
        <f t="shared" si="38"/>
        <v>16660.567344950512</v>
      </c>
      <c r="I82" s="84">
        <f t="shared" si="26"/>
        <v>-56107015.732900001</v>
      </c>
      <c r="J82" s="84">
        <f t="shared" si="45"/>
        <v>-29761780.12880348</v>
      </c>
      <c r="K82" s="84">
        <f t="shared" si="39"/>
        <v>397820.63038255356</v>
      </c>
      <c r="L82" s="151">
        <f t="shared" si="46"/>
        <v>0</v>
      </c>
      <c r="M82" s="84">
        <f t="shared" si="42"/>
        <v>26743056.234479073</v>
      </c>
      <c r="N82" s="151">
        <f t="shared" si="30"/>
        <v>26743056.234479073</v>
      </c>
      <c r="O82" s="84">
        <f t="shared" si="19"/>
        <v>-9360069.6820676755</v>
      </c>
      <c r="P82" s="214">
        <f t="shared" si="24"/>
        <v>-430412.76791902073</v>
      </c>
      <c r="R82"/>
      <c r="S82" s="287"/>
    </row>
    <row r="83" spans="1:19" s="128" customFormat="1">
      <c r="A83" s="186" t="s">
        <v>114</v>
      </c>
      <c r="B83" s="295">
        <f t="shared" si="35"/>
        <v>56107015.732900001</v>
      </c>
      <c r="C83" s="295">
        <f t="shared" si="35"/>
        <v>56867149.200900003</v>
      </c>
      <c r="D83" s="84">
        <f t="shared" si="36"/>
        <v>56107015.732900001</v>
      </c>
      <c r="E83" s="84"/>
      <c r="F83" s="84">
        <f t="shared" si="43"/>
        <v>1246411.3328278661</v>
      </c>
      <c r="G83" s="84">
        <f t="shared" si="44"/>
        <v>1229750.7654829156</v>
      </c>
      <c r="H83" s="84">
        <f t="shared" si="38"/>
        <v>16660.567344950512</v>
      </c>
      <c r="I83" s="84">
        <f t="shared" si="26"/>
        <v>-56107015.732900001</v>
      </c>
      <c r="J83" s="84">
        <f t="shared" si="45"/>
        <v>-31008191.461631346</v>
      </c>
      <c r="K83" s="84">
        <f t="shared" si="39"/>
        <v>414481.19772750407</v>
      </c>
      <c r="L83" s="151">
        <f t="shared" si="46"/>
        <v>0</v>
      </c>
      <c r="M83" s="84">
        <f t="shared" si="42"/>
        <v>25513305.46899616</v>
      </c>
      <c r="N83" s="151">
        <f t="shared" si="30"/>
        <v>25513305.46899616</v>
      </c>
      <c r="O83" s="84">
        <f>-N83*$O$15</f>
        <v>-8929656.9141486548</v>
      </c>
      <c r="P83" s="214">
        <f t="shared" si="24"/>
        <v>-430412.76791902073</v>
      </c>
      <c r="R83"/>
      <c r="S83" s="287"/>
    </row>
    <row r="84" spans="1:19" s="128" customFormat="1">
      <c r="A84" s="186" t="s">
        <v>118</v>
      </c>
      <c r="B84" s="295">
        <f t="shared" si="35"/>
        <v>56107015.732900001</v>
      </c>
      <c r="C84" s="295">
        <f t="shared" si="35"/>
        <v>56867149.200900003</v>
      </c>
      <c r="D84" s="84">
        <f t="shared" si="36"/>
        <v>56107015.732900001</v>
      </c>
      <c r="E84" s="84"/>
      <c r="F84" s="84">
        <f t="shared" si="43"/>
        <v>1246411.3328278661</v>
      </c>
      <c r="G84" s="84">
        <f t="shared" si="44"/>
        <v>1229750.7654829156</v>
      </c>
      <c r="H84" s="84">
        <f t="shared" si="38"/>
        <v>16660.567344950512</v>
      </c>
      <c r="I84" s="84">
        <f t="shared" si="26"/>
        <v>-56107015.732900001</v>
      </c>
      <c r="J84" s="84">
        <f t="shared" si="45"/>
        <v>-32254602.794459213</v>
      </c>
      <c r="K84" s="84">
        <f t="shared" si="39"/>
        <v>431141.76507245458</v>
      </c>
      <c r="L84" s="151">
        <f t="shared" si="46"/>
        <v>0</v>
      </c>
      <c r="M84" s="84">
        <f t="shared" si="42"/>
        <v>24283554.703513242</v>
      </c>
      <c r="N84" s="151">
        <f t="shared" si="30"/>
        <v>24283554.703513242</v>
      </c>
      <c r="O84" s="84">
        <f t="shared" ref="O84:O88" si="47">-N84*$O$15</f>
        <v>-8499244.1462296341</v>
      </c>
      <c r="P84" s="214">
        <f t="shared" si="24"/>
        <v>-430412.76791902073</v>
      </c>
      <c r="R84"/>
      <c r="S84" s="287"/>
    </row>
    <row r="85" spans="1:19" s="128" customFormat="1">
      <c r="A85" s="186" t="s">
        <v>119</v>
      </c>
      <c r="B85" s="295">
        <f t="shared" si="35"/>
        <v>56107015.732900001</v>
      </c>
      <c r="C85" s="295">
        <f t="shared" si="35"/>
        <v>56867149.200900003</v>
      </c>
      <c r="D85" s="84">
        <f t="shared" si="36"/>
        <v>56107015.732900001</v>
      </c>
      <c r="E85" s="84"/>
      <c r="F85" s="84">
        <f t="shared" si="43"/>
        <v>1246411.3328278661</v>
      </c>
      <c r="G85" s="84">
        <f t="shared" si="44"/>
        <v>1229750.7654829156</v>
      </c>
      <c r="H85" s="84">
        <f t="shared" si="38"/>
        <v>16660.567344950512</v>
      </c>
      <c r="I85" s="84">
        <f t="shared" si="26"/>
        <v>-56107015.732900001</v>
      </c>
      <c r="J85" s="84">
        <f t="shared" si="45"/>
        <v>-33501014.127287079</v>
      </c>
      <c r="K85" s="84">
        <f t="shared" si="39"/>
        <v>447802.33241740509</v>
      </c>
      <c r="L85" s="151">
        <f t="shared" si="46"/>
        <v>0</v>
      </c>
      <c r="M85" s="84">
        <f t="shared" si="42"/>
        <v>23053803.938030329</v>
      </c>
      <c r="N85" s="151">
        <f t="shared" si="30"/>
        <v>23053803.938030329</v>
      </c>
      <c r="O85" s="84">
        <f t="shared" si="47"/>
        <v>-8068831.3783106143</v>
      </c>
      <c r="P85" s="214">
        <f t="shared" si="24"/>
        <v>-430412.7679190198</v>
      </c>
      <c r="R85"/>
      <c r="S85" s="287"/>
    </row>
    <row r="86" spans="1:19" s="128" customFormat="1">
      <c r="A86" s="186" t="s">
        <v>120</v>
      </c>
      <c r="B86" s="295">
        <f t="shared" si="35"/>
        <v>56107015.732900001</v>
      </c>
      <c r="C86" s="295">
        <f t="shared" si="35"/>
        <v>56867149.200900003</v>
      </c>
      <c r="D86" s="84">
        <f t="shared" si="36"/>
        <v>56107015.732900001</v>
      </c>
      <c r="E86" s="84"/>
      <c r="F86" s="84">
        <f t="shared" si="43"/>
        <v>1246411.3328278661</v>
      </c>
      <c r="G86" s="84">
        <f t="shared" si="44"/>
        <v>1229750.7654829156</v>
      </c>
      <c r="H86" s="84">
        <f t="shared" si="38"/>
        <v>16660.567344950512</v>
      </c>
      <c r="I86" s="84">
        <f t="shared" si="26"/>
        <v>-56107015.732900001</v>
      </c>
      <c r="J86" s="84">
        <f t="shared" si="45"/>
        <v>-34747425.460114941</v>
      </c>
      <c r="K86" s="84">
        <f t="shared" si="39"/>
        <v>464462.89976235561</v>
      </c>
      <c r="L86" s="151">
        <f t="shared" si="46"/>
        <v>0</v>
      </c>
      <c r="M86" s="84">
        <f t="shared" si="42"/>
        <v>21824053.172547415</v>
      </c>
      <c r="N86" s="151">
        <f t="shared" si="30"/>
        <v>21824053.172547415</v>
      </c>
      <c r="O86" s="84">
        <f t="shared" si="47"/>
        <v>-7638418.6103915945</v>
      </c>
      <c r="P86" s="214">
        <f t="shared" si="24"/>
        <v>-430412.7679190198</v>
      </c>
      <c r="R86"/>
      <c r="S86" s="287"/>
    </row>
    <row r="87" spans="1:19" s="128" customFormat="1">
      <c r="A87" s="186" t="s">
        <v>121</v>
      </c>
      <c r="B87" s="295">
        <f t="shared" si="35"/>
        <v>56107015.732900001</v>
      </c>
      <c r="C87" s="295">
        <f t="shared" si="35"/>
        <v>56867149.200900003</v>
      </c>
      <c r="D87" s="84">
        <f t="shared" si="36"/>
        <v>56107015.732900001</v>
      </c>
      <c r="E87" s="84"/>
      <c r="F87" s="84">
        <f t="shared" si="43"/>
        <v>1246411.3328278661</v>
      </c>
      <c r="G87" s="84">
        <f t="shared" si="44"/>
        <v>1229750.7654829156</v>
      </c>
      <c r="H87" s="84">
        <f t="shared" si="38"/>
        <v>16660.567344950512</v>
      </c>
      <c r="I87" s="84">
        <f t="shared" si="26"/>
        <v>-56107015.732900001</v>
      </c>
      <c r="J87" s="84">
        <f>J86-F87</f>
        <v>-35993836.792942807</v>
      </c>
      <c r="K87" s="84">
        <f t="shared" si="39"/>
        <v>481123.46710730612</v>
      </c>
      <c r="L87" s="151">
        <f t="shared" si="46"/>
        <v>0</v>
      </c>
      <c r="M87" s="84">
        <f t="shared" si="42"/>
        <v>20594302.407064501</v>
      </c>
      <c r="N87" s="151">
        <f t="shared" si="30"/>
        <v>20594302.407064501</v>
      </c>
      <c r="O87" s="84">
        <f t="shared" si="47"/>
        <v>-7208005.8424725747</v>
      </c>
      <c r="P87" s="214">
        <f t="shared" si="24"/>
        <v>-430412.7679190198</v>
      </c>
      <c r="R87"/>
      <c r="S87" s="287"/>
    </row>
    <row r="88" spans="1:19" s="128" customFormat="1">
      <c r="A88" s="186" t="s">
        <v>122</v>
      </c>
      <c r="B88" s="295">
        <f t="shared" si="35"/>
        <v>56107015.732900001</v>
      </c>
      <c r="C88" s="295">
        <f t="shared" si="35"/>
        <v>56867149.200900003</v>
      </c>
      <c r="D88" s="84">
        <f t="shared" si="36"/>
        <v>56107015.732900001</v>
      </c>
      <c r="E88" s="84"/>
      <c r="F88" s="84">
        <f t="shared" si="43"/>
        <v>1246411.3328278661</v>
      </c>
      <c r="G88" s="84">
        <f>D88*F$14</f>
        <v>1229750.7654829156</v>
      </c>
      <c r="H88" s="84">
        <f>F88-G88</f>
        <v>16660.567344950512</v>
      </c>
      <c r="I88" s="84">
        <f t="shared" si="26"/>
        <v>-56107015.732900001</v>
      </c>
      <c r="J88" s="84">
        <f>J87-F88</f>
        <v>-37240248.125770673</v>
      </c>
      <c r="K88" s="84">
        <f t="shared" si="39"/>
        <v>497784.03445225663</v>
      </c>
      <c r="L88" s="151">
        <f t="shared" si="46"/>
        <v>0</v>
      </c>
      <c r="M88" s="84">
        <f t="shared" si="42"/>
        <v>19364551.641581584</v>
      </c>
      <c r="N88" s="151">
        <f t="shared" si="30"/>
        <v>19364551.641581584</v>
      </c>
      <c r="O88" s="84">
        <f t="shared" si="47"/>
        <v>-6777593.0745535539</v>
      </c>
      <c r="P88" s="214">
        <f t="shared" si="24"/>
        <v>-430412.76791902073</v>
      </c>
      <c r="R88"/>
      <c r="S88" s="287"/>
    </row>
    <row r="89" spans="1:19" s="128" customFormat="1">
      <c r="A89" s="186" t="s">
        <v>123</v>
      </c>
      <c r="B89" s="295">
        <f t="shared" si="35"/>
        <v>56107015.732900001</v>
      </c>
      <c r="C89" s="295">
        <f t="shared" si="35"/>
        <v>56867149.200900003</v>
      </c>
      <c r="D89" s="84">
        <f t="shared" si="36"/>
        <v>56107015.732900001</v>
      </c>
      <c r="E89" s="84"/>
      <c r="F89" s="84">
        <f t="shared" si="43"/>
        <v>1246411.3328278661</v>
      </c>
      <c r="G89" s="84">
        <f>D89*F$14</f>
        <v>1229750.7654829156</v>
      </c>
      <c r="H89" s="84">
        <f>F89-G89</f>
        <v>16660.567344950512</v>
      </c>
      <c r="I89" s="84">
        <f t="shared" si="26"/>
        <v>-56107015.732900001</v>
      </c>
      <c r="J89" s="84">
        <f>J88-F89</f>
        <v>-38486659.458598539</v>
      </c>
      <c r="K89" s="84">
        <f>K88+H89</f>
        <v>514444.60179720714</v>
      </c>
      <c r="L89" s="151">
        <f t="shared" si="46"/>
        <v>0</v>
      </c>
      <c r="M89" s="84">
        <f t="shared" si="42"/>
        <v>18134800.87609867</v>
      </c>
      <c r="N89" s="151">
        <f>M89-L89</f>
        <v>18134800.87609867</v>
      </c>
      <c r="O89" s="84">
        <f>-N89*$O$15</f>
        <v>-6347180.3066345342</v>
      </c>
      <c r="P89" s="214">
        <f t="shared" si="24"/>
        <v>-430412.7679190198</v>
      </c>
      <c r="R89"/>
      <c r="S89" s="287"/>
    </row>
    <row r="90" spans="1:19" s="128" customFormat="1">
      <c r="A90" s="186" t="s">
        <v>124</v>
      </c>
      <c r="B90" s="295">
        <f t="shared" si="35"/>
        <v>56107015.732900001</v>
      </c>
      <c r="C90" s="295">
        <f t="shared" si="35"/>
        <v>56867149.200900003</v>
      </c>
      <c r="D90" s="84">
        <f t="shared" si="36"/>
        <v>56107015.732900001</v>
      </c>
      <c r="E90" s="84"/>
      <c r="F90" s="84">
        <f t="shared" si="43"/>
        <v>1246411.3328278661</v>
      </c>
      <c r="G90" s="84">
        <f>D90*F$14</f>
        <v>1229750.7654829156</v>
      </c>
      <c r="H90" s="84">
        <f>F90-G90</f>
        <v>16660.567344950512</v>
      </c>
      <c r="I90" s="84">
        <f t="shared" si="26"/>
        <v>-56107015.732900001</v>
      </c>
      <c r="J90" s="84">
        <f>J89-F90</f>
        <v>-39733070.791426405</v>
      </c>
      <c r="K90" s="84">
        <f>K89+H90</f>
        <v>531105.16914215765</v>
      </c>
      <c r="L90" s="151">
        <f t="shared" si="46"/>
        <v>0</v>
      </c>
      <c r="M90" s="84">
        <f t="shared" ref="M90:M106" si="48">D90+J90+K90</f>
        <v>16905050.110615753</v>
      </c>
      <c r="N90" s="151">
        <f t="shared" ref="N90:N106" si="49">M90-L90</f>
        <v>16905050.110615753</v>
      </c>
      <c r="O90" s="84">
        <f t="shared" ref="O90:O106" si="50">-N90*$O$15</f>
        <v>-5916767.5387155134</v>
      </c>
      <c r="P90" s="214">
        <f t="shared" ref="P90:P106" si="51">-O90+O89</f>
        <v>-430412.76791902073</v>
      </c>
      <c r="R90"/>
      <c r="S90" s="287"/>
    </row>
    <row r="91" spans="1:19" s="128" customFormat="1">
      <c r="A91" s="186" t="s">
        <v>125</v>
      </c>
      <c r="B91" s="296">
        <f>B90</f>
        <v>56107015.732900001</v>
      </c>
      <c r="C91" s="296">
        <f>C90</f>
        <v>56867149.200900003</v>
      </c>
      <c r="D91" s="84">
        <f t="shared" si="36"/>
        <v>56107015.732900001</v>
      </c>
      <c r="E91" s="84"/>
      <c r="F91" s="84">
        <f t="shared" si="43"/>
        <v>1246411.3328278661</v>
      </c>
      <c r="G91" s="84">
        <f t="shared" ref="G91:G103" si="52">D91*F$14</f>
        <v>1229750.7654829156</v>
      </c>
      <c r="H91" s="84">
        <f t="shared" ref="H91:H99" si="53">F91-G91</f>
        <v>16660.567344950512</v>
      </c>
      <c r="I91" s="84">
        <f t="shared" ref="I91:J99" si="54">I90-E91</f>
        <v>-56107015.732900001</v>
      </c>
      <c r="J91" s="84">
        <f t="shared" si="54"/>
        <v>-40979482.124254271</v>
      </c>
      <c r="K91" s="84">
        <f t="shared" ref="K91:K99" si="55">K90+H91</f>
        <v>547765.73648710817</v>
      </c>
      <c r="L91" s="151">
        <f t="shared" si="46"/>
        <v>0</v>
      </c>
      <c r="M91" s="84">
        <f t="shared" si="48"/>
        <v>15675299.345132837</v>
      </c>
      <c r="N91" s="151">
        <f t="shared" si="49"/>
        <v>15675299.345132837</v>
      </c>
      <c r="O91" s="84">
        <f t="shared" si="50"/>
        <v>-5486354.7707964927</v>
      </c>
      <c r="P91" s="214">
        <f t="shared" si="51"/>
        <v>-430412.76791902073</v>
      </c>
      <c r="R91"/>
      <c r="S91" s="287"/>
    </row>
    <row r="92" spans="1:19" s="128" customFormat="1">
      <c r="A92" s="186" t="s">
        <v>157</v>
      </c>
      <c r="B92" s="296">
        <f t="shared" ref="B92:B98" si="56">B91</f>
        <v>56107015.732900001</v>
      </c>
      <c r="C92" s="296">
        <f t="shared" ref="C92:C98" si="57">C91</f>
        <v>56867149.200900003</v>
      </c>
      <c r="D92" s="84">
        <f t="shared" ref="D92:D98" si="58">+B92</f>
        <v>56107015.732900001</v>
      </c>
      <c r="E92" s="311"/>
      <c r="F92" s="84">
        <f t="shared" si="43"/>
        <v>1246411.3328278661</v>
      </c>
      <c r="G92" s="84">
        <f t="shared" si="52"/>
        <v>1229750.7654829156</v>
      </c>
      <c r="H92" s="84">
        <f t="shared" si="53"/>
        <v>16660.567344950512</v>
      </c>
      <c r="I92" s="84">
        <f t="shared" si="54"/>
        <v>-56107015.732900001</v>
      </c>
      <c r="J92" s="84">
        <f t="shared" ref="J92:J99" si="59">J91-F92</f>
        <v>-42225893.457082137</v>
      </c>
      <c r="K92" s="84">
        <f t="shared" si="55"/>
        <v>564426.30383205868</v>
      </c>
      <c r="L92" s="151">
        <f t="shared" si="46"/>
        <v>0</v>
      </c>
      <c r="M92" s="84">
        <f t="shared" si="48"/>
        <v>14445548.579649922</v>
      </c>
      <c r="N92" s="151">
        <f t="shared" si="49"/>
        <v>14445548.579649922</v>
      </c>
      <c r="O92" s="84">
        <f t="shared" si="50"/>
        <v>-5055942.002877472</v>
      </c>
      <c r="P92" s="214">
        <f t="shared" si="51"/>
        <v>-430412.76791902073</v>
      </c>
      <c r="R92"/>
      <c r="S92" s="287"/>
    </row>
    <row r="93" spans="1:19" s="128" customFormat="1">
      <c r="A93" s="186" t="s">
        <v>158</v>
      </c>
      <c r="B93" s="296">
        <f t="shared" si="56"/>
        <v>56107015.732900001</v>
      </c>
      <c r="C93" s="296">
        <f t="shared" si="57"/>
        <v>56867149.200900003</v>
      </c>
      <c r="D93" s="84">
        <f t="shared" si="58"/>
        <v>56107015.732900001</v>
      </c>
      <c r="E93" s="311"/>
      <c r="F93" s="84">
        <f t="shared" si="43"/>
        <v>1246411.3328278661</v>
      </c>
      <c r="G93" s="84">
        <f t="shared" si="52"/>
        <v>1229750.7654829156</v>
      </c>
      <c r="H93" s="84">
        <f t="shared" si="53"/>
        <v>16660.567344950512</v>
      </c>
      <c r="I93" s="84">
        <f t="shared" si="54"/>
        <v>-56107015.732900001</v>
      </c>
      <c r="J93" s="84">
        <f t="shared" si="59"/>
        <v>-43472304.789910004</v>
      </c>
      <c r="K93" s="84">
        <f t="shared" si="55"/>
        <v>581086.87117700919</v>
      </c>
      <c r="L93" s="151">
        <f t="shared" si="46"/>
        <v>0</v>
      </c>
      <c r="M93" s="84">
        <f t="shared" si="48"/>
        <v>13215797.814167006</v>
      </c>
      <c r="N93" s="151">
        <f t="shared" si="49"/>
        <v>13215797.814167006</v>
      </c>
      <c r="O93" s="84">
        <f t="shared" si="50"/>
        <v>-4625529.2349584522</v>
      </c>
      <c r="P93" s="214">
        <f t="shared" si="51"/>
        <v>-430412.7679190198</v>
      </c>
      <c r="R93"/>
      <c r="S93" s="287"/>
    </row>
    <row r="94" spans="1:19" s="128" customFormat="1">
      <c r="A94" s="186" t="s">
        <v>159</v>
      </c>
      <c r="B94" s="296">
        <f t="shared" si="56"/>
        <v>56107015.732900001</v>
      </c>
      <c r="C94" s="296">
        <f t="shared" si="57"/>
        <v>56867149.200900003</v>
      </c>
      <c r="D94" s="84">
        <f t="shared" si="58"/>
        <v>56107015.732900001</v>
      </c>
      <c r="E94" s="311"/>
      <c r="F94" s="84">
        <f t="shared" si="43"/>
        <v>1246411.3328278661</v>
      </c>
      <c r="G94" s="84">
        <f t="shared" si="52"/>
        <v>1229750.7654829156</v>
      </c>
      <c r="H94" s="84">
        <f t="shared" si="53"/>
        <v>16660.567344950512</v>
      </c>
      <c r="I94" s="84">
        <f t="shared" si="54"/>
        <v>-56107015.732900001</v>
      </c>
      <c r="J94" s="84">
        <f t="shared" si="59"/>
        <v>-44718716.12273787</v>
      </c>
      <c r="K94" s="84">
        <f t="shared" si="55"/>
        <v>597747.4385219597</v>
      </c>
      <c r="L94" s="151">
        <f t="shared" si="46"/>
        <v>0</v>
      </c>
      <c r="M94" s="84">
        <f t="shared" si="48"/>
        <v>11986047.04868409</v>
      </c>
      <c r="N94" s="151">
        <f t="shared" si="49"/>
        <v>11986047.04868409</v>
      </c>
      <c r="O94" s="84">
        <f t="shared" si="50"/>
        <v>-4195116.4670394314</v>
      </c>
      <c r="P94" s="214">
        <f t="shared" si="51"/>
        <v>-430412.76791902073</v>
      </c>
      <c r="R94"/>
      <c r="S94" s="287"/>
    </row>
    <row r="95" spans="1:19" s="128" customFormat="1">
      <c r="A95" s="186" t="s">
        <v>160</v>
      </c>
      <c r="B95" s="296">
        <f t="shared" si="56"/>
        <v>56107015.732900001</v>
      </c>
      <c r="C95" s="296">
        <f t="shared" si="57"/>
        <v>56867149.200900003</v>
      </c>
      <c r="D95" s="84">
        <f t="shared" si="58"/>
        <v>56107015.732900001</v>
      </c>
      <c r="E95" s="311"/>
      <c r="F95" s="84">
        <f t="shared" si="43"/>
        <v>1246411.3328278661</v>
      </c>
      <c r="G95" s="84">
        <f t="shared" si="52"/>
        <v>1229750.7654829156</v>
      </c>
      <c r="H95" s="84">
        <f t="shared" si="53"/>
        <v>16660.567344950512</v>
      </c>
      <c r="I95" s="84">
        <f t="shared" si="54"/>
        <v>-56107015.732900001</v>
      </c>
      <c r="J95" s="84">
        <f t="shared" si="59"/>
        <v>-45965127.455565736</v>
      </c>
      <c r="K95" s="84">
        <f t="shared" si="55"/>
        <v>614408.00586691021</v>
      </c>
      <c r="L95" s="151">
        <f t="shared" si="46"/>
        <v>0</v>
      </c>
      <c r="M95" s="84">
        <f t="shared" si="48"/>
        <v>10756296.283201175</v>
      </c>
      <c r="N95" s="151">
        <f t="shared" si="49"/>
        <v>10756296.283201175</v>
      </c>
      <c r="O95" s="84">
        <f t="shared" si="50"/>
        <v>-3764703.6991204107</v>
      </c>
      <c r="P95" s="214">
        <f t="shared" si="51"/>
        <v>-430412.76791902073</v>
      </c>
      <c r="R95"/>
      <c r="S95" s="287"/>
    </row>
    <row r="96" spans="1:19" s="128" customFormat="1">
      <c r="A96" s="186" t="s">
        <v>161</v>
      </c>
      <c r="B96" s="296">
        <f t="shared" si="56"/>
        <v>56107015.732900001</v>
      </c>
      <c r="C96" s="296">
        <f t="shared" si="57"/>
        <v>56867149.200900003</v>
      </c>
      <c r="D96" s="84">
        <f t="shared" si="58"/>
        <v>56107015.732900001</v>
      </c>
      <c r="E96" s="311"/>
      <c r="F96" s="84">
        <f t="shared" si="43"/>
        <v>1246411.3328278661</v>
      </c>
      <c r="G96" s="84">
        <f t="shared" si="52"/>
        <v>1229750.7654829156</v>
      </c>
      <c r="H96" s="84">
        <f t="shared" si="53"/>
        <v>16660.567344950512</v>
      </c>
      <c r="I96" s="84">
        <f t="shared" si="54"/>
        <v>-56107015.732900001</v>
      </c>
      <c r="J96" s="84">
        <f t="shared" si="59"/>
        <v>-47211538.788393602</v>
      </c>
      <c r="K96" s="84">
        <f t="shared" si="55"/>
        <v>631068.57321186073</v>
      </c>
      <c r="L96" s="151">
        <f t="shared" si="46"/>
        <v>0</v>
      </c>
      <c r="M96" s="84">
        <f t="shared" si="48"/>
        <v>9526545.5177182592</v>
      </c>
      <c r="N96" s="151">
        <f t="shared" si="49"/>
        <v>9526545.5177182592</v>
      </c>
      <c r="O96" s="84">
        <f t="shared" si="50"/>
        <v>-3334290.9312013905</v>
      </c>
      <c r="P96" s="214">
        <f t="shared" si="51"/>
        <v>-430412.76791902026</v>
      </c>
      <c r="R96"/>
      <c r="S96" s="287"/>
    </row>
    <row r="97" spans="1:19" s="128" customFormat="1">
      <c r="A97" s="186" t="s">
        <v>169</v>
      </c>
      <c r="B97" s="296">
        <f t="shared" si="56"/>
        <v>56107015.732900001</v>
      </c>
      <c r="C97" s="296">
        <f t="shared" si="57"/>
        <v>56867149.200900003</v>
      </c>
      <c r="D97" s="84">
        <f t="shared" si="58"/>
        <v>56107015.732900001</v>
      </c>
      <c r="E97" s="311"/>
      <c r="F97" s="84">
        <f t="shared" si="43"/>
        <v>1246411.3328278661</v>
      </c>
      <c r="G97" s="84">
        <f t="shared" si="52"/>
        <v>1229750.7654829156</v>
      </c>
      <c r="H97" s="84">
        <f t="shared" si="53"/>
        <v>16660.567344950512</v>
      </c>
      <c r="I97" s="84">
        <f t="shared" si="54"/>
        <v>-56107015.732900001</v>
      </c>
      <c r="J97" s="84">
        <f t="shared" si="59"/>
        <v>-48457950.121221468</v>
      </c>
      <c r="K97" s="84">
        <f t="shared" si="55"/>
        <v>647729.14055681124</v>
      </c>
      <c r="L97" s="151">
        <f t="shared" si="46"/>
        <v>0</v>
      </c>
      <c r="M97" s="84">
        <f t="shared" si="48"/>
        <v>8296794.7522353446</v>
      </c>
      <c r="N97" s="151">
        <f t="shared" si="49"/>
        <v>8296794.7522353446</v>
      </c>
      <c r="O97" s="84">
        <f t="shared" si="50"/>
        <v>-2903878.1632823707</v>
      </c>
      <c r="P97" s="214">
        <f t="shared" si="51"/>
        <v>-430412.7679190198</v>
      </c>
      <c r="R97"/>
      <c r="S97" s="287"/>
    </row>
    <row r="98" spans="1:19" s="128" customFormat="1">
      <c r="A98" s="186" t="s">
        <v>170</v>
      </c>
      <c r="B98" s="296">
        <f t="shared" si="56"/>
        <v>56107015.732900001</v>
      </c>
      <c r="C98" s="296">
        <f t="shared" si="57"/>
        <v>56867149.200900003</v>
      </c>
      <c r="D98" s="84">
        <f t="shared" si="58"/>
        <v>56107015.732900001</v>
      </c>
      <c r="E98" s="311"/>
      <c r="F98" s="84">
        <f t="shared" si="43"/>
        <v>1246411.3328278661</v>
      </c>
      <c r="G98" s="84">
        <f t="shared" si="52"/>
        <v>1229750.7654829156</v>
      </c>
      <c r="H98" s="84">
        <f t="shared" si="53"/>
        <v>16660.567344950512</v>
      </c>
      <c r="I98" s="84">
        <f t="shared" si="54"/>
        <v>-56107015.732900001</v>
      </c>
      <c r="J98" s="84">
        <f t="shared" si="59"/>
        <v>-49704361.454049334</v>
      </c>
      <c r="K98" s="84">
        <f t="shared" si="55"/>
        <v>664389.70790176175</v>
      </c>
      <c r="L98" s="151">
        <f t="shared" si="46"/>
        <v>0</v>
      </c>
      <c r="M98" s="84">
        <f t="shared" si="48"/>
        <v>7067043.986752429</v>
      </c>
      <c r="N98" s="151">
        <f t="shared" si="49"/>
        <v>7067043.986752429</v>
      </c>
      <c r="O98" s="84">
        <f t="shared" si="50"/>
        <v>-2473465.3953633499</v>
      </c>
      <c r="P98" s="214">
        <f t="shared" si="51"/>
        <v>-430412.76791902073</v>
      </c>
      <c r="R98"/>
      <c r="S98" s="287"/>
    </row>
    <row r="99" spans="1:19" s="128" customFormat="1">
      <c r="A99" s="186" t="s">
        <v>171</v>
      </c>
      <c r="B99" s="296">
        <f t="shared" ref="B99:B106" si="60">B98</f>
        <v>56107015.732900001</v>
      </c>
      <c r="C99" s="296">
        <f t="shared" ref="C99:C106" si="61">C98</f>
        <v>56867149.200900003</v>
      </c>
      <c r="D99" s="84">
        <f t="shared" ref="D99:D106" si="62">+B99</f>
        <v>56107015.732900001</v>
      </c>
      <c r="E99" s="311"/>
      <c r="F99" s="84">
        <f t="shared" si="43"/>
        <v>1246411.3328278661</v>
      </c>
      <c r="G99" s="84">
        <f t="shared" si="52"/>
        <v>1229750.7654829156</v>
      </c>
      <c r="H99" s="84">
        <f t="shared" si="53"/>
        <v>16660.567344950512</v>
      </c>
      <c r="I99" s="84">
        <f t="shared" si="54"/>
        <v>-56107015.732900001</v>
      </c>
      <c r="J99" s="84">
        <f t="shared" si="59"/>
        <v>-50950772.7868772</v>
      </c>
      <c r="K99" s="84">
        <f t="shared" si="55"/>
        <v>681050.27524671226</v>
      </c>
      <c r="L99" s="151">
        <f t="shared" si="46"/>
        <v>0</v>
      </c>
      <c r="M99" s="84">
        <f t="shared" si="48"/>
        <v>5837293.2212695135</v>
      </c>
      <c r="N99" s="151">
        <f t="shared" si="49"/>
        <v>5837293.2212695135</v>
      </c>
      <c r="O99" s="84">
        <f t="shared" si="50"/>
        <v>-2043052.6274443297</v>
      </c>
      <c r="P99" s="214">
        <f t="shared" si="51"/>
        <v>-430412.76791902026</v>
      </c>
      <c r="R99" s="288"/>
      <c r="S99" s="287"/>
    </row>
    <row r="100" spans="1:19" s="128" customFormat="1">
      <c r="A100" s="186" t="s">
        <v>172</v>
      </c>
      <c r="B100" s="296">
        <f t="shared" si="60"/>
        <v>56107015.732900001</v>
      </c>
      <c r="C100" s="296">
        <f t="shared" si="61"/>
        <v>56867149.200900003</v>
      </c>
      <c r="D100" s="84">
        <f t="shared" si="62"/>
        <v>56107015.732900001</v>
      </c>
      <c r="E100" s="311"/>
      <c r="F100" s="84">
        <f t="shared" si="43"/>
        <v>1246411.3328278661</v>
      </c>
      <c r="G100" s="84">
        <f t="shared" si="52"/>
        <v>1229750.7654829156</v>
      </c>
      <c r="H100" s="84">
        <f t="shared" ref="H100:H106" si="63">F100-G100</f>
        <v>16660.567344950512</v>
      </c>
      <c r="I100" s="84">
        <f t="shared" ref="I100:I106" si="64">I99-E100</f>
        <v>-56107015.732900001</v>
      </c>
      <c r="J100" s="84">
        <f t="shared" ref="J100:J106" si="65">J99-F100</f>
        <v>-52197184.119705066</v>
      </c>
      <c r="K100" s="84">
        <f t="shared" ref="K100:K106" si="66">K99+H100</f>
        <v>697710.84259166277</v>
      </c>
      <c r="L100" s="151">
        <f t="shared" si="46"/>
        <v>0</v>
      </c>
      <c r="M100" s="84">
        <f t="shared" si="48"/>
        <v>4607542.4557865979</v>
      </c>
      <c r="N100" s="151">
        <f t="shared" si="49"/>
        <v>4607542.4557865979</v>
      </c>
      <c r="O100" s="84">
        <f t="shared" si="50"/>
        <v>-1612639.8595253092</v>
      </c>
      <c r="P100" s="214">
        <f t="shared" si="51"/>
        <v>-430412.76791902049</v>
      </c>
      <c r="R100" s="288"/>
      <c r="S100" s="287"/>
    </row>
    <row r="101" spans="1:19" s="128" customFormat="1">
      <c r="A101" s="186" t="s">
        <v>173</v>
      </c>
      <c r="B101" s="296">
        <f t="shared" si="60"/>
        <v>56107015.732900001</v>
      </c>
      <c r="C101" s="296">
        <f t="shared" si="61"/>
        <v>56867149.200900003</v>
      </c>
      <c r="D101" s="84">
        <f t="shared" si="62"/>
        <v>56107015.732900001</v>
      </c>
      <c r="E101" s="311"/>
      <c r="F101" s="84">
        <f t="shared" si="43"/>
        <v>1246411.3328278661</v>
      </c>
      <c r="G101" s="84">
        <f t="shared" si="52"/>
        <v>1229750.7654829156</v>
      </c>
      <c r="H101" s="84">
        <f t="shared" si="63"/>
        <v>16660.567344950512</v>
      </c>
      <c r="I101" s="84">
        <f t="shared" si="64"/>
        <v>-56107015.732900001</v>
      </c>
      <c r="J101" s="84">
        <f t="shared" si="65"/>
        <v>-53443595.452532932</v>
      </c>
      <c r="K101" s="84">
        <f t="shared" si="66"/>
        <v>714371.40993661329</v>
      </c>
      <c r="L101" s="151">
        <f t="shared" si="46"/>
        <v>0</v>
      </c>
      <c r="M101" s="84">
        <f t="shared" si="48"/>
        <v>3377791.6903036823</v>
      </c>
      <c r="N101" s="151">
        <f t="shared" si="49"/>
        <v>3377791.6903036823</v>
      </c>
      <c r="O101" s="84">
        <f t="shared" si="50"/>
        <v>-1182227.0916062887</v>
      </c>
      <c r="P101" s="214">
        <f t="shared" si="51"/>
        <v>-430412.76791902049</v>
      </c>
      <c r="R101" s="288"/>
      <c r="S101" s="287"/>
    </row>
    <row r="102" spans="1:19" s="128" customFormat="1">
      <c r="A102" s="186" t="s">
        <v>174</v>
      </c>
      <c r="B102" s="296">
        <f t="shared" si="60"/>
        <v>56107015.732900001</v>
      </c>
      <c r="C102" s="296">
        <f t="shared" si="61"/>
        <v>56867149.200900003</v>
      </c>
      <c r="D102" s="84">
        <f t="shared" si="62"/>
        <v>56107015.732900001</v>
      </c>
      <c r="E102" s="311"/>
      <c r="F102" s="84">
        <f t="shared" si="43"/>
        <v>1246411.3328278661</v>
      </c>
      <c r="G102" s="84">
        <f t="shared" si="52"/>
        <v>1229750.7654829156</v>
      </c>
      <c r="H102" s="84">
        <f t="shared" si="63"/>
        <v>16660.567344950512</v>
      </c>
      <c r="I102" s="84">
        <f t="shared" si="64"/>
        <v>-56107015.732900001</v>
      </c>
      <c r="J102" s="84">
        <f t="shared" si="65"/>
        <v>-54690006.785360798</v>
      </c>
      <c r="K102" s="84">
        <f t="shared" si="66"/>
        <v>731031.9772815638</v>
      </c>
      <c r="L102" s="151">
        <f t="shared" si="46"/>
        <v>0</v>
      </c>
      <c r="M102" s="84">
        <f t="shared" si="48"/>
        <v>2148040.9248207668</v>
      </c>
      <c r="N102" s="151">
        <f t="shared" si="49"/>
        <v>2148040.9248207668</v>
      </c>
      <c r="O102" s="84">
        <f t="shared" si="50"/>
        <v>-751814.3236872683</v>
      </c>
      <c r="P102" s="214">
        <f t="shared" si="51"/>
        <v>-430412.76791902038</v>
      </c>
      <c r="R102" s="288"/>
      <c r="S102" s="287"/>
    </row>
    <row r="103" spans="1:19" s="128" customFormat="1">
      <c r="A103" s="186" t="s">
        <v>175</v>
      </c>
      <c r="B103" s="296">
        <f t="shared" si="60"/>
        <v>56107015.732900001</v>
      </c>
      <c r="C103" s="296">
        <f t="shared" si="61"/>
        <v>56867149.200900003</v>
      </c>
      <c r="D103" s="84">
        <f t="shared" si="62"/>
        <v>56107015.732900001</v>
      </c>
      <c r="E103" s="311"/>
      <c r="F103" s="84">
        <f t="shared" si="43"/>
        <v>1246411.3328278661</v>
      </c>
      <c r="G103" s="84">
        <f t="shared" si="52"/>
        <v>1229750.7654829156</v>
      </c>
      <c r="H103" s="84">
        <f t="shared" si="63"/>
        <v>16660.567344950512</v>
      </c>
      <c r="I103" s="84">
        <f t="shared" si="64"/>
        <v>-56107015.732900001</v>
      </c>
      <c r="J103" s="84">
        <f t="shared" si="65"/>
        <v>-55936418.118188664</v>
      </c>
      <c r="K103" s="84">
        <f t="shared" si="66"/>
        <v>747692.54462651431</v>
      </c>
      <c r="L103" s="151">
        <f t="shared" si="46"/>
        <v>0</v>
      </c>
      <c r="M103" s="84">
        <f t="shared" si="48"/>
        <v>918290.1593378511</v>
      </c>
      <c r="N103" s="151">
        <f t="shared" si="49"/>
        <v>918290.1593378511</v>
      </c>
      <c r="O103" s="84">
        <f t="shared" si="50"/>
        <v>-321401.55576824787</v>
      </c>
      <c r="P103" s="214">
        <f t="shared" si="51"/>
        <v>-430412.76791902044</v>
      </c>
      <c r="R103" s="288"/>
      <c r="S103" s="287"/>
    </row>
    <row r="104" spans="1:19" s="128" customFormat="1">
      <c r="A104" s="186" t="s">
        <v>176</v>
      </c>
      <c r="B104" s="296">
        <f t="shared" si="60"/>
        <v>56107015.732900001</v>
      </c>
      <c r="C104" s="296">
        <f t="shared" si="61"/>
        <v>56867149.200900003</v>
      </c>
      <c r="D104" s="84">
        <f t="shared" si="62"/>
        <v>56107015.732900001</v>
      </c>
      <c r="E104" s="311"/>
      <c r="F104" s="297">
        <f t="shared" ref="F104:F106" si="67">C104+J103</f>
        <v>930731.082711339</v>
      </c>
      <c r="G104" s="297">
        <f t="shared" ref="G104:G106" si="68">M103</f>
        <v>918290.1593378511</v>
      </c>
      <c r="H104" s="84">
        <f t="shared" si="63"/>
        <v>12440.923373487894</v>
      </c>
      <c r="I104" s="84">
        <f t="shared" si="64"/>
        <v>-56107015.732900001</v>
      </c>
      <c r="J104" s="84">
        <f t="shared" si="65"/>
        <v>-56867149.200900003</v>
      </c>
      <c r="K104" s="84">
        <f t="shared" si="66"/>
        <v>760133.46800000221</v>
      </c>
      <c r="L104" s="151">
        <f t="shared" si="46"/>
        <v>0</v>
      </c>
      <c r="M104" s="84">
        <f t="shared" si="48"/>
        <v>0</v>
      </c>
      <c r="N104" s="151">
        <f t="shared" si="49"/>
        <v>0</v>
      </c>
      <c r="O104" s="84">
        <f t="shared" si="50"/>
        <v>0</v>
      </c>
      <c r="P104" s="214">
        <f t="shared" si="51"/>
        <v>-321401.55576824787</v>
      </c>
      <c r="R104" s="288"/>
      <c r="S104" s="287"/>
    </row>
    <row r="105" spans="1:19" s="128" customFormat="1">
      <c r="A105" s="186" t="s">
        <v>177</v>
      </c>
      <c r="B105" s="296">
        <f t="shared" si="60"/>
        <v>56107015.732900001</v>
      </c>
      <c r="C105" s="296">
        <f t="shared" si="61"/>
        <v>56867149.200900003</v>
      </c>
      <c r="D105" s="84">
        <f t="shared" si="62"/>
        <v>56107015.732900001</v>
      </c>
      <c r="E105" s="311"/>
      <c r="F105" s="297">
        <f t="shared" si="67"/>
        <v>0</v>
      </c>
      <c r="G105" s="297">
        <f t="shared" si="68"/>
        <v>0</v>
      </c>
      <c r="H105" s="84">
        <f t="shared" si="63"/>
        <v>0</v>
      </c>
      <c r="I105" s="84">
        <f t="shared" si="64"/>
        <v>-56107015.732900001</v>
      </c>
      <c r="J105" s="84">
        <f t="shared" si="65"/>
        <v>-56867149.200900003</v>
      </c>
      <c r="K105" s="84">
        <f t="shared" si="66"/>
        <v>760133.46800000221</v>
      </c>
      <c r="L105" s="151">
        <f t="shared" si="46"/>
        <v>0</v>
      </c>
      <c r="M105" s="84">
        <f t="shared" si="48"/>
        <v>0</v>
      </c>
      <c r="N105" s="151">
        <f t="shared" si="49"/>
        <v>0</v>
      </c>
      <c r="O105" s="84">
        <f t="shared" si="50"/>
        <v>0</v>
      </c>
      <c r="P105" s="214">
        <f t="shared" si="51"/>
        <v>0</v>
      </c>
      <c r="R105" s="288"/>
      <c r="S105" s="287"/>
    </row>
    <row r="106" spans="1:19" s="128" customFormat="1">
      <c r="A106" s="186" t="s">
        <v>178</v>
      </c>
      <c r="B106" s="296">
        <f t="shared" si="60"/>
        <v>56107015.732900001</v>
      </c>
      <c r="C106" s="296">
        <f t="shared" si="61"/>
        <v>56867149.200900003</v>
      </c>
      <c r="D106" s="84">
        <f t="shared" si="62"/>
        <v>56107015.732900001</v>
      </c>
      <c r="E106" s="311"/>
      <c r="F106" s="297">
        <f t="shared" si="67"/>
        <v>0</v>
      </c>
      <c r="G106" s="297">
        <f t="shared" si="68"/>
        <v>0</v>
      </c>
      <c r="H106" s="84">
        <f t="shared" si="63"/>
        <v>0</v>
      </c>
      <c r="I106" s="84">
        <f t="shared" si="64"/>
        <v>-56107015.732900001</v>
      </c>
      <c r="J106" s="84">
        <f t="shared" si="65"/>
        <v>-56867149.200900003</v>
      </c>
      <c r="K106" s="84">
        <f t="shared" si="66"/>
        <v>760133.46800000221</v>
      </c>
      <c r="L106" s="151">
        <f t="shared" si="46"/>
        <v>0</v>
      </c>
      <c r="M106" s="84">
        <f t="shared" si="48"/>
        <v>0</v>
      </c>
      <c r="N106" s="151">
        <f t="shared" si="49"/>
        <v>0</v>
      </c>
      <c r="O106" s="84">
        <f t="shared" si="50"/>
        <v>0</v>
      </c>
      <c r="P106" s="214">
        <f t="shared" si="51"/>
        <v>0</v>
      </c>
      <c r="R106" s="288"/>
      <c r="S106" s="287"/>
    </row>
    <row r="107" spans="1:19" s="128" customFormat="1">
      <c r="A107" s="186"/>
      <c r="B107" s="310"/>
      <c r="C107" s="310"/>
      <c r="D107" s="311"/>
      <c r="E107" s="311"/>
      <c r="F107" s="312"/>
      <c r="G107" s="313"/>
      <c r="H107" s="311"/>
      <c r="I107" s="311"/>
      <c r="J107" s="311"/>
      <c r="K107" s="311"/>
      <c r="L107" s="311"/>
      <c r="M107" s="311"/>
      <c r="N107" s="311"/>
      <c r="O107" s="311"/>
      <c r="P107" s="230"/>
      <c r="R107" s="288"/>
      <c r="S107" s="287"/>
    </row>
    <row r="108" spans="1:19" ht="3" customHeight="1">
      <c r="A108" s="224"/>
      <c r="B108" s="225"/>
      <c r="C108" s="225"/>
      <c r="D108" s="225"/>
      <c r="E108" s="227"/>
      <c r="F108" s="227"/>
      <c r="G108" s="227"/>
      <c r="H108" s="227"/>
      <c r="I108" s="225"/>
      <c r="J108" s="225"/>
      <c r="K108" s="225"/>
      <c r="L108" s="225"/>
      <c r="M108" s="225"/>
      <c r="N108" s="225"/>
      <c r="O108" s="225"/>
      <c r="P108" s="226"/>
      <c r="R108" s="286"/>
      <c r="S108" s="286"/>
    </row>
    <row r="109" spans="1:19">
      <c r="A109" s="222" t="s">
        <v>852</v>
      </c>
      <c r="B109" s="233"/>
      <c r="C109" s="233"/>
      <c r="D109" s="233"/>
      <c r="E109" s="232">
        <f t="shared" ref="E109:H109" si="69">SUM(E48:E59)</f>
        <v>4502373.3607247341</v>
      </c>
      <c r="F109" s="232">
        <f t="shared" si="69"/>
        <v>1246411.3328278661</v>
      </c>
      <c r="G109" s="232">
        <f t="shared" si="69"/>
        <v>1229750.7654829156</v>
      </c>
      <c r="H109" s="232">
        <f t="shared" si="69"/>
        <v>16660.56734495057</v>
      </c>
      <c r="I109" s="233"/>
      <c r="J109" s="233"/>
      <c r="K109" s="233"/>
      <c r="L109" s="233"/>
      <c r="M109" s="233"/>
      <c r="N109" s="233"/>
      <c r="O109" s="233"/>
      <c r="P109" s="232">
        <f>SUM(P48:P59)</f>
        <v>1145417.9083346352</v>
      </c>
      <c r="Q109" s="4"/>
      <c r="R109" s="286"/>
      <c r="S109" s="286"/>
    </row>
    <row r="110" spans="1:19" ht="13.5" thickBot="1">
      <c r="A110" s="19" t="s">
        <v>853</v>
      </c>
      <c r="B110" s="231">
        <f>(B47+B59+SUM(B48:B58)*2)/24</f>
        <v>56107015.732900016</v>
      </c>
      <c r="C110" s="231">
        <f t="shared" ref="C110:D110" si="70">(C47+C59+SUM(C48:C58)*2)/24</f>
        <v>56867149.200899996</v>
      </c>
      <c r="D110" s="231">
        <f t="shared" si="70"/>
        <v>56107015.732900016</v>
      </c>
      <c r="E110" s="235"/>
      <c r="F110" s="234"/>
      <c r="G110" s="234"/>
      <c r="H110" s="234"/>
      <c r="I110" s="231">
        <f t="shared" ref="I110:M110" si="71">(I47+I59+SUM(I48:I58)*2)/24</f>
        <v>-29846124.273981247</v>
      </c>
      <c r="J110" s="231">
        <f t="shared" si="71"/>
        <v>-1613657.5291075055</v>
      </c>
      <c r="K110" s="231">
        <f t="shared" si="71"/>
        <v>21569.484509087786</v>
      </c>
      <c r="L110" s="231">
        <f t="shared" si="71"/>
        <v>26260891.458918761</v>
      </c>
      <c r="M110" s="231">
        <f t="shared" si="71"/>
        <v>54514927.688301586</v>
      </c>
      <c r="N110" s="234"/>
      <c r="O110" s="231">
        <f>(O47+O59+SUM(O48:O58)*2)/24</f>
        <v>-9888912.6802839879</v>
      </c>
      <c r="P110" s="234"/>
      <c r="Q110" s="4"/>
      <c r="R110" s="286"/>
      <c r="S110" s="286"/>
    </row>
    <row r="111" spans="1:19" customFormat="1" ht="13.5" thickTop="1"/>
    <row r="112" spans="1:19" customFormat="1"/>
    <row r="113" spans="1:12" customFormat="1"/>
    <row r="114" spans="1:12" customFormat="1"/>
    <row r="115" spans="1:12" customFormat="1"/>
    <row r="116" spans="1:12">
      <c r="A116" s="110"/>
      <c r="H116"/>
      <c r="L116" s="283"/>
    </row>
    <row r="117" spans="1:12">
      <c r="A117" s="112"/>
      <c r="H117"/>
    </row>
    <row r="118" spans="1:12">
      <c r="H118"/>
    </row>
    <row r="119" spans="1:12">
      <c r="H119"/>
    </row>
  </sheetData>
  <printOptions horizontalCentered="1"/>
  <pageMargins left="0.45" right="0.45" top="0.5" bottom="0.5" header="0.3" footer="0.3"/>
  <pageSetup scale="4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W99"/>
  <sheetViews>
    <sheetView zoomScaleNormal="100" workbookViewId="0">
      <pane xSplit="1" ySplit="20" topLeftCell="B87" activePane="bottomRight" state="frozen"/>
      <selection activeCell="E21" sqref="E21"/>
      <selection pane="topRight" activeCell="E21" sqref="E21"/>
      <selection pane="bottomLeft" activeCell="E21" sqref="E21"/>
      <selection pane="bottomRight" activeCell="A101" sqref="A101"/>
    </sheetView>
  </sheetViews>
  <sheetFormatPr defaultColWidth="8.85546875" defaultRowHeight="12.75" outlineLevelRow="1"/>
  <cols>
    <col min="1" max="1" width="25.85546875" style="2" customWidth="1"/>
    <col min="2" max="2" width="18.7109375" style="2" bestFit="1" customWidth="1"/>
    <col min="3" max="3" width="18.42578125" style="2" bestFit="1" customWidth="1"/>
    <col min="4" max="4" width="19.7109375" style="2" bestFit="1" customWidth="1"/>
    <col min="5" max="5" width="17.7109375" style="2" bestFit="1" customWidth="1"/>
    <col min="6" max="6" width="17" style="2" bestFit="1" customWidth="1"/>
    <col min="7" max="8" width="17.140625" style="2" customWidth="1"/>
    <col min="9" max="10" width="19.7109375" style="2" customWidth="1"/>
    <col min="11" max="11" width="21" style="2" customWidth="1"/>
    <col min="12" max="12" width="17.7109375" style="2" bestFit="1" customWidth="1"/>
    <col min="13" max="13" width="20.5703125" style="2" bestFit="1" customWidth="1"/>
    <col min="14" max="14" width="15.7109375" style="2" customWidth="1"/>
    <col min="15" max="15" width="19.7109375" style="2" bestFit="1" customWidth="1"/>
    <col min="16" max="16" width="18.7109375" style="2" customWidth="1"/>
    <col min="17" max="17" width="8.85546875" style="2"/>
    <col min="18" max="18" width="10.7109375" style="2" customWidth="1"/>
    <col min="19" max="22" width="8.85546875" style="2"/>
    <col min="23" max="23" width="9.85546875" style="2" bestFit="1" customWidth="1"/>
    <col min="24" max="16384" width="8.85546875" style="2"/>
  </cols>
  <sheetData>
    <row r="1" spans="1:23" s="10" customFormat="1">
      <c r="A1" s="6" t="str">
        <f>+'#1 DFIT- FSC'!A1</f>
        <v>Baker Upgrade Book &amp; Tax Depreciation:  December 1, 2013 through November 30, 2014</v>
      </c>
      <c r="B1" s="7"/>
      <c r="C1" s="7"/>
      <c r="D1" s="7"/>
      <c r="E1" s="7"/>
      <c r="F1" s="216"/>
      <c r="G1" s="216"/>
      <c r="H1" s="216"/>
      <c r="I1" s="217"/>
      <c r="J1" s="217"/>
      <c r="K1" s="216"/>
      <c r="L1" s="7"/>
      <c r="M1" s="7"/>
      <c r="N1" s="9"/>
      <c r="O1" s="80"/>
      <c r="P1" s="9"/>
      <c r="Q1" s="7"/>
      <c r="R1" s="7"/>
      <c r="S1" s="7"/>
      <c r="T1" s="7"/>
      <c r="U1" s="9"/>
      <c r="V1" s="126"/>
      <c r="W1" s="126"/>
    </row>
    <row r="2" spans="1:23" s="10" customFormat="1">
      <c r="A2" s="109" t="s">
        <v>232</v>
      </c>
      <c r="B2" s="126"/>
      <c r="C2" s="154" t="s">
        <v>146</v>
      </c>
      <c r="D2" s="154" t="s">
        <v>147</v>
      </c>
      <c r="E2" s="126"/>
      <c r="F2" s="159"/>
      <c r="G2" s="159"/>
      <c r="H2" s="159"/>
      <c r="I2" s="155"/>
      <c r="J2" s="126"/>
      <c r="K2" s="126"/>
      <c r="L2" s="7"/>
      <c r="M2" s="7"/>
      <c r="N2" s="156"/>
      <c r="O2" s="80"/>
      <c r="P2" s="9"/>
      <c r="Q2" s="126"/>
      <c r="R2" s="126"/>
      <c r="S2" s="7"/>
      <c r="T2" s="7"/>
      <c r="U2" s="7"/>
      <c r="V2" s="126"/>
      <c r="W2" s="126"/>
    </row>
    <row r="3" spans="1:23" s="10" customFormat="1">
      <c r="A3" s="113" t="s">
        <v>197</v>
      </c>
      <c r="B3" s="126"/>
      <c r="C3" s="157">
        <f>'Baker Tax Basis'!B11</f>
        <v>95194976.911599934</v>
      </c>
      <c r="D3" s="158">
        <f>+'Baker Tax Basis'!H11</f>
        <v>80633802.21382606</v>
      </c>
      <c r="E3" s="7"/>
      <c r="F3" s="7"/>
      <c r="G3" s="7"/>
      <c r="H3" s="7"/>
      <c r="I3" s="126"/>
      <c r="J3" s="126"/>
      <c r="K3" s="126"/>
      <c r="L3" s="11"/>
      <c r="M3" s="11"/>
      <c r="N3" s="156"/>
      <c r="O3" s="80"/>
      <c r="P3" s="159"/>
      <c r="Q3" s="126"/>
      <c r="R3" s="126"/>
      <c r="S3" s="7"/>
      <c r="T3" s="7"/>
      <c r="U3" s="7"/>
      <c r="V3" s="126"/>
      <c r="W3" s="126"/>
    </row>
    <row r="4" spans="1:23" s="10" customFormat="1" ht="18" customHeight="1">
      <c r="A4" s="128"/>
      <c r="B4" s="218" t="str">
        <f>IF(ROUND(SUM(E21:E30)/$D$3-B6,5)=0,"OK",SUM(E21:E30)/$D$3-B6)</f>
        <v>OK</v>
      </c>
      <c r="C4" s="218" t="str">
        <f>IF(ROUND(SUM(E31:E42)/$D$3-C6,5)=0,"OK",SUM(E31:E42)/$D$3-C6)</f>
        <v>OK</v>
      </c>
      <c r="D4" s="218" t="str">
        <f>IF(ROUND(SUM(E43)/$D$3-D6,5)=0,"OK",SUM(E43)/$D$3-D6)</f>
        <v>OK</v>
      </c>
      <c r="E4" s="218" t="str">
        <f>IF(ROUND(E44/$D$3-E6,5)=0,"OK",E44/$D$3-E6)</f>
        <v>OK</v>
      </c>
      <c r="F4" s="218" t="str">
        <f>IF(ROUND(E45/$D$3-F6,5)=0,"OK",E45/$D$3-F6)</f>
        <v>OK</v>
      </c>
      <c r="G4" s="218" t="str">
        <f>IF(ROUND(E46/$D$3-G6,5)=0,"OK",E46/$D$3-G6)</f>
        <v>OK</v>
      </c>
      <c r="H4" s="218" t="str">
        <f>IF(ROUND(E47/$D$3-H6,5)=0,"OK",E47/$D$3-H6)</f>
        <v>OK</v>
      </c>
      <c r="I4" s="218" t="str">
        <f>IF(ROUND(E48/$D$3-I6,5)=0,"OK",E48/$D$3-I6)</f>
        <v>OK</v>
      </c>
      <c r="J4" s="218" t="str">
        <f>IF(ROUND(E49/$D$3-J6,5)=0,"OK",E49/$D$3-J6)</f>
        <v>OK</v>
      </c>
      <c r="K4" s="218" t="str">
        <f>IF(ROUND(E50/$D$3-K6,5)=0,"OK",E50/$D$3-K6)</f>
        <v>OK</v>
      </c>
      <c r="L4" s="218" t="str">
        <f>IF(ROUND(E51/$D$3-L6,5)=0,"OK",E51/$D$3-L6)</f>
        <v>OK</v>
      </c>
      <c r="M4" s="218" t="str">
        <f>IF(ROUND(E52/$D$3-M6,5)=0,"OK",E52/$D$3-M6)</f>
        <v>OK</v>
      </c>
      <c r="N4" s="218" t="str">
        <f>IF(ROUND(E53/$D$3-N6,5)=0,"OK",E53/$D$3-N6)</f>
        <v>OK</v>
      </c>
      <c r="O4" s="218" t="str">
        <f>IF(ROUND(E54/$D$3-O6,5)=0,"OK",E54/$D$3-O6)</f>
        <v>OK</v>
      </c>
      <c r="P4" s="218" t="str">
        <f>IF(ROUND(E55/$D$3-P6,5)=0,"OK",E55/$D$3-P6)</f>
        <v>OK</v>
      </c>
    </row>
    <row r="5" spans="1:23" s="10" customFormat="1">
      <c r="A5" s="160" t="s">
        <v>141</v>
      </c>
      <c r="B5" s="161">
        <v>2013</v>
      </c>
      <c r="C5" s="161">
        <f>+B5+1</f>
        <v>2014</v>
      </c>
      <c r="D5" s="161">
        <f t="shared" ref="D5:P5" si="0">+C5+1</f>
        <v>2015</v>
      </c>
      <c r="E5" s="161">
        <f t="shared" si="0"/>
        <v>2016</v>
      </c>
      <c r="F5" s="161">
        <f t="shared" si="0"/>
        <v>2017</v>
      </c>
      <c r="G5" s="161">
        <f t="shared" si="0"/>
        <v>2018</v>
      </c>
      <c r="H5" s="161">
        <f t="shared" si="0"/>
        <v>2019</v>
      </c>
      <c r="I5" s="161">
        <f t="shared" si="0"/>
        <v>2020</v>
      </c>
      <c r="J5" s="161">
        <f t="shared" si="0"/>
        <v>2021</v>
      </c>
      <c r="K5" s="161">
        <f t="shared" si="0"/>
        <v>2022</v>
      </c>
      <c r="L5" s="161">
        <f t="shared" si="0"/>
        <v>2023</v>
      </c>
      <c r="M5" s="161">
        <f t="shared" si="0"/>
        <v>2024</v>
      </c>
      <c r="N5" s="161">
        <f t="shared" si="0"/>
        <v>2025</v>
      </c>
      <c r="O5" s="161">
        <f t="shared" si="0"/>
        <v>2026</v>
      </c>
      <c r="P5" s="161">
        <f t="shared" si="0"/>
        <v>2027</v>
      </c>
    </row>
    <row r="6" spans="1:23" s="10" customFormat="1">
      <c r="A6" s="162"/>
      <c r="B6" s="163">
        <f>3.75%+SUM(C6:V6,B10:G10)</f>
        <v>0.51875000000000004</v>
      </c>
      <c r="C6" s="163">
        <f>7.219%/2</f>
        <v>3.6095000000000002E-2</v>
      </c>
      <c r="D6" s="163">
        <f>6.677%/2</f>
        <v>3.3384999999999998E-2</v>
      </c>
      <c r="E6" s="163">
        <f>6.177%/2</f>
        <v>3.0884999999999999E-2</v>
      </c>
      <c r="F6" s="163">
        <f>5.713%/2</f>
        <v>2.8565E-2</v>
      </c>
      <c r="G6" s="163">
        <f>5.285%/2</f>
        <v>2.6425000000000001E-2</v>
      </c>
      <c r="H6" s="164">
        <f>4.888%/2</f>
        <v>2.444E-2</v>
      </c>
      <c r="I6" s="163">
        <f>4.522%/2</f>
        <v>2.2610000000000002E-2</v>
      </c>
      <c r="J6" s="163">
        <f>4.462%/2</f>
        <v>2.231E-2</v>
      </c>
      <c r="K6" s="163">
        <f>4.461%/2</f>
        <v>2.2305000000000002E-2</v>
      </c>
      <c r="L6" s="163">
        <f>4.462%/2</f>
        <v>2.231E-2</v>
      </c>
      <c r="M6" s="163">
        <f>4.461%/2</f>
        <v>2.2305000000000002E-2</v>
      </c>
      <c r="N6" s="163">
        <f>4.462%/2</f>
        <v>2.231E-2</v>
      </c>
      <c r="O6" s="163">
        <f>4.461%/2</f>
        <v>2.2305000000000002E-2</v>
      </c>
      <c r="P6" s="163">
        <f>4.462%/2</f>
        <v>2.231E-2</v>
      </c>
    </row>
    <row r="7" spans="1:23" s="10" customFormat="1">
      <c r="A7" s="165"/>
      <c r="B7" s="166">
        <v>1</v>
      </c>
      <c r="C7" s="166">
        <f>+B7+1</f>
        <v>2</v>
      </c>
      <c r="D7" s="166">
        <f t="shared" ref="D7:P7" si="1">+C7+1</f>
        <v>3</v>
      </c>
      <c r="E7" s="166">
        <f t="shared" si="1"/>
        <v>4</v>
      </c>
      <c r="F7" s="166">
        <f t="shared" si="1"/>
        <v>5</v>
      </c>
      <c r="G7" s="166">
        <f t="shared" si="1"/>
        <v>6</v>
      </c>
      <c r="H7" s="166">
        <f t="shared" si="1"/>
        <v>7</v>
      </c>
      <c r="I7" s="166">
        <f t="shared" si="1"/>
        <v>8</v>
      </c>
      <c r="J7" s="166">
        <f t="shared" si="1"/>
        <v>9</v>
      </c>
      <c r="K7" s="166">
        <f t="shared" si="1"/>
        <v>10</v>
      </c>
      <c r="L7" s="166">
        <f t="shared" si="1"/>
        <v>11</v>
      </c>
      <c r="M7" s="166">
        <f t="shared" si="1"/>
        <v>12</v>
      </c>
      <c r="N7" s="166">
        <f t="shared" si="1"/>
        <v>13</v>
      </c>
      <c r="O7" s="166">
        <f t="shared" si="1"/>
        <v>14</v>
      </c>
      <c r="P7" s="166">
        <f t="shared" si="1"/>
        <v>15</v>
      </c>
    </row>
    <row r="8" spans="1:23" s="10" customFormat="1">
      <c r="A8" s="165"/>
      <c r="B8" s="218" t="str">
        <f>IF(ROUND(E56/$D$3-B10,5)=0,"OK",E56/$D$3-B10)</f>
        <v>OK</v>
      </c>
      <c r="C8" s="218" t="str">
        <f>IF(ROUND(E57/$D$3-C10,5)=0,"OK",E57/$D$3-C10)</f>
        <v>OK</v>
      </c>
      <c r="D8" s="218" t="str">
        <f>IF(ROUND(E58/$D$3-D10,5)=0,"OK",E58/$D$3-D10)</f>
        <v>OK</v>
      </c>
      <c r="E8" s="218" t="str">
        <f>IF(ROUND(E59/$D$3-E10,5)=0,"OK",E59/$D$3-E10)</f>
        <v>OK</v>
      </c>
      <c r="F8" s="218" t="str">
        <f>IF(ROUND(E60/$D$3-F10,5)=0,"OK",E60/$D$3-F10)</f>
        <v>OK</v>
      </c>
      <c r="G8" s="218" t="str">
        <f>IF(ROUND(E61/$D$3-G10,5)=0,"OK",E61/$D$3-G10)</f>
        <v>OK</v>
      </c>
      <c r="H8" s="12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7"/>
    </row>
    <row r="9" spans="1:23" s="10" customFormat="1">
      <c r="A9" s="165"/>
      <c r="B9" s="161">
        <f>+P5+1</f>
        <v>2028</v>
      </c>
      <c r="C9" s="161">
        <f>+B9+1</f>
        <v>2029</v>
      </c>
      <c r="D9" s="161">
        <f>+C9+1</f>
        <v>2030</v>
      </c>
      <c r="E9" s="161">
        <f>+D9+1</f>
        <v>2031</v>
      </c>
      <c r="F9" s="161">
        <f>+E9+1</f>
        <v>2032</v>
      </c>
      <c r="G9" s="161">
        <f>+F9+1</f>
        <v>2033</v>
      </c>
      <c r="H9" s="12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7"/>
    </row>
    <row r="10" spans="1:23" s="10" customFormat="1">
      <c r="A10" s="165"/>
      <c r="B10" s="163">
        <f>4.461%/2</f>
        <v>2.2305000000000002E-2</v>
      </c>
      <c r="C10" s="163">
        <f>4.462%/2</f>
        <v>2.231E-2</v>
      </c>
      <c r="D10" s="163">
        <f>4.461%/2</f>
        <v>2.2305000000000002E-2</v>
      </c>
      <c r="E10" s="163">
        <f>4.462%/2</f>
        <v>2.231E-2</v>
      </c>
      <c r="F10" s="163">
        <f>4.461%/2</f>
        <v>2.2305000000000002E-2</v>
      </c>
      <c r="G10" s="163">
        <f>2.231%/2</f>
        <v>1.1155E-2</v>
      </c>
      <c r="H10" s="228">
        <f>SUM(B6:V6,B10:G10)</f>
        <v>1.0000000000000004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7"/>
    </row>
    <row r="11" spans="1:23" s="10" customFormat="1">
      <c r="A11" s="165"/>
      <c r="B11" s="166">
        <f>+P7+1</f>
        <v>16</v>
      </c>
      <c r="C11" s="166">
        <f>+B11+1</f>
        <v>17</v>
      </c>
      <c r="D11" s="166">
        <f>+C11+1</f>
        <v>18</v>
      </c>
      <c r="E11" s="166">
        <f>+D11+1</f>
        <v>19</v>
      </c>
      <c r="F11" s="166">
        <f>+E11+1</f>
        <v>20</v>
      </c>
      <c r="G11" s="166">
        <f>+F11+1</f>
        <v>21</v>
      </c>
      <c r="H11" s="167">
        <f>+H10-1</f>
        <v>0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7"/>
    </row>
    <row r="12" spans="1:23" ht="5.0999999999999996" customHeight="1" thickBo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</row>
    <row r="13" spans="1:23">
      <c r="A13" s="127" t="s">
        <v>0</v>
      </c>
      <c r="B13" s="168" t="s">
        <v>30</v>
      </c>
      <c r="C13" s="169"/>
      <c r="D13" s="169"/>
      <c r="E13" s="168" t="s">
        <v>31</v>
      </c>
      <c r="F13" s="169"/>
      <c r="G13" s="169"/>
      <c r="H13" s="169"/>
      <c r="I13" s="168" t="s">
        <v>127</v>
      </c>
      <c r="J13" s="169"/>
      <c r="K13" s="169"/>
      <c r="L13" s="168" t="s">
        <v>32</v>
      </c>
      <c r="M13" s="169"/>
      <c r="N13" s="170" t="s">
        <v>33</v>
      </c>
      <c r="O13" s="170" t="s">
        <v>34</v>
      </c>
      <c r="P13" s="170" t="s">
        <v>35</v>
      </c>
      <c r="Q13" s="128"/>
      <c r="R13" s="128"/>
      <c r="S13" s="128"/>
      <c r="T13" s="128"/>
      <c r="U13" s="128"/>
      <c r="V13" s="128"/>
      <c r="W13" s="128"/>
    </row>
    <row r="14" spans="1:23">
      <c r="A14" s="14"/>
      <c r="B14" s="87"/>
      <c r="C14" s="88"/>
      <c r="D14" s="24" t="s">
        <v>36</v>
      </c>
      <c r="E14" s="87"/>
      <c r="F14" s="143">
        <f>'Dep Rate'!D25</f>
        <v>2.1917949999999999E-2</v>
      </c>
      <c r="G14" s="90" t="s">
        <v>102</v>
      </c>
      <c r="H14" s="24"/>
      <c r="I14" s="87"/>
      <c r="J14" s="88"/>
      <c r="K14" s="24" t="s">
        <v>94</v>
      </c>
      <c r="L14" s="87"/>
      <c r="M14" s="284" t="s">
        <v>36</v>
      </c>
      <c r="N14" s="25"/>
      <c r="O14" s="25"/>
      <c r="P14" s="25"/>
    </row>
    <row r="15" spans="1:23">
      <c r="A15" s="13"/>
      <c r="B15" s="23" t="s">
        <v>6</v>
      </c>
      <c r="C15" s="24" t="s">
        <v>36</v>
      </c>
      <c r="D15" s="24" t="s">
        <v>93</v>
      </c>
      <c r="E15" s="23" t="s">
        <v>6</v>
      </c>
      <c r="F15" s="24" t="s">
        <v>36</v>
      </c>
      <c r="G15" s="24" t="s">
        <v>93</v>
      </c>
      <c r="H15" s="24"/>
      <c r="I15" s="23" t="s">
        <v>6</v>
      </c>
      <c r="J15" s="24" t="s">
        <v>36</v>
      </c>
      <c r="K15" s="24" t="s">
        <v>95</v>
      </c>
      <c r="L15" s="23" t="s">
        <v>6</v>
      </c>
      <c r="M15" s="284" t="s">
        <v>149</v>
      </c>
      <c r="N15" s="25" t="s">
        <v>37</v>
      </c>
      <c r="O15" s="26">
        <v>0.35</v>
      </c>
      <c r="P15" s="27" t="s">
        <v>16</v>
      </c>
    </row>
    <row r="16" spans="1:23">
      <c r="A16" s="13"/>
      <c r="B16" s="23"/>
      <c r="C16" s="24"/>
      <c r="D16" s="104"/>
      <c r="E16" s="23" t="s">
        <v>91</v>
      </c>
      <c r="F16" s="145" t="s">
        <v>144</v>
      </c>
      <c r="G16" s="145" t="s">
        <v>145</v>
      </c>
      <c r="H16" s="24" t="s">
        <v>100</v>
      </c>
      <c r="I16" s="23"/>
      <c r="J16" s="24"/>
      <c r="K16" s="24"/>
      <c r="L16" s="23"/>
      <c r="M16" s="284"/>
      <c r="N16" s="25"/>
      <c r="O16" s="26"/>
      <c r="P16" s="27" t="s">
        <v>109</v>
      </c>
    </row>
    <row r="17" spans="1:18" ht="13.5" thickBot="1">
      <c r="A17" s="15"/>
      <c r="B17" s="28" t="s">
        <v>25</v>
      </c>
      <c r="C17" s="29" t="s">
        <v>26</v>
      </c>
      <c r="D17" s="29" t="s">
        <v>96</v>
      </c>
      <c r="E17" s="28" t="s">
        <v>38</v>
      </c>
      <c r="F17" s="30" t="s">
        <v>28</v>
      </c>
      <c r="G17" s="30" t="s">
        <v>28</v>
      </c>
      <c r="H17" s="29" t="s">
        <v>101</v>
      </c>
      <c r="I17" s="28" t="s">
        <v>103</v>
      </c>
      <c r="J17" s="29" t="s">
        <v>104</v>
      </c>
      <c r="K17" s="29" t="s">
        <v>105</v>
      </c>
      <c r="L17" s="28" t="s">
        <v>106</v>
      </c>
      <c r="M17" s="285" t="s">
        <v>150</v>
      </c>
      <c r="N17" s="31" t="s">
        <v>107</v>
      </c>
      <c r="O17" s="32" t="s">
        <v>108</v>
      </c>
      <c r="P17" s="33" t="s">
        <v>110</v>
      </c>
    </row>
    <row r="18" spans="1:18" ht="4.9000000000000004" customHeight="1" thickTop="1"/>
    <row r="19" spans="1:18" ht="12.75" customHeight="1" outlineLevel="1">
      <c r="A19" s="144">
        <v>41305</v>
      </c>
      <c r="B19" s="17">
        <v>0</v>
      </c>
      <c r="C19" s="3">
        <v>0</v>
      </c>
      <c r="D19" s="3">
        <f t="shared" ref="D19:D25" si="2">+B19</f>
        <v>0</v>
      </c>
      <c r="E19" s="17">
        <f t="shared" ref="E19:E23" si="3">B19*$B$6/10</f>
        <v>0</v>
      </c>
      <c r="F19" s="77">
        <f t="shared" ref="F19:F22" si="4">C19*F$14/12</f>
        <v>0</v>
      </c>
      <c r="G19" s="77"/>
      <c r="H19" s="89">
        <f t="shared" ref="H19:H25" si="5">F19-G19</f>
        <v>0</v>
      </c>
      <c r="I19" s="3">
        <f t="shared" ref="I19:I25" si="6">I18-E19</f>
        <v>0</v>
      </c>
      <c r="J19" s="3">
        <f t="shared" ref="J19:J25" si="7">J18-F19</f>
        <v>0</v>
      </c>
      <c r="K19" s="3">
        <f t="shared" ref="K19:K25" si="8">K18+H19</f>
        <v>0</v>
      </c>
      <c r="L19" s="3">
        <f t="shared" ref="L19:L25" si="9">B19+I19</f>
        <v>0</v>
      </c>
      <c r="M19" s="17">
        <f t="shared" ref="M19:M25" si="10">D19+J19+K19</f>
        <v>0</v>
      </c>
      <c r="N19" s="17">
        <f t="shared" ref="N19:N25" si="11">M19-L19</f>
        <v>0</v>
      </c>
      <c r="O19" s="17">
        <f t="shared" ref="O19:O25" si="12">-N19*$O$15</f>
        <v>0</v>
      </c>
      <c r="P19" s="3">
        <f t="shared" ref="P19:P25" si="13">-O19+O18</f>
        <v>0</v>
      </c>
    </row>
    <row r="20" spans="1:18" ht="12.75" customHeight="1" outlineLevel="1">
      <c r="A20" s="144">
        <v>41333</v>
      </c>
      <c r="B20" s="18">
        <f>B19+(C20-C19)</f>
        <v>0</v>
      </c>
      <c r="C20" s="18">
        <v>0</v>
      </c>
      <c r="D20" s="18">
        <f t="shared" si="2"/>
        <v>0</v>
      </c>
      <c r="E20" s="18">
        <f t="shared" si="3"/>
        <v>0</v>
      </c>
      <c r="F20" s="78">
        <f t="shared" si="4"/>
        <v>0</v>
      </c>
      <c r="G20" s="78"/>
      <c r="H20" s="78">
        <f t="shared" si="5"/>
        <v>0</v>
      </c>
      <c r="I20" s="18">
        <f t="shared" si="6"/>
        <v>0</v>
      </c>
      <c r="J20" s="18">
        <f t="shared" si="7"/>
        <v>0</v>
      </c>
      <c r="K20" s="18">
        <f t="shared" si="8"/>
        <v>0</v>
      </c>
      <c r="L20" s="18">
        <f t="shared" si="9"/>
        <v>0</v>
      </c>
      <c r="M20" s="18">
        <f t="shared" si="10"/>
        <v>0</v>
      </c>
      <c r="N20" s="18">
        <f t="shared" si="11"/>
        <v>0</v>
      </c>
      <c r="O20" s="18">
        <f t="shared" si="12"/>
        <v>0</v>
      </c>
      <c r="P20" s="18">
        <f t="shared" si="13"/>
        <v>0</v>
      </c>
    </row>
    <row r="21" spans="1:18" s="128" customFormat="1" outlineLevel="1">
      <c r="A21" s="144">
        <v>41364</v>
      </c>
      <c r="B21" s="84"/>
      <c r="C21" s="84"/>
      <c r="D21" s="84">
        <f t="shared" si="2"/>
        <v>0</v>
      </c>
      <c r="E21" s="84">
        <f t="shared" si="3"/>
        <v>0</v>
      </c>
      <c r="F21" s="108">
        <f t="shared" si="4"/>
        <v>0</v>
      </c>
      <c r="G21" s="84"/>
      <c r="H21" s="84">
        <f t="shared" si="5"/>
        <v>0</v>
      </c>
      <c r="I21" s="84">
        <f t="shared" si="6"/>
        <v>0</v>
      </c>
      <c r="J21" s="84">
        <f t="shared" si="7"/>
        <v>0</v>
      </c>
      <c r="K21" s="84">
        <f t="shared" si="8"/>
        <v>0</v>
      </c>
      <c r="L21" s="151">
        <f t="shared" si="9"/>
        <v>0</v>
      </c>
      <c r="M21" s="84">
        <f t="shared" si="10"/>
        <v>0</v>
      </c>
      <c r="N21" s="84">
        <f t="shared" si="11"/>
        <v>0</v>
      </c>
      <c r="O21" s="84">
        <f t="shared" si="12"/>
        <v>0</v>
      </c>
      <c r="P21" s="84">
        <f t="shared" si="13"/>
        <v>0</v>
      </c>
    </row>
    <row r="22" spans="1:18" s="128" customFormat="1" outlineLevel="1">
      <c r="A22" s="144">
        <v>41394</v>
      </c>
      <c r="B22" s="84"/>
      <c r="C22" s="84"/>
      <c r="D22" s="84">
        <f t="shared" si="2"/>
        <v>0</v>
      </c>
      <c r="E22" s="84">
        <f t="shared" si="3"/>
        <v>0</v>
      </c>
      <c r="F22" s="108">
        <f t="shared" si="4"/>
        <v>0</v>
      </c>
      <c r="G22" s="84"/>
      <c r="H22" s="84">
        <f t="shared" si="5"/>
        <v>0</v>
      </c>
      <c r="I22" s="84">
        <f t="shared" si="6"/>
        <v>0</v>
      </c>
      <c r="J22" s="84">
        <f t="shared" si="7"/>
        <v>0</v>
      </c>
      <c r="K22" s="84">
        <f t="shared" si="8"/>
        <v>0</v>
      </c>
      <c r="L22" s="84">
        <f t="shared" si="9"/>
        <v>0</v>
      </c>
      <c r="M22" s="84">
        <f t="shared" si="10"/>
        <v>0</v>
      </c>
      <c r="N22" s="84">
        <f t="shared" si="11"/>
        <v>0</v>
      </c>
      <c r="O22" s="84">
        <f t="shared" si="12"/>
        <v>0</v>
      </c>
      <c r="P22" s="84">
        <f t="shared" si="13"/>
        <v>0</v>
      </c>
      <c r="R22" s="135"/>
    </row>
    <row r="23" spans="1:18" s="128" customFormat="1" outlineLevel="1">
      <c r="A23" s="114">
        <v>41425</v>
      </c>
      <c r="B23" s="84"/>
      <c r="C23" s="84"/>
      <c r="D23" s="84">
        <f t="shared" si="2"/>
        <v>0</v>
      </c>
      <c r="E23" s="108">
        <f t="shared" si="3"/>
        <v>0</v>
      </c>
      <c r="F23" s="108">
        <f>(C23*F$14)/12</f>
        <v>0</v>
      </c>
      <c r="G23" s="84"/>
      <c r="H23" s="84">
        <f t="shared" si="5"/>
        <v>0</v>
      </c>
      <c r="I23" s="84">
        <f t="shared" si="6"/>
        <v>0</v>
      </c>
      <c r="J23" s="84">
        <f t="shared" si="7"/>
        <v>0</v>
      </c>
      <c r="K23" s="84">
        <f t="shared" si="8"/>
        <v>0</v>
      </c>
      <c r="L23" s="84">
        <f t="shared" si="9"/>
        <v>0</v>
      </c>
      <c r="M23" s="84">
        <f t="shared" si="10"/>
        <v>0</v>
      </c>
      <c r="N23" s="84">
        <f t="shared" si="11"/>
        <v>0</v>
      </c>
      <c r="O23" s="84">
        <f t="shared" si="12"/>
        <v>0</v>
      </c>
      <c r="P23" s="84">
        <f t="shared" si="13"/>
        <v>0</v>
      </c>
      <c r="R23" s="135"/>
    </row>
    <row r="24" spans="1:18" s="128" customFormat="1" outlineLevel="1">
      <c r="A24" s="114">
        <v>41455</v>
      </c>
      <c r="B24" s="84"/>
      <c r="C24" s="84"/>
      <c r="D24" s="84">
        <f t="shared" si="2"/>
        <v>0</v>
      </c>
      <c r="E24" s="108">
        <f t="shared" ref="E24" si="14">B24*$B$6/7</f>
        <v>0</v>
      </c>
      <c r="F24" s="108">
        <f>C24*F$14/12*21/30</f>
        <v>0</v>
      </c>
      <c r="G24" s="84">
        <f>D24*F$14/12*21/30</f>
        <v>0</v>
      </c>
      <c r="H24" s="84">
        <f t="shared" si="5"/>
        <v>0</v>
      </c>
      <c r="I24" s="84">
        <f t="shared" si="6"/>
        <v>0</v>
      </c>
      <c r="J24" s="84">
        <f t="shared" si="7"/>
        <v>0</v>
      </c>
      <c r="K24" s="84">
        <f t="shared" si="8"/>
        <v>0</v>
      </c>
      <c r="L24" s="84">
        <f t="shared" si="9"/>
        <v>0</v>
      </c>
      <c r="M24" s="84">
        <f t="shared" si="10"/>
        <v>0</v>
      </c>
      <c r="N24" s="84">
        <f t="shared" si="11"/>
        <v>0</v>
      </c>
      <c r="O24" s="84">
        <f t="shared" si="12"/>
        <v>0</v>
      </c>
      <c r="P24" s="84">
        <f t="shared" si="13"/>
        <v>0</v>
      </c>
      <c r="R24" s="135"/>
    </row>
    <row r="25" spans="1:18" s="128" customFormat="1" outlineLevel="1">
      <c r="A25" s="114">
        <v>41486</v>
      </c>
      <c r="B25" s="151">
        <f>+D3</f>
        <v>80633802.21382606</v>
      </c>
      <c r="C25" s="151">
        <f>+C3</f>
        <v>95194976.911599934</v>
      </c>
      <c r="D25" s="84">
        <f t="shared" si="2"/>
        <v>80633802.21382606</v>
      </c>
      <c r="E25" s="108">
        <f>B25*$B$6/6</f>
        <v>6971464.1497370452</v>
      </c>
      <c r="F25" s="108">
        <f>C25*F$14/12*8/31</f>
        <v>44870.510627948424</v>
      </c>
      <c r="G25" s="84">
        <f>D25*F$14/12*8/31</f>
        <v>38007.046134032869</v>
      </c>
      <c r="H25" s="84">
        <f t="shared" si="5"/>
        <v>6863.4644939155551</v>
      </c>
      <c r="I25" s="84">
        <f t="shared" si="6"/>
        <v>-6971464.1497370452</v>
      </c>
      <c r="J25" s="84">
        <f t="shared" si="7"/>
        <v>-44870.510627948424</v>
      </c>
      <c r="K25" s="84">
        <f t="shared" si="8"/>
        <v>6863.4644939155551</v>
      </c>
      <c r="L25" s="84">
        <f t="shared" si="9"/>
        <v>73662338.064089015</v>
      </c>
      <c r="M25" s="84">
        <f t="shared" si="10"/>
        <v>80595795.167692021</v>
      </c>
      <c r="N25" s="84">
        <f t="shared" si="11"/>
        <v>6933457.1036030054</v>
      </c>
      <c r="O25" s="84">
        <f t="shared" si="12"/>
        <v>-2426709.9862610516</v>
      </c>
      <c r="P25" s="84">
        <f t="shared" si="13"/>
        <v>2426709.9862610516</v>
      </c>
      <c r="R25" s="135"/>
    </row>
    <row r="26" spans="1:18" s="128" customFormat="1">
      <c r="A26" s="114">
        <v>41517</v>
      </c>
      <c r="B26" s="84">
        <f t="shared" ref="B26:B88" si="15">B25</f>
        <v>80633802.21382606</v>
      </c>
      <c r="C26" s="84">
        <f t="shared" ref="C26:C88" si="16">C25</f>
        <v>95194976.911599934</v>
      </c>
      <c r="D26" s="84">
        <f t="shared" ref="D26" si="17">+B26</f>
        <v>80633802.21382606</v>
      </c>
      <c r="E26" s="108">
        <f t="shared" ref="E26:E30" si="18">B26*$B$6/6</f>
        <v>6971464.1497370452</v>
      </c>
      <c r="F26" s="108">
        <f t="shared" ref="F26" si="19">C26*F$14/12</f>
        <v>173873.22868330014</v>
      </c>
      <c r="G26" s="84">
        <f t="shared" ref="G26" si="20">D26*F$14/12</f>
        <v>147277.30376937738</v>
      </c>
      <c r="H26" s="84">
        <f t="shared" ref="H26" si="21">F26-G26</f>
        <v>26595.924913922761</v>
      </c>
      <c r="I26" s="84">
        <f t="shared" ref="I26" si="22">I25-E26</f>
        <v>-13942928.29947409</v>
      </c>
      <c r="J26" s="84">
        <f t="shared" ref="J26" si="23">J25-F26</f>
        <v>-218743.73931124856</v>
      </c>
      <c r="K26" s="84">
        <f t="shared" ref="K26" si="24">K25+H26</f>
        <v>33459.389407838316</v>
      </c>
      <c r="L26" s="84">
        <f t="shared" ref="L26" si="25">B26+I26</f>
        <v>66690873.91435197</v>
      </c>
      <c r="M26" s="84">
        <f t="shared" ref="M26" si="26">D26+J26+K26</f>
        <v>80448517.863922656</v>
      </c>
      <c r="N26" s="84">
        <f t="shared" ref="N26" si="27">M26-L26</f>
        <v>13757643.949570686</v>
      </c>
      <c r="O26" s="84">
        <f t="shared" ref="O26" si="28">-N26*$O$15</f>
        <v>-4815175.3823497398</v>
      </c>
      <c r="P26" s="84">
        <f t="shared" ref="P26" si="29">-O26+O25</f>
        <v>2388465.3960886882</v>
      </c>
      <c r="R26" s="135"/>
    </row>
    <row r="27" spans="1:18" s="128" customFormat="1">
      <c r="A27" s="114">
        <v>41547</v>
      </c>
      <c r="B27" s="84">
        <f t="shared" si="15"/>
        <v>80633802.21382606</v>
      </c>
      <c r="C27" s="84">
        <f t="shared" si="16"/>
        <v>95194976.911599934</v>
      </c>
      <c r="D27" s="84">
        <f t="shared" ref="D27:D72" si="30">+B27</f>
        <v>80633802.21382606</v>
      </c>
      <c r="E27" s="108">
        <f t="shared" si="18"/>
        <v>6971464.1497370452</v>
      </c>
      <c r="F27" s="108">
        <f t="shared" ref="F27:F30" si="31">C27*F$14/12</f>
        <v>173873.22868330014</v>
      </c>
      <c r="G27" s="84">
        <f t="shared" ref="G27:G30" si="32">D27*F$14/12</f>
        <v>147277.30376937738</v>
      </c>
      <c r="H27" s="84">
        <f t="shared" ref="H27:H71" si="33">F27-G27</f>
        <v>26595.924913922761</v>
      </c>
      <c r="I27" s="84">
        <f t="shared" ref="I27:J60" si="34">I26-E27</f>
        <v>-20914392.449211136</v>
      </c>
      <c r="J27" s="84">
        <f t="shared" ref="J27:J42" si="35">J26-F27</f>
        <v>-392616.96799454873</v>
      </c>
      <c r="K27" s="84">
        <f t="shared" ref="K27:K70" si="36">K26+H27</f>
        <v>60055.314321761078</v>
      </c>
      <c r="L27" s="84">
        <f t="shared" ref="L27:L88" si="37">B27+I27</f>
        <v>59719409.764614925</v>
      </c>
      <c r="M27" s="84">
        <f t="shared" ref="M27:M71" si="38">D27+J27+K27</f>
        <v>80301240.560153261</v>
      </c>
      <c r="N27" s="84">
        <f t="shared" ref="N27:N60" si="39">M27-L27</f>
        <v>20581830.795538336</v>
      </c>
      <c r="O27" s="84">
        <f t="shared" ref="O27:O64" si="40">-N27*$O$15</f>
        <v>-7203640.7784384172</v>
      </c>
      <c r="P27" s="84">
        <f t="shared" ref="P27:P28" si="41">-O27+O26</f>
        <v>2388465.3960886775</v>
      </c>
      <c r="R27" s="135"/>
    </row>
    <row r="28" spans="1:18" s="128" customFormat="1">
      <c r="A28" s="114">
        <v>41578</v>
      </c>
      <c r="B28" s="84">
        <f t="shared" si="15"/>
        <v>80633802.21382606</v>
      </c>
      <c r="C28" s="84">
        <f t="shared" si="16"/>
        <v>95194976.911599934</v>
      </c>
      <c r="D28" s="84">
        <f t="shared" si="30"/>
        <v>80633802.21382606</v>
      </c>
      <c r="E28" s="108">
        <f t="shared" si="18"/>
        <v>6971464.1497370452</v>
      </c>
      <c r="F28" s="108">
        <f t="shared" si="31"/>
        <v>173873.22868330014</v>
      </c>
      <c r="G28" s="84">
        <f t="shared" si="32"/>
        <v>147277.30376937738</v>
      </c>
      <c r="H28" s="84">
        <f t="shared" si="33"/>
        <v>26595.924913922761</v>
      </c>
      <c r="I28" s="84">
        <f t="shared" si="34"/>
        <v>-27885856.598948181</v>
      </c>
      <c r="J28" s="84">
        <f t="shared" si="35"/>
        <v>-566490.19667784893</v>
      </c>
      <c r="K28" s="84">
        <f>K27+H28</f>
        <v>86651.239235683839</v>
      </c>
      <c r="L28" s="84">
        <f>B28+I28</f>
        <v>52747945.61487788</v>
      </c>
      <c r="M28" s="84">
        <f t="shared" si="38"/>
        <v>80153963.256383896</v>
      </c>
      <c r="N28" s="84">
        <f t="shared" si="39"/>
        <v>27406017.641506016</v>
      </c>
      <c r="O28" s="84">
        <f t="shared" si="40"/>
        <v>-9592106.1745271049</v>
      </c>
      <c r="P28" s="84">
        <f t="shared" si="41"/>
        <v>2388465.3960886877</v>
      </c>
      <c r="R28" s="135"/>
    </row>
    <row r="29" spans="1:18" s="128" customFormat="1">
      <c r="A29" s="262">
        <v>41608</v>
      </c>
      <c r="B29" s="263">
        <f t="shared" si="15"/>
        <v>80633802.21382606</v>
      </c>
      <c r="C29" s="263">
        <f t="shared" si="16"/>
        <v>95194976.911599934</v>
      </c>
      <c r="D29" s="263">
        <f t="shared" si="30"/>
        <v>80633802.21382606</v>
      </c>
      <c r="E29" s="263">
        <f t="shared" si="18"/>
        <v>6971464.1497370452</v>
      </c>
      <c r="F29" s="264">
        <f t="shared" si="31"/>
        <v>173873.22868330014</v>
      </c>
      <c r="G29" s="263">
        <f t="shared" si="32"/>
        <v>147277.30376937738</v>
      </c>
      <c r="H29" s="263">
        <f t="shared" si="33"/>
        <v>26595.924913922761</v>
      </c>
      <c r="I29" s="263">
        <f t="shared" si="34"/>
        <v>-34857320.748685226</v>
      </c>
      <c r="J29" s="263">
        <f t="shared" si="35"/>
        <v>-740363.42536114901</v>
      </c>
      <c r="K29" s="263">
        <f t="shared" si="36"/>
        <v>113247.1641496066</v>
      </c>
      <c r="L29" s="263">
        <f t="shared" si="37"/>
        <v>45776481.465140834</v>
      </c>
      <c r="M29" s="263">
        <f t="shared" si="38"/>
        <v>80006685.952614516</v>
      </c>
      <c r="N29" s="263">
        <f t="shared" si="39"/>
        <v>34230204.487473682</v>
      </c>
      <c r="O29" s="263">
        <f t="shared" si="40"/>
        <v>-11980571.570615787</v>
      </c>
      <c r="P29" s="265">
        <f t="shared" ref="P29:P71" si="42">-O29+O28</f>
        <v>2388465.3960886821</v>
      </c>
      <c r="R29" s="135"/>
    </row>
    <row r="30" spans="1:18" s="128" customFormat="1">
      <c r="A30" s="266">
        <v>41639</v>
      </c>
      <c r="B30" s="267">
        <f t="shared" si="15"/>
        <v>80633802.21382606</v>
      </c>
      <c r="C30" s="267">
        <f t="shared" si="16"/>
        <v>95194976.911599934</v>
      </c>
      <c r="D30" s="267">
        <f t="shared" si="30"/>
        <v>80633802.21382606</v>
      </c>
      <c r="E30" s="267">
        <f t="shared" si="18"/>
        <v>6971464.1497370452</v>
      </c>
      <c r="F30" s="268">
        <f t="shared" si="31"/>
        <v>173873.22868330014</v>
      </c>
      <c r="G30" s="267">
        <f t="shared" si="32"/>
        <v>147277.30376937738</v>
      </c>
      <c r="H30" s="267">
        <f t="shared" si="33"/>
        <v>26595.924913922761</v>
      </c>
      <c r="I30" s="267">
        <f t="shared" si="34"/>
        <v>-41828784.898422271</v>
      </c>
      <c r="J30" s="267">
        <f t="shared" si="35"/>
        <v>-914236.6540444491</v>
      </c>
      <c r="K30" s="267">
        <f t="shared" si="36"/>
        <v>139843.08906352936</v>
      </c>
      <c r="L30" s="267">
        <f t="shared" si="37"/>
        <v>38805017.315403789</v>
      </c>
      <c r="M30" s="267">
        <f t="shared" si="38"/>
        <v>79859408.648845136</v>
      </c>
      <c r="N30" s="267">
        <f t="shared" si="39"/>
        <v>41054391.333441347</v>
      </c>
      <c r="O30" s="267">
        <f t="shared" si="40"/>
        <v>-14369036.966704471</v>
      </c>
      <c r="P30" s="269">
        <f t="shared" si="42"/>
        <v>2388465.396088684</v>
      </c>
      <c r="R30" s="135"/>
    </row>
    <row r="31" spans="1:18" s="128" customFormat="1">
      <c r="A31" s="266">
        <v>41670</v>
      </c>
      <c r="B31" s="267">
        <f t="shared" si="15"/>
        <v>80633802.21382606</v>
      </c>
      <c r="C31" s="267">
        <f t="shared" si="16"/>
        <v>95194976.911599934</v>
      </c>
      <c r="D31" s="267">
        <f t="shared" si="30"/>
        <v>80633802.21382606</v>
      </c>
      <c r="E31" s="267">
        <f>B31*$C$6/12</f>
        <v>242539.75757567098</v>
      </c>
      <c r="F31" s="268">
        <f t="shared" ref="F31:F42" si="43">C31*F$14/12</f>
        <v>173873.22868330014</v>
      </c>
      <c r="G31" s="267">
        <f t="shared" ref="G31:G42" si="44">D31*F$14/12</f>
        <v>147277.30376937738</v>
      </c>
      <c r="H31" s="267">
        <f t="shared" si="33"/>
        <v>26595.924913922761</v>
      </c>
      <c r="I31" s="267">
        <f t="shared" si="34"/>
        <v>-42071324.655997939</v>
      </c>
      <c r="J31" s="267">
        <f t="shared" si="35"/>
        <v>-1088109.8827277492</v>
      </c>
      <c r="K31" s="267">
        <f t="shared" si="36"/>
        <v>166439.01397745212</v>
      </c>
      <c r="L31" s="267">
        <f t="shared" si="37"/>
        <v>38562477.557828121</v>
      </c>
      <c r="M31" s="267">
        <f t="shared" si="38"/>
        <v>79712131.345075771</v>
      </c>
      <c r="N31" s="267">
        <f t="shared" si="39"/>
        <v>41149653.78724765</v>
      </c>
      <c r="O31" s="267">
        <f t="shared" si="40"/>
        <v>-14402378.825536678</v>
      </c>
      <c r="P31" s="269">
        <f t="shared" si="42"/>
        <v>33341.858832206577</v>
      </c>
      <c r="R31" s="135"/>
    </row>
    <row r="32" spans="1:18" s="128" customFormat="1">
      <c r="A32" s="266">
        <v>41698</v>
      </c>
      <c r="B32" s="267">
        <f t="shared" si="15"/>
        <v>80633802.21382606</v>
      </c>
      <c r="C32" s="267">
        <f t="shared" si="16"/>
        <v>95194976.911599934</v>
      </c>
      <c r="D32" s="267">
        <f t="shared" si="30"/>
        <v>80633802.21382606</v>
      </c>
      <c r="E32" s="267">
        <f t="shared" ref="E32:E42" si="45">B32*$C$6/12</f>
        <v>242539.75757567098</v>
      </c>
      <c r="F32" s="268">
        <f t="shared" si="43"/>
        <v>173873.22868330014</v>
      </c>
      <c r="G32" s="267">
        <f t="shared" si="44"/>
        <v>147277.30376937738</v>
      </c>
      <c r="H32" s="267">
        <f t="shared" si="33"/>
        <v>26595.924913922761</v>
      </c>
      <c r="I32" s="267">
        <f t="shared" si="34"/>
        <v>-42313864.413573608</v>
      </c>
      <c r="J32" s="267">
        <f t="shared" si="35"/>
        <v>-1261983.1114110493</v>
      </c>
      <c r="K32" s="267">
        <f t="shared" si="36"/>
        <v>193034.93889137488</v>
      </c>
      <c r="L32" s="267">
        <f t="shared" si="37"/>
        <v>38319937.800252452</v>
      </c>
      <c r="M32" s="267">
        <f t="shared" si="38"/>
        <v>79564854.041306391</v>
      </c>
      <c r="N32" s="267">
        <f t="shared" si="39"/>
        <v>41244916.241053939</v>
      </c>
      <c r="O32" s="267">
        <f t="shared" si="40"/>
        <v>-14435720.684368879</v>
      </c>
      <c r="P32" s="269">
        <f t="shared" si="42"/>
        <v>33341.858832200989</v>
      </c>
      <c r="R32" s="135"/>
    </row>
    <row r="33" spans="1:18" s="128" customFormat="1">
      <c r="A33" s="266">
        <v>41729</v>
      </c>
      <c r="B33" s="267">
        <f t="shared" si="15"/>
        <v>80633802.21382606</v>
      </c>
      <c r="C33" s="267">
        <f t="shared" si="16"/>
        <v>95194976.911599934</v>
      </c>
      <c r="D33" s="267">
        <f t="shared" si="30"/>
        <v>80633802.21382606</v>
      </c>
      <c r="E33" s="267">
        <f t="shared" si="45"/>
        <v>242539.75757567098</v>
      </c>
      <c r="F33" s="268">
        <f t="shared" si="43"/>
        <v>173873.22868330014</v>
      </c>
      <c r="G33" s="267">
        <f t="shared" si="44"/>
        <v>147277.30376937738</v>
      </c>
      <c r="H33" s="267">
        <f t="shared" si="33"/>
        <v>26595.924913922761</v>
      </c>
      <c r="I33" s="267">
        <f t="shared" si="34"/>
        <v>-42556404.171149276</v>
      </c>
      <c r="J33" s="267">
        <f t="shared" si="35"/>
        <v>-1435856.3400943493</v>
      </c>
      <c r="K33" s="267">
        <f>K32+H33</f>
        <v>219630.86380529765</v>
      </c>
      <c r="L33" s="267">
        <f t="shared" si="37"/>
        <v>38077398.042676784</v>
      </c>
      <c r="M33" s="267">
        <f t="shared" si="38"/>
        <v>79417576.737537012</v>
      </c>
      <c r="N33" s="267">
        <f t="shared" si="39"/>
        <v>41340178.694860227</v>
      </c>
      <c r="O33" s="267">
        <f t="shared" si="40"/>
        <v>-14469062.54320108</v>
      </c>
      <c r="P33" s="269">
        <f t="shared" si="42"/>
        <v>33341.858832200989</v>
      </c>
      <c r="R33" s="135"/>
    </row>
    <row r="34" spans="1:18" s="128" customFormat="1">
      <c r="A34" s="266">
        <v>41759</v>
      </c>
      <c r="B34" s="267">
        <f t="shared" si="15"/>
        <v>80633802.21382606</v>
      </c>
      <c r="C34" s="267">
        <f t="shared" si="16"/>
        <v>95194976.911599934</v>
      </c>
      <c r="D34" s="267">
        <f t="shared" si="30"/>
        <v>80633802.21382606</v>
      </c>
      <c r="E34" s="267">
        <f t="shared" si="45"/>
        <v>242539.75757567098</v>
      </c>
      <c r="F34" s="268">
        <f t="shared" si="43"/>
        <v>173873.22868330014</v>
      </c>
      <c r="G34" s="267">
        <f t="shared" si="44"/>
        <v>147277.30376937738</v>
      </c>
      <c r="H34" s="267">
        <f t="shared" si="33"/>
        <v>26595.924913922761</v>
      </c>
      <c r="I34" s="267">
        <f t="shared" si="34"/>
        <v>-42798943.928724945</v>
      </c>
      <c r="J34" s="267">
        <f t="shared" si="35"/>
        <v>-1609729.5687776494</v>
      </c>
      <c r="K34" s="267">
        <f t="shared" si="36"/>
        <v>246226.78871922041</v>
      </c>
      <c r="L34" s="267">
        <f t="shared" si="37"/>
        <v>37834858.285101116</v>
      </c>
      <c r="M34" s="267">
        <f t="shared" si="38"/>
        <v>79270299.433767632</v>
      </c>
      <c r="N34" s="267">
        <f t="shared" si="39"/>
        <v>41435441.148666516</v>
      </c>
      <c r="O34" s="267">
        <f t="shared" si="40"/>
        <v>-14502404.402033281</v>
      </c>
      <c r="P34" s="269">
        <f t="shared" si="42"/>
        <v>33341.858832200989</v>
      </c>
      <c r="R34" s="135"/>
    </row>
    <row r="35" spans="1:18" s="128" customFormat="1">
      <c r="A35" s="266">
        <v>41790</v>
      </c>
      <c r="B35" s="267">
        <f t="shared" si="15"/>
        <v>80633802.21382606</v>
      </c>
      <c r="C35" s="267">
        <f t="shared" si="16"/>
        <v>95194976.911599934</v>
      </c>
      <c r="D35" s="267">
        <f t="shared" si="30"/>
        <v>80633802.21382606</v>
      </c>
      <c r="E35" s="267">
        <f t="shared" si="45"/>
        <v>242539.75757567098</v>
      </c>
      <c r="F35" s="268">
        <f t="shared" si="43"/>
        <v>173873.22868330014</v>
      </c>
      <c r="G35" s="267">
        <f t="shared" si="44"/>
        <v>147277.30376937738</v>
      </c>
      <c r="H35" s="267">
        <f t="shared" si="33"/>
        <v>26595.924913922761</v>
      </c>
      <c r="I35" s="267">
        <f t="shared" si="34"/>
        <v>-43041483.686300613</v>
      </c>
      <c r="J35" s="267">
        <f t="shared" si="35"/>
        <v>-1783602.7974609495</v>
      </c>
      <c r="K35" s="267">
        <f>K34+H35</f>
        <v>272822.71363314317</v>
      </c>
      <c r="L35" s="267">
        <f t="shared" si="37"/>
        <v>37592318.527525447</v>
      </c>
      <c r="M35" s="267">
        <f t="shared" si="38"/>
        <v>79123022.129998267</v>
      </c>
      <c r="N35" s="267">
        <f t="shared" si="39"/>
        <v>41530703.602472819</v>
      </c>
      <c r="O35" s="267">
        <f t="shared" si="40"/>
        <v>-14535746.260865485</v>
      </c>
      <c r="P35" s="269">
        <f t="shared" si="42"/>
        <v>33341.858832204714</v>
      </c>
      <c r="R35" s="135"/>
    </row>
    <row r="36" spans="1:18" s="128" customFormat="1">
      <c r="A36" s="266">
        <v>41820</v>
      </c>
      <c r="B36" s="267">
        <f t="shared" si="15"/>
        <v>80633802.21382606</v>
      </c>
      <c r="C36" s="267">
        <f t="shared" si="16"/>
        <v>95194976.911599934</v>
      </c>
      <c r="D36" s="267">
        <f t="shared" si="30"/>
        <v>80633802.21382606</v>
      </c>
      <c r="E36" s="267">
        <f t="shared" si="45"/>
        <v>242539.75757567098</v>
      </c>
      <c r="F36" s="268">
        <f t="shared" si="43"/>
        <v>173873.22868330014</v>
      </c>
      <c r="G36" s="267">
        <f t="shared" si="44"/>
        <v>147277.30376937738</v>
      </c>
      <c r="H36" s="267">
        <f t="shared" si="33"/>
        <v>26595.924913922761</v>
      </c>
      <c r="I36" s="267">
        <f t="shared" si="34"/>
        <v>-43284023.443876281</v>
      </c>
      <c r="J36" s="267">
        <f t="shared" si="35"/>
        <v>-1957476.0261442496</v>
      </c>
      <c r="K36" s="267">
        <f t="shared" si="36"/>
        <v>299418.6385470659</v>
      </c>
      <c r="L36" s="267">
        <f t="shared" si="37"/>
        <v>37349778.769949779</v>
      </c>
      <c r="M36" s="267">
        <f t="shared" si="38"/>
        <v>78975744.826228872</v>
      </c>
      <c r="N36" s="267">
        <f t="shared" si="39"/>
        <v>41625966.056279093</v>
      </c>
      <c r="O36" s="267">
        <f t="shared" si="40"/>
        <v>-14569088.119697683</v>
      </c>
      <c r="P36" s="269">
        <f t="shared" si="42"/>
        <v>33341.858832197264</v>
      </c>
      <c r="R36" s="135"/>
    </row>
    <row r="37" spans="1:18" s="128" customFormat="1">
      <c r="A37" s="266">
        <v>41851</v>
      </c>
      <c r="B37" s="267">
        <f t="shared" si="15"/>
        <v>80633802.21382606</v>
      </c>
      <c r="C37" s="267">
        <f t="shared" si="16"/>
        <v>95194976.911599934</v>
      </c>
      <c r="D37" s="267">
        <f t="shared" si="30"/>
        <v>80633802.21382606</v>
      </c>
      <c r="E37" s="268">
        <f>B37*$C$6/12</f>
        <v>242539.75757567098</v>
      </c>
      <c r="F37" s="268">
        <f t="shared" si="43"/>
        <v>173873.22868330014</v>
      </c>
      <c r="G37" s="267">
        <f t="shared" si="44"/>
        <v>147277.30376937738</v>
      </c>
      <c r="H37" s="267">
        <f t="shared" si="33"/>
        <v>26595.924913922761</v>
      </c>
      <c r="I37" s="267">
        <f t="shared" si="34"/>
        <v>-43526563.20145195</v>
      </c>
      <c r="J37" s="267">
        <f t="shared" si="35"/>
        <v>-2131349.2548275497</v>
      </c>
      <c r="K37" s="267">
        <f t="shared" si="36"/>
        <v>326014.56346098869</v>
      </c>
      <c r="L37" s="267">
        <f t="shared" si="37"/>
        <v>37107239.012374111</v>
      </c>
      <c r="M37" s="267">
        <f t="shared" si="38"/>
        <v>78828467.522459507</v>
      </c>
      <c r="N37" s="267">
        <f t="shared" si="39"/>
        <v>41721228.510085396</v>
      </c>
      <c r="O37" s="267">
        <f t="shared" si="40"/>
        <v>-14602429.978529887</v>
      </c>
      <c r="P37" s="269">
        <f t="shared" si="42"/>
        <v>33341.858832204714</v>
      </c>
      <c r="R37" s="135"/>
    </row>
    <row r="38" spans="1:18" s="128" customFormat="1">
      <c r="A38" s="266">
        <v>41882</v>
      </c>
      <c r="B38" s="267">
        <f t="shared" si="15"/>
        <v>80633802.21382606</v>
      </c>
      <c r="C38" s="267">
        <f t="shared" si="16"/>
        <v>95194976.911599934</v>
      </c>
      <c r="D38" s="267">
        <f t="shared" si="30"/>
        <v>80633802.21382606</v>
      </c>
      <c r="E38" s="268">
        <f t="shared" si="45"/>
        <v>242539.75757567098</v>
      </c>
      <c r="F38" s="268">
        <f t="shared" si="43"/>
        <v>173873.22868330014</v>
      </c>
      <c r="G38" s="267">
        <f t="shared" si="44"/>
        <v>147277.30376937738</v>
      </c>
      <c r="H38" s="267">
        <f t="shared" si="33"/>
        <v>26595.924913922761</v>
      </c>
      <c r="I38" s="267">
        <f t="shared" si="34"/>
        <v>-43769102.959027618</v>
      </c>
      <c r="J38" s="267">
        <f t="shared" si="35"/>
        <v>-2305222.48351085</v>
      </c>
      <c r="K38" s="267">
        <f t="shared" si="36"/>
        <v>352610.48837491148</v>
      </c>
      <c r="L38" s="267">
        <f t="shared" si="37"/>
        <v>36864699.254798442</v>
      </c>
      <c r="M38" s="267">
        <f t="shared" si="38"/>
        <v>78681190.218690127</v>
      </c>
      <c r="N38" s="267">
        <f t="shared" si="39"/>
        <v>41816490.963891685</v>
      </c>
      <c r="O38" s="267">
        <f t="shared" si="40"/>
        <v>-14635771.837362088</v>
      </c>
      <c r="P38" s="269">
        <f t="shared" si="42"/>
        <v>33341.858832200989</v>
      </c>
      <c r="R38" s="135"/>
    </row>
    <row r="39" spans="1:18" s="128" customFormat="1">
      <c r="A39" s="266">
        <v>41912</v>
      </c>
      <c r="B39" s="267">
        <f t="shared" si="15"/>
        <v>80633802.21382606</v>
      </c>
      <c r="C39" s="267">
        <f t="shared" si="16"/>
        <v>95194976.911599934</v>
      </c>
      <c r="D39" s="267">
        <f t="shared" si="30"/>
        <v>80633802.21382606</v>
      </c>
      <c r="E39" s="268">
        <f t="shared" si="45"/>
        <v>242539.75757567098</v>
      </c>
      <c r="F39" s="268">
        <f t="shared" si="43"/>
        <v>173873.22868330014</v>
      </c>
      <c r="G39" s="267">
        <f t="shared" si="44"/>
        <v>147277.30376937738</v>
      </c>
      <c r="H39" s="267">
        <f t="shared" si="33"/>
        <v>26595.924913922761</v>
      </c>
      <c r="I39" s="267">
        <f t="shared" si="34"/>
        <v>-44011642.716603287</v>
      </c>
      <c r="J39" s="267">
        <f t="shared" si="35"/>
        <v>-2479095.7121941503</v>
      </c>
      <c r="K39" s="267">
        <f t="shared" si="36"/>
        <v>379206.41328883427</v>
      </c>
      <c r="L39" s="267">
        <f t="shared" si="37"/>
        <v>36622159.497222774</v>
      </c>
      <c r="M39" s="267">
        <f t="shared" si="38"/>
        <v>78533912.914920747</v>
      </c>
      <c r="N39" s="267">
        <f t="shared" si="39"/>
        <v>41911753.417697974</v>
      </c>
      <c r="O39" s="267">
        <f t="shared" si="40"/>
        <v>-14669113.696194289</v>
      </c>
      <c r="P39" s="269">
        <f t="shared" si="42"/>
        <v>33341.858832200989</v>
      </c>
      <c r="R39" s="135"/>
    </row>
    <row r="40" spans="1:18" s="128" customFormat="1">
      <c r="A40" s="270">
        <v>41943</v>
      </c>
      <c r="B40" s="271">
        <f t="shared" si="15"/>
        <v>80633802.21382606</v>
      </c>
      <c r="C40" s="271">
        <f t="shared" si="16"/>
        <v>95194976.911599934</v>
      </c>
      <c r="D40" s="271">
        <f t="shared" si="30"/>
        <v>80633802.21382606</v>
      </c>
      <c r="E40" s="272">
        <f t="shared" si="45"/>
        <v>242539.75757567098</v>
      </c>
      <c r="F40" s="272">
        <f t="shared" si="43"/>
        <v>173873.22868330014</v>
      </c>
      <c r="G40" s="271">
        <f t="shared" si="44"/>
        <v>147277.30376937738</v>
      </c>
      <c r="H40" s="271">
        <f t="shared" si="33"/>
        <v>26595.924913922761</v>
      </c>
      <c r="I40" s="271">
        <f t="shared" si="34"/>
        <v>-44254182.474178955</v>
      </c>
      <c r="J40" s="271">
        <f t="shared" si="35"/>
        <v>-2652968.9408774506</v>
      </c>
      <c r="K40" s="271">
        <f t="shared" si="36"/>
        <v>405802.33820275706</v>
      </c>
      <c r="L40" s="271">
        <f t="shared" si="37"/>
        <v>36379619.739647105</v>
      </c>
      <c r="M40" s="271">
        <f t="shared" si="38"/>
        <v>78386635.611151367</v>
      </c>
      <c r="N40" s="271">
        <f t="shared" si="39"/>
        <v>42007015.871504262</v>
      </c>
      <c r="O40" s="271">
        <f t="shared" si="40"/>
        <v>-14702455.55502649</v>
      </c>
      <c r="P40" s="273">
        <f t="shared" si="42"/>
        <v>33341.858832200989</v>
      </c>
      <c r="R40" s="135"/>
    </row>
    <row r="41" spans="1:18" s="128" customFormat="1">
      <c r="A41" s="114">
        <v>41973</v>
      </c>
      <c r="B41" s="84">
        <f t="shared" si="15"/>
        <v>80633802.21382606</v>
      </c>
      <c r="C41" s="84">
        <f t="shared" si="16"/>
        <v>95194976.911599934</v>
      </c>
      <c r="D41" s="84">
        <f t="shared" si="30"/>
        <v>80633802.21382606</v>
      </c>
      <c r="E41" s="108">
        <f t="shared" si="45"/>
        <v>242539.75757567098</v>
      </c>
      <c r="F41" s="108">
        <f t="shared" si="43"/>
        <v>173873.22868330014</v>
      </c>
      <c r="G41" s="84">
        <f t="shared" si="44"/>
        <v>147277.30376937738</v>
      </c>
      <c r="H41" s="84">
        <f t="shared" si="33"/>
        <v>26595.924913922761</v>
      </c>
      <c r="I41" s="84">
        <f t="shared" si="34"/>
        <v>-44496722.231754623</v>
      </c>
      <c r="J41" s="84">
        <f t="shared" si="35"/>
        <v>-2826842.1695607509</v>
      </c>
      <c r="K41" s="84">
        <f t="shared" si="36"/>
        <v>432398.26311667985</v>
      </c>
      <c r="L41" s="84">
        <f t="shared" si="37"/>
        <v>36137079.982071437</v>
      </c>
      <c r="M41" s="84">
        <f t="shared" si="38"/>
        <v>78239358.307381988</v>
      </c>
      <c r="N41" s="84">
        <f t="shared" si="39"/>
        <v>42102278.325310551</v>
      </c>
      <c r="O41" s="84">
        <f t="shared" si="40"/>
        <v>-14735797.413858691</v>
      </c>
      <c r="P41" s="84">
        <f t="shared" si="42"/>
        <v>33341.858832200989</v>
      </c>
      <c r="R41" s="135"/>
    </row>
    <row r="42" spans="1:18" s="128" customFormat="1">
      <c r="A42" s="114">
        <v>42004</v>
      </c>
      <c r="B42" s="84">
        <f t="shared" si="15"/>
        <v>80633802.21382606</v>
      </c>
      <c r="C42" s="84">
        <f t="shared" si="16"/>
        <v>95194976.911599934</v>
      </c>
      <c r="D42" s="84">
        <f t="shared" si="30"/>
        <v>80633802.21382606</v>
      </c>
      <c r="E42" s="108">
        <f t="shared" si="45"/>
        <v>242539.75757567098</v>
      </c>
      <c r="F42" s="108">
        <f t="shared" si="43"/>
        <v>173873.22868330014</v>
      </c>
      <c r="G42" s="84">
        <f t="shared" si="44"/>
        <v>147277.30376937738</v>
      </c>
      <c r="H42" s="84">
        <f t="shared" si="33"/>
        <v>26595.924913922761</v>
      </c>
      <c r="I42" s="84">
        <f t="shared" si="34"/>
        <v>-44739261.989330292</v>
      </c>
      <c r="J42" s="84">
        <f t="shared" si="35"/>
        <v>-3000715.3982440513</v>
      </c>
      <c r="K42" s="84">
        <f t="shared" si="36"/>
        <v>458994.18803060264</v>
      </c>
      <c r="L42" s="84">
        <f t="shared" si="37"/>
        <v>35894540.224495769</v>
      </c>
      <c r="M42" s="84">
        <f t="shared" si="38"/>
        <v>78092081.003612608</v>
      </c>
      <c r="N42" s="84">
        <f t="shared" si="39"/>
        <v>42197540.779116839</v>
      </c>
      <c r="O42" s="84">
        <f t="shared" si="40"/>
        <v>-14769139.272690892</v>
      </c>
      <c r="P42" s="84">
        <f t="shared" si="42"/>
        <v>33341.858832200989</v>
      </c>
      <c r="R42" s="135"/>
    </row>
    <row r="43" spans="1:18" s="128" customFormat="1">
      <c r="A43" s="153" t="s">
        <v>70</v>
      </c>
      <c r="B43" s="84">
        <f t="shared" si="15"/>
        <v>80633802.21382606</v>
      </c>
      <c r="C43" s="84">
        <f t="shared" si="16"/>
        <v>95194976.911599934</v>
      </c>
      <c r="D43" s="84">
        <f t="shared" si="30"/>
        <v>80633802.21382606</v>
      </c>
      <c r="E43" s="84">
        <f>$D$6*B43</f>
        <v>2691959.486908583</v>
      </c>
      <c r="F43" s="84">
        <f>C43*$F$14</f>
        <v>2086478.7441996017</v>
      </c>
      <c r="G43" s="84">
        <f>D43*F$14</f>
        <v>1767327.6452325287</v>
      </c>
      <c r="H43" s="84">
        <f>F43-G43</f>
        <v>319151.09896707302</v>
      </c>
      <c r="I43" s="84">
        <f t="shared" si="34"/>
        <v>-47431221.476238877</v>
      </c>
      <c r="J43" s="84">
        <f>J42-F43</f>
        <v>-5087194.1424436532</v>
      </c>
      <c r="K43" s="84">
        <f>K42+H43</f>
        <v>778145.28699767566</v>
      </c>
      <c r="L43" s="84">
        <f t="shared" si="37"/>
        <v>33202580.737587184</v>
      </c>
      <c r="M43" s="84">
        <f t="shared" si="38"/>
        <v>76324753.358380079</v>
      </c>
      <c r="N43" s="84">
        <f t="shared" si="39"/>
        <v>43122172.620792896</v>
      </c>
      <c r="O43" s="84">
        <f t="shared" si="40"/>
        <v>-15092760.417277513</v>
      </c>
      <c r="P43" s="84">
        <f t="shared" si="42"/>
        <v>323621.14458662085</v>
      </c>
      <c r="R43" s="135"/>
    </row>
    <row r="44" spans="1:18" s="128" customFormat="1">
      <c r="A44" s="153" t="s">
        <v>71</v>
      </c>
      <c r="B44" s="84">
        <f t="shared" si="15"/>
        <v>80633802.21382606</v>
      </c>
      <c r="C44" s="84">
        <f t="shared" si="16"/>
        <v>95194976.911599934</v>
      </c>
      <c r="D44" s="84">
        <f t="shared" si="30"/>
        <v>80633802.21382606</v>
      </c>
      <c r="E44" s="84">
        <f>$E$6*B44</f>
        <v>2490374.9813740179</v>
      </c>
      <c r="F44" s="84">
        <f t="shared" ref="F44:F69" si="46">C44*F$14</f>
        <v>2086478.7441996017</v>
      </c>
      <c r="G44" s="84">
        <f t="shared" ref="G44:G70" si="47">D44*F$14</f>
        <v>1767327.6452325287</v>
      </c>
      <c r="H44" s="84">
        <f t="shared" si="33"/>
        <v>319151.09896707302</v>
      </c>
      <c r="I44" s="84">
        <f t="shared" si="34"/>
        <v>-49921596.457612894</v>
      </c>
      <c r="J44" s="84">
        <f t="shared" si="34"/>
        <v>-7173672.8866432551</v>
      </c>
      <c r="K44" s="84">
        <f t="shared" si="36"/>
        <v>1097296.3859647487</v>
      </c>
      <c r="L44" s="84">
        <f t="shared" si="37"/>
        <v>30712205.756213166</v>
      </c>
      <c r="M44" s="84">
        <f t="shared" si="38"/>
        <v>74557425.713147551</v>
      </c>
      <c r="N44" s="84">
        <f t="shared" si="39"/>
        <v>43845219.956934385</v>
      </c>
      <c r="O44" s="84">
        <f t="shared" si="40"/>
        <v>-15345826.984927034</v>
      </c>
      <c r="P44" s="84">
        <f t="shared" si="42"/>
        <v>253066.56764952093</v>
      </c>
      <c r="R44" s="135"/>
    </row>
    <row r="45" spans="1:18" s="128" customFormat="1">
      <c r="A45" s="153" t="s">
        <v>72</v>
      </c>
      <c r="B45" s="84">
        <f t="shared" si="15"/>
        <v>80633802.21382606</v>
      </c>
      <c r="C45" s="84">
        <f t="shared" si="16"/>
        <v>95194976.911599934</v>
      </c>
      <c r="D45" s="84">
        <f t="shared" si="30"/>
        <v>80633802.21382606</v>
      </c>
      <c r="E45" s="84">
        <f>$F$6*B45</f>
        <v>2303304.5602379413</v>
      </c>
      <c r="F45" s="84">
        <f t="shared" si="46"/>
        <v>2086478.7441996017</v>
      </c>
      <c r="G45" s="84">
        <f>D45*F$14</f>
        <v>1767327.6452325287</v>
      </c>
      <c r="H45" s="84">
        <f t="shared" si="33"/>
        <v>319151.09896707302</v>
      </c>
      <c r="I45" s="84">
        <f t="shared" si="34"/>
        <v>-52224901.017850839</v>
      </c>
      <c r="J45" s="84">
        <f t="shared" si="34"/>
        <v>-9260151.6308428571</v>
      </c>
      <c r="K45" s="84">
        <f t="shared" si="36"/>
        <v>1416447.4849318217</v>
      </c>
      <c r="L45" s="84">
        <f t="shared" si="37"/>
        <v>28408901.195975222</v>
      </c>
      <c r="M45" s="84">
        <f t="shared" si="38"/>
        <v>72790098.067915022</v>
      </c>
      <c r="N45" s="84">
        <f t="shared" si="39"/>
        <v>44381196.871939801</v>
      </c>
      <c r="O45" s="84">
        <f t="shared" si="40"/>
        <v>-15533418.905178929</v>
      </c>
      <c r="P45" s="84">
        <f t="shared" si="42"/>
        <v>187591.92025189474</v>
      </c>
      <c r="R45" s="135"/>
    </row>
    <row r="46" spans="1:18" s="128" customFormat="1">
      <c r="A46" s="153" t="s">
        <v>73</v>
      </c>
      <c r="B46" s="84">
        <f t="shared" si="15"/>
        <v>80633802.21382606</v>
      </c>
      <c r="C46" s="84">
        <f t="shared" si="16"/>
        <v>95194976.911599934</v>
      </c>
      <c r="D46" s="84">
        <f t="shared" si="30"/>
        <v>80633802.21382606</v>
      </c>
      <c r="E46" s="84">
        <f>$G$6*B46</f>
        <v>2130748.2235003537</v>
      </c>
      <c r="F46" s="84">
        <f t="shared" si="46"/>
        <v>2086478.7441996017</v>
      </c>
      <c r="G46" s="84">
        <f t="shared" si="47"/>
        <v>1767327.6452325287</v>
      </c>
      <c r="H46" s="84">
        <f t="shared" si="33"/>
        <v>319151.09896707302</v>
      </c>
      <c r="I46" s="84">
        <f t="shared" si="34"/>
        <v>-54355649.241351195</v>
      </c>
      <c r="J46" s="84">
        <f t="shared" si="34"/>
        <v>-11346630.375042459</v>
      </c>
      <c r="K46" s="84">
        <f t="shared" si="36"/>
        <v>1735598.5838988947</v>
      </c>
      <c r="L46" s="84">
        <f t="shared" si="37"/>
        <v>26278152.972474866</v>
      </c>
      <c r="M46" s="84">
        <f t="shared" si="38"/>
        <v>71022770.422682509</v>
      </c>
      <c r="N46" s="84">
        <f t="shared" si="39"/>
        <v>44744617.450207643</v>
      </c>
      <c r="O46" s="84">
        <f t="shared" si="40"/>
        <v>-15660616.107572675</v>
      </c>
      <c r="P46" s="84">
        <f t="shared" si="42"/>
        <v>127197.202393746</v>
      </c>
      <c r="R46" s="135"/>
    </row>
    <row r="47" spans="1:18" s="128" customFormat="1">
      <c r="A47" s="153" t="s">
        <v>74</v>
      </c>
      <c r="B47" s="84">
        <f t="shared" si="15"/>
        <v>80633802.21382606</v>
      </c>
      <c r="C47" s="84">
        <f t="shared" si="16"/>
        <v>95194976.911599934</v>
      </c>
      <c r="D47" s="84">
        <f t="shared" si="30"/>
        <v>80633802.21382606</v>
      </c>
      <c r="E47" s="84">
        <f>$H$6*B47</f>
        <v>1970690.126105909</v>
      </c>
      <c r="F47" s="84">
        <f t="shared" si="46"/>
        <v>2086478.7441996017</v>
      </c>
      <c r="G47" s="84">
        <f t="shared" si="47"/>
        <v>1767327.6452325287</v>
      </c>
      <c r="H47" s="84">
        <f t="shared" si="33"/>
        <v>319151.09896707302</v>
      </c>
      <c r="I47" s="84">
        <f t="shared" si="34"/>
        <v>-56326339.367457107</v>
      </c>
      <c r="J47" s="84">
        <f t="shared" si="34"/>
        <v>-13433109.119242061</v>
      </c>
      <c r="K47" s="84">
        <f t="shared" si="36"/>
        <v>2054749.6828659677</v>
      </c>
      <c r="L47" s="84">
        <f t="shared" si="37"/>
        <v>24307462.846368954</v>
      </c>
      <c r="M47" s="84">
        <f t="shared" si="38"/>
        <v>69255442.777449965</v>
      </c>
      <c r="N47" s="84">
        <f t="shared" si="39"/>
        <v>44947979.931081012</v>
      </c>
      <c r="O47" s="84">
        <f t="shared" si="40"/>
        <v>-15731792.975878352</v>
      </c>
      <c r="P47" s="84">
        <f t="shared" si="42"/>
        <v>71176.868305677548</v>
      </c>
      <c r="R47" s="135"/>
    </row>
    <row r="48" spans="1:18" s="128" customFormat="1">
      <c r="A48" s="153" t="s">
        <v>75</v>
      </c>
      <c r="B48" s="84">
        <f t="shared" si="15"/>
        <v>80633802.21382606</v>
      </c>
      <c r="C48" s="84">
        <f t="shared" si="16"/>
        <v>95194976.911599934</v>
      </c>
      <c r="D48" s="84">
        <f t="shared" si="30"/>
        <v>80633802.21382606</v>
      </c>
      <c r="E48" s="84">
        <f>$I$6*B48</f>
        <v>1823130.2680546073</v>
      </c>
      <c r="F48" s="84">
        <f t="shared" si="46"/>
        <v>2086478.7441996017</v>
      </c>
      <c r="G48" s="84">
        <f t="shared" si="47"/>
        <v>1767327.6452325287</v>
      </c>
      <c r="H48" s="84">
        <f t="shared" si="33"/>
        <v>319151.09896707302</v>
      </c>
      <c r="I48" s="84">
        <f t="shared" si="34"/>
        <v>-58149469.635511711</v>
      </c>
      <c r="J48" s="84">
        <f t="shared" si="34"/>
        <v>-15519587.863441663</v>
      </c>
      <c r="K48" s="84">
        <f>K47+H48</f>
        <v>2373900.7818330405</v>
      </c>
      <c r="L48" s="84">
        <f t="shared" si="37"/>
        <v>22484332.578314349</v>
      </c>
      <c r="M48" s="84">
        <f t="shared" si="38"/>
        <v>67488115.132217437</v>
      </c>
      <c r="N48" s="84">
        <f t="shared" si="39"/>
        <v>45003782.553903088</v>
      </c>
      <c r="O48" s="84">
        <f t="shared" si="40"/>
        <v>-15751323.893866079</v>
      </c>
      <c r="P48" s="84">
        <f t="shared" si="42"/>
        <v>19530.917987726629</v>
      </c>
      <c r="R48" s="135"/>
    </row>
    <row r="49" spans="1:18" s="128" customFormat="1">
      <c r="A49" s="153" t="s">
        <v>76</v>
      </c>
      <c r="B49" s="84">
        <f t="shared" si="15"/>
        <v>80633802.21382606</v>
      </c>
      <c r="C49" s="84">
        <f t="shared" si="16"/>
        <v>95194976.911599934</v>
      </c>
      <c r="D49" s="84">
        <f t="shared" si="30"/>
        <v>80633802.21382606</v>
      </c>
      <c r="E49" s="84">
        <f>$J$6*B49</f>
        <v>1798940.1273904594</v>
      </c>
      <c r="F49" s="84">
        <f t="shared" si="46"/>
        <v>2086478.7441996017</v>
      </c>
      <c r="G49" s="84">
        <f t="shared" si="47"/>
        <v>1767327.6452325287</v>
      </c>
      <c r="H49" s="84">
        <f t="shared" si="33"/>
        <v>319151.09896707302</v>
      </c>
      <c r="I49" s="84">
        <f t="shared" si="34"/>
        <v>-59948409.76290217</v>
      </c>
      <c r="J49" s="84">
        <f t="shared" si="34"/>
        <v>-17606066.607641265</v>
      </c>
      <c r="K49" s="84">
        <f t="shared" si="36"/>
        <v>2693051.8808001135</v>
      </c>
      <c r="L49" s="84">
        <f t="shared" si="37"/>
        <v>20685392.45092389</v>
      </c>
      <c r="M49" s="84">
        <f t="shared" si="38"/>
        <v>65720787.486984909</v>
      </c>
      <c r="N49" s="84">
        <f t="shared" si="39"/>
        <v>45035395.036061019</v>
      </c>
      <c r="O49" s="84">
        <f t="shared" si="40"/>
        <v>-15762388.262621356</v>
      </c>
      <c r="P49" s="84">
        <f t="shared" si="42"/>
        <v>11064.368755277246</v>
      </c>
      <c r="R49" s="135"/>
    </row>
    <row r="50" spans="1:18" s="128" customFormat="1">
      <c r="A50" s="153" t="s">
        <v>77</v>
      </c>
      <c r="B50" s="84">
        <f t="shared" si="15"/>
        <v>80633802.21382606</v>
      </c>
      <c r="C50" s="84">
        <f t="shared" si="16"/>
        <v>95194976.911599934</v>
      </c>
      <c r="D50" s="84">
        <f t="shared" si="30"/>
        <v>80633802.21382606</v>
      </c>
      <c r="E50" s="84">
        <f>$K$6*B50</f>
        <v>1798536.9583793904</v>
      </c>
      <c r="F50" s="84">
        <f t="shared" si="46"/>
        <v>2086478.7441996017</v>
      </c>
      <c r="G50" s="84">
        <f t="shared" si="47"/>
        <v>1767327.6452325287</v>
      </c>
      <c r="H50" s="84">
        <f t="shared" si="33"/>
        <v>319151.09896707302</v>
      </c>
      <c r="I50" s="84">
        <f t="shared" si="34"/>
        <v>-61746946.721281558</v>
      </c>
      <c r="J50" s="84">
        <f t="shared" si="34"/>
        <v>-19692545.351840865</v>
      </c>
      <c r="K50" s="84">
        <f t="shared" si="36"/>
        <v>3012202.9797671866</v>
      </c>
      <c r="L50" s="84">
        <f t="shared" si="37"/>
        <v>18886855.492544502</v>
      </c>
      <c r="M50" s="84">
        <f t="shared" si="38"/>
        <v>63953459.84175238</v>
      </c>
      <c r="N50" s="84">
        <f t="shared" si="39"/>
        <v>45066604.349207878</v>
      </c>
      <c r="O50" s="84">
        <f t="shared" si="40"/>
        <v>-15773311.522222755</v>
      </c>
      <c r="P50" s="84">
        <f t="shared" si="42"/>
        <v>10923.259601399302</v>
      </c>
      <c r="R50" s="135"/>
    </row>
    <row r="51" spans="1:18" s="128" customFormat="1">
      <c r="A51" s="153" t="s">
        <v>78</v>
      </c>
      <c r="B51" s="84">
        <f t="shared" si="15"/>
        <v>80633802.21382606</v>
      </c>
      <c r="C51" s="84">
        <f t="shared" si="16"/>
        <v>95194976.911599934</v>
      </c>
      <c r="D51" s="84">
        <f t="shared" si="30"/>
        <v>80633802.21382606</v>
      </c>
      <c r="E51" s="84">
        <f>$L$6*B51</f>
        <v>1798940.1273904594</v>
      </c>
      <c r="F51" s="84">
        <f t="shared" si="46"/>
        <v>2086478.7441996017</v>
      </c>
      <c r="G51" s="84">
        <f t="shared" si="47"/>
        <v>1767327.6452325287</v>
      </c>
      <c r="H51" s="84">
        <f t="shared" si="33"/>
        <v>319151.09896707302</v>
      </c>
      <c r="I51" s="84">
        <f t="shared" si="34"/>
        <v>-63545886.848672017</v>
      </c>
      <c r="J51" s="84">
        <f t="shared" si="34"/>
        <v>-21779024.096040465</v>
      </c>
      <c r="K51" s="84">
        <f t="shared" si="36"/>
        <v>3331354.0787342596</v>
      </c>
      <c r="L51" s="84">
        <f t="shared" si="37"/>
        <v>17087915.365154043</v>
      </c>
      <c r="M51" s="84">
        <f t="shared" si="38"/>
        <v>62186132.196519852</v>
      </c>
      <c r="N51" s="84">
        <f t="shared" si="39"/>
        <v>45098216.831365809</v>
      </c>
      <c r="O51" s="84">
        <f t="shared" si="40"/>
        <v>-15784375.890978033</v>
      </c>
      <c r="P51" s="84">
        <f>-O51+O50</f>
        <v>11064.368755277246</v>
      </c>
      <c r="R51" s="135"/>
    </row>
    <row r="52" spans="1:18" s="128" customFormat="1">
      <c r="A52" s="153" t="s">
        <v>79</v>
      </c>
      <c r="B52" s="84">
        <f t="shared" si="15"/>
        <v>80633802.21382606</v>
      </c>
      <c r="C52" s="84">
        <f t="shared" si="16"/>
        <v>95194976.911599934</v>
      </c>
      <c r="D52" s="84">
        <f t="shared" si="30"/>
        <v>80633802.21382606</v>
      </c>
      <c r="E52" s="84">
        <f>$M$6*B52</f>
        <v>1798536.9583793904</v>
      </c>
      <c r="F52" s="84">
        <f t="shared" si="46"/>
        <v>2086478.7441996017</v>
      </c>
      <c r="G52" s="84">
        <f t="shared" si="47"/>
        <v>1767327.6452325287</v>
      </c>
      <c r="H52" s="84">
        <f t="shared" si="33"/>
        <v>319151.09896707302</v>
      </c>
      <c r="I52" s="84">
        <f t="shared" si="34"/>
        <v>-65344423.807051405</v>
      </c>
      <c r="J52" s="84">
        <f t="shared" si="34"/>
        <v>-23865502.840240065</v>
      </c>
      <c r="K52" s="84">
        <f>K51+H52</f>
        <v>3650505.1777013326</v>
      </c>
      <c r="L52" s="84">
        <f t="shared" si="37"/>
        <v>15289378.406774655</v>
      </c>
      <c r="M52" s="84">
        <f t="shared" si="38"/>
        <v>60418804.551287331</v>
      </c>
      <c r="N52" s="84">
        <f t="shared" si="39"/>
        <v>45129426.144512676</v>
      </c>
      <c r="O52" s="84">
        <f t="shared" si="40"/>
        <v>-15795299.150579436</v>
      </c>
      <c r="P52" s="84">
        <f t="shared" si="42"/>
        <v>10923.259601403028</v>
      </c>
      <c r="R52" s="135"/>
    </row>
    <row r="53" spans="1:18" s="128" customFormat="1">
      <c r="A53" s="153" t="s">
        <v>80</v>
      </c>
      <c r="B53" s="84">
        <f t="shared" si="15"/>
        <v>80633802.21382606</v>
      </c>
      <c r="C53" s="84">
        <f t="shared" si="16"/>
        <v>95194976.911599934</v>
      </c>
      <c r="D53" s="84">
        <f t="shared" si="30"/>
        <v>80633802.21382606</v>
      </c>
      <c r="E53" s="84">
        <f>$N$6*B53</f>
        <v>1798940.1273904594</v>
      </c>
      <c r="F53" s="84">
        <f t="shared" si="46"/>
        <v>2086478.7441996017</v>
      </c>
      <c r="G53" s="84">
        <f>D53*F$14</f>
        <v>1767327.6452325287</v>
      </c>
      <c r="H53" s="84">
        <f t="shared" si="33"/>
        <v>319151.09896707302</v>
      </c>
      <c r="I53" s="84">
        <f t="shared" si="34"/>
        <v>-67143363.934441864</v>
      </c>
      <c r="J53" s="84">
        <f t="shared" si="34"/>
        <v>-25951981.584439665</v>
      </c>
      <c r="K53" s="84">
        <f t="shared" si="36"/>
        <v>3969656.2766684056</v>
      </c>
      <c r="L53" s="84">
        <f t="shared" si="37"/>
        <v>13490438.279384196</v>
      </c>
      <c r="M53" s="84">
        <f t="shared" si="38"/>
        <v>58651476.906054802</v>
      </c>
      <c r="N53" s="84">
        <f t="shared" si="39"/>
        <v>45161038.626670606</v>
      </c>
      <c r="O53" s="84">
        <f t="shared" si="40"/>
        <v>-15806363.519334711</v>
      </c>
      <c r="P53" s="84">
        <f t="shared" si="42"/>
        <v>11064.368755275384</v>
      </c>
      <c r="R53" s="135"/>
    </row>
    <row r="54" spans="1:18" s="128" customFormat="1">
      <c r="A54" s="153" t="s">
        <v>81</v>
      </c>
      <c r="B54" s="84">
        <f t="shared" si="15"/>
        <v>80633802.21382606</v>
      </c>
      <c r="C54" s="84">
        <f t="shared" si="16"/>
        <v>95194976.911599934</v>
      </c>
      <c r="D54" s="84">
        <f t="shared" si="30"/>
        <v>80633802.21382606</v>
      </c>
      <c r="E54" s="84">
        <f>$O$6*B54</f>
        <v>1798536.9583793904</v>
      </c>
      <c r="F54" s="84">
        <f t="shared" si="46"/>
        <v>2086478.7441996017</v>
      </c>
      <c r="G54" s="84">
        <f t="shared" si="47"/>
        <v>1767327.6452325287</v>
      </c>
      <c r="H54" s="84">
        <f t="shared" si="33"/>
        <v>319151.09896707302</v>
      </c>
      <c r="I54" s="84">
        <f t="shared" si="34"/>
        <v>-68941900.892821252</v>
      </c>
      <c r="J54" s="84">
        <f t="shared" si="34"/>
        <v>-28038460.328639265</v>
      </c>
      <c r="K54" s="84">
        <f t="shared" si="36"/>
        <v>4288807.3756354786</v>
      </c>
      <c r="L54" s="84">
        <f t="shared" si="37"/>
        <v>11691901.321004808</v>
      </c>
      <c r="M54" s="84">
        <f t="shared" si="38"/>
        <v>56884149.260822266</v>
      </c>
      <c r="N54" s="84">
        <f t="shared" si="39"/>
        <v>45192247.939817458</v>
      </c>
      <c r="O54" s="84">
        <f t="shared" si="40"/>
        <v>-15817286.778936109</v>
      </c>
      <c r="P54" s="84">
        <f t="shared" si="42"/>
        <v>10923.25960139744</v>
      </c>
      <c r="R54" s="135"/>
    </row>
    <row r="55" spans="1:18" s="128" customFormat="1">
      <c r="A55" s="153" t="s">
        <v>82</v>
      </c>
      <c r="B55" s="84">
        <f t="shared" si="15"/>
        <v>80633802.21382606</v>
      </c>
      <c r="C55" s="84">
        <f t="shared" si="16"/>
        <v>95194976.911599934</v>
      </c>
      <c r="D55" s="84">
        <f t="shared" si="30"/>
        <v>80633802.21382606</v>
      </c>
      <c r="E55" s="84">
        <f>$P$6*B55</f>
        <v>1798940.1273904594</v>
      </c>
      <c r="F55" s="84">
        <f t="shared" si="46"/>
        <v>2086478.7441996017</v>
      </c>
      <c r="G55" s="84">
        <f t="shared" si="47"/>
        <v>1767327.6452325287</v>
      </c>
      <c r="H55" s="84">
        <f t="shared" si="33"/>
        <v>319151.09896707302</v>
      </c>
      <c r="I55" s="84">
        <f t="shared" si="34"/>
        <v>-70740841.020211712</v>
      </c>
      <c r="J55" s="84">
        <f t="shared" si="34"/>
        <v>-30124939.072838865</v>
      </c>
      <c r="K55" s="84">
        <f>K54+H55</f>
        <v>4607958.4746025521</v>
      </c>
      <c r="L55" s="84">
        <f t="shared" si="37"/>
        <v>9892961.1936143488</v>
      </c>
      <c r="M55" s="84">
        <f t="shared" si="38"/>
        <v>55116821.615589745</v>
      </c>
      <c r="N55" s="84">
        <f t="shared" si="39"/>
        <v>45223860.421975397</v>
      </c>
      <c r="O55" s="84">
        <f t="shared" si="40"/>
        <v>-15828351.147691388</v>
      </c>
      <c r="P55" s="84">
        <f t="shared" si="42"/>
        <v>11064.368755279109</v>
      </c>
      <c r="R55" s="135"/>
    </row>
    <row r="56" spans="1:18" s="128" customFormat="1">
      <c r="A56" s="153" t="s">
        <v>83</v>
      </c>
      <c r="B56" s="84">
        <f t="shared" si="15"/>
        <v>80633802.21382606</v>
      </c>
      <c r="C56" s="84">
        <f t="shared" si="16"/>
        <v>95194976.911599934</v>
      </c>
      <c r="D56" s="84">
        <f t="shared" si="30"/>
        <v>80633802.21382606</v>
      </c>
      <c r="E56" s="84">
        <f>$B$10*B56</f>
        <v>1798536.9583793904</v>
      </c>
      <c r="F56" s="84">
        <f t="shared" si="46"/>
        <v>2086478.7441996017</v>
      </c>
      <c r="G56" s="84">
        <f t="shared" si="47"/>
        <v>1767327.6452325287</v>
      </c>
      <c r="H56" s="84">
        <f t="shared" si="33"/>
        <v>319151.09896707302</v>
      </c>
      <c r="I56" s="84">
        <f>I55-E56</f>
        <v>-72539377.978591099</v>
      </c>
      <c r="J56" s="84">
        <f>J55-F56</f>
        <v>-32211417.817038465</v>
      </c>
      <c r="K56" s="84">
        <f t="shared" si="36"/>
        <v>4927109.5735696256</v>
      </c>
      <c r="L56" s="84">
        <f t="shared" si="37"/>
        <v>8094424.2352349609</v>
      </c>
      <c r="M56" s="84">
        <f t="shared" si="38"/>
        <v>53349493.970357224</v>
      </c>
      <c r="N56" s="84">
        <f t="shared" si="39"/>
        <v>45255069.735122263</v>
      </c>
      <c r="O56" s="84">
        <f t="shared" si="40"/>
        <v>-15839274.407292791</v>
      </c>
      <c r="P56" s="84">
        <f t="shared" si="42"/>
        <v>10923.259601403028</v>
      </c>
      <c r="R56" s="135"/>
    </row>
    <row r="57" spans="1:18" s="128" customFormat="1">
      <c r="A57" s="153" t="s">
        <v>84</v>
      </c>
      <c r="B57" s="84">
        <f t="shared" si="15"/>
        <v>80633802.21382606</v>
      </c>
      <c r="C57" s="84">
        <f t="shared" si="16"/>
        <v>95194976.911599934</v>
      </c>
      <c r="D57" s="84">
        <f t="shared" si="30"/>
        <v>80633802.21382606</v>
      </c>
      <c r="E57" s="84">
        <f>$C$10*B57</f>
        <v>1798940.1273904594</v>
      </c>
      <c r="F57" s="84">
        <f t="shared" si="46"/>
        <v>2086478.7441996017</v>
      </c>
      <c r="G57" s="84">
        <f t="shared" si="47"/>
        <v>1767327.6452325287</v>
      </c>
      <c r="H57" s="84">
        <f t="shared" si="33"/>
        <v>319151.09896707302</v>
      </c>
      <c r="I57" s="84">
        <f t="shared" si="34"/>
        <v>-74338318.105981559</v>
      </c>
      <c r="J57" s="84">
        <f t="shared" si="34"/>
        <v>-34297896.561238065</v>
      </c>
      <c r="K57" s="84">
        <f>K56+H57</f>
        <v>5246260.6725366991</v>
      </c>
      <c r="L57" s="84">
        <f t="shared" si="37"/>
        <v>6295484.1078445017</v>
      </c>
      <c r="M57" s="84">
        <f t="shared" si="38"/>
        <v>51582166.325124696</v>
      </c>
      <c r="N57" s="84">
        <f t="shared" si="39"/>
        <v>45286682.217280194</v>
      </c>
      <c r="O57" s="84">
        <f t="shared" si="40"/>
        <v>-15850338.776048066</v>
      </c>
      <c r="P57" s="84">
        <f t="shared" si="42"/>
        <v>11064.368755275384</v>
      </c>
      <c r="R57" s="135"/>
    </row>
    <row r="58" spans="1:18" s="128" customFormat="1">
      <c r="A58" s="153" t="s">
        <v>85</v>
      </c>
      <c r="B58" s="84">
        <f t="shared" si="15"/>
        <v>80633802.21382606</v>
      </c>
      <c r="C58" s="84">
        <f t="shared" si="16"/>
        <v>95194976.911599934</v>
      </c>
      <c r="D58" s="84">
        <f t="shared" si="30"/>
        <v>80633802.21382606</v>
      </c>
      <c r="E58" s="84">
        <f>$D$10*B58</f>
        <v>1798536.9583793904</v>
      </c>
      <c r="F58" s="84">
        <f t="shared" si="46"/>
        <v>2086478.7441996017</v>
      </c>
      <c r="G58" s="84">
        <f t="shared" si="47"/>
        <v>1767327.6452325287</v>
      </c>
      <c r="H58" s="84">
        <f t="shared" si="33"/>
        <v>319151.09896707302</v>
      </c>
      <c r="I58" s="84">
        <f t="shared" si="34"/>
        <v>-76136855.064360946</v>
      </c>
      <c r="J58" s="84">
        <f t="shared" si="34"/>
        <v>-36384375.305437669</v>
      </c>
      <c r="K58" s="84">
        <f t="shared" si="36"/>
        <v>5565411.7715037726</v>
      </c>
      <c r="L58" s="84">
        <f t="shared" si="37"/>
        <v>4496947.1494651139</v>
      </c>
      <c r="M58" s="84">
        <f t="shared" si="38"/>
        <v>49814838.679892167</v>
      </c>
      <c r="N58" s="84">
        <f t="shared" si="39"/>
        <v>45317891.530427054</v>
      </c>
      <c r="O58" s="84">
        <f t="shared" si="40"/>
        <v>-15861262.035649467</v>
      </c>
      <c r="P58" s="84">
        <f t="shared" si="42"/>
        <v>10923.259601401165</v>
      </c>
      <c r="R58" s="135"/>
    </row>
    <row r="59" spans="1:18" s="128" customFormat="1">
      <c r="A59" s="153" t="s">
        <v>86</v>
      </c>
      <c r="B59" s="84">
        <f t="shared" si="15"/>
        <v>80633802.21382606</v>
      </c>
      <c r="C59" s="84">
        <f t="shared" si="16"/>
        <v>95194976.911599934</v>
      </c>
      <c r="D59" s="84">
        <f t="shared" si="30"/>
        <v>80633802.21382606</v>
      </c>
      <c r="E59" s="84">
        <f>$E$10*B59</f>
        <v>1798940.1273904594</v>
      </c>
      <c r="F59" s="84">
        <f t="shared" si="46"/>
        <v>2086478.7441996017</v>
      </c>
      <c r="G59" s="84">
        <f t="shared" si="47"/>
        <v>1767327.6452325287</v>
      </c>
      <c r="H59" s="84">
        <f t="shared" si="33"/>
        <v>319151.09896707302</v>
      </c>
      <c r="I59" s="84">
        <f t="shared" si="34"/>
        <v>-77935795.191751406</v>
      </c>
      <c r="J59" s="84">
        <f t="shared" si="34"/>
        <v>-38470854.049637273</v>
      </c>
      <c r="K59" s="84">
        <f t="shared" si="36"/>
        <v>5884562.8704708461</v>
      </c>
      <c r="L59" s="84">
        <f t="shared" si="37"/>
        <v>2698007.0220746547</v>
      </c>
      <c r="M59" s="84">
        <f t="shared" si="38"/>
        <v>48047511.034659632</v>
      </c>
      <c r="N59" s="84">
        <f t="shared" si="39"/>
        <v>45349504.012584977</v>
      </c>
      <c r="O59" s="84">
        <f t="shared" si="40"/>
        <v>-15872326.404404741</v>
      </c>
      <c r="P59" s="84">
        <f t="shared" si="42"/>
        <v>11064.368755273521</v>
      </c>
      <c r="R59" s="135"/>
    </row>
    <row r="60" spans="1:18" s="128" customFormat="1">
      <c r="A60" s="153" t="s">
        <v>87</v>
      </c>
      <c r="B60" s="84">
        <f t="shared" si="15"/>
        <v>80633802.21382606</v>
      </c>
      <c r="C60" s="84">
        <f t="shared" si="16"/>
        <v>95194976.911599934</v>
      </c>
      <c r="D60" s="84">
        <f t="shared" si="30"/>
        <v>80633802.21382606</v>
      </c>
      <c r="E60" s="84">
        <f>$F$10*B60</f>
        <v>1798536.9583793904</v>
      </c>
      <c r="F60" s="84">
        <f t="shared" si="46"/>
        <v>2086478.7441996017</v>
      </c>
      <c r="G60" s="84">
        <f t="shared" si="47"/>
        <v>1767327.6452325287</v>
      </c>
      <c r="H60" s="84">
        <f t="shared" si="33"/>
        <v>319151.09896707302</v>
      </c>
      <c r="I60" s="84">
        <f>I59-E60</f>
        <v>-79734332.150130793</v>
      </c>
      <c r="J60" s="84">
        <f t="shared" si="34"/>
        <v>-40557332.793836877</v>
      </c>
      <c r="K60" s="84">
        <f t="shared" si="36"/>
        <v>6203713.9694379196</v>
      </c>
      <c r="L60" s="84">
        <f t="shared" si="37"/>
        <v>899470.06369526684</v>
      </c>
      <c r="M60" s="84">
        <f t="shared" si="38"/>
        <v>46280183.389427103</v>
      </c>
      <c r="N60" s="84">
        <f t="shared" si="39"/>
        <v>45380713.325731836</v>
      </c>
      <c r="O60" s="84">
        <f t="shared" si="40"/>
        <v>-15883249.664006142</v>
      </c>
      <c r="P60" s="84">
        <f t="shared" si="42"/>
        <v>10923.259601401165</v>
      </c>
      <c r="R60" s="135"/>
    </row>
    <row r="61" spans="1:18" s="128" customFormat="1">
      <c r="A61" s="153" t="s">
        <v>88</v>
      </c>
      <c r="B61" s="84">
        <f t="shared" si="15"/>
        <v>80633802.21382606</v>
      </c>
      <c r="C61" s="84">
        <f t="shared" si="16"/>
        <v>95194976.911599934</v>
      </c>
      <c r="D61" s="84">
        <f t="shared" si="30"/>
        <v>80633802.21382606</v>
      </c>
      <c r="E61" s="84">
        <f>$G$10*B61</f>
        <v>899470.06369522971</v>
      </c>
      <c r="F61" s="84">
        <f t="shared" si="46"/>
        <v>2086478.7441996017</v>
      </c>
      <c r="G61" s="84">
        <f t="shared" si="47"/>
        <v>1767327.6452325287</v>
      </c>
      <c r="H61" s="84">
        <f t="shared" si="33"/>
        <v>319151.09896707302</v>
      </c>
      <c r="I61" s="84">
        <f t="shared" ref="I61:I72" si="48">I60-E61</f>
        <v>-80633802.21382603</v>
      </c>
      <c r="J61" s="84">
        <f t="shared" ref="J61:J68" si="49">J60-F61</f>
        <v>-42643811.538036481</v>
      </c>
      <c r="K61" s="84">
        <f t="shared" si="36"/>
        <v>6522865.068404993</v>
      </c>
      <c r="L61" s="84">
        <f t="shared" si="37"/>
        <v>0</v>
      </c>
      <c r="M61" s="84">
        <f t="shared" si="38"/>
        <v>44512855.744194575</v>
      </c>
      <c r="N61" s="84">
        <f>M61-L61</f>
        <v>44512855.744194575</v>
      </c>
      <c r="O61" s="84">
        <f t="shared" si="40"/>
        <v>-15579499.510468099</v>
      </c>
      <c r="P61" s="84">
        <f t="shared" si="42"/>
        <v>-303750.15353804268</v>
      </c>
      <c r="R61" s="135"/>
    </row>
    <row r="62" spans="1:18" s="128" customFormat="1">
      <c r="A62" s="153" t="s">
        <v>89</v>
      </c>
      <c r="B62" s="84">
        <f t="shared" si="15"/>
        <v>80633802.21382606</v>
      </c>
      <c r="C62" s="84">
        <f t="shared" si="16"/>
        <v>95194976.911599934</v>
      </c>
      <c r="D62" s="84">
        <f t="shared" si="30"/>
        <v>80633802.21382606</v>
      </c>
      <c r="E62" s="84"/>
      <c r="F62" s="84">
        <f t="shared" si="46"/>
        <v>2086478.7441996017</v>
      </c>
      <c r="G62" s="84">
        <f t="shared" si="47"/>
        <v>1767327.6452325287</v>
      </c>
      <c r="H62" s="84">
        <f t="shared" si="33"/>
        <v>319151.09896707302</v>
      </c>
      <c r="I62" s="84">
        <f t="shared" si="48"/>
        <v>-80633802.21382603</v>
      </c>
      <c r="J62" s="84">
        <f t="shared" si="49"/>
        <v>-44730290.282236084</v>
      </c>
      <c r="K62" s="84">
        <f t="shared" si="36"/>
        <v>6842016.1673720665</v>
      </c>
      <c r="L62" s="84">
        <f t="shared" si="37"/>
        <v>0</v>
      </c>
      <c r="M62" s="84">
        <f t="shared" si="38"/>
        <v>42745528.098962039</v>
      </c>
      <c r="N62" s="84">
        <f>M62-L62</f>
        <v>42745528.098962039</v>
      </c>
      <c r="O62" s="84">
        <f t="shared" si="40"/>
        <v>-14960934.834636712</v>
      </c>
      <c r="P62" s="84">
        <f t="shared" si="42"/>
        <v>-618564.67583138682</v>
      </c>
      <c r="R62" s="135"/>
    </row>
    <row r="63" spans="1:18" s="128" customFormat="1">
      <c r="A63" s="153" t="s">
        <v>90</v>
      </c>
      <c r="B63" s="84">
        <f t="shared" si="15"/>
        <v>80633802.21382606</v>
      </c>
      <c r="C63" s="84">
        <f t="shared" si="16"/>
        <v>95194976.911599934</v>
      </c>
      <c r="D63" s="84">
        <f t="shared" si="30"/>
        <v>80633802.21382606</v>
      </c>
      <c r="E63" s="84"/>
      <c r="F63" s="84">
        <f t="shared" si="46"/>
        <v>2086478.7441996017</v>
      </c>
      <c r="G63" s="84">
        <f t="shared" si="47"/>
        <v>1767327.6452325287</v>
      </c>
      <c r="H63" s="84">
        <f t="shared" si="33"/>
        <v>319151.09896707302</v>
      </c>
      <c r="I63" s="84">
        <f t="shared" si="48"/>
        <v>-80633802.21382603</v>
      </c>
      <c r="J63" s="84">
        <f t="shared" si="49"/>
        <v>-46816769.026435688</v>
      </c>
      <c r="K63" s="84">
        <f t="shared" si="36"/>
        <v>7161167.26633914</v>
      </c>
      <c r="L63" s="84">
        <f t="shared" si="37"/>
        <v>0</v>
      </c>
      <c r="M63" s="84">
        <f t="shared" si="38"/>
        <v>40978200.45372951</v>
      </c>
      <c r="N63" s="84">
        <f>M63-L63</f>
        <v>40978200.45372951</v>
      </c>
      <c r="O63" s="84">
        <f t="shared" si="40"/>
        <v>-14342370.158805327</v>
      </c>
      <c r="P63" s="84">
        <f t="shared" si="42"/>
        <v>-618564.67583138496</v>
      </c>
      <c r="R63" s="135"/>
    </row>
    <row r="64" spans="1:18" s="128" customFormat="1">
      <c r="A64" s="153" t="s">
        <v>92</v>
      </c>
      <c r="B64" s="84">
        <f t="shared" si="15"/>
        <v>80633802.21382606</v>
      </c>
      <c r="C64" s="84">
        <f t="shared" si="16"/>
        <v>95194976.911599934</v>
      </c>
      <c r="D64" s="84">
        <f t="shared" si="30"/>
        <v>80633802.21382606</v>
      </c>
      <c r="E64" s="84"/>
      <c r="F64" s="84">
        <f t="shared" si="46"/>
        <v>2086478.7441996017</v>
      </c>
      <c r="G64" s="84">
        <f t="shared" si="47"/>
        <v>1767327.6452325287</v>
      </c>
      <c r="H64" s="84">
        <f t="shared" si="33"/>
        <v>319151.09896707302</v>
      </c>
      <c r="I64" s="84">
        <f t="shared" si="48"/>
        <v>-80633802.21382603</v>
      </c>
      <c r="J64" s="84">
        <f t="shared" si="49"/>
        <v>-48903247.770635292</v>
      </c>
      <c r="K64" s="84">
        <f t="shared" si="36"/>
        <v>7480318.3653062135</v>
      </c>
      <c r="L64" s="84">
        <f t="shared" si="37"/>
        <v>0</v>
      </c>
      <c r="M64" s="84">
        <f t="shared" si="38"/>
        <v>39210872.808496982</v>
      </c>
      <c r="N64" s="84">
        <f>M64-L64</f>
        <v>39210872.808496982</v>
      </c>
      <c r="O64" s="84">
        <f t="shared" si="40"/>
        <v>-13723805.482973943</v>
      </c>
      <c r="P64" s="84">
        <f t="shared" si="42"/>
        <v>-618564.67583138496</v>
      </c>
      <c r="R64" s="135"/>
    </row>
    <row r="65" spans="1:18" s="128" customFormat="1">
      <c r="A65" s="153" t="s">
        <v>114</v>
      </c>
      <c r="B65" s="84">
        <f t="shared" si="15"/>
        <v>80633802.21382606</v>
      </c>
      <c r="C65" s="84">
        <f t="shared" si="16"/>
        <v>95194976.911599934</v>
      </c>
      <c r="D65" s="84">
        <f t="shared" si="30"/>
        <v>80633802.21382606</v>
      </c>
      <c r="E65" s="84"/>
      <c r="F65" s="84">
        <f t="shared" si="46"/>
        <v>2086478.7441996017</v>
      </c>
      <c r="G65" s="84">
        <f t="shared" si="47"/>
        <v>1767327.6452325287</v>
      </c>
      <c r="H65" s="84">
        <f t="shared" si="33"/>
        <v>319151.09896707302</v>
      </c>
      <c r="I65" s="84">
        <f t="shared" si="48"/>
        <v>-80633802.21382603</v>
      </c>
      <c r="J65" s="84">
        <f t="shared" si="49"/>
        <v>-50989726.514834896</v>
      </c>
      <c r="K65" s="84">
        <f t="shared" si="36"/>
        <v>7799469.464273287</v>
      </c>
      <c r="L65" s="84">
        <f t="shared" si="37"/>
        <v>0</v>
      </c>
      <c r="M65" s="84">
        <f t="shared" si="38"/>
        <v>37443545.163264453</v>
      </c>
      <c r="N65" s="84">
        <f>M65-L65</f>
        <v>37443545.163264453</v>
      </c>
      <c r="O65" s="84">
        <f>-N65*$O$15</f>
        <v>-13105240.807142558</v>
      </c>
      <c r="P65" s="84">
        <f t="shared" si="42"/>
        <v>-618564.67583138496</v>
      </c>
      <c r="R65" s="135"/>
    </row>
    <row r="66" spans="1:18" s="128" customFormat="1">
      <c r="A66" s="153" t="s">
        <v>118</v>
      </c>
      <c r="B66" s="84">
        <f t="shared" si="15"/>
        <v>80633802.21382606</v>
      </c>
      <c r="C66" s="84">
        <f t="shared" si="16"/>
        <v>95194976.911599934</v>
      </c>
      <c r="D66" s="84">
        <f t="shared" si="30"/>
        <v>80633802.21382606</v>
      </c>
      <c r="E66" s="84"/>
      <c r="F66" s="84">
        <f t="shared" si="46"/>
        <v>2086478.7441996017</v>
      </c>
      <c r="G66" s="84">
        <f t="shared" si="47"/>
        <v>1767327.6452325287</v>
      </c>
      <c r="H66" s="84">
        <f t="shared" si="33"/>
        <v>319151.09896707302</v>
      </c>
      <c r="I66" s="84">
        <f t="shared" si="48"/>
        <v>-80633802.21382603</v>
      </c>
      <c r="J66" s="84">
        <f t="shared" si="49"/>
        <v>-53076205.2590345</v>
      </c>
      <c r="K66" s="84">
        <f t="shared" si="36"/>
        <v>8118620.5632403605</v>
      </c>
      <c r="L66" s="84">
        <f t="shared" si="37"/>
        <v>0</v>
      </c>
      <c r="M66" s="84">
        <f t="shared" si="38"/>
        <v>35676217.518031925</v>
      </c>
      <c r="N66" s="84">
        <f t="shared" ref="N66:N71" si="50">M66-L66</f>
        <v>35676217.518031925</v>
      </c>
      <c r="O66" s="84">
        <f t="shared" ref="O66:O72" si="51">-N66*$O$15</f>
        <v>-12486676.131311173</v>
      </c>
      <c r="P66" s="84">
        <f t="shared" si="42"/>
        <v>-618564.67583138496</v>
      </c>
      <c r="R66" s="135"/>
    </row>
    <row r="67" spans="1:18" s="128" customFormat="1">
      <c r="A67" s="153" t="s">
        <v>119</v>
      </c>
      <c r="B67" s="84">
        <f t="shared" si="15"/>
        <v>80633802.21382606</v>
      </c>
      <c r="C67" s="84">
        <f t="shared" si="16"/>
        <v>95194976.911599934</v>
      </c>
      <c r="D67" s="84">
        <f t="shared" si="30"/>
        <v>80633802.21382606</v>
      </c>
      <c r="E67" s="84"/>
      <c r="F67" s="84">
        <f t="shared" si="46"/>
        <v>2086478.7441996017</v>
      </c>
      <c r="G67" s="84">
        <f t="shared" si="47"/>
        <v>1767327.6452325287</v>
      </c>
      <c r="H67" s="84">
        <f t="shared" si="33"/>
        <v>319151.09896707302</v>
      </c>
      <c r="I67" s="84">
        <f t="shared" si="48"/>
        <v>-80633802.21382603</v>
      </c>
      <c r="J67" s="84">
        <f t="shared" si="49"/>
        <v>-55162684.003234103</v>
      </c>
      <c r="K67" s="84">
        <f t="shared" si="36"/>
        <v>8437771.662207434</v>
      </c>
      <c r="L67" s="84">
        <f t="shared" si="37"/>
        <v>0</v>
      </c>
      <c r="M67" s="84">
        <f t="shared" si="38"/>
        <v>33908889.872799389</v>
      </c>
      <c r="N67" s="84">
        <f t="shared" si="50"/>
        <v>33908889.872799389</v>
      </c>
      <c r="O67" s="84">
        <f t="shared" si="51"/>
        <v>-11868111.455479786</v>
      </c>
      <c r="P67" s="84">
        <f t="shared" si="42"/>
        <v>-618564.67583138682</v>
      </c>
      <c r="R67" s="135"/>
    </row>
    <row r="68" spans="1:18" s="128" customFormat="1">
      <c r="A68" s="153" t="s">
        <v>120</v>
      </c>
      <c r="B68" s="84">
        <f t="shared" si="15"/>
        <v>80633802.21382606</v>
      </c>
      <c r="C68" s="84">
        <f t="shared" si="16"/>
        <v>95194976.911599934</v>
      </c>
      <c r="D68" s="84">
        <f t="shared" si="30"/>
        <v>80633802.21382606</v>
      </c>
      <c r="E68" s="84"/>
      <c r="F68" s="84">
        <f t="shared" si="46"/>
        <v>2086478.7441996017</v>
      </c>
      <c r="G68" s="84">
        <f t="shared" si="47"/>
        <v>1767327.6452325287</v>
      </c>
      <c r="H68" s="84">
        <f t="shared" si="33"/>
        <v>319151.09896707302</v>
      </c>
      <c r="I68" s="84">
        <f t="shared" si="48"/>
        <v>-80633802.21382603</v>
      </c>
      <c r="J68" s="84">
        <f t="shared" si="49"/>
        <v>-57249162.747433707</v>
      </c>
      <c r="K68" s="84">
        <f t="shared" si="36"/>
        <v>8756922.7611745074</v>
      </c>
      <c r="L68" s="84">
        <f t="shared" si="37"/>
        <v>0</v>
      </c>
      <c r="M68" s="84">
        <f t="shared" si="38"/>
        <v>32141562.227566861</v>
      </c>
      <c r="N68" s="84">
        <f t="shared" si="50"/>
        <v>32141562.227566861</v>
      </c>
      <c r="O68" s="84">
        <f t="shared" si="51"/>
        <v>-11249546.779648401</v>
      </c>
      <c r="P68" s="84">
        <f t="shared" si="42"/>
        <v>-618564.67583138496</v>
      </c>
      <c r="R68" s="135"/>
    </row>
    <row r="69" spans="1:18" s="128" customFormat="1">
      <c r="A69" s="153" t="s">
        <v>121</v>
      </c>
      <c r="B69" s="84">
        <f t="shared" si="15"/>
        <v>80633802.21382606</v>
      </c>
      <c r="C69" s="84">
        <f t="shared" si="16"/>
        <v>95194976.911599934</v>
      </c>
      <c r="D69" s="84">
        <f t="shared" si="30"/>
        <v>80633802.21382606</v>
      </c>
      <c r="E69" s="84"/>
      <c r="F69" s="84">
        <f t="shared" si="46"/>
        <v>2086478.7441996017</v>
      </c>
      <c r="G69" s="84">
        <f t="shared" si="47"/>
        <v>1767327.6452325287</v>
      </c>
      <c r="H69" s="84">
        <f t="shared" si="33"/>
        <v>319151.09896707302</v>
      </c>
      <c r="I69" s="84">
        <f t="shared" si="48"/>
        <v>-80633802.21382603</v>
      </c>
      <c r="J69" s="84">
        <f>J68-F69</f>
        <v>-59335641.491633311</v>
      </c>
      <c r="K69" s="84">
        <f t="shared" si="36"/>
        <v>9076073.8601415809</v>
      </c>
      <c r="L69" s="84">
        <f t="shared" si="37"/>
        <v>0</v>
      </c>
      <c r="M69" s="84">
        <f t="shared" si="38"/>
        <v>30374234.582334332</v>
      </c>
      <c r="N69" s="84">
        <f t="shared" si="50"/>
        <v>30374234.582334332</v>
      </c>
      <c r="O69" s="84">
        <f t="shared" si="51"/>
        <v>-10630982.103817016</v>
      </c>
      <c r="P69" s="84">
        <f t="shared" si="42"/>
        <v>-618564.67583138496</v>
      </c>
      <c r="R69" s="135"/>
    </row>
    <row r="70" spans="1:18" s="128" customFormat="1">
      <c r="A70" s="153" t="s">
        <v>122</v>
      </c>
      <c r="B70" s="84">
        <f t="shared" si="15"/>
        <v>80633802.21382606</v>
      </c>
      <c r="C70" s="84">
        <f t="shared" si="16"/>
        <v>95194976.911599934</v>
      </c>
      <c r="D70" s="84">
        <f t="shared" si="30"/>
        <v>80633802.21382606</v>
      </c>
      <c r="E70" s="84"/>
      <c r="F70" s="84">
        <f>C70*F$14</f>
        <v>2086478.7441996017</v>
      </c>
      <c r="G70" s="84">
        <f t="shared" si="47"/>
        <v>1767327.6452325287</v>
      </c>
      <c r="H70" s="84">
        <f t="shared" si="33"/>
        <v>319151.09896707302</v>
      </c>
      <c r="I70" s="84">
        <f t="shared" si="48"/>
        <v>-80633802.21382603</v>
      </c>
      <c r="J70" s="84">
        <f>J69-F70</f>
        <v>-61422120.235832915</v>
      </c>
      <c r="K70" s="84">
        <f t="shared" si="36"/>
        <v>9395224.9591086544</v>
      </c>
      <c r="L70" s="84">
        <f t="shared" si="37"/>
        <v>0</v>
      </c>
      <c r="M70" s="84">
        <f t="shared" si="38"/>
        <v>28606906.9371018</v>
      </c>
      <c r="N70" s="84">
        <f t="shared" si="50"/>
        <v>28606906.9371018</v>
      </c>
      <c r="O70" s="84">
        <f t="shared" si="51"/>
        <v>-10012417.427985629</v>
      </c>
      <c r="P70" s="84">
        <f t="shared" si="42"/>
        <v>-618564.67583138682</v>
      </c>
      <c r="R70" s="135"/>
    </row>
    <row r="71" spans="1:18" s="128" customFormat="1">
      <c r="A71" s="153" t="s">
        <v>123</v>
      </c>
      <c r="B71" s="84">
        <f t="shared" si="15"/>
        <v>80633802.21382606</v>
      </c>
      <c r="C71" s="84">
        <f t="shared" si="16"/>
        <v>95194976.911599934</v>
      </c>
      <c r="D71" s="84">
        <f t="shared" si="30"/>
        <v>80633802.21382606</v>
      </c>
      <c r="E71" s="84"/>
      <c r="F71" s="84">
        <f>C71*F$14</f>
        <v>2086478.7441996017</v>
      </c>
      <c r="G71" s="84">
        <f>D71*F$14</f>
        <v>1767327.6452325287</v>
      </c>
      <c r="H71" s="84">
        <f t="shared" si="33"/>
        <v>319151.09896707302</v>
      </c>
      <c r="I71" s="84">
        <f t="shared" si="48"/>
        <v>-80633802.21382603</v>
      </c>
      <c r="J71" s="84">
        <f>J70-F71</f>
        <v>-63508598.980032519</v>
      </c>
      <c r="K71" s="84">
        <f>K70+H71</f>
        <v>9714376.0580757279</v>
      </c>
      <c r="L71" s="84">
        <f t="shared" si="37"/>
        <v>0</v>
      </c>
      <c r="M71" s="84">
        <f t="shared" si="38"/>
        <v>26839579.291869268</v>
      </c>
      <c r="N71" s="84">
        <f t="shared" si="50"/>
        <v>26839579.291869268</v>
      </c>
      <c r="O71" s="84">
        <f t="shared" si="51"/>
        <v>-9393852.7521542422</v>
      </c>
      <c r="P71" s="84">
        <f t="shared" si="42"/>
        <v>-618564.67583138682</v>
      </c>
      <c r="R71" s="135"/>
    </row>
    <row r="72" spans="1:18" s="128" customFormat="1">
      <c r="A72" s="153" t="s">
        <v>124</v>
      </c>
      <c r="B72" s="84">
        <f t="shared" si="15"/>
        <v>80633802.21382606</v>
      </c>
      <c r="C72" s="84">
        <f t="shared" si="16"/>
        <v>95194976.911599934</v>
      </c>
      <c r="D72" s="84">
        <f t="shared" si="30"/>
        <v>80633802.21382606</v>
      </c>
      <c r="E72" s="84"/>
      <c r="F72" s="84">
        <f>C72*F$14</f>
        <v>2086478.7441996017</v>
      </c>
      <c r="G72" s="84">
        <f>D72*F$14</f>
        <v>1767327.6452325287</v>
      </c>
      <c r="H72" s="151">
        <f>F72-G72</f>
        <v>319151.09896707302</v>
      </c>
      <c r="I72" s="84">
        <f t="shared" si="48"/>
        <v>-80633802.21382603</v>
      </c>
      <c r="J72" s="84">
        <f>J71-F72</f>
        <v>-65595077.724232122</v>
      </c>
      <c r="K72" s="84">
        <f>K71+H72</f>
        <v>10033527.157042801</v>
      </c>
      <c r="L72" s="84">
        <f t="shared" si="37"/>
        <v>0</v>
      </c>
      <c r="M72" s="84">
        <f>D72+J72+K72</f>
        <v>25072251.646636739</v>
      </c>
      <c r="N72" s="84">
        <f t="shared" ref="N72" si="52">M72-L72</f>
        <v>25072251.646636739</v>
      </c>
      <c r="O72" s="84">
        <f t="shared" si="51"/>
        <v>-8775288.0763228592</v>
      </c>
      <c r="P72" s="84">
        <f t="shared" ref="P72" si="53">-O72+O71</f>
        <v>-618564.67583138309</v>
      </c>
      <c r="R72" s="135"/>
    </row>
    <row r="73" spans="1:18" s="128" customFormat="1">
      <c r="A73" s="153" t="s">
        <v>125</v>
      </c>
      <c r="B73" s="84">
        <f t="shared" si="15"/>
        <v>80633802.21382606</v>
      </c>
      <c r="C73" s="84">
        <f t="shared" si="16"/>
        <v>95194976.911599934</v>
      </c>
      <c r="D73" s="84">
        <f t="shared" ref="D73:D78" si="54">+B73</f>
        <v>80633802.21382606</v>
      </c>
      <c r="E73" s="84"/>
      <c r="F73" s="84">
        <f>C73*F$14</f>
        <v>2086478.7441996017</v>
      </c>
      <c r="G73" s="84">
        <f>D73*F$14</f>
        <v>1767327.6452325287</v>
      </c>
      <c r="H73" s="151">
        <f t="shared" ref="H73:H78" si="55">F73-G73</f>
        <v>319151.09896707302</v>
      </c>
      <c r="I73" s="84">
        <f t="shared" ref="I73:J78" si="56">I72-E73</f>
        <v>-80633802.21382603</v>
      </c>
      <c r="J73" s="84">
        <f t="shared" si="56"/>
        <v>-67681556.468431726</v>
      </c>
      <c r="K73" s="84">
        <f t="shared" ref="K73:K78" si="57">K72+H73</f>
        <v>10352678.256009875</v>
      </c>
      <c r="L73" s="84">
        <f t="shared" si="37"/>
        <v>0</v>
      </c>
      <c r="M73" s="84">
        <f t="shared" ref="M73:M78" si="58">D73+J73+K73</f>
        <v>23304924.001404211</v>
      </c>
      <c r="N73" s="84">
        <f t="shared" ref="N73:N78" si="59">M73-L73</f>
        <v>23304924.001404211</v>
      </c>
      <c r="O73" s="84">
        <f t="shared" ref="O73:O78" si="60">-N73*$O$15</f>
        <v>-8156723.4004914733</v>
      </c>
      <c r="P73" s="84">
        <f t="shared" ref="P73:P78" si="61">-O73+O72</f>
        <v>-618564.67583138589</v>
      </c>
      <c r="R73" s="135"/>
    </row>
    <row r="74" spans="1:18" s="128" customFormat="1">
      <c r="A74" s="153" t="s">
        <v>157</v>
      </c>
      <c r="B74" s="84">
        <f t="shared" si="15"/>
        <v>80633802.21382606</v>
      </c>
      <c r="C74" s="84">
        <f t="shared" si="16"/>
        <v>95194976.911599934</v>
      </c>
      <c r="D74" s="84">
        <f t="shared" si="54"/>
        <v>80633802.21382606</v>
      </c>
      <c r="E74" s="84"/>
      <c r="F74" s="84">
        <f t="shared" ref="F74:F85" si="62">C74*F$14</f>
        <v>2086478.7441996017</v>
      </c>
      <c r="G74" s="84">
        <f>D74*F$14</f>
        <v>1767327.6452325287</v>
      </c>
      <c r="H74" s="151">
        <f t="shared" si="55"/>
        <v>319151.09896707302</v>
      </c>
      <c r="I74" s="84">
        <f t="shared" si="56"/>
        <v>-80633802.21382603</v>
      </c>
      <c r="J74" s="84">
        <f t="shared" ref="J74:J78" si="63">J73-F74</f>
        <v>-69768035.21263133</v>
      </c>
      <c r="K74" s="84">
        <f t="shared" si="57"/>
        <v>10671829.354976948</v>
      </c>
      <c r="L74" s="84">
        <f t="shared" si="37"/>
        <v>0</v>
      </c>
      <c r="M74" s="84">
        <f t="shared" si="58"/>
        <v>21537596.356171679</v>
      </c>
      <c r="N74" s="84">
        <f t="shared" si="59"/>
        <v>21537596.356171679</v>
      </c>
      <c r="O74" s="84">
        <f t="shared" si="60"/>
        <v>-7538158.7246600874</v>
      </c>
      <c r="P74" s="84">
        <f t="shared" si="61"/>
        <v>-618564.67583138589</v>
      </c>
      <c r="R74" s="135"/>
    </row>
    <row r="75" spans="1:18" s="128" customFormat="1">
      <c r="A75" s="153" t="s">
        <v>158</v>
      </c>
      <c r="B75" s="84">
        <f t="shared" si="15"/>
        <v>80633802.21382606</v>
      </c>
      <c r="C75" s="84">
        <f t="shared" si="16"/>
        <v>95194976.911599934</v>
      </c>
      <c r="D75" s="84">
        <f t="shared" si="54"/>
        <v>80633802.21382606</v>
      </c>
      <c r="E75" s="84"/>
      <c r="F75" s="84">
        <f t="shared" si="62"/>
        <v>2086478.7441996017</v>
      </c>
      <c r="G75" s="84">
        <f t="shared" ref="G75:G85" si="64">D75*F$14</f>
        <v>1767327.6452325287</v>
      </c>
      <c r="H75" s="151">
        <f t="shared" si="55"/>
        <v>319151.09896707302</v>
      </c>
      <c r="I75" s="84">
        <f t="shared" si="56"/>
        <v>-80633802.21382603</v>
      </c>
      <c r="J75" s="84">
        <f t="shared" si="63"/>
        <v>-71854513.956830934</v>
      </c>
      <c r="K75" s="84">
        <f t="shared" si="57"/>
        <v>10990980.453944022</v>
      </c>
      <c r="L75" s="84">
        <f t="shared" si="37"/>
        <v>0</v>
      </c>
      <c r="M75" s="84">
        <f t="shared" si="58"/>
        <v>19770268.710939147</v>
      </c>
      <c r="N75" s="84">
        <f t="shared" si="59"/>
        <v>19770268.710939147</v>
      </c>
      <c r="O75" s="84">
        <f t="shared" si="60"/>
        <v>-6919594.0488287006</v>
      </c>
      <c r="P75" s="84">
        <f t="shared" si="61"/>
        <v>-618564.67583138682</v>
      </c>
      <c r="R75" s="135"/>
    </row>
    <row r="76" spans="1:18" s="128" customFormat="1">
      <c r="A76" s="153" t="s">
        <v>159</v>
      </c>
      <c r="B76" s="84">
        <f t="shared" si="15"/>
        <v>80633802.21382606</v>
      </c>
      <c r="C76" s="84">
        <f t="shared" si="16"/>
        <v>95194976.911599934</v>
      </c>
      <c r="D76" s="84">
        <f t="shared" si="54"/>
        <v>80633802.21382606</v>
      </c>
      <c r="E76" s="84"/>
      <c r="F76" s="84">
        <f t="shared" si="62"/>
        <v>2086478.7441996017</v>
      </c>
      <c r="G76" s="84">
        <f t="shared" si="64"/>
        <v>1767327.6452325287</v>
      </c>
      <c r="H76" s="151">
        <f t="shared" si="55"/>
        <v>319151.09896707302</v>
      </c>
      <c r="I76" s="84">
        <f t="shared" si="56"/>
        <v>-80633802.21382603</v>
      </c>
      <c r="J76" s="84">
        <f t="shared" si="63"/>
        <v>-73940992.701030537</v>
      </c>
      <c r="K76" s="84">
        <f t="shared" si="57"/>
        <v>11310131.552911095</v>
      </c>
      <c r="L76" s="84">
        <f t="shared" si="37"/>
        <v>0</v>
      </c>
      <c r="M76" s="84">
        <f t="shared" si="58"/>
        <v>18002941.065706618</v>
      </c>
      <c r="N76" s="84">
        <f t="shared" si="59"/>
        <v>18002941.065706618</v>
      </c>
      <c r="O76" s="84">
        <f t="shared" si="60"/>
        <v>-6301029.3729973156</v>
      </c>
      <c r="P76" s="84">
        <f t="shared" si="61"/>
        <v>-618564.67583138496</v>
      </c>
      <c r="R76" s="135"/>
    </row>
    <row r="77" spans="1:18" s="128" customFormat="1">
      <c r="A77" s="153" t="s">
        <v>160</v>
      </c>
      <c r="B77" s="84">
        <f t="shared" si="15"/>
        <v>80633802.21382606</v>
      </c>
      <c r="C77" s="84">
        <f t="shared" si="16"/>
        <v>95194976.911599934</v>
      </c>
      <c r="D77" s="84">
        <f t="shared" si="54"/>
        <v>80633802.21382606</v>
      </c>
      <c r="E77" s="84"/>
      <c r="F77" s="84">
        <f t="shared" si="62"/>
        <v>2086478.7441996017</v>
      </c>
      <c r="G77" s="84">
        <f t="shared" si="64"/>
        <v>1767327.6452325287</v>
      </c>
      <c r="H77" s="151">
        <f t="shared" si="55"/>
        <v>319151.09896707302</v>
      </c>
      <c r="I77" s="84">
        <f t="shared" si="56"/>
        <v>-80633802.21382603</v>
      </c>
      <c r="J77" s="84">
        <f t="shared" si="63"/>
        <v>-76027471.445230141</v>
      </c>
      <c r="K77" s="84">
        <f t="shared" si="57"/>
        <v>11629282.651878169</v>
      </c>
      <c r="L77" s="84">
        <f t="shared" si="37"/>
        <v>0</v>
      </c>
      <c r="M77" s="84">
        <f t="shared" si="58"/>
        <v>16235613.420474088</v>
      </c>
      <c r="N77" s="84">
        <f t="shared" si="59"/>
        <v>16235613.420474088</v>
      </c>
      <c r="O77" s="84">
        <f t="shared" si="60"/>
        <v>-5682464.6971659306</v>
      </c>
      <c r="P77" s="84">
        <f t="shared" si="61"/>
        <v>-618564.67583138496</v>
      </c>
      <c r="R77" s="135"/>
    </row>
    <row r="78" spans="1:18" s="128" customFormat="1">
      <c r="A78" s="153" t="s">
        <v>161</v>
      </c>
      <c r="B78" s="84">
        <f t="shared" si="15"/>
        <v>80633802.21382606</v>
      </c>
      <c r="C78" s="84">
        <f t="shared" si="16"/>
        <v>95194976.911599934</v>
      </c>
      <c r="D78" s="84">
        <f t="shared" si="54"/>
        <v>80633802.21382606</v>
      </c>
      <c r="E78" s="84"/>
      <c r="F78" s="84">
        <f t="shared" si="62"/>
        <v>2086478.7441996017</v>
      </c>
      <c r="G78" s="84">
        <f t="shared" si="64"/>
        <v>1767327.6452325287</v>
      </c>
      <c r="H78" s="151">
        <f t="shared" si="55"/>
        <v>319151.09896707302</v>
      </c>
      <c r="I78" s="84">
        <f t="shared" si="56"/>
        <v>-80633802.21382603</v>
      </c>
      <c r="J78" s="84">
        <f t="shared" si="63"/>
        <v>-78113950.189429745</v>
      </c>
      <c r="K78" s="84">
        <f t="shared" si="57"/>
        <v>11948433.750845242</v>
      </c>
      <c r="L78" s="84">
        <f t="shared" si="37"/>
        <v>0</v>
      </c>
      <c r="M78" s="84">
        <f t="shared" si="58"/>
        <v>14468285.775241558</v>
      </c>
      <c r="N78" s="84">
        <f t="shared" si="59"/>
        <v>14468285.775241558</v>
      </c>
      <c r="O78" s="84">
        <f t="shared" si="60"/>
        <v>-5063900.0213345448</v>
      </c>
      <c r="P78" s="84">
        <f t="shared" si="61"/>
        <v>-618564.67583138589</v>
      </c>
    </row>
    <row r="79" spans="1:18" s="128" customFormat="1">
      <c r="A79" s="153" t="s">
        <v>169</v>
      </c>
      <c r="B79" s="84">
        <f t="shared" si="15"/>
        <v>80633802.21382606</v>
      </c>
      <c r="C79" s="84">
        <f t="shared" si="16"/>
        <v>95194976.911599934</v>
      </c>
      <c r="D79" s="84">
        <f t="shared" ref="D79:D87" si="65">+B79</f>
        <v>80633802.21382606</v>
      </c>
      <c r="E79" s="311"/>
      <c r="F79" s="84">
        <f t="shared" si="62"/>
        <v>2086478.7441996017</v>
      </c>
      <c r="G79" s="84">
        <f t="shared" si="64"/>
        <v>1767327.6452325287</v>
      </c>
      <c r="H79" s="151">
        <f t="shared" ref="H79:H88" si="66">F79-G79</f>
        <v>319151.09896707302</v>
      </c>
      <c r="I79" s="84">
        <f t="shared" ref="I79:I88" si="67">I78-E79</f>
        <v>-80633802.21382603</v>
      </c>
      <c r="J79" s="84">
        <f t="shared" ref="J79:J87" si="68">J78-F79</f>
        <v>-80200428.933629349</v>
      </c>
      <c r="K79" s="84">
        <f t="shared" ref="K79:K87" si="69">K78+H79</f>
        <v>12267584.849812316</v>
      </c>
      <c r="L79" s="84">
        <f t="shared" si="37"/>
        <v>0</v>
      </c>
      <c r="M79" s="84">
        <f t="shared" ref="M79:M87" si="70">D79+J79+K79</f>
        <v>12700958.130009027</v>
      </c>
      <c r="N79" s="84">
        <f t="shared" ref="N79:N87" si="71">M79-L79</f>
        <v>12700958.130009027</v>
      </c>
      <c r="O79" s="84">
        <f t="shared" ref="O79:O87" si="72">-N79*$O$15</f>
        <v>-4445335.3455031589</v>
      </c>
      <c r="P79" s="84">
        <f t="shared" ref="P79:P87" si="73">-O79+O78</f>
        <v>-618564.67583138589</v>
      </c>
    </row>
    <row r="80" spans="1:18" s="128" customFormat="1">
      <c r="A80" s="153" t="s">
        <v>170</v>
      </c>
      <c r="B80" s="84">
        <f t="shared" si="15"/>
        <v>80633802.21382606</v>
      </c>
      <c r="C80" s="84">
        <f t="shared" si="16"/>
        <v>95194976.911599934</v>
      </c>
      <c r="D80" s="84">
        <f t="shared" si="65"/>
        <v>80633802.21382606</v>
      </c>
      <c r="E80" s="311"/>
      <c r="F80" s="84">
        <f t="shared" si="62"/>
        <v>2086478.7441996017</v>
      </c>
      <c r="G80" s="84">
        <f t="shared" si="64"/>
        <v>1767327.6452325287</v>
      </c>
      <c r="H80" s="151">
        <f t="shared" si="66"/>
        <v>319151.09896707302</v>
      </c>
      <c r="I80" s="84">
        <f t="shared" si="67"/>
        <v>-80633802.21382603</v>
      </c>
      <c r="J80" s="84">
        <f t="shared" si="68"/>
        <v>-82286907.677828953</v>
      </c>
      <c r="K80" s="84">
        <f t="shared" si="69"/>
        <v>12586735.948779389</v>
      </c>
      <c r="L80" s="84">
        <f t="shared" si="37"/>
        <v>0</v>
      </c>
      <c r="M80" s="84">
        <f t="shared" si="70"/>
        <v>10933630.484776497</v>
      </c>
      <c r="N80" s="84">
        <f t="shared" si="71"/>
        <v>10933630.484776497</v>
      </c>
      <c r="O80" s="84">
        <f t="shared" si="72"/>
        <v>-3826770.6696717734</v>
      </c>
      <c r="P80" s="84">
        <f t="shared" si="73"/>
        <v>-618564.67583138542</v>
      </c>
    </row>
    <row r="81" spans="1:19" s="128" customFormat="1">
      <c r="A81" s="153" t="s">
        <v>171</v>
      </c>
      <c r="B81" s="84">
        <f t="shared" si="15"/>
        <v>80633802.21382606</v>
      </c>
      <c r="C81" s="84">
        <f t="shared" si="16"/>
        <v>95194976.911599934</v>
      </c>
      <c r="D81" s="84">
        <f t="shared" si="65"/>
        <v>80633802.21382606</v>
      </c>
      <c r="E81" s="311"/>
      <c r="F81" s="84">
        <f t="shared" si="62"/>
        <v>2086478.7441996017</v>
      </c>
      <c r="G81" s="84">
        <f t="shared" si="64"/>
        <v>1767327.6452325287</v>
      </c>
      <c r="H81" s="151">
        <f t="shared" si="66"/>
        <v>319151.09896707302</v>
      </c>
      <c r="I81" s="84">
        <f t="shared" si="67"/>
        <v>-80633802.21382603</v>
      </c>
      <c r="J81" s="84">
        <f t="shared" si="68"/>
        <v>-84373386.422028556</v>
      </c>
      <c r="K81" s="84">
        <f t="shared" si="69"/>
        <v>12905887.047746463</v>
      </c>
      <c r="L81" s="84">
        <f t="shared" si="37"/>
        <v>0</v>
      </c>
      <c r="M81" s="84">
        <f t="shared" si="70"/>
        <v>9166302.8395439666</v>
      </c>
      <c r="N81" s="84">
        <f t="shared" si="71"/>
        <v>9166302.8395439666</v>
      </c>
      <c r="O81" s="84">
        <f t="shared" si="72"/>
        <v>-3208205.993840388</v>
      </c>
      <c r="P81" s="84">
        <f t="shared" si="73"/>
        <v>-618564.67583138542</v>
      </c>
    </row>
    <row r="82" spans="1:19" s="128" customFormat="1">
      <c r="A82" s="153" t="s">
        <v>172</v>
      </c>
      <c r="B82" s="84">
        <f t="shared" si="15"/>
        <v>80633802.21382606</v>
      </c>
      <c r="C82" s="84">
        <f t="shared" si="16"/>
        <v>95194976.911599934</v>
      </c>
      <c r="D82" s="84">
        <f t="shared" si="65"/>
        <v>80633802.21382606</v>
      </c>
      <c r="E82" s="311"/>
      <c r="F82" s="84">
        <f t="shared" si="62"/>
        <v>2086478.7441996017</v>
      </c>
      <c r="G82" s="84">
        <f t="shared" si="64"/>
        <v>1767327.6452325287</v>
      </c>
      <c r="H82" s="151">
        <f t="shared" si="66"/>
        <v>319151.09896707302</v>
      </c>
      <c r="I82" s="84">
        <f t="shared" si="67"/>
        <v>-80633802.21382603</v>
      </c>
      <c r="J82" s="84">
        <f t="shared" si="68"/>
        <v>-86459865.16622816</v>
      </c>
      <c r="K82" s="84">
        <f t="shared" si="69"/>
        <v>13225038.146713536</v>
      </c>
      <c r="L82" s="84">
        <f t="shared" si="37"/>
        <v>0</v>
      </c>
      <c r="M82" s="84">
        <f t="shared" si="70"/>
        <v>7398975.1943114363</v>
      </c>
      <c r="N82" s="84">
        <f t="shared" si="71"/>
        <v>7398975.1943114363</v>
      </c>
      <c r="O82" s="84">
        <f t="shared" si="72"/>
        <v>-2589641.3180090026</v>
      </c>
      <c r="P82" s="84">
        <f t="shared" si="73"/>
        <v>-618564.67583138542</v>
      </c>
    </row>
    <row r="83" spans="1:19" s="128" customFormat="1">
      <c r="A83" s="153" t="s">
        <v>173</v>
      </c>
      <c r="B83" s="84">
        <f t="shared" si="15"/>
        <v>80633802.21382606</v>
      </c>
      <c r="C83" s="84">
        <f t="shared" si="16"/>
        <v>95194976.911599934</v>
      </c>
      <c r="D83" s="84">
        <f t="shared" si="65"/>
        <v>80633802.21382606</v>
      </c>
      <c r="E83" s="311"/>
      <c r="F83" s="84">
        <f t="shared" si="62"/>
        <v>2086478.7441996017</v>
      </c>
      <c r="G83" s="84">
        <f t="shared" si="64"/>
        <v>1767327.6452325287</v>
      </c>
      <c r="H83" s="151">
        <f t="shared" si="66"/>
        <v>319151.09896707302</v>
      </c>
      <c r="I83" s="84">
        <f t="shared" si="67"/>
        <v>-80633802.21382603</v>
      </c>
      <c r="J83" s="84">
        <f t="shared" si="68"/>
        <v>-88546343.910427764</v>
      </c>
      <c r="K83" s="84">
        <f t="shared" si="69"/>
        <v>13544189.24568061</v>
      </c>
      <c r="L83" s="84">
        <f t="shared" si="37"/>
        <v>0</v>
      </c>
      <c r="M83" s="84">
        <f t="shared" si="70"/>
        <v>5631647.549078906</v>
      </c>
      <c r="N83" s="84">
        <f t="shared" si="71"/>
        <v>5631647.549078906</v>
      </c>
      <c r="O83" s="84">
        <f t="shared" si="72"/>
        <v>-1971076.6421776169</v>
      </c>
      <c r="P83" s="84">
        <f t="shared" si="73"/>
        <v>-618564.67583138566</v>
      </c>
    </row>
    <row r="84" spans="1:19" s="128" customFormat="1">
      <c r="A84" s="153" t="s">
        <v>174</v>
      </c>
      <c r="B84" s="84">
        <f t="shared" si="15"/>
        <v>80633802.21382606</v>
      </c>
      <c r="C84" s="84">
        <f t="shared" si="16"/>
        <v>95194976.911599934</v>
      </c>
      <c r="D84" s="84">
        <f t="shared" si="65"/>
        <v>80633802.21382606</v>
      </c>
      <c r="E84" s="311"/>
      <c r="F84" s="84">
        <f t="shared" si="62"/>
        <v>2086478.7441996017</v>
      </c>
      <c r="G84" s="84">
        <f t="shared" si="64"/>
        <v>1767327.6452325287</v>
      </c>
      <c r="H84" s="151">
        <f t="shared" si="66"/>
        <v>319151.09896707302</v>
      </c>
      <c r="I84" s="84">
        <f t="shared" si="67"/>
        <v>-80633802.21382603</v>
      </c>
      <c r="J84" s="84">
        <f t="shared" si="68"/>
        <v>-90632822.654627368</v>
      </c>
      <c r="K84" s="84">
        <f t="shared" si="69"/>
        <v>13863340.344647683</v>
      </c>
      <c r="L84" s="84">
        <f t="shared" si="37"/>
        <v>0</v>
      </c>
      <c r="M84" s="84">
        <f t="shared" si="70"/>
        <v>3864319.9038463756</v>
      </c>
      <c r="N84" s="84">
        <f t="shared" si="71"/>
        <v>3864319.9038463756</v>
      </c>
      <c r="O84" s="84">
        <f t="shared" si="72"/>
        <v>-1352511.9663462313</v>
      </c>
      <c r="P84" s="84">
        <f t="shared" si="73"/>
        <v>-618564.67583138566</v>
      </c>
    </row>
    <row r="85" spans="1:19" s="128" customFormat="1">
      <c r="A85" s="153" t="s">
        <v>175</v>
      </c>
      <c r="B85" s="84">
        <f t="shared" si="15"/>
        <v>80633802.21382606</v>
      </c>
      <c r="C85" s="84">
        <f t="shared" si="16"/>
        <v>95194976.911599934</v>
      </c>
      <c r="D85" s="84">
        <f t="shared" si="65"/>
        <v>80633802.21382606</v>
      </c>
      <c r="E85" s="311"/>
      <c r="F85" s="84">
        <f t="shared" si="62"/>
        <v>2086478.7441996017</v>
      </c>
      <c r="G85" s="84">
        <f t="shared" si="64"/>
        <v>1767327.6452325287</v>
      </c>
      <c r="H85" s="151">
        <f t="shared" si="66"/>
        <v>319151.09896707302</v>
      </c>
      <c r="I85" s="84">
        <f t="shared" si="67"/>
        <v>-80633802.21382603</v>
      </c>
      <c r="J85" s="84">
        <f t="shared" si="68"/>
        <v>-92719301.398826972</v>
      </c>
      <c r="K85" s="84">
        <f t="shared" si="69"/>
        <v>14182491.443614757</v>
      </c>
      <c r="L85" s="84">
        <f t="shared" si="37"/>
        <v>0</v>
      </c>
      <c r="M85" s="84">
        <f t="shared" si="70"/>
        <v>2096992.2586138453</v>
      </c>
      <c r="N85" s="84">
        <f t="shared" si="71"/>
        <v>2096992.2586138453</v>
      </c>
      <c r="O85" s="84">
        <f t="shared" si="72"/>
        <v>-733947.29051484587</v>
      </c>
      <c r="P85" s="84">
        <f t="shared" si="73"/>
        <v>-618564.67583138542</v>
      </c>
    </row>
    <row r="86" spans="1:19" s="128" customFormat="1">
      <c r="A86" s="153" t="s">
        <v>176</v>
      </c>
      <c r="B86" s="84">
        <f t="shared" si="15"/>
        <v>80633802.21382606</v>
      </c>
      <c r="C86" s="84">
        <f t="shared" si="16"/>
        <v>95194976.911599934</v>
      </c>
      <c r="D86" s="84">
        <f t="shared" si="65"/>
        <v>80633802.21382606</v>
      </c>
      <c r="E86" s="311"/>
      <c r="F86" s="84">
        <f t="shared" ref="F86:F87" si="74">C86+J85</f>
        <v>2475675.5127729625</v>
      </c>
      <c r="G86" s="84">
        <f>M85</f>
        <v>2096992.2586138453</v>
      </c>
      <c r="H86" s="151">
        <f>F86-G86</f>
        <v>378683.25415911712</v>
      </c>
      <c r="I86" s="84">
        <f t="shared" si="67"/>
        <v>-80633802.21382603</v>
      </c>
      <c r="J86" s="84">
        <f t="shared" si="68"/>
        <v>-95194976.911599934</v>
      </c>
      <c r="K86" s="84">
        <f t="shared" si="69"/>
        <v>14561174.697773874</v>
      </c>
      <c r="L86" s="84">
        <f t="shared" si="37"/>
        <v>0</v>
      </c>
      <c r="M86" s="84">
        <f t="shared" si="70"/>
        <v>0</v>
      </c>
      <c r="N86" s="84">
        <f t="shared" si="71"/>
        <v>0</v>
      </c>
      <c r="O86" s="84">
        <f t="shared" si="72"/>
        <v>0</v>
      </c>
      <c r="P86" s="84">
        <f t="shared" si="73"/>
        <v>-733947.29051484587</v>
      </c>
    </row>
    <row r="87" spans="1:19" s="128" customFormat="1">
      <c r="A87" s="153" t="s">
        <v>177</v>
      </c>
      <c r="B87" s="84">
        <f t="shared" si="15"/>
        <v>80633802.21382606</v>
      </c>
      <c r="C87" s="84">
        <f t="shared" si="16"/>
        <v>95194976.911599934</v>
      </c>
      <c r="D87" s="84">
        <f t="shared" si="65"/>
        <v>80633802.21382606</v>
      </c>
      <c r="E87" s="311"/>
      <c r="F87" s="151">
        <f t="shared" si="74"/>
        <v>0</v>
      </c>
      <c r="G87" s="84">
        <f>M86</f>
        <v>0</v>
      </c>
      <c r="H87" s="151">
        <f>F87-G87</f>
        <v>0</v>
      </c>
      <c r="I87" s="84">
        <f t="shared" si="67"/>
        <v>-80633802.21382603</v>
      </c>
      <c r="J87" s="84">
        <f t="shared" si="68"/>
        <v>-95194976.911599934</v>
      </c>
      <c r="K87" s="84">
        <f t="shared" si="69"/>
        <v>14561174.697773874</v>
      </c>
      <c r="L87" s="84">
        <f t="shared" si="37"/>
        <v>0</v>
      </c>
      <c r="M87" s="84">
        <f t="shared" si="70"/>
        <v>0</v>
      </c>
      <c r="N87" s="84">
        <f t="shared" si="71"/>
        <v>0</v>
      </c>
      <c r="O87" s="84">
        <f t="shared" si="72"/>
        <v>0</v>
      </c>
      <c r="P87" s="84">
        <f t="shared" si="73"/>
        <v>0</v>
      </c>
    </row>
    <row r="88" spans="1:19" s="128" customFormat="1">
      <c r="A88" s="153" t="s">
        <v>178</v>
      </c>
      <c r="B88" s="84">
        <f t="shared" si="15"/>
        <v>80633802.21382606</v>
      </c>
      <c r="C88" s="84">
        <f t="shared" si="16"/>
        <v>95194976.911599934</v>
      </c>
      <c r="D88" s="84">
        <f t="shared" ref="D88" si="75">+B88</f>
        <v>80633802.21382606</v>
      </c>
      <c r="E88" s="311"/>
      <c r="F88" s="151">
        <f t="shared" ref="F88" si="76">C88+J87</f>
        <v>0</v>
      </c>
      <c r="G88" s="84">
        <f t="shared" ref="G88" si="77">M87</f>
        <v>0</v>
      </c>
      <c r="H88" s="151">
        <f t="shared" si="66"/>
        <v>0</v>
      </c>
      <c r="I88" s="84">
        <f t="shared" si="67"/>
        <v>-80633802.21382603</v>
      </c>
      <c r="J88" s="84">
        <f t="shared" ref="J88" si="78">J87-F88</f>
        <v>-95194976.911599934</v>
      </c>
      <c r="K88" s="84">
        <f t="shared" ref="K88" si="79">K87+H88</f>
        <v>14561174.697773874</v>
      </c>
      <c r="L88" s="84">
        <f t="shared" si="37"/>
        <v>0</v>
      </c>
      <c r="M88" s="84">
        <f t="shared" ref="M88" si="80">D88+J88+K88</f>
        <v>0</v>
      </c>
      <c r="N88" s="84">
        <f t="shared" ref="N88" si="81">M88-L88</f>
        <v>0</v>
      </c>
      <c r="O88" s="84">
        <f t="shared" ref="O88" si="82">-N88*$O$15</f>
        <v>0</v>
      </c>
      <c r="P88" s="84">
        <f t="shared" ref="P88" si="83">-O88+O87</f>
        <v>0</v>
      </c>
    </row>
    <row r="89" spans="1:19" s="128" customFormat="1">
      <c r="A89" s="144"/>
      <c r="B89" s="314"/>
      <c r="C89" s="314"/>
      <c r="D89" s="311"/>
      <c r="E89" s="311"/>
      <c r="F89" s="314"/>
      <c r="G89" s="311"/>
      <c r="H89" s="314"/>
      <c r="I89" s="311"/>
      <c r="J89" s="311"/>
      <c r="K89" s="311"/>
      <c r="L89" s="311"/>
      <c r="M89" s="311"/>
      <c r="N89" s="311"/>
      <c r="O89" s="311"/>
      <c r="P89" s="229"/>
    </row>
    <row r="90" spans="1:19" ht="4.5" customHeight="1" thickBot="1">
      <c r="A90" s="244"/>
      <c r="P90" s="236"/>
    </row>
    <row r="91" spans="1:19">
      <c r="A91" s="222" t="s">
        <v>852</v>
      </c>
      <c r="B91" s="233"/>
      <c r="C91" s="233"/>
      <c r="D91" s="233"/>
      <c r="E91" s="232">
        <f t="shared" ref="E91:H91" si="84">SUM(E30:E41)</f>
        <v>9639401.4830694236</v>
      </c>
      <c r="F91" s="232">
        <f t="shared" si="84"/>
        <v>2086478.7441996012</v>
      </c>
      <c r="G91" s="232">
        <f t="shared" si="84"/>
        <v>1767327.6452325282</v>
      </c>
      <c r="H91" s="232">
        <f t="shared" si="84"/>
        <v>319151.09896707314</v>
      </c>
      <c r="I91" s="233"/>
      <c r="J91" s="233"/>
      <c r="K91" s="233"/>
      <c r="L91" s="233"/>
      <c r="M91" s="233"/>
      <c r="N91" s="233"/>
      <c r="O91" s="233"/>
      <c r="P91" s="232">
        <f>SUM(P30:P41)</f>
        <v>2755225.8432429042</v>
      </c>
      <c r="Q91" s="4"/>
      <c r="R91" s="286"/>
      <c r="S91" s="286"/>
    </row>
    <row r="92" spans="1:19" ht="13.5" thickBot="1">
      <c r="A92" s="19" t="s">
        <v>853</v>
      </c>
      <c r="B92" s="231">
        <f>(B29+B41+SUM(B30:B40)*2)/24</f>
        <v>80633802.21382606</v>
      </c>
      <c r="C92" s="231">
        <f t="shared" ref="C92:D92" si="85">(C29+C41+SUM(C30:C40)*2)/24</f>
        <v>95194976.911599919</v>
      </c>
      <c r="D92" s="231">
        <f t="shared" si="85"/>
        <v>80633802.21382606</v>
      </c>
      <c r="E92" s="235"/>
      <c r="F92" s="234"/>
      <c r="G92" s="234"/>
      <c r="H92" s="234"/>
      <c r="I92" s="231">
        <f t="shared" ref="I92:M92" si="86">(I29+I41+SUM(I30:I40)*2)/24</f>
        <v>-42761111.836627215</v>
      </c>
      <c r="J92" s="231">
        <f t="shared" si="86"/>
        <v>-1783602.7974609497</v>
      </c>
      <c r="K92" s="231">
        <f t="shared" si="86"/>
        <v>272822.71363314317</v>
      </c>
      <c r="L92" s="231">
        <f t="shared" si="86"/>
        <v>37872690.377198845</v>
      </c>
      <c r="M92" s="231">
        <f t="shared" si="86"/>
        <v>79123022.129998252</v>
      </c>
      <c r="N92" s="234"/>
      <c r="O92" s="231">
        <f>(O29+O41+SUM(O30:O40)*2)/24</f>
        <v>-14437616.113479799</v>
      </c>
      <c r="P92" s="234"/>
      <c r="Q92" s="4"/>
      <c r="R92" s="286"/>
      <c r="S92" s="286"/>
    </row>
    <row r="93" spans="1:19" customFormat="1" ht="13.5" thickTop="1"/>
    <row r="94" spans="1:19" customFormat="1"/>
    <row r="95" spans="1:19" customFormat="1"/>
    <row r="96" spans="1:19" customFormat="1"/>
    <row r="97" spans="2:2">
      <c r="B97" s="300"/>
    </row>
    <row r="98" spans="2:2">
      <c r="B98" s="300"/>
    </row>
    <row r="99" spans="2:2">
      <c r="B99" s="300"/>
    </row>
  </sheetData>
  <pageMargins left="0.7" right="0.7" top="0.75" bottom="0.75" header="0.3" footer="0.3"/>
  <pageSetup scale="4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E19"/>
  <sheetViews>
    <sheetView showGridLines="0" workbookViewId="0">
      <selection activeCell="E36" sqref="E36"/>
    </sheetView>
  </sheetViews>
  <sheetFormatPr defaultColWidth="9.140625" defaultRowHeight="15"/>
  <cols>
    <col min="1" max="1" width="1.85546875" style="1272" customWidth="1"/>
    <col min="2" max="2" width="22.28515625" style="1272" customWidth="1"/>
    <col min="3" max="3" width="1.42578125" style="1272" customWidth="1"/>
    <col min="4" max="4" width="18.42578125" style="1273" customWidth="1"/>
    <col min="5" max="5" width="13.85546875" style="1272" customWidth="1"/>
    <col min="6" max="6" width="12.85546875" style="1272" bestFit="1" customWidth="1"/>
    <col min="7" max="7" width="14.28515625" style="1272" bestFit="1" customWidth="1"/>
    <col min="8" max="9" width="9.140625" style="1272"/>
    <col min="10" max="10" width="11.5703125" style="1272" bestFit="1" customWidth="1"/>
    <col min="11" max="11" width="14.28515625" style="1272" bestFit="1" customWidth="1"/>
    <col min="12" max="16384" width="9.140625" style="1272"/>
  </cols>
  <sheetData>
    <row r="1" spans="2:5" ht="15.75" thickBot="1">
      <c r="B1" s="1292" t="s">
        <v>842</v>
      </c>
    </row>
    <row r="2" spans="2:5">
      <c r="B2" s="1291" t="s">
        <v>128</v>
      </c>
      <c r="C2" s="1290"/>
      <c r="D2" s="1289"/>
      <c r="E2" s="1288"/>
    </row>
    <row r="3" spans="2:5">
      <c r="B3" s="1287" t="s">
        <v>129</v>
      </c>
      <c r="C3" s="1280"/>
      <c r="D3" s="1283" t="s">
        <v>130</v>
      </c>
      <c r="E3" s="1286" t="s">
        <v>131</v>
      </c>
    </row>
    <row r="4" spans="2:5">
      <c r="B4" s="1281"/>
      <c r="C4" s="1280"/>
      <c r="D4" s="1283" t="s">
        <v>0</v>
      </c>
      <c r="E4" s="1286" t="s">
        <v>132</v>
      </c>
    </row>
    <row r="5" spans="2:5">
      <c r="B5" s="1285" t="s">
        <v>115</v>
      </c>
      <c r="C5" s="1284"/>
      <c r="D5" s="1283"/>
      <c r="E5" s="1282"/>
    </row>
    <row r="6" spans="2:5">
      <c r="B6" s="1281" t="s">
        <v>232</v>
      </c>
      <c r="C6" s="1280"/>
      <c r="D6" s="1279" t="s">
        <v>846</v>
      </c>
      <c r="E6" s="1278">
        <f>+E13</f>
        <v>95194976.911599934</v>
      </c>
    </row>
    <row r="7" spans="2:5">
      <c r="B7" s="1281" t="s">
        <v>233</v>
      </c>
      <c r="C7" s="1280"/>
      <c r="D7" s="1279">
        <v>41319</v>
      </c>
      <c r="E7" s="1278">
        <f>+E17</f>
        <v>56867149.200900003</v>
      </c>
    </row>
    <row r="8" spans="2:5" ht="15.75" thickBot="1">
      <c r="B8" s="1277" t="s">
        <v>133</v>
      </c>
      <c r="C8" s="1276"/>
      <c r="D8" s="1275"/>
      <c r="E8" s="1274">
        <f>SUM(E6:E7)</f>
        <v>152062126.11249995</v>
      </c>
    </row>
    <row r="10" spans="2:5">
      <c r="B10" s="430"/>
      <c r="C10" s="430"/>
      <c r="D10" s="431" t="s">
        <v>221</v>
      </c>
      <c r="E10" s="432"/>
    </row>
    <row r="11" spans="2:5">
      <c r="B11" s="430"/>
      <c r="C11" s="430"/>
      <c r="D11" s="433" t="s">
        <v>199</v>
      </c>
      <c r="E11" s="434">
        <f>+Powerhouse!CC338</f>
        <v>86364534.8182666</v>
      </c>
    </row>
    <row r="12" spans="2:5">
      <c r="B12" s="430"/>
      <c r="C12" s="430"/>
      <c r="D12" s="433" t="s">
        <v>134</v>
      </c>
      <c r="E12" s="434">
        <f>+Powerhouse!CC340+Powerhouse!CC341</f>
        <v>8830442.0933333319</v>
      </c>
    </row>
    <row r="13" spans="2:5">
      <c r="B13" s="430"/>
      <c r="C13" s="430"/>
      <c r="D13" s="435" t="s">
        <v>1</v>
      </c>
      <c r="E13" s="436">
        <f>+E11+E12</f>
        <v>95194976.911599934</v>
      </c>
    </row>
    <row r="14" spans="2:5">
      <c r="B14" s="430"/>
      <c r="C14" s="430"/>
      <c r="D14" s="431" t="s">
        <v>222</v>
      </c>
      <c r="E14" s="432"/>
    </row>
    <row r="15" spans="2:5">
      <c r="B15" s="430"/>
      <c r="C15" s="430"/>
      <c r="D15" s="433" t="s">
        <v>199</v>
      </c>
      <c r="E15" s="434">
        <f>+FSC!CJ283</f>
        <v>53066481.860900007</v>
      </c>
    </row>
    <row r="16" spans="2:5">
      <c r="B16" s="430"/>
      <c r="C16" s="430"/>
      <c r="D16" s="433" t="s">
        <v>134</v>
      </c>
      <c r="E16" s="434">
        <f>+FSC!CJ286</f>
        <v>3800667.34</v>
      </c>
    </row>
    <row r="17" spans="2:5">
      <c r="B17" s="430"/>
      <c r="C17" s="430"/>
      <c r="D17" s="435" t="s">
        <v>1</v>
      </c>
      <c r="E17" s="436">
        <f>+E15+E16</f>
        <v>56867149.200900003</v>
      </c>
    </row>
    <row r="18" spans="2:5">
      <c r="B18" s="430"/>
      <c r="C18" s="430"/>
      <c r="D18" s="430"/>
    </row>
    <row r="19" spans="2:5">
      <c r="B19" s="430"/>
      <c r="C19" s="430"/>
      <c r="D19" s="43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outlinePr summaryBelow="0"/>
    <pageSetUpPr fitToPage="1"/>
  </sheetPr>
  <dimension ref="A2:CV443"/>
  <sheetViews>
    <sheetView showGridLines="0" tabSelected="1" zoomScaleNormal="100" workbookViewId="0">
      <pane xSplit="13" ySplit="5" topLeftCell="CF277" activePane="bottomRight" state="frozen"/>
      <selection activeCell="G46" sqref="G46"/>
      <selection pane="topRight" activeCell="G46" sqref="G46"/>
      <selection pane="bottomLeft" activeCell="G46" sqref="G46"/>
      <selection pane="bottomRight" activeCell="H31" sqref="H31"/>
    </sheetView>
  </sheetViews>
  <sheetFormatPr defaultColWidth="9.140625" defaultRowHeight="12" outlineLevelRow="2" outlineLevelCol="2"/>
  <cols>
    <col min="1" max="1" width="3" style="437" bestFit="1" customWidth="1"/>
    <col min="2" max="2" width="7.42578125" style="437" bestFit="1" customWidth="1"/>
    <col min="3" max="3" width="7.42578125" style="438" bestFit="1" customWidth="1"/>
    <col min="4" max="4" width="4.5703125" style="438" customWidth="1"/>
    <col min="5" max="5" width="2.85546875" style="438" customWidth="1"/>
    <col min="6" max="6" width="3.140625" style="438" customWidth="1"/>
    <col min="7" max="7" width="2.7109375" style="438" customWidth="1"/>
    <col min="8" max="9" width="2.5703125" style="438" customWidth="1"/>
    <col min="10" max="10" width="4.85546875" style="438" customWidth="1"/>
    <col min="11" max="11" width="9.140625" style="438"/>
    <col min="12" max="12" width="32.85546875" style="438" customWidth="1"/>
    <col min="13" max="13" width="6.28515625" style="438" customWidth="1"/>
    <col min="14" max="14" width="11.42578125" style="438" hidden="1" customWidth="1" outlineLevel="1"/>
    <col min="15" max="15" width="14.28515625" style="438" hidden="1" customWidth="1" outlineLevel="1"/>
    <col min="16" max="16" width="16" style="438" hidden="1" customWidth="1" outlineLevel="1"/>
    <col min="17" max="17" width="11.42578125" style="438" customWidth="1" collapsed="1"/>
    <col min="18" max="18" width="11.42578125" style="438" customWidth="1"/>
    <col min="19" max="19" width="14.28515625" style="438" customWidth="1" outlineLevel="1"/>
    <col min="20" max="20" width="9.7109375" style="438" hidden="1" customWidth="1" outlineLevel="2"/>
    <col min="21" max="21" width="9.42578125" style="438" hidden="1" customWidth="1" outlineLevel="2"/>
    <col min="22" max="22" width="9.7109375" style="438" hidden="1" customWidth="1" outlineLevel="2"/>
    <col min="23" max="24" width="10.5703125" style="438" hidden="1" customWidth="1" outlineLevel="2"/>
    <col min="25" max="25" width="9.42578125" style="438" hidden="1" customWidth="1" outlineLevel="2"/>
    <col min="26" max="26" width="10.5703125" style="438" hidden="1" customWidth="1" outlineLevel="2"/>
    <col min="27" max="27" width="10.140625" style="438" hidden="1" customWidth="1" outlineLevel="2"/>
    <col min="28" max="28" width="10.5703125" style="438" hidden="1" customWidth="1" outlineLevel="2"/>
    <col min="29" max="29" width="10" style="438" hidden="1" customWidth="1" outlineLevel="2"/>
    <col min="30" max="30" width="9.140625" style="438" hidden="1" customWidth="1" outlineLevel="2"/>
    <col min="31" max="31" width="10.42578125" style="438" hidden="1" customWidth="1" outlineLevel="2"/>
    <col min="32" max="32" width="13" style="438" customWidth="1" outlineLevel="1" collapsed="1"/>
    <col min="33" max="33" width="9.5703125" style="438" hidden="1" customWidth="1" outlineLevel="2"/>
    <col min="34" max="34" width="9.85546875" style="438" hidden="1" customWidth="1" outlineLevel="2"/>
    <col min="35" max="44" width="10.42578125" style="438" hidden="1" customWidth="1" outlineLevel="2"/>
    <col min="45" max="45" width="13.7109375" style="438" customWidth="1" outlineLevel="1" collapsed="1"/>
    <col min="46" max="47" width="10.42578125" style="438" hidden="1" customWidth="1" outlineLevel="2"/>
    <col min="48" max="48" width="11" style="438" hidden="1" customWidth="1" outlineLevel="2"/>
    <col min="49" max="50" width="10.42578125" style="438" hidden="1" customWidth="1" outlineLevel="2"/>
    <col min="51" max="51" width="11.140625" style="438" hidden="1" customWidth="1" outlineLevel="2"/>
    <col min="52" max="52" width="11.28515625" style="438" hidden="1" customWidth="1" outlineLevel="2"/>
    <col min="53" max="53" width="11.140625" style="438" hidden="1" customWidth="1" outlineLevel="2"/>
    <col min="54" max="55" width="10.42578125" style="438" hidden="1" customWidth="1" outlineLevel="2"/>
    <col min="56" max="56" width="11.140625" style="438" hidden="1" customWidth="1" outlineLevel="2"/>
    <col min="57" max="57" width="15" style="438" hidden="1" customWidth="1" outlineLevel="2"/>
    <col min="58" max="58" width="14" style="438" customWidth="1" outlineLevel="1" collapsed="1"/>
    <col min="59" max="59" width="11.140625" style="438" customWidth="1" outlineLevel="2"/>
    <col min="60" max="60" width="11.42578125" style="438" customWidth="1" outlineLevel="2"/>
    <col min="61" max="63" width="11.140625" style="438" customWidth="1" outlineLevel="2"/>
    <col min="64" max="64" width="9.85546875" style="438" customWidth="1" outlineLevel="2"/>
    <col min="65" max="66" width="9.140625" style="438" customWidth="1" outlineLevel="2"/>
    <col min="67" max="67" width="10.42578125" style="438" customWidth="1" outlineLevel="2"/>
    <col min="68" max="68" width="9.140625" style="438" customWidth="1" outlineLevel="2"/>
    <col min="69" max="69" width="10.42578125" style="438" customWidth="1" outlineLevel="2"/>
    <col min="70" max="70" width="9.140625" style="438" customWidth="1" outlineLevel="2"/>
    <col min="71" max="71" width="13" style="438" customWidth="1" outlineLevel="1"/>
    <col min="72" max="83" width="9.140625" style="438" hidden="1" customWidth="1" outlineLevel="2"/>
    <col min="84" max="84" width="9.42578125" style="438" customWidth="1" outlineLevel="1" collapsed="1"/>
    <col min="85" max="85" width="9.42578125" style="438" customWidth="1" outlineLevel="1"/>
    <col min="86" max="86" width="14.5703125" style="438" customWidth="1"/>
    <col min="87" max="87" width="18.5703125" style="438" bestFit="1" customWidth="1"/>
    <col min="88" max="88" width="14.85546875" style="439" bestFit="1" customWidth="1"/>
    <col min="89" max="89" width="16.28515625" style="439" bestFit="1" customWidth="1"/>
    <col min="90" max="90" width="16" style="439" bestFit="1" customWidth="1"/>
    <col min="91" max="91" width="12" style="439" bestFit="1" customWidth="1"/>
    <col min="92" max="92" width="14" style="438" bestFit="1" customWidth="1"/>
    <col min="93" max="93" width="26.5703125" style="438" bestFit="1" customWidth="1"/>
    <col min="94" max="94" width="13.140625" style="438" customWidth="1"/>
    <col min="95" max="96" width="12" style="438" bestFit="1" customWidth="1"/>
    <col min="97" max="97" width="11" style="438" bestFit="1" customWidth="1"/>
    <col min="98" max="99" width="9.140625" style="438"/>
    <col min="100" max="100" width="12.85546875" style="438" bestFit="1" customWidth="1"/>
    <col min="101" max="16384" width="9.140625" style="438"/>
  </cols>
  <sheetData>
    <row r="2" spans="1:100" ht="22.5">
      <c r="CH2" s="1354" t="s">
        <v>243</v>
      </c>
      <c r="CI2" s="1355" t="s">
        <v>244</v>
      </c>
    </row>
    <row r="3" spans="1:100" ht="12.75" thickBot="1"/>
    <row r="4" spans="1:100" s="454" customFormat="1" ht="48.75" thickTop="1">
      <c r="A4" s="440" t="s">
        <v>245</v>
      </c>
      <c r="B4" s="441"/>
      <c r="C4" s="442"/>
      <c r="D4" s="442"/>
      <c r="E4" s="442"/>
      <c r="F4" s="442"/>
      <c r="G4" s="442"/>
      <c r="H4" s="442"/>
      <c r="I4" s="442"/>
      <c r="J4" s="443"/>
      <c r="K4" s="443"/>
      <c r="L4" s="443"/>
      <c r="M4" s="443"/>
      <c r="N4" s="444" t="s">
        <v>246</v>
      </c>
      <c r="O4" s="444" t="s">
        <v>247</v>
      </c>
      <c r="P4" s="445" t="s">
        <v>248</v>
      </c>
      <c r="Q4" s="446" t="s">
        <v>249</v>
      </c>
      <c r="R4" s="446" t="s">
        <v>250</v>
      </c>
      <c r="S4" s="447" t="s">
        <v>251</v>
      </c>
      <c r="T4" s="448" t="s">
        <v>252</v>
      </c>
      <c r="U4" s="449" t="s">
        <v>253</v>
      </c>
      <c r="V4" s="449" t="s">
        <v>254</v>
      </c>
      <c r="W4" s="449" t="s">
        <v>255</v>
      </c>
      <c r="X4" s="449" t="s">
        <v>194</v>
      </c>
      <c r="Y4" s="449" t="s">
        <v>256</v>
      </c>
      <c r="Z4" s="449" t="s">
        <v>257</v>
      </c>
      <c r="AA4" s="449" t="s">
        <v>195</v>
      </c>
      <c r="AB4" s="449" t="s">
        <v>230</v>
      </c>
      <c r="AC4" s="449" t="s">
        <v>231</v>
      </c>
      <c r="AD4" s="449" t="s">
        <v>258</v>
      </c>
      <c r="AE4" s="450" t="s">
        <v>259</v>
      </c>
      <c r="AF4" s="451">
        <v>2010</v>
      </c>
      <c r="AG4" s="452" t="s">
        <v>252</v>
      </c>
      <c r="AH4" s="449" t="s">
        <v>253</v>
      </c>
      <c r="AI4" s="449" t="s">
        <v>254</v>
      </c>
      <c r="AJ4" s="449" t="s">
        <v>255</v>
      </c>
      <c r="AK4" s="449" t="s">
        <v>194</v>
      </c>
      <c r="AL4" s="449" t="s">
        <v>256</v>
      </c>
      <c r="AM4" s="449" t="s">
        <v>257</v>
      </c>
      <c r="AN4" s="449" t="s">
        <v>195</v>
      </c>
      <c r="AO4" s="449" t="s">
        <v>230</v>
      </c>
      <c r="AP4" s="449" t="s">
        <v>231</v>
      </c>
      <c r="AQ4" s="449" t="s">
        <v>258</v>
      </c>
      <c r="AR4" s="450" t="s">
        <v>259</v>
      </c>
      <c r="AS4" s="451">
        <v>2011</v>
      </c>
      <c r="AT4" s="452" t="s">
        <v>252</v>
      </c>
      <c r="AU4" s="449" t="s">
        <v>253</v>
      </c>
      <c r="AV4" s="449" t="s">
        <v>254</v>
      </c>
      <c r="AW4" s="449" t="s">
        <v>255</v>
      </c>
      <c r="AX4" s="449" t="s">
        <v>194</v>
      </c>
      <c r="AY4" s="449" t="s">
        <v>256</v>
      </c>
      <c r="AZ4" s="449" t="s">
        <v>257</v>
      </c>
      <c r="BA4" s="449" t="s">
        <v>195</v>
      </c>
      <c r="BB4" s="449" t="s">
        <v>230</v>
      </c>
      <c r="BC4" s="449" t="s">
        <v>231</v>
      </c>
      <c r="BD4" s="449" t="s">
        <v>258</v>
      </c>
      <c r="BE4" s="450" t="s">
        <v>259</v>
      </c>
      <c r="BF4" s="451">
        <v>2012</v>
      </c>
      <c r="BG4" s="452" t="s">
        <v>252</v>
      </c>
      <c r="BH4" s="449" t="s">
        <v>253</v>
      </c>
      <c r="BI4" s="449" t="s">
        <v>254</v>
      </c>
      <c r="BJ4" s="449" t="s">
        <v>255</v>
      </c>
      <c r="BK4" s="449" t="s">
        <v>194</v>
      </c>
      <c r="BL4" s="449" t="s">
        <v>256</v>
      </c>
      <c r="BM4" s="449" t="s">
        <v>257</v>
      </c>
      <c r="BN4" s="449" t="s">
        <v>195</v>
      </c>
      <c r="BO4" s="449" t="s">
        <v>230</v>
      </c>
      <c r="BP4" s="449" t="s">
        <v>231</v>
      </c>
      <c r="BQ4" s="449" t="s">
        <v>258</v>
      </c>
      <c r="BR4" s="450" t="s">
        <v>259</v>
      </c>
      <c r="BS4" s="451">
        <v>2013</v>
      </c>
      <c r="BT4" s="452" t="s">
        <v>252</v>
      </c>
      <c r="BU4" s="449" t="s">
        <v>253</v>
      </c>
      <c r="BV4" s="449" t="s">
        <v>254</v>
      </c>
      <c r="BW4" s="449" t="s">
        <v>255</v>
      </c>
      <c r="BX4" s="449" t="s">
        <v>194</v>
      </c>
      <c r="BY4" s="449" t="s">
        <v>256</v>
      </c>
      <c r="BZ4" s="449" t="s">
        <v>257</v>
      </c>
      <c r="CA4" s="449" t="s">
        <v>195</v>
      </c>
      <c r="CB4" s="449" t="s">
        <v>230</v>
      </c>
      <c r="CC4" s="449" t="s">
        <v>231</v>
      </c>
      <c r="CD4" s="449" t="s">
        <v>258</v>
      </c>
      <c r="CE4" s="450" t="s">
        <v>259</v>
      </c>
      <c r="CF4" s="451">
        <v>2014</v>
      </c>
      <c r="CG4" s="451">
        <v>2015</v>
      </c>
      <c r="CH4" s="447" t="s">
        <v>260</v>
      </c>
      <c r="CI4" s="447" t="s">
        <v>261</v>
      </c>
      <c r="CJ4" s="453" t="s">
        <v>262</v>
      </c>
      <c r="CK4" s="453" t="s">
        <v>263</v>
      </c>
      <c r="CL4" s="453" t="s">
        <v>264</v>
      </c>
      <c r="CM4" s="453" t="s">
        <v>265</v>
      </c>
      <c r="CO4" s="455" t="s">
        <v>266</v>
      </c>
      <c r="CP4" s="456"/>
      <c r="CQ4" s="457"/>
      <c r="CR4" s="458"/>
      <c r="CS4" s="458"/>
      <c r="CT4" s="458"/>
      <c r="CU4" s="459"/>
      <c r="CV4" s="460"/>
    </row>
    <row r="5" spans="1:100" ht="12.75" thickBot="1">
      <c r="A5" s="461"/>
      <c r="B5" s="461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3"/>
      <c r="O5" s="463"/>
      <c r="P5" s="464"/>
      <c r="Q5" s="465"/>
      <c r="R5" s="465"/>
      <c r="S5" s="466" t="s">
        <v>267</v>
      </c>
      <c r="T5" s="467" t="s">
        <v>267</v>
      </c>
      <c r="U5" s="468" t="s">
        <v>267</v>
      </c>
      <c r="V5" s="468" t="s">
        <v>267</v>
      </c>
      <c r="W5" s="468" t="s">
        <v>267</v>
      </c>
      <c r="X5" s="468" t="s">
        <v>267</v>
      </c>
      <c r="Y5" s="468" t="s">
        <v>267</v>
      </c>
      <c r="Z5" s="468" t="s">
        <v>267</v>
      </c>
      <c r="AA5" s="468" t="s">
        <v>267</v>
      </c>
      <c r="AB5" s="468" t="s">
        <v>267</v>
      </c>
      <c r="AC5" s="468" t="s">
        <v>267</v>
      </c>
      <c r="AD5" s="468" t="s">
        <v>267</v>
      </c>
      <c r="AE5" s="468" t="s">
        <v>267</v>
      </c>
      <c r="AF5" s="469"/>
      <c r="AG5" s="470" t="s">
        <v>267</v>
      </c>
      <c r="AH5" s="468" t="s">
        <v>267</v>
      </c>
      <c r="AI5" s="468" t="s">
        <v>267</v>
      </c>
      <c r="AJ5" s="468" t="s">
        <v>267</v>
      </c>
      <c r="AK5" s="468" t="s">
        <v>267</v>
      </c>
      <c r="AL5" s="468" t="s">
        <v>267</v>
      </c>
      <c r="AM5" s="468" t="s">
        <v>267</v>
      </c>
      <c r="AN5" s="468" t="s">
        <v>267</v>
      </c>
      <c r="AO5" s="468" t="s">
        <v>267</v>
      </c>
      <c r="AP5" s="468" t="s">
        <v>267</v>
      </c>
      <c r="AQ5" s="468" t="s">
        <v>267</v>
      </c>
      <c r="AR5" s="468" t="s">
        <v>267</v>
      </c>
      <c r="AS5" s="469"/>
      <c r="AT5" s="468" t="s">
        <v>267</v>
      </c>
      <c r="AU5" s="468" t="s">
        <v>267</v>
      </c>
      <c r="AV5" s="468" t="s">
        <v>267</v>
      </c>
      <c r="AW5" s="468" t="s">
        <v>267</v>
      </c>
      <c r="AX5" s="468" t="s">
        <v>267</v>
      </c>
      <c r="AY5" s="468" t="s">
        <v>267</v>
      </c>
      <c r="AZ5" s="468" t="s">
        <v>267</v>
      </c>
      <c r="BA5" s="468" t="s">
        <v>267</v>
      </c>
      <c r="BB5" s="468" t="s">
        <v>267</v>
      </c>
      <c r="BC5" s="468" t="s">
        <v>267</v>
      </c>
      <c r="BD5" s="468" t="s">
        <v>267</v>
      </c>
      <c r="BE5" s="468" t="s">
        <v>267</v>
      </c>
      <c r="BF5" s="469"/>
      <c r="BG5" s="468" t="s">
        <v>267</v>
      </c>
      <c r="BH5" s="468" t="s">
        <v>267</v>
      </c>
      <c r="BI5" s="468" t="s">
        <v>267</v>
      </c>
      <c r="BJ5" s="468" t="s">
        <v>267</v>
      </c>
      <c r="BK5" s="468" t="s">
        <v>267</v>
      </c>
      <c r="BL5" s="471" t="s">
        <v>268</v>
      </c>
      <c r="BM5" s="471" t="s">
        <v>268</v>
      </c>
      <c r="BN5" s="471" t="s">
        <v>268</v>
      </c>
      <c r="BO5" s="471" t="s">
        <v>268</v>
      </c>
      <c r="BP5" s="471" t="s">
        <v>268</v>
      </c>
      <c r="BQ5" s="471" t="s">
        <v>268</v>
      </c>
      <c r="BR5" s="472" t="s">
        <v>268</v>
      </c>
      <c r="BS5" s="469"/>
      <c r="BT5" s="471" t="s">
        <v>268</v>
      </c>
      <c r="BU5" s="471" t="s">
        <v>268</v>
      </c>
      <c r="BV5" s="471" t="s">
        <v>268</v>
      </c>
      <c r="BW5" s="471" t="s">
        <v>268</v>
      </c>
      <c r="BX5" s="471" t="s">
        <v>268</v>
      </c>
      <c r="BY5" s="471" t="s">
        <v>268</v>
      </c>
      <c r="BZ5" s="471" t="s">
        <v>268</v>
      </c>
      <c r="CA5" s="471" t="s">
        <v>268</v>
      </c>
      <c r="CB5" s="471" t="s">
        <v>268</v>
      </c>
      <c r="CC5" s="471" t="s">
        <v>268</v>
      </c>
      <c r="CD5" s="471" t="s">
        <v>268</v>
      </c>
      <c r="CE5" s="472" t="s">
        <v>268</v>
      </c>
      <c r="CF5" s="469"/>
      <c r="CG5" s="469"/>
      <c r="CH5" s="473"/>
      <c r="CI5" s="469"/>
      <c r="CJ5" s="474"/>
      <c r="CK5" s="475"/>
      <c r="CL5" s="475"/>
      <c r="CM5" s="475"/>
      <c r="CO5" s="476" t="s">
        <v>269</v>
      </c>
      <c r="CP5" s="462" t="s">
        <v>270</v>
      </c>
      <c r="CQ5" s="477">
        <v>2011</v>
      </c>
      <c r="CR5" s="478">
        <f>+CQ5+1</f>
        <v>2012</v>
      </c>
      <c r="CS5" s="478">
        <f>+CR5+1</f>
        <v>2013</v>
      </c>
      <c r="CT5" s="478">
        <f>+CS5+1</f>
        <v>2014</v>
      </c>
      <c r="CU5" s="479">
        <f>+CT5+1</f>
        <v>2015</v>
      </c>
      <c r="CV5" s="480" t="s">
        <v>1</v>
      </c>
    </row>
    <row r="6" spans="1:100" ht="12.75" thickTop="1">
      <c r="A6" s="481" t="s">
        <v>271</v>
      </c>
      <c r="B6" s="1430">
        <v>510</v>
      </c>
      <c r="C6" s="1431"/>
      <c r="D6" s="1431"/>
      <c r="E6" s="1432"/>
      <c r="F6" s="482"/>
      <c r="G6" s="482" t="s">
        <v>272</v>
      </c>
      <c r="H6" s="482"/>
      <c r="I6" s="482"/>
      <c r="J6" s="482"/>
      <c r="K6" s="482"/>
      <c r="L6" s="483"/>
      <c r="M6" s="484"/>
      <c r="N6" s="485"/>
      <c r="O6" s="486"/>
      <c r="P6" s="487"/>
      <c r="Q6" s="488">
        <f t="shared" ref="Q6:AV6" si="0">SUBTOTAL(9,Q7:Q16)</f>
        <v>100000</v>
      </c>
      <c r="R6" s="488">
        <f t="shared" si="0"/>
        <v>0</v>
      </c>
      <c r="S6" s="489">
        <f t="shared" si="0"/>
        <v>0</v>
      </c>
      <c r="T6" s="490">
        <f t="shared" si="0"/>
        <v>0</v>
      </c>
      <c r="U6" s="491">
        <f t="shared" si="0"/>
        <v>0</v>
      </c>
      <c r="V6" s="491">
        <f t="shared" si="0"/>
        <v>0</v>
      </c>
      <c r="W6" s="491">
        <f t="shared" si="0"/>
        <v>0</v>
      </c>
      <c r="X6" s="491">
        <f t="shared" si="0"/>
        <v>0</v>
      </c>
      <c r="Y6" s="491">
        <f t="shared" si="0"/>
        <v>0</v>
      </c>
      <c r="Z6" s="491">
        <f t="shared" si="0"/>
        <v>0</v>
      </c>
      <c r="AA6" s="491">
        <f t="shared" si="0"/>
        <v>0</v>
      </c>
      <c r="AB6" s="491">
        <f t="shared" si="0"/>
        <v>0</v>
      </c>
      <c r="AC6" s="491">
        <f t="shared" si="0"/>
        <v>0</v>
      </c>
      <c r="AD6" s="491">
        <f t="shared" si="0"/>
        <v>0</v>
      </c>
      <c r="AE6" s="492">
        <f t="shared" si="0"/>
        <v>0</v>
      </c>
      <c r="AF6" s="489">
        <f t="shared" si="0"/>
        <v>0</v>
      </c>
      <c r="AG6" s="493">
        <f t="shared" si="0"/>
        <v>0</v>
      </c>
      <c r="AH6" s="491">
        <f t="shared" si="0"/>
        <v>0</v>
      </c>
      <c r="AI6" s="491">
        <f t="shared" si="0"/>
        <v>0</v>
      </c>
      <c r="AJ6" s="491">
        <f t="shared" si="0"/>
        <v>0</v>
      </c>
      <c r="AK6" s="491">
        <f t="shared" si="0"/>
        <v>0</v>
      </c>
      <c r="AL6" s="491">
        <f t="shared" si="0"/>
        <v>0</v>
      </c>
      <c r="AM6" s="491">
        <f t="shared" si="0"/>
        <v>0</v>
      </c>
      <c r="AN6" s="491">
        <f t="shared" si="0"/>
        <v>0</v>
      </c>
      <c r="AO6" s="491">
        <f t="shared" si="0"/>
        <v>0</v>
      </c>
      <c r="AP6" s="491">
        <f t="shared" si="0"/>
        <v>0</v>
      </c>
      <c r="AQ6" s="491">
        <f t="shared" si="0"/>
        <v>0</v>
      </c>
      <c r="AR6" s="492">
        <f t="shared" si="0"/>
        <v>0</v>
      </c>
      <c r="AS6" s="489">
        <f t="shared" si="0"/>
        <v>0</v>
      </c>
      <c r="AT6" s="493">
        <f t="shared" si="0"/>
        <v>0</v>
      </c>
      <c r="AU6" s="491">
        <f t="shared" si="0"/>
        <v>0</v>
      </c>
      <c r="AV6" s="491">
        <f t="shared" si="0"/>
        <v>0</v>
      </c>
      <c r="AW6" s="491">
        <f t="shared" ref="AW6:CB6" si="1">SUBTOTAL(9,AW7:AW16)</f>
        <v>0</v>
      </c>
      <c r="AX6" s="491">
        <f t="shared" si="1"/>
        <v>0</v>
      </c>
      <c r="AY6" s="491">
        <f t="shared" si="1"/>
        <v>0</v>
      </c>
      <c r="AZ6" s="491">
        <f t="shared" si="1"/>
        <v>0</v>
      </c>
      <c r="BA6" s="491">
        <f t="shared" si="1"/>
        <v>0</v>
      </c>
      <c r="BB6" s="491">
        <f t="shared" si="1"/>
        <v>0</v>
      </c>
      <c r="BC6" s="491">
        <f t="shared" si="1"/>
        <v>0</v>
      </c>
      <c r="BD6" s="491">
        <f t="shared" si="1"/>
        <v>0</v>
      </c>
      <c r="BE6" s="492">
        <f t="shared" si="1"/>
        <v>0</v>
      </c>
      <c r="BF6" s="489">
        <f t="shared" si="1"/>
        <v>0</v>
      </c>
      <c r="BG6" s="493">
        <f t="shared" si="1"/>
        <v>0</v>
      </c>
      <c r="BH6" s="491">
        <f t="shared" si="1"/>
        <v>0</v>
      </c>
      <c r="BI6" s="491">
        <f t="shared" si="1"/>
        <v>0</v>
      </c>
      <c r="BJ6" s="491">
        <f t="shared" si="1"/>
        <v>0</v>
      </c>
      <c r="BK6" s="491">
        <f t="shared" si="1"/>
        <v>0</v>
      </c>
      <c r="BL6" s="491">
        <f t="shared" si="1"/>
        <v>0</v>
      </c>
      <c r="BM6" s="491">
        <f t="shared" si="1"/>
        <v>0</v>
      </c>
      <c r="BN6" s="491">
        <f t="shared" si="1"/>
        <v>0</v>
      </c>
      <c r="BO6" s="491">
        <f t="shared" si="1"/>
        <v>0</v>
      </c>
      <c r="BP6" s="491">
        <f t="shared" si="1"/>
        <v>0</v>
      </c>
      <c r="BQ6" s="491">
        <f t="shared" si="1"/>
        <v>0</v>
      </c>
      <c r="BR6" s="492">
        <f t="shared" si="1"/>
        <v>0</v>
      </c>
      <c r="BS6" s="489">
        <f t="shared" si="1"/>
        <v>0</v>
      </c>
      <c r="BT6" s="493">
        <f t="shared" si="1"/>
        <v>0</v>
      </c>
      <c r="BU6" s="491">
        <f t="shared" si="1"/>
        <v>0</v>
      </c>
      <c r="BV6" s="491">
        <f t="shared" si="1"/>
        <v>0</v>
      </c>
      <c r="BW6" s="491">
        <f t="shared" si="1"/>
        <v>0</v>
      </c>
      <c r="BX6" s="491">
        <f t="shared" si="1"/>
        <v>0</v>
      </c>
      <c r="BY6" s="491">
        <f t="shared" si="1"/>
        <v>0</v>
      </c>
      <c r="BZ6" s="491">
        <f t="shared" si="1"/>
        <v>0</v>
      </c>
      <c r="CA6" s="491">
        <f t="shared" si="1"/>
        <v>0</v>
      </c>
      <c r="CB6" s="491">
        <f t="shared" si="1"/>
        <v>0</v>
      </c>
      <c r="CC6" s="491">
        <f t="shared" ref="CC6:CM6" si="2">SUBTOTAL(9,CC7:CC16)</f>
        <v>0</v>
      </c>
      <c r="CD6" s="491">
        <f t="shared" si="2"/>
        <v>0</v>
      </c>
      <c r="CE6" s="492">
        <f t="shared" si="2"/>
        <v>0</v>
      </c>
      <c r="CF6" s="489">
        <f t="shared" si="2"/>
        <v>0</v>
      </c>
      <c r="CG6" s="489">
        <f t="shared" si="2"/>
        <v>0</v>
      </c>
      <c r="CH6" s="489">
        <f t="shared" si="2"/>
        <v>0</v>
      </c>
      <c r="CI6" s="489">
        <f t="shared" si="2"/>
        <v>0</v>
      </c>
      <c r="CJ6" s="489">
        <f t="shared" si="2"/>
        <v>0</v>
      </c>
      <c r="CK6" s="489">
        <f t="shared" si="2"/>
        <v>0</v>
      </c>
      <c r="CL6" s="489">
        <f t="shared" si="2"/>
        <v>0</v>
      </c>
      <c r="CM6" s="489">
        <f t="shared" si="2"/>
        <v>0</v>
      </c>
      <c r="CO6" s="494" t="s">
        <v>273</v>
      </c>
      <c r="CP6" s="495" t="s">
        <v>274</v>
      </c>
      <c r="CQ6" s="496">
        <f>+AS283</f>
        <v>18975118.310000006</v>
      </c>
      <c r="CR6" s="497">
        <f>+BF283</f>
        <v>27104924.415900003</v>
      </c>
      <c r="CS6" s="497">
        <f>+BS283</f>
        <v>1920333.8449999993</v>
      </c>
      <c r="CT6" s="497">
        <f>+CF283</f>
        <v>0</v>
      </c>
      <c r="CU6" s="498">
        <f>+CG283</f>
        <v>0</v>
      </c>
      <c r="CV6" s="499">
        <f>SUM(CQ6:CU6)</f>
        <v>48000376.570900008</v>
      </c>
    </row>
    <row r="7" spans="1:100" outlineLevel="1">
      <c r="A7" s="500"/>
      <c r="B7" s="1423">
        <v>510.1</v>
      </c>
      <c r="C7" s="1424"/>
      <c r="D7" s="1424"/>
      <c r="E7" s="501"/>
      <c r="F7" s="501"/>
      <c r="G7" s="501" t="s">
        <v>275</v>
      </c>
      <c r="H7" s="501"/>
      <c r="I7" s="501"/>
      <c r="J7" s="501"/>
      <c r="K7" s="501"/>
      <c r="L7" s="501"/>
      <c r="M7" s="502"/>
      <c r="N7" s="503"/>
      <c r="O7" s="504"/>
      <c r="P7" s="505"/>
      <c r="Q7" s="506">
        <v>0</v>
      </c>
      <c r="R7" s="506">
        <v>0</v>
      </c>
      <c r="S7" s="504"/>
      <c r="T7" s="507"/>
      <c r="U7" s="508"/>
      <c r="V7" s="508"/>
      <c r="W7" s="508"/>
      <c r="X7" s="508"/>
      <c r="Y7" s="508"/>
      <c r="Z7" s="508"/>
      <c r="AA7" s="508"/>
      <c r="AB7" s="508"/>
      <c r="AC7" s="508"/>
      <c r="AD7" s="508"/>
      <c r="AE7" s="509"/>
      <c r="AF7" s="504">
        <f t="shared" ref="AF7:AF16" si="3">SUM(T7:AE7)</f>
        <v>0</v>
      </c>
      <c r="AG7" s="510"/>
      <c r="AH7" s="508"/>
      <c r="AI7" s="508"/>
      <c r="AJ7" s="508"/>
      <c r="AK7" s="508"/>
      <c r="AL7" s="508"/>
      <c r="AM7" s="508"/>
      <c r="AN7" s="508"/>
      <c r="AO7" s="508"/>
      <c r="AP7" s="508"/>
      <c r="AQ7" s="508"/>
      <c r="AR7" s="509"/>
      <c r="AS7" s="504">
        <f t="shared" ref="AS7:AS16" si="4">SUM(AG7:AR7)</f>
        <v>0</v>
      </c>
      <c r="AT7" s="510"/>
      <c r="AU7" s="508"/>
      <c r="AV7" s="508"/>
      <c r="AW7" s="508"/>
      <c r="AX7" s="508"/>
      <c r="AY7" s="508"/>
      <c r="AZ7" s="508"/>
      <c r="BA7" s="508"/>
      <c r="BB7" s="508"/>
      <c r="BC7" s="508"/>
      <c r="BD7" s="508"/>
      <c r="BE7" s="509"/>
      <c r="BF7" s="504">
        <f t="shared" ref="BF7:BF16" si="5">SUM(AT7:BE7)</f>
        <v>0</v>
      </c>
      <c r="BG7" s="510"/>
      <c r="BH7" s="508"/>
      <c r="BI7" s="508"/>
      <c r="BJ7" s="508"/>
      <c r="BK7" s="508"/>
      <c r="BL7" s="508"/>
      <c r="BM7" s="508"/>
      <c r="BN7" s="508"/>
      <c r="BO7" s="508"/>
      <c r="BP7" s="508"/>
      <c r="BQ7" s="508"/>
      <c r="BR7" s="509"/>
      <c r="BS7" s="504">
        <f t="shared" ref="BS7:BS16" si="6">SUM(BG7:BR7)</f>
        <v>0</v>
      </c>
      <c r="BT7" s="510"/>
      <c r="BU7" s="508"/>
      <c r="BV7" s="508"/>
      <c r="BW7" s="508"/>
      <c r="BX7" s="508"/>
      <c r="BY7" s="508"/>
      <c r="BZ7" s="508"/>
      <c r="CA7" s="508"/>
      <c r="CB7" s="508"/>
      <c r="CC7" s="508"/>
      <c r="CD7" s="508"/>
      <c r="CE7" s="509"/>
      <c r="CF7" s="504">
        <f t="shared" ref="CF7:CF16" si="7">SUM(BT7:CE7)</f>
        <v>0</v>
      </c>
      <c r="CG7" s="504"/>
      <c r="CH7" s="504">
        <f t="shared" ref="CH7:CH16" si="8">SUMIF(($S$5:$CG$5),"Actual",(S7:CG7))</f>
        <v>0</v>
      </c>
      <c r="CI7" s="504">
        <f t="shared" ref="CI7:CI16" si="9">SUMIF(($S$5:$CG$5),"Forecast",(S7:CG7))</f>
        <v>0</v>
      </c>
      <c r="CJ7" s="504">
        <f t="shared" ref="CJ7:CJ16" si="10">+CH7+CI7</f>
        <v>0</v>
      </c>
      <c r="CK7" s="504">
        <f t="shared" ref="CK7:CK15" si="11">+CJ7-R7</f>
        <v>0</v>
      </c>
      <c r="CL7" s="504">
        <v>0</v>
      </c>
      <c r="CM7" s="504">
        <f t="shared" ref="CM7:CM16" si="12">+CJ7-CL7</f>
        <v>0</v>
      </c>
      <c r="CO7" s="511"/>
      <c r="CP7" s="512" t="s">
        <v>276</v>
      </c>
      <c r="CQ7" s="511"/>
      <c r="CR7" s="513"/>
      <c r="CS7" s="513"/>
      <c r="CT7" s="513"/>
      <c r="CU7" s="514"/>
      <c r="CV7" s="515"/>
    </row>
    <row r="8" spans="1:100" outlineLevel="1">
      <c r="A8" s="500"/>
      <c r="B8" s="516"/>
      <c r="C8" s="516">
        <v>510.11</v>
      </c>
      <c r="D8" s="516"/>
      <c r="E8" s="501"/>
      <c r="F8" s="501"/>
      <c r="G8" s="501"/>
      <c r="H8" s="501" t="s">
        <v>277</v>
      </c>
      <c r="I8" s="501"/>
      <c r="J8" s="501"/>
      <c r="K8" s="501"/>
      <c r="L8" s="501"/>
      <c r="M8" s="517"/>
      <c r="N8" s="518"/>
      <c r="O8" s="504"/>
      <c r="P8" s="519"/>
      <c r="Q8" s="506">
        <v>0</v>
      </c>
      <c r="R8" s="506">
        <v>0</v>
      </c>
      <c r="S8" s="504"/>
      <c r="T8" s="507"/>
      <c r="U8" s="508"/>
      <c r="V8" s="508"/>
      <c r="W8" s="508"/>
      <c r="X8" s="508"/>
      <c r="Y8" s="508"/>
      <c r="Z8" s="508"/>
      <c r="AA8" s="508"/>
      <c r="AB8" s="508"/>
      <c r="AC8" s="508"/>
      <c r="AD8" s="508"/>
      <c r="AE8" s="509"/>
      <c r="AF8" s="504">
        <f t="shared" si="3"/>
        <v>0</v>
      </c>
      <c r="AG8" s="510"/>
      <c r="AH8" s="508"/>
      <c r="AI8" s="508"/>
      <c r="AJ8" s="508"/>
      <c r="AK8" s="508"/>
      <c r="AL8" s="508"/>
      <c r="AM8" s="508"/>
      <c r="AN8" s="508"/>
      <c r="AO8" s="508"/>
      <c r="AP8" s="508"/>
      <c r="AQ8" s="508"/>
      <c r="AR8" s="509"/>
      <c r="AS8" s="504">
        <f t="shared" si="4"/>
        <v>0</v>
      </c>
      <c r="AT8" s="510"/>
      <c r="AU8" s="508"/>
      <c r="AV8" s="508"/>
      <c r="AW8" s="508"/>
      <c r="AX8" s="508"/>
      <c r="AY8" s="508"/>
      <c r="AZ8" s="508"/>
      <c r="BA8" s="508"/>
      <c r="BB8" s="508"/>
      <c r="BC8" s="508"/>
      <c r="BD8" s="508"/>
      <c r="BE8" s="509"/>
      <c r="BF8" s="504">
        <f t="shared" si="5"/>
        <v>0</v>
      </c>
      <c r="BG8" s="510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9"/>
      <c r="BS8" s="504">
        <f t="shared" si="6"/>
        <v>0</v>
      </c>
      <c r="BT8" s="510"/>
      <c r="BU8" s="508"/>
      <c r="BV8" s="508"/>
      <c r="BW8" s="508"/>
      <c r="BX8" s="508"/>
      <c r="BY8" s="508"/>
      <c r="BZ8" s="508"/>
      <c r="CA8" s="508"/>
      <c r="CB8" s="508"/>
      <c r="CC8" s="508"/>
      <c r="CD8" s="508"/>
      <c r="CE8" s="509"/>
      <c r="CF8" s="504">
        <f t="shared" si="7"/>
        <v>0</v>
      </c>
      <c r="CG8" s="504"/>
      <c r="CH8" s="504">
        <f t="shared" si="8"/>
        <v>0</v>
      </c>
      <c r="CI8" s="504">
        <f t="shared" si="9"/>
        <v>0</v>
      </c>
      <c r="CJ8" s="504">
        <f t="shared" si="10"/>
        <v>0</v>
      </c>
      <c r="CK8" s="504">
        <f t="shared" si="11"/>
        <v>0</v>
      </c>
      <c r="CL8" s="504">
        <v>0</v>
      </c>
      <c r="CM8" s="504">
        <f t="shared" si="12"/>
        <v>0</v>
      </c>
      <c r="CO8" s="520"/>
      <c r="CP8" s="521"/>
      <c r="CQ8" s="520"/>
      <c r="CR8" s="522"/>
      <c r="CS8" s="522"/>
      <c r="CT8" s="522"/>
      <c r="CU8" s="523"/>
      <c r="CV8" s="524"/>
    </row>
    <row r="9" spans="1:100" outlineLevel="1">
      <c r="A9" s="500"/>
      <c r="B9" s="516"/>
      <c r="C9" s="516">
        <v>510.11099999999999</v>
      </c>
      <c r="D9" s="516"/>
      <c r="E9" s="501"/>
      <c r="F9" s="501"/>
      <c r="G9" s="501"/>
      <c r="H9" s="501" t="s">
        <v>278</v>
      </c>
      <c r="I9" s="501"/>
      <c r="J9" s="501"/>
      <c r="K9" s="501"/>
      <c r="L9" s="501"/>
      <c r="M9" s="517"/>
      <c r="N9" s="518"/>
      <c r="O9" s="504"/>
      <c r="P9" s="519"/>
      <c r="Q9" s="506">
        <v>0</v>
      </c>
      <c r="R9" s="506">
        <v>0</v>
      </c>
      <c r="S9" s="504"/>
      <c r="T9" s="507"/>
      <c r="U9" s="508"/>
      <c r="V9" s="508"/>
      <c r="W9" s="508"/>
      <c r="X9" s="508"/>
      <c r="Y9" s="508"/>
      <c r="Z9" s="508"/>
      <c r="AA9" s="508"/>
      <c r="AB9" s="508"/>
      <c r="AC9" s="508"/>
      <c r="AD9" s="508"/>
      <c r="AE9" s="509"/>
      <c r="AF9" s="504">
        <f t="shared" si="3"/>
        <v>0</v>
      </c>
      <c r="AG9" s="510"/>
      <c r="AH9" s="508"/>
      <c r="AI9" s="508"/>
      <c r="AJ9" s="508"/>
      <c r="AK9" s="508"/>
      <c r="AL9" s="508"/>
      <c r="AM9" s="508"/>
      <c r="AN9" s="508"/>
      <c r="AO9" s="508"/>
      <c r="AP9" s="508"/>
      <c r="AQ9" s="508"/>
      <c r="AR9" s="509"/>
      <c r="AS9" s="504">
        <f t="shared" si="4"/>
        <v>0</v>
      </c>
      <c r="AT9" s="510"/>
      <c r="AU9" s="508"/>
      <c r="AV9" s="508"/>
      <c r="AW9" s="508"/>
      <c r="AX9" s="508"/>
      <c r="AY9" s="508"/>
      <c r="AZ9" s="508"/>
      <c r="BA9" s="508"/>
      <c r="BB9" s="508"/>
      <c r="BC9" s="508"/>
      <c r="BD9" s="508"/>
      <c r="BE9" s="509"/>
      <c r="BF9" s="504">
        <f t="shared" si="5"/>
        <v>0</v>
      </c>
      <c r="BG9" s="510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9"/>
      <c r="BS9" s="504">
        <f t="shared" si="6"/>
        <v>0</v>
      </c>
      <c r="BT9" s="510"/>
      <c r="BU9" s="508"/>
      <c r="BV9" s="508"/>
      <c r="BW9" s="508"/>
      <c r="BX9" s="508"/>
      <c r="BY9" s="508"/>
      <c r="BZ9" s="508"/>
      <c r="CA9" s="508"/>
      <c r="CB9" s="508"/>
      <c r="CC9" s="508"/>
      <c r="CD9" s="508"/>
      <c r="CE9" s="509"/>
      <c r="CF9" s="504">
        <f t="shared" si="7"/>
        <v>0</v>
      </c>
      <c r="CG9" s="504"/>
      <c r="CH9" s="504">
        <f t="shared" si="8"/>
        <v>0</v>
      </c>
      <c r="CI9" s="504">
        <f t="shared" si="9"/>
        <v>0</v>
      </c>
      <c r="CJ9" s="504">
        <f t="shared" si="10"/>
        <v>0</v>
      </c>
      <c r="CK9" s="504">
        <f t="shared" si="11"/>
        <v>0</v>
      </c>
      <c r="CL9" s="504">
        <v>0</v>
      </c>
      <c r="CM9" s="504">
        <f t="shared" si="12"/>
        <v>0</v>
      </c>
    </row>
    <row r="10" spans="1:100" outlineLevel="1">
      <c r="A10" s="500"/>
      <c r="B10" s="1423">
        <v>510.2</v>
      </c>
      <c r="C10" s="1424"/>
      <c r="D10" s="1424"/>
      <c r="E10" s="501"/>
      <c r="F10" s="501"/>
      <c r="G10" s="501" t="s">
        <v>279</v>
      </c>
      <c r="H10" s="501"/>
      <c r="I10" s="501"/>
      <c r="J10" s="501"/>
      <c r="K10" s="501"/>
      <c r="L10" s="501"/>
      <c r="M10" s="502"/>
      <c r="N10" s="503"/>
      <c r="O10" s="504"/>
      <c r="P10" s="505"/>
      <c r="Q10" s="506">
        <v>100000</v>
      </c>
      <c r="R10" s="506">
        <v>0</v>
      </c>
      <c r="S10" s="504"/>
      <c r="T10" s="507"/>
      <c r="U10" s="508"/>
      <c r="V10" s="508"/>
      <c r="W10" s="508"/>
      <c r="X10" s="508"/>
      <c r="Y10" s="508"/>
      <c r="Z10" s="508"/>
      <c r="AA10" s="508"/>
      <c r="AB10" s="508"/>
      <c r="AC10" s="508"/>
      <c r="AD10" s="508"/>
      <c r="AE10" s="509"/>
      <c r="AF10" s="504">
        <f t="shared" si="3"/>
        <v>0</v>
      </c>
      <c r="AG10" s="510"/>
      <c r="AH10" s="508"/>
      <c r="AI10" s="508"/>
      <c r="AJ10" s="508"/>
      <c r="AK10" s="508"/>
      <c r="AL10" s="508"/>
      <c r="AM10" s="508"/>
      <c r="AN10" s="508"/>
      <c r="AO10" s="508"/>
      <c r="AP10" s="508"/>
      <c r="AQ10" s="508"/>
      <c r="AR10" s="509"/>
      <c r="AS10" s="504">
        <f t="shared" si="4"/>
        <v>0</v>
      </c>
      <c r="AT10" s="510"/>
      <c r="AU10" s="508"/>
      <c r="AV10" s="508"/>
      <c r="AW10" s="508"/>
      <c r="AX10" s="508"/>
      <c r="AY10" s="508"/>
      <c r="AZ10" s="508"/>
      <c r="BA10" s="508"/>
      <c r="BB10" s="508"/>
      <c r="BC10" s="508"/>
      <c r="BD10" s="508"/>
      <c r="BE10" s="509"/>
      <c r="BF10" s="504">
        <f t="shared" si="5"/>
        <v>0</v>
      </c>
      <c r="BG10" s="510"/>
      <c r="BH10" s="508"/>
      <c r="BI10" s="508"/>
      <c r="BJ10" s="508"/>
      <c r="BK10" s="508"/>
      <c r="BL10" s="508"/>
      <c r="BM10" s="508"/>
      <c r="BN10" s="508"/>
      <c r="BO10" s="508"/>
      <c r="BP10" s="508"/>
      <c r="BQ10" s="508"/>
      <c r="BR10" s="509"/>
      <c r="BS10" s="504">
        <f t="shared" si="6"/>
        <v>0</v>
      </c>
      <c r="BT10" s="510"/>
      <c r="BU10" s="508"/>
      <c r="BV10" s="508"/>
      <c r="BW10" s="508"/>
      <c r="BX10" s="508"/>
      <c r="BY10" s="508"/>
      <c r="BZ10" s="508"/>
      <c r="CA10" s="508"/>
      <c r="CB10" s="508"/>
      <c r="CC10" s="508"/>
      <c r="CD10" s="508"/>
      <c r="CE10" s="509"/>
      <c r="CF10" s="504">
        <f t="shared" si="7"/>
        <v>0</v>
      </c>
      <c r="CG10" s="504"/>
      <c r="CH10" s="504">
        <f t="shared" si="8"/>
        <v>0</v>
      </c>
      <c r="CI10" s="504">
        <f t="shared" si="9"/>
        <v>0</v>
      </c>
      <c r="CJ10" s="504">
        <f t="shared" si="10"/>
        <v>0</v>
      </c>
      <c r="CK10" s="504">
        <f t="shared" si="11"/>
        <v>0</v>
      </c>
      <c r="CL10" s="504">
        <v>0</v>
      </c>
      <c r="CM10" s="504">
        <f t="shared" si="12"/>
        <v>0</v>
      </c>
    </row>
    <row r="11" spans="1:100" outlineLevel="1">
      <c r="A11" s="500"/>
      <c r="B11" s="516">
        <v>510.3</v>
      </c>
      <c r="C11" s="525"/>
      <c r="D11" s="525"/>
      <c r="E11" s="501"/>
      <c r="F11" s="501"/>
      <c r="G11" s="501" t="s">
        <v>280</v>
      </c>
      <c r="H11" s="501"/>
      <c r="I11" s="501"/>
      <c r="J11" s="501"/>
      <c r="K11" s="501"/>
      <c r="L11" s="501"/>
      <c r="M11" s="517"/>
      <c r="N11" s="518"/>
      <c r="O11" s="504"/>
      <c r="P11" s="519"/>
      <c r="Q11" s="506">
        <v>0</v>
      </c>
      <c r="R11" s="506">
        <v>0</v>
      </c>
      <c r="S11" s="504"/>
      <c r="T11" s="507"/>
      <c r="U11" s="508"/>
      <c r="V11" s="508"/>
      <c r="W11" s="508"/>
      <c r="X11" s="508"/>
      <c r="Y11" s="508"/>
      <c r="Z11" s="508"/>
      <c r="AA11" s="508"/>
      <c r="AB11" s="508"/>
      <c r="AC11" s="508"/>
      <c r="AD11" s="508"/>
      <c r="AE11" s="509"/>
      <c r="AF11" s="504">
        <f t="shared" si="3"/>
        <v>0</v>
      </c>
      <c r="AG11" s="510"/>
      <c r="AH11" s="508"/>
      <c r="AI11" s="508"/>
      <c r="AJ11" s="508"/>
      <c r="AK11" s="508"/>
      <c r="AL11" s="508"/>
      <c r="AM11" s="508"/>
      <c r="AN11" s="508"/>
      <c r="AO11" s="508"/>
      <c r="AP11" s="508"/>
      <c r="AQ11" s="508"/>
      <c r="AR11" s="509"/>
      <c r="AS11" s="504">
        <f t="shared" si="4"/>
        <v>0</v>
      </c>
      <c r="AT11" s="510"/>
      <c r="AU11" s="508"/>
      <c r="AV11" s="508"/>
      <c r="AW11" s="508"/>
      <c r="AX11" s="508"/>
      <c r="AY11" s="508"/>
      <c r="AZ11" s="508"/>
      <c r="BA11" s="508"/>
      <c r="BB11" s="508"/>
      <c r="BC11" s="508"/>
      <c r="BD11" s="508"/>
      <c r="BE11" s="509"/>
      <c r="BF11" s="504">
        <f t="shared" si="5"/>
        <v>0</v>
      </c>
      <c r="BG11" s="510"/>
      <c r="BH11" s="508"/>
      <c r="BI11" s="508"/>
      <c r="BJ11" s="508"/>
      <c r="BK11" s="508"/>
      <c r="BL11" s="508"/>
      <c r="BM11" s="508"/>
      <c r="BN11" s="508"/>
      <c r="BO11" s="508"/>
      <c r="BP11" s="508"/>
      <c r="BQ11" s="508"/>
      <c r="BR11" s="509"/>
      <c r="BS11" s="504">
        <f t="shared" si="6"/>
        <v>0</v>
      </c>
      <c r="BT11" s="510"/>
      <c r="BU11" s="508"/>
      <c r="BV11" s="508"/>
      <c r="BW11" s="508"/>
      <c r="BX11" s="508"/>
      <c r="BY11" s="508"/>
      <c r="BZ11" s="508"/>
      <c r="CA11" s="508"/>
      <c r="CB11" s="508"/>
      <c r="CC11" s="508"/>
      <c r="CD11" s="508"/>
      <c r="CE11" s="509"/>
      <c r="CF11" s="504">
        <f t="shared" si="7"/>
        <v>0</v>
      </c>
      <c r="CG11" s="504"/>
      <c r="CH11" s="504">
        <f t="shared" si="8"/>
        <v>0</v>
      </c>
      <c r="CI11" s="504">
        <f t="shared" si="9"/>
        <v>0</v>
      </c>
      <c r="CJ11" s="504">
        <f t="shared" si="10"/>
        <v>0</v>
      </c>
      <c r="CK11" s="504">
        <f t="shared" si="11"/>
        <v>0</v>
      </c>
      <c r="CL11" s="504">
        <v>0</v>
      </c>
      <c r="CM11" s="504">
        <f t="shared" si="12"/>
        <v>0</v>
      </c>
    </row>
    <row r="12" spans="1:100" outlineLevel="1">
      <c r="A12" s="500"/>
      <c r="B12" s="1423">
        <v>510.4</v>
      </c>
      <c r="C12" s="1424"/>
      <c r="D12" s="1424"/>
      <c r="E12" s="501"/>
      <c r="F12" s="501"/>
      <c r="G12" s="501" t="s">
        <v>281</v>
      </c>
      <c r="H12" s="501"/>
      <c r="I12" s="501"/>
      <c r="J12" s="501"/>
      <c r="K12" s="501"/>
      <c r="L12" s="501"/>
      <c r="M12" s="517"/>
      <c r="N12" s="518"/>
      <c r="O12" s="504"/>
      <c r="P12" s="519"/>
      <c r="Q12" s="506">
        <v>0</v>
      </c>
      <c r="R12" s="506">
        <v>0</v>
      </c>
      <c r="S12" s="504"/>
      <c r="T12" s="507"/>
      <c r="U12" s="508"/>
      <c r="V12" s="508"/>
      <c r="W12" s="508"/>
      <c r="X12" s="508"/>
      <c r="Y12" s="508"/>
      <c r="Z12" s="508"/>
      <c r="AA12" s="508"/>
      <c r="AB12" s="508"/>
      <c r="AC12" s="508"/>
      <c r="AD12" s="508"/>
      <c r="AE12" s="509"/>
      <c r="AF12" s="504">
        <f t="shared" si="3"/>
        <v>0</v>
      </c>
      <c r="AG12" s="510"/>
      <c r="AH12" s="508"/>
      <c r="AI12" s="508"/>
      <c r="AJ12" s="508"/>
      <c r="AK12" s="508"/>
      <c r="AL12" s="508"/>
      <c r="AM12" s="508"/>
      <c r="AN12" s="508"/>
      <c r="AO12" s="508"/>
      <c r="AP12" s="508"/>
      <c r="AQ12" s="508"/>
      <c r="AR12" s="509"/>
      <c r="AS12" s="504">
        <f t="shared" si="4"/>
        <v>0</v>
      </c>
      <c r="AT12" s="510"/>
      <c r="AU12" s="508"/>
      <c r="AV12" s="508"/>
      <c r="AW12" s="508"/>
      <c r="AX12" s="508"/>
      <c r="AY12" s="508"/>
      <c r="AZ12" s="508"/>
      <c r="BA12" s="508"/>
      <c r="BB12" s="508"/>
      <c r="BC12" s="508"/>
      <c r="BD12" s="508"/>
      <c r="BE12" s="509"/>
      <c r="BF12" s="504">
        <f t="shared" si="5"/>
        <v>0</v>
      </c>
      <c r="BG12" s="510"/>
      <c r="BH12" s="508"/>
      <c r="BI12" s="508"/>
      <c r="BJ12" s="508"/>
      <c r="BK12" s="508"/>
      <c r="BL12" s="508"/>
      <c r="BM12" s="508"/>
      <c r="BN12" s="508"/>
      <c r="BO12" s="508"/>
      <c r="BP12" s="508"/>
      <c r="BQ12" s="508"/>
      <c r="BR12" s="509"/>
      <c r="BS12" s="504">
        <f t="shared" si="6"/>
        <v>0</v>
      </c>
      <c r="BT12" s="510"/>
      <c r="BU12" s="508"/>
      <c r="BV12" s="508"/>
      <c r="BW12" s="508"/>
      <c r="BX12" s="508"/>
      <c r="BY12" s="508"/>
      <c r="BZ12" s="508"/>
      <c r="CA12" s="508"/>
      <c r="CB12" s="508"/>
      <c r="CC12" s="508"/>
      <c r="CD12" s="508"/>
      <c r="CE12" s="509"/>
      <c r="CF12" s="504">
        <f t="shared" si="7"/>
        <v>0</v>
      </c>
      <c r="CG12" s="504"/>
      <c r="CH12" s="504">
        <f t="shared" si="8"/>
        <v>0</v>
      </c>
      <c r="CI12" s="504">
        <f t="shared" si="9"/>
        <v>0</v>
      </c>
      <c r="CJ12" s="504">
        <f t="shared" si="10"/>
        <v>0</v>
      </c>
      <c r="CK12" s="504">
        <f t="shared" si="11"/>
        <v>0</v>
      </c>
      <c r="CL12" s="504">
        <v>0</v>
      </c>
      <c r="CM12" s="504">
        <f t="shared" si="12"/>
        <v>0</v>
      </c>
    </row>
    <row r="13" spans="1:100" outlineLevel="1">
      <c r="A13" s="500"/>
      <c r="B13" s="526"/>
      <c r="C13" s="1423">
        <v>510.41</v>
      </c>
      <c r="D13" s="1423"/>
      <c r="E13" s="1423"/>
      <c r="F13" s="501"/>
      <c r="G13" s="501"/>
      <c r="H13" s="501" t="s">
        <v>282</v>
      </c>
      <c r="I13" s="501"/>
      <c r="J13" s="501"/>
      <c r="K13" s="501"/>
      <c r="L13" s="501"/>
      <c r="M13" s="517"/>
      <c r="N13" s="518"/>
      <c r="O13" s="504"/>
      <c r="P13" s="519"/>
      <c r="Q13" s="506"/>
      <c r="R13" s="506"/>
      <c r="S13" s="504"/>
      <c r="T13" s="507"/>
      <c r="U13" s="508"/>
      <c r="V13" s="508"/>
      <c r="W13" s="508"/>
      <c r="X13" s="508"/>
      <c r="Y13" s="508"/>
      <c r="Z13" s="508"/>
      <c r="AA13" s="508"/>
      <c r="AB13" s="508"/>
      <c r="AC13" s="508"/>
      <c r="AD13" s="508"/>
      <c r="AE13" s="509"/>
      <c r="AF13" s="504">
        <f t="shared" si="3"/>
        <v>0</v>
      </c>
      <c r="AG13" s="510"/>
      <c r="AH13" s="508"/>
      <c r="AI13" s="508"/>
      <c r="AJ13" s="508"/>
      <c r="AK13" s="508"/>
      <c r="AL13" s="508"/>
      <c r="AM13" s="508"/>
      <c r="AN13" s="508"/>
      <c r="AO13" s="508"/>
      <c r="AP13" s="508"/>
      <c r="AQ13" s="508"/>
      <c r="AR13" s="509"/>
      <c r="AS13" s="504">
        <f t="shared" si="4"/>
        <v>0</v>
      </c>
      <c r="AT13" s="510"/>
      <c r="AU13" s="508"/>
      <c r="AV13" s="508"/>
      <c r="AW13" s="508"/>
      <c r="AX13" s="508"/>
      <c r="AY13" s="508"/>
      <c r="AZ13" s="508"/>
      <c r="BA13" s="508"/>
      <c r="BB13" s="508"/>
      <c r="BC13" s="508"/>
      <c r="BD13" s="508"/>
      <c r="BE13" s="509"/>
      <c r="BF13" s="504">
        <f t="shared" si="5"/>
        <v>0</v>
      </c>
      <c r="BG13" s="510"/>
      <c r="BH13" s="508"/>
      <c r="BI13" s="508"/>
      <c r="BJ13" s="508"/>
      <c r="BK13" s="508"/>
      <c r="BL13" s="508"/>
      <c r="BM13" s="508"/>
      <c r="BN13" s="508"/>
      <c r="BO13" s="508"/>
      <c r="BP13" s="508"/>
      <c r="BQ13" s="508"/>
      <c r="BR13" s="509"/>
      <c r="BS13" s="504">
        <f t="shared" si="6"/>
        <v>0</v>
      </c>
      <c r="BT13" s="510"/>
      <c r="BU13" s="508"/>
      <c r="BV13" s="508"/>
      <c r="BW13" s="508"/>
      <c r="BX13" s="508"/>
      <c r="BY13" s="508"/>
      <c r="BZ13" s="508"/>
      <c r="CA13" s="508"/>
      <c r="CB13" s="508"/>
      <c r="CC13" s="508"/>
      <c r="CD13" s="508"/>
      <c r="CE13" s="509"/>
      <c r="CF13" s="504">
        <f t="shared" si="7"/>
        <v>0</v>
      </c>
      <c r="CG13" s="504"/>
      <c r="CH13" s="504">
        <f t="shared" si="8"/>
        <v>0</v>
      </c>
      <c r="CI13" s="504">
        <f t="shared" si="9"/>
        <v>0</v>
      </c>
      <c r="CJ13" s="504">
        <f t="shared" si="10"/>
        <v>0</v>
      </c>
      <c r="CK13" s="504">
        <f t="shared" si="11"/>
        <v>0</v>
      </c>
      <c r="CL13" s="504">
        <v>0</v>
      </c>
      <c r="CM13" s="504">
        <f t="shared" si="12"/>
        <v>0</v>
      </c>
    </row>
    <row r="14" spans="1:100" outlineLevel="1">
      <c r="A14" s="500"/>
      <c r="B14" s="526"/>
      <c r="C14" s="1423">
        <v>510.42</v>
      </c>
      <c r="D14" s="1423"/>
      <c r="E14" s="1423"/>
      <c r="F14" s="501"/>
      <c r="G14" s="501"/>
      <c r="H14" s="501" t="s">
        <v>283</v>
      </c>
      <c r="I14" s="501"/>
      <c r="J14" s="501"/>
      <c r="K14" s="501"/>
      <c r="L14" s="501"/>
      <c r="M14" s="517"/>
      <c r="N14" s="518"/>
      <c r="O14" s="504"/>
      <c r="P14" s="519"/>
      <c r="Q14" s="506">
        <v>0</v>
      </c>
      <c r="R14" s="506">
        <v>0</v>
      </c>
      <c r="S14" s="504"/>
      <c r="T14" s="507"/>
      <c r="U14" s="508"/>
      <c r="V14" s="508"/>
      <c r="W14" s="508"/>
      <c r="X14" s="508"/>
      <c r="Y14" s="508"/>
      <c r="Z14" s="508"/>
      <c r="AA14" s="508"/>
      <c r="AB14" s="508"/>
      <c r="AC14" s="508"/>
      <c r="AD14" s="508"/>
      <c r="AE14" s="509"/>
      <c r="AF14" s="504">
        <f t="shared" si="3"/>
        <v>0</v>
      </c>
      <c r="AG14" s="510"/>
      <c r="AH14" s="508"/>
      <c r="AI14" s="508"/>
      <c r="AJ14" s="508"/>
      <c r="AK14" s="508"/>
      <c r="AL14" s="508"/>
      <c r="AM14" s="508"/>
      <c r="AN14" s="508"/>
      <c r="AO14" s="508"/>
      <c r="AP14" s="508"/>
      <c r="AQ14" s="508"/>
      <c r="AR14" s="509"/>
      <c r="AS14" s="504">
        <f t="shared" si="4"/>
        <v>0</v>
      </c>
      <c r="AT14" s="510"/>
      <c r="AU14" s="508"/>
      <c r="AV14" s="508"/>
      <c r="AW14" s="508"/>
      <c r="AX14" s="508"/>
      <c r="AY14" s="508"/>
      <c r="AZ14" s="508"/>
      <c r="BA14" s="508"/>
      <c r="BB14" s="508"/>
      <c r="BC14" s="508"/>
      <c r="BD14" s="508"/>
      <c r="BE14" s="509"/>
      <c r="BF14" s="504">
        <f t="shared" si="5"/>
        <v>0</v>
      </c>
      <c r="BG14" s="510"/>
      <c r="BH14" s="508"/>
      <c r="BI14" s="508"/>
      <c r="BJ14" s="508"/>
      <c r="BK14" s="508"/>
      <c r="BL14" s="508"/>
      <c r="BM14" s="508"/>
      <c r="BN14" s="508"/>
      <c r="BO14" s="508"/>
      <c r="BP14" s="508"/>
      <c r="BQ14" s="508"/>
      <c r="BR14" s="509"/>
      <c r="BS14" s="504">
        <f t="shared" si="6"/>
        <v>0</v>
      </c>
      <c r="BT14" s="510"/>
      <c r="BU14" s="508"/>
      <c r="BV14" s="508"/>
      <c r="BW14" s="508"/>
      <c r="BX14" s="508"/>
      <c r="BY14" s="508"/>
      <c r="BZ14" s="508"/>
      <c r="CA14" s="508"/>
      <c r="CB14" s="508"/>
      <c r="CC14" s="508"/>
      <c r="CD14" s="508"/>
      <c r="CE14" s="509"/>
      <c r="CF14" s="504">
        <f t="shared" si="7"/>
        <v>0</v>
      </c>
      <c r="CG14" s="504"/>
      <c r="CH14" s="504">
        <f t="shared" si="8"/>
        <v>0</v>
      </c>
      <c r="CI14" s="504">
        <f t="shared" si="9"/>
        <v>0</v>
      </c>
      <c r="CJ14" s="504">
        <f t="shared" si="10"/>
        <v>0</v>
      </c>
      <c r="CK14" s="504">
        <f t="shared" si="11"/>
        <v>0</v>
      </c>
      <c r="CL14" s="504">
        <v>0</v>
      </c>
      <c r="CM14" s="504">
        <f t="shared" si="12"/>
        <v>0</v>
      </c>
    </row>
    <row r="15" spans="1:100" outlineLevel="1">
      <c r="A15" s="500"/>
      <c r="B15" s="526">
        <v>510.5</v>
      </c>
      <c r="C15" s="1423"/>
      <c r="D15" s="1424"/>
      <c r="E15" s="1424"/>
      <c r="F15" s="525"/>
      <c r="G15" s="501" t="s">
        <v>284</v>
      </c>
      <c r="H15" s="501"/>
      <c r="I15" s="501"/>
      <c r="J15" s="501"/>
      <c r="K15" s="501"/>
      <c r="L15" s="501"/>
      <c r="M15" s="517"/>
      <c r="N15" s="518"/>
      <c r="O15" s="504"/>
      <c r="P15" s="519"/>
      <c r="Q15" s="506">
        <v>0</v>
      </c>
      <c r="R15" s="506">
        <v>0</v>
      </c>
      <c r="S15" s="504"/>
      <c r="T15" s="507"/>
      <c r="U15" s="508"/>
      <c r="V15" s="508"/>
      <c r="W15" s="508"/>
      <c r="X15" s="508"/>
      <c r="Y15" s="508"/>
      <c r="Z15" s="508"/>
      <c r="AA15" s="508"/>
      <c r="AB15" s="508"/>
      <c r="AC15" s="508"/>
      <c r="AD15" s="508"/>
      <c r="AE15" s="509"/>
      <c r="AF15" s="504">
        <f t="shared" si="3"/>
        <v>0</v>
      </c>
      <c r="AG15" s="510"/>
      <c r="AH15" s="508"/>
      <c r="AI15" s="508"/>
      <c r="AJ15" s="508"/>
      <c r="AK15" s="508"/>
      <c r="AL15" s="508"/>
      <c r="AM15" s="508"/>
      <c r="AN15" s="508"/>
      <c r="AO15" s="508"/>
      <c r="AP15" s="508"/>
      <c r="AQ15" s="508"/>
      <c r="AR15" s="509"/>
      <c r="AS15" s="504">
        <f t="shared" si="4"/>
        <v>0</v>
      </c>
      <c r="AT15" s="510"/>
      <c r="AU15" s="508"/>
      <c r="AV15" s="508"/>
      <c r="AW15" s="508"/>
      <c r="AX15" s="508"/>
      <c r="AY15" s="508"/>
      <c r="AZ15" s="508"/>
      <c r="BA15" s="508"/>
      <c r="BB15" s="508"/>
      <c r="BC15" s="508"/>
      <c r="BD15" s="508"/>
      <c r="BE15" s="509"/>
      <c r="BF15" s="504">
        <f t="shared" si="5"/>
        <v>0</v>
      </c>
      <c r="BG15" s="510"/>
      <c r="BH15" s="508"/>
      <c r="BI15" s="508"/>
      <c r="BJ15" s="508"/>
      <c r="BK15" s="508"/>
      <c r="BL15" s="508"/>
      <c r="BM15" s="508"/>
      <c r="BN15" s="508"/>
      <c r="BO15" s="508"/>
      <c r="BP15" s="508"/>
      <c r="BQ15" s="508"/>
      <c r="BR15" s="509"/>
      <c r="BS15" s="504">
        <f t="shared" si="6"/>
        <v>0</v>
      </c>
      <c r="BT15" s="510"/>
      <c r="BU15" s="508"/>
      <c r="BV15" s="508"/>
      <c r="BW15" s="508"/>
      <c r="BX15" s="508"/>
      <c r="BY15" s="508"/>
      <c r="BZ15" s="508"/>
      <c r="CA15" s="508"/>
      <c r="CB15" s="508"/>
      <c r="CC15" s="508"/>
      <c r="CD15" s="508"/>
      <c r="CE15" s="509"/>
      <c r="CF15" s="504">
        <f t="shared" si="7"/>
        <v>0</v>
      </c>
      <c r="CG15" s="504"/>
      <c r="CH15" s="504">
        <f t="shared" si="8"/>
        <v>0</v>
      </c>
      <c r="CI15" s="504">
        <f t="shared" si="9"/>
        <v>0</v>
      </c>
      <c r="CJ15" s="504">
        <f t="shared" si="10"/>
        <v>0</v>
      </c>
      <c r="CK15" s="504">
        <f t="shared" si="11"/>
        <v>0</v>
      </c>
      <c r="CL15" s="504">
        <v>0</v>
      </c>
      <c r="CM15" s="504">
        <f t="shared" si="12"/>
        <v>0</v>
      </c>
    </row>
    <row r="16" spans="1:100">
      <c r="A16" s="500"/>
      <c r="B16" s="526"/>
      <c r="C16" s="516"/>
      <c r="D16" s="525"/>
      <c r="E16" s="525"/>
      <c r="F16" s="525"/>
      <c r="G16" s="501"/>
      <c r="H16" s="501"/>
      <c r="I16" s="501"/>
      <c r="J16" s="501"/>
      <c r="K16" s="501"/>
      <c r="L16" s="501"/>
      <c r="M16" s="517"/>
      <c r="N16" s="518"/>
      <c r="O16" s="504"/>
      <c r="P16" s="519"/>
      <c r="Q16" s="506">
        <v>0</v>
      </c>
      <c r="R16" s="506">
        <v>0</v>
      </c>
      <c r="S16" s="504"/>
      <c r="T16" s="507"/>
      <c r="U16" s="508"/>
      <c r="V16" s="508"/>
      <c r="W16" s="508"/>
      <c r="X16" s="508"/>
      <c r="Y16" s="508"/>
      <c r="Z16" s="508"/>
      <c r="AA16" s="508"/>
      <c r="AB16" s="508"/>
      <c r="AC16" s="508"/>
      <c r="AD16" s="508"/>
      <c r="AE16" s="509"/>
      <c r="AF16" s="504">
        <f t="shared" si="3"/>
        <v>0</v>
      </c>
      <c r="AG16" s="510"/>
      <c r="AH16" s="508"/>
      <c r="AI16" s="508"/>
      <c r="AJ16" s="508"/>
      <c r="AK16" s="508"/>
      <c r="AL16" s="508"/>
      <c r="AM16" s="508"/>
      <c r="AN16" s="508"/>
      <c r="AO16" s="508"/>
      <c r="AP16" s="508"/>
      <c r="AQ16" s="508"/>
      <c r="AR16" s="509"/>
      <c r="AS16" s="504">
        <f t="shared" si="4"/>
        <v>0</v>
      </c>
      <c r="AT16" s="510"/>
      <c r="AU16" s="508"/>
      <c r="AV16" s="508"/>
      <c r="AW16" s="508"/>
      <c r="AX16" s="508"/>
      <c r="AY16" s="508"/>
      <c r="AZ16" s="508"/>
      <c r="BA16" s="508"/>
      <c r="BB16" s="508"/>
      <c r="BC16" s="508"/>
      <c r="BD16" s="508"/>
      <c r="BE16" s="509"/>
      <c r="BF16" s="504">
        <f t="shared" si="5"/>
        <v>0</v>
      </c>
      <c r="BG16" s="510"/>
      <c r="BH16" s="508"/>
      <c r="BI16" s="508"/>
      <c r="BJ16" s="508"/>
      <c r="BK16" s="508"/>
      <c r="BL16" s="508"/>
      <c r="BM16" s="508"/>
      <c r="BN16" s="508"/>
      <c r="BO16" s="508"/>
      <c r="BP16" s="508"/>
      <c r="BQ16" s="508"/>
      <c r="BR16" s="509"/>
      <c r="BS16" s="504">
        <f t="shared" si="6"/>
        <v>0</v>
      </c>
      <c r="BT16" s="510"/>
      <c r="BU16" s="508"/>
      <c r="BV16" s="508"/>
      <c r="BW16" s="508"/>
      <c r="BX16" s="508"/>
      <c r="BY16" s="508"/>
      <c r="BZ16" s="508"/>
      <c r="CA16" s="508"/>
      <c r="CB16" s="508"/>
      <c r="CC16" s="508"/>
      <c r="CD16" s="508"/>
      <c r="CE16" s="509"/>
      <c r="CF16" s="504">
        <f t="shared" si="7"/>
        <v>0</v>
      </c>
      <c r="CG16" s="504"/>
      <c r="CH16" s="504">
        <f t="shared" si="8"/>
        <v>0</v>
      </c>
      <c r="CI16" s="504">
        <f t="shared" si="9"/>
        <v>0</v>
      </c>
      <c r="CJ16" s="504">
        <f t="shared" si="10"/>
        <v>0</v>
      </c>
      <c r="CK16" s="504">
        <f>+CJ16-Q16</f>
        <v>0</v>
      </c>
      <c r="CL16" s="504">
        <v>0</v>
      </c>
      <c r="CM16" s="504">
        <f t="shared" si="12"/>
        <v>0</v>
      </c>
    </row>
    <row r="17" spans="1:91">
      <c r="A17" s="481" t="s">
        <v>285</v>
      </c>
      <c r="B17" s="1430">
        <v>100</v>
      </c>
      <c r="C17" s="1431"/>
      <c r="D17" s="1431"/>
      <c r="E17" s="1432"/>
      <c r="F17" s="527"/>
      <c r="G17" s="482" t="s">
        <v>286</v>
      </c>
      <c r="H17" s="482"/>
      <c r="I17" s="482"/>
      <c r="J17" s="482"/>
      <c r="K17" s="482"/>
      <c r="L17" s="482"/>
      <c r="M17" s="484"/>
      <c r="N17" s="485"/>
      <c r="O17" s="486"/>
      <c r="P17" s="487"/>
      <c r="Q17" s="528">
        <f t="shared" ref="Q17:AV17" si="13">SUBTOTAL(9,Q18:Q35)</f>
        <v>3650465.6639399994</v>
      </c>
      <c r="R17" s="528">
        <f t="shared" si="13"/>
        <v>3571766</v>
      </c>
      <c r="S17" s="529">
        <f t="shared" si="13"/>
        <v>468949</v>
      </c>
      <c r="T17" s="530">
        <f t="shared" si="13"/>
        <v>25344.849999999995</v>
      </c>
      <c r="U17" s="531">
        <f t="shared" si="13"/>
        <v>26141.249999999996</v>
      </c>
      <c r="V17" s="531">
        <f t="shared" si="13"/>
        <v>33241.319999999992</v>
      </c>
      <c r="W17" s="531">
        <f t="shared" si="13"/>
        <v>21549.759999999995</v>
      </c>
      <c r="X17" s="531">
        <f t="shared" si="13"/>
        <v>27957.75</v>
      </c>
      <c r="Y17" s="531">
        <f t="shared" si="13"/>
        <v>29523.989999999998</v>
      </c>
      <c r="Z17" s="531">
        <f t="shared" si="13"/>
        <v>20140.290000000005</v>
      </c>
      <c r="AA17" s="531">
        <f t="shared" si="13"/>
        <v>30536.499999999996</v>
      </c>
      <c r="AB17" s="531">
        <f t="shared" si="13"/>
        <v>38776.080000000009</v>
      </c>
      <c r="AC17" s="531">
        <f t="shared" si="13"/>
        <v>37983.150000000009</v>
      </c>
      <c r="AD17" s="531">
        <f t="shared" si="13"/>
        <v>55056.569999999992</v>
      </c>
      <c r="AE17" s="532">
        <f t="shared" si="13"/>
        <v>56154.690000000017</v>
      </c>
      <c r="AF17" s="529">
        <f t="shared" si="13"/>
        <v>402406.2</v>
      </c>
      <c r="AG17" s="533">
        <f t="shared" si="13"/>
        <v>45104.180000000008</v>
      </c>
      <c r="AH17" s="531">
        <f t="shared" si="13"/>
        <v>35831.999999999985</v>
      </c>
      <c r="AI17" s="531">
        <f t="shared" si="13"/>
        <v>45857.62</v>
      </c>
      <c r="AJ17" s="531">
        <f t="shared" si="13"/>
        <v>50893.98000000001</v>
      </c>
      <c r="AK17" s="531">
        <f t="shared" si="13"/>
        <v>21369.410000000011</v>
      </c>
      <c r="AL17" s="531">
        <f t="shared" si="13"/>
        <v>41885.279999999984</v>
      </c>
      <c r="AM17" s="531">
        <f t="shared" si="13"/>
        <v>54409.80000000001</v>
      </c>
      <c r="AN17" s="531">
        <f t="shared" si="13"/>
        <v>60261.98000000001</v>
      </c>
      <c r="AO17" s="531">
        <f t="shared" si="13"/>
        <v>41286.989999999991</v>
      </c>
      <c r="AP17" s="531">
        <f t="shared" si="13"/>
        <v>40074.789999999979</v>
      </c>
      <c r="AQ17" s="531">
        <f t="shared" si="13"/>
        <v>52451.87000000001</v>
      </c>
      <c r="AR17" s="532">
        <f t="shared" si="13"/>
        <v>52177.97</v>
      </c>
      <c r="AS17" s="529">
        <f t="shared" si="13"/>
        <v>541605.87</v>
      </c>
      <c r="AT17" s="533">
        <f t="shared" si="13"/>
        <v>60006.739999999991</v>
      </c>
      <c r="AU17" s="531">
        <f t="shared" si="13"/>
        <v>63014.41</v>
      </c>
      <c r="AV17" s="531">
        <f t="shared" si="13"/>
        <v>69998.080000000045</v>
      </c>
      <c r="AW17" s="531">
        <f t="shared" ref="AW17:CB17" si="14">SUBTOTAL(9,AW18:AW35)</f>
        <v>71421.579999999987</v>
      </c>
      <c r="AX17" s="531">
        <f t="shared" si="14"/>
        <v>53380.329999999987</v>
      </c>
      <c r="AY17" s="531">
        <f t="shared" si="14"/>
        <v>61105.740000000005</v>
      </c>
      <c r="AZ17" s="531">
        <f t="shared" si="14"/>
        <v>65741.690000000031</v>
      </c>
      <c r="BA17" s="531">
        <f t="shared" si="14"/>
        <v>47233.429999999993</v>
      </c>
      <c r="BB17" s="531">
        <f t="shared" si="14"/>
        <v>37424.939999999988</v>
      </c>
      <c r="BC17" s="531">
        <f t="shared" si="14"/>
        <v>54295.080000000016</v>
      </c>
      <c r="BD17" s="531">
        <f t="shared" si="14"/>
        <v>85833.440000000017</v>
      </c>
      <c r="BE17" s="532">
        <f t="shared" si="14"/>
        <v>67300.47</v>
      </c>
      <c r="BF17" s="529">
        <f t="shared" si="14"/>
        <v>736755.93</v>
      </c>
      <c r="BG17" s="533">
        <f t="shared" si="14"/>
        <v>109427.9</v>
      </c>
      <c r="BH17" s="531">
        <f t="shared" si="14"/>
        <v>137451.14000000001</v>
      </c>
      <c r="BI17" s="531">
        <f t="shared" si="14"/>
        <v>98962.919999999984</v>
      </c>
      <c r="BJ17" s="531">
        <f t="shared" si="14"/>
        <v>61614.233333333352</v>
      </c>
      <c r="BK17" s="531">
        <f t="shared" si="14"/>
        <v>0</v>
      </c>
      <c r="BL17" s="531">
        <f t="shared" si="14"/>
        <v>0</v>
      </c>
      <c r="BM17" s="531">
        <f t="shared" si="14"/>
        <v>0</v>
      </c>
      <c r="BN17" s="531">
        <f t="shared" si="14"/>
        <v>0</v>
      </c>
      <c r="BO17" s="531">
        <f t="shared" si="14"/>
        <v>0</v>
      </c>
      <c r="BP17" s="531">
        <f t="shared" si="14"/>
        <v>0</v>
      </c>
      <c r="BQ17" s="531">
        <f t="shared" si="14"/>
        <v>0</v>
      </c>
      <c r="BR17" s="532">
        <f t="shared" si="14"/>
        <v>0</v>
      </c>
      <c r="BS17" s="529">
        <f t="shared" si="14"/>
        <v>407456.1933333333</v>
      </c>
      <c r="BT17" s="533">
        <f t="shared" si="14"/>
        <v>0</v>
      </c>
      <c r="BU17" s="531">
        <f t="shared" si="14"/>
        <v>0</v>
      </c>
      <c r="BV17" s="531">
        <f t="shared" si="14"/>
        <v>0</v>
      </c>
      <c r="BW17" s="531">
        <f t="shared" si="14"/>
        <v>0</v>
      </c>
      <c r="BX17" s="531">
        <f t="shared" si="14"/>
        <v>0</v>
      </c>
      <c r="BY17" s="531">
        <f t="shared" si="14"/>
        <v>0</v>
      </c>
      <c r="BZ17" s="531">
        <f t="shared" si="14"/>
        <v>0</v>
      </c>
      <c r="CA17" s="531">
        <f t="shared" si="14"/>
        <v>0</v>
      </c>
      <c r="CB17" s="531">
        <f t="shared" si="14"/>
        <v>0</v>
      </c>
      <c r="CC17" s="531">
        <f t="shared" ref="CC17:CM17" si="15">SUBTOTAL(9,CC18:CC35)</f>
        <v>0</v>
      </c>
      <c r="CD17" s="531">
        <f t="shared" si="15"/>
        <v>0</v>
      </c>
      <c r="CE17" s="532">
        <f t="shared" si="15"/>
        <v>0</v>
      </c>
      <c r="CF17" s="529">
        <f t="shared" si="15"/>
        <v>0</v>
      </c>
      <c r="CG17" s="529">
        <f t="shared" si="15"/>
        <v>0</v>
      </c>
      <c r="CH17" s="529">
        <f t="shared" si="15"/>
        <v>2557173.1933333334</v>
      </c>
      <c r="CI17" s="529">
        <f t="shared" si="15"/>
        <v>0</v>
      </c>
      <c r="CJ17" s="529">
        <f t="shared" si="15"/>
        <v>2557173.1933333334</v>
      </c>
      <c r="CK17" s="529">
        <f t="shared" si="15"/>
        <v>-1014592.8066666666</v>
      </c>
      <c r="CL17" s="529">
        <f t="shared" si="15"/>
        <v>2632320.04</v>
      </c>
      <c r="CM17" s="529">
        <f t="shared" si="15"/>
        <v>-75146.846666666679</v>
      </c>
    </row>
    <row r="18" spans="1:91" outlineLevel="1">
      <c r="A18" s="500"/>
      <c r="B18" s="1423">
        <v>101</v>
      </c>
      <c r="C18" s="1424"/>
      <c r="D18" s="1424"/>
      <c r="E18" s="501"/>
      <c r="F18" s="525"/>
      <c r="G18" s="501" t="s">
        <v>287</v>
      </c>
      <c r="H18" s="501"/>
      <c r="I18" s="501"/>
      <c r="J18" s="501"/>
      <c r="K18" s="501"/>
      <c r="L18" s="501"/>
      <c r="M18" s="517"/>
      <c r="N18" s="518"/>
      <c r="O18" s="504"/>
      <c r="P18" s="519"/>
      <c r="Q18" s="506">
        <v>0</v>
      </c>
      <c r="R18" s="506">
        <v>0</v>
      </c>
      <c r="S18" s="504"/>
      <c r="T18" s="507"/>
      <c r="U18" s="508"/>
      <c r="V18" s="508"/>
      <c r="W18" s="508"/>
      <c r="X18" s="508"/>
      <c r="Y18" s="508"/>
      <c r="Z18" s="508"/>
      <c r="AA18" s="508"/>
      <c r="AB18" s="508"/>
      <c r="AC18" s="508"/>
      <c r="AD18" s="508"/>
      <c r="AE18" s="509"/>
      <c r="AF18" s="504">
        <f>SUM(T18:AE18)</f>
        <v>0</v>
      </c>
      <c r="AG18" s="510"/>
      <c r="AH18" s="508"/>
      <c r="AI18" s="508"/>
      <c r="AJ18" s="508"/>
      <c r="AK18" s="508"/>
      <c r="AL18" s="508"/>
      <c r="AM18" s="508"/>
      <c r="AN18" s="508"/>
      <c r="AO18" s="508"/>
      <c r="AP18" s="508"/>
      <c r="AQ18" s="508"/>
      <c r="AR18" s="509"/>
      <c r="AS18" s="504">
        <f>SUM(AG18:AR18)</f>
        <v>0</v>
      </c>
      <c r="AT18" s="510"/>
      <c r="AU18" s="508"/>
      <c r="AV18" s="508"/>
      <c r="AW18" s="508"/>
      <c r="AX18" s="508"/>
      <c r="AY18" s="508"/>
      <c r="AZ18" s="508"/>
      <c r="BA18" s="508"/>
      <c r="BB18" s="508"/>
      <c r="BC18" s="508"/>
      <c r="BD18" s="508"/>
      <c r="BE18" s="509"/>
      <c r="BF18" s="504">
        <f>SUM(AT18:BE18)</f>
        <v>0</v>
      </c>
      <c r="BG18" s="510"/>
      <c r="BH18" s="508"/>
      <c r="BI18" s="508"/>
      <c r="BJ18" s="508"/>
      <c r="BK18" s="508"/>
      <c r="BL18" s="508"/>
      <c r="BM18" s="508"/>
      <c r="BN18" s="508"/>
      <c r="BO18" s="508"/>
      <c r="BP18" s="508"/>
      <c r="BQ18" s="508"/>
      <c r="BR18" s="509"/>
      <c r="BS18" s="504">
        <f>SUM(BG18:BR18)</f>
        <v>0</v>
      </c>
      <c r="BT18" s="510"/>
      <c r="BU18" s="508"/>
      <c r="BV18" s="508"/>
      <c r="BW18" s="508"/>
      <c r="BX18" s="508"/>
      <c r="BY18" s="508"/>
      <c r="BZ18" s="508"/>
      <c r="CA18" s="508"/>
      <c r="CB18" s="508"/>
      <c r="CC18" s="508"/>
      <c r="CD18" s="508"/>
      <c r="CE18" s="509"/>
      <c r="CF18" s="504">
        <f>SUM(BT18:CE18)</f>
        <v>0</v>
      </c>
      <c r="CG18" s="504"/>
      <c r="CH18" s="504">
        <f>SUMIF(($S$5:$CG$5),"Actual",(S18:CG18))</f>
        <v>0</v>
      </c>
      <c r="CI18" s="504">
        <f>SUMIF(($S$5:$CG$5),"Forecast",(S18:CG18))</f>
        <v>0</v>
      </c>
      <c r="CJ18" s="504">
        <f>+AF18+AS18+BF18+BS18+CF18+CG18+S18</f>
        <v>0</v>
      </c>
      <c r="CK18" s="504">
        <f>+CJ18-R18</f>
        <v>0</v>
      </c>
      <c r="CL18" s="504">
        <f>+CK18-S18</f>
        <v>0</v>
      </c>
      <c r="CM18" s="504">
        <f>+CJ18-CL18</f>
        <v>0</v>
      </c>
    </row>
    <row r="19" spans="1:91" outlineLevel="1">
      <c r="A19" s="500"/>
      <c r="B19" s="526"/>
      <c r="C19" s="1423">
        <v>101.01</v>
      </c>
      <c r="D19" s="1424"/>
      <c r="E19" s="1424"/>
      <c r="F19" s="501"/>
      <c r="G19" s="501"/>
      <c r="H19" s="501" t="s">
        <v>288</v>
      </c>
      <c r="I19" s="501"/>
      <c r="J19" s="501"/>
      <c r="K19" s="501"/>
      <c r="L19" s="501"/>
      <c r="M19" s="517"/>
      <c r="N19" s="518"/>
      <c r="O19" s="504"/>
      <c r="P19" s="519"/>
      <c r="Q19" s="506">
        <v>468949</v>
      </c>
      <c r="R19" s="506">
        <v>468949</v>
      </c>
      <c r="S19" s="504">
        <v>468949</v>
      </c>
      <c r="T19" s="507"/>
      <c r="U19" s="508"/>
      <c r="V19" s="508"/>
      <c r="W19" s="508"/>
      <c r="X19" s="508"/>
      <c r="Y19" s="508"/>
      <c r="Z19" s="508"/>
      <c r="AA19" s="508"/>
      <c r="AB19" s="508"/>
      <c r="AC19" s="508"/>
      <c r="AD19" s="508"/>
      <c r="AE19" s="509"/>
      <c r="AF19" s="504">
        <f>SUM(T19:AE19)</f>
        <v>0</v>
      </c>
      <c r="AG19" s="510"/>
      <c r="AH19" s="508"/>
      <c r="AI19" s="508"/>
      <c r="AJ19" s="508"/>
      <c r="AK19" s="508"/>
      <c r="AL19" s="508"/>
      <c r="AM19" s="508"/>
      <c r="AN19" s="508"/>
      <c r="AO19" s="508"/>
      <c r="AP19" s="508"/>
      <c r="AQ19" s="508"/>
      <c r="AR19" s="509"/>
      <c r="AS19" s="504">
        <f>SUM(AG19:AR19)</f>
        <v>0</v>
      </c>
      <c r="AT19" s="510"/>
      <c r="AU19" s="508"/>
      <c r="AV19" s="508"/>
      <c r="AW19" s="508"/>
      <c r="AX19" s="508"/>
      <c r="AY19" s="508"/>
      <c r="AZ19" s="508"/>
      <c r="BA19" s="508"/>
      <c r="BB19" s="508"/>
      <c r="BC19" s="508"/>
      <c r="BD19" s="508"/>
      <c r="BE19" s="509"/>
      <c r="BF19" s="504">
        <f>SUM(AT19:BE19)</f>
        <v>0</v>
      </c>
      <c r="BG19" s="510"/>
      <c r="BH19" s="508"/>
      <c r="BI19" s="508"/>
      <c r="BJ19" s="508"/>
      <c r="BK19" s="508"/>
      <c r="BL19" s="508"/>
      <c r="BM19" s="508"/>
      <c r="BN19" s="508"/>
      <c r="BO19" s="508"/>
      <c r="BP19" s="508"/>
      <c r="BQ19" s="508"/>
      <c r="BR19" s="509"/>
      <c r="BS19" s="504">
        <f>SUM(BG19:BR19)</f>
        <v>0</v>
      </c>
      <c r="BT19" s="510"/>
      <c r="BU19" s="508"/>
      <c r="BV19" s="508"/>
      <c r="BW19" s="508"/>
      <c r="BX19" s="508"/>
      <c r="BY19" s="508"/>
      <c r="BZ19" s="508"/>
      <c r="CA19" s="508"/>
      <c r="CB19" s="508"/>
      <c r="CC19" s="508"/>
      <c r="CD19" s="508"/>
      <c r="CE19" s="509"/>
      <c r="CF19" s="504">
        <f>SUM(BT19:CE19)</f>
        <v>0</v>
      </c>
      <c r="CG19" s="504"/>
      <c r="CH19" s="504">
        <f>SUMIF(($S$5:$CG$5),"Actual",(S19:CG19))</f>
        <v>468949</v>
      </c>
      <c r="CI19" s="504">
        <f>SUMIF(($S$5:$CG$5),"Forecast",(S19:CG19))</f>
        <v>0</v>
      </c>
      <c r="CJ19" s="504">
        <f>+CH19+CI19</f>
        <v>468949</v>
      </c>
      <c r="CK19" s="504">
        <f>+CJ19-R19</f>
        <v>0</v>
      </c>
      <c r="CL19" s="504">
        <v>468949</v>
      </c>
      <c r="CM19" s="504">
        <f>+CJ19-CL19</f>
        <v>0</v>
      </c>
    </row>
    <row r="20" spans="1:91" s="546" customFormat="1" outlineLevel="1">
      <c r="A20" s="534"/>
      <c r="B20" s="535"/>
      <c r="C20" s="1442">
        <v>101.02</v>
      </c>
      <c r="D20" s="1443"/>
      <c r="E20" s="1443"/>
      <c r="F20" s="536"/>
      <c r="G20" s="536"/>
      <c r="H20" s="536" t="s">
        <v>289</v>
      </c>
      <c r="I20" s="536"/>
      <c r="J20" s="536"/>
      <c r="K20" s="536"/>
      <c r="L20" s="536"/>
      <c r="M20" s="537"/>
      <c r="N20" s="538"/>
      <c r="O20" s="539"/>
      <c r="P20" s="540"/>
      <c r="Q20" s="541">
        <v>0</v>
      </c>
      <c r="R20" s="541">
        <v>0</v>
      </c>
      <c r="S20" s="539"/>
      <c r="T20" s="542">
        <f t="shared" ref="T20:AY20" si="16">SUBTOTAL(9,T21:T30)</f>
        <v>25344.849999999995</v>
      </c>
      <c r="U20" s="543">
        <f t="shared" si="16"/>
        <v>26141.249999999996</v>
      </c>
      <c r="V20" s="543">
        <f t="shared" si="16"/>
        <v>33241.319999999992</v>
      </c>
      <c r="W20" s="543">
        <f t="shared" si="16"/>
        <v>21549.759999999995</v>
      </c>
      <c r="X20" s="543">
        <f t="shared" si="16"/>
        <v>27957.75</v>
      </c>
      <c r="Y20" s="543">
        <f t="shared" si="16"/>
        <v>29523.989999999998</v>
      </c>
      <c r="Z20" s="543">
        <f t="shared" si="16"/>
        <v>20140.290000000005</v>
      </c>
      <c r="AA20" s="543">
        <f t="shared" si="16"/>
        <v>30536.499999999996</v>
      </c>
      <c r="AB20" s="543">
        <f t="shared" si="16"/>
        <v>38776.080000000009</v>
      </c>
      <c r="AC20" s="543">
        <f t="shared" si="16"/>
        <v>37983.150000000009</v>
      </c>
      <c r="AD20" s="543">
        <f t="shared" si="16"/>
        <v>55056.569999999992</v>
      </c>
      <c r="AE20" s="544">
        <f t="shared" si="16"/>
        <v>56154.690000000017</v>
      </c>
      <c r="AF20" s="539">
        <f t="shared" si="16"/>
        <v>402406.2</v>
      </c>
      <c r="AG20" s="545">
        <f t="shared" si="16"/>
        <v>45104.180000000008</v>
      </c>
      <c r="AH20" s="543">
        <f t="shared" si="16"/>
        <v>35831.999999999985</v>
      </c>
      <c r="AI20" s="543">
        <f t="shared" si="16"/>
        <v>45857.62</v>
      </c>
      <c r="AJ20" s="543">
        <f t="shared" si="16"/>
        <v>50893.98000000001</v>
      </c>
      <c r="AK20" s="543">
        <f t="shared" si="16"/>
        <v>21369.410000000011</v>
      </c>
      <c r="AL20" s="543">
        <f t="shared" si="16"/>
        <v>41885.279999999984</v>
      </c>
      <c r="AM20" s="543">
        <f t="shared" si="16"/>
        <v>54409.80000000001</v>
      </c>
      <c r="AN20" s="543">
        <f t="shared" si="16"/>
        <v>60261.98000000001</v>
      </c>
      <c r="AO20" s="543">
        <f t="shared" si="16"/>
        <v>41286.989999999991</v>
      </c>
      <c r="AP20" s="543">
        <f t="shared" si="16"/>
        <v>40074.789999999979</v>
      </c>
      <c r="AQ20" s="543">
        <f t="shared" si="16"/>
        <v>52451.87000000001</v>
      </c>
      <c r="AR20" s="544">
        <f t="shared" si="16"/>
        <v>52177.97</v>
      </c>
      <c r="AS20" s="539">
        <f t="shared" si="16"/>
        <v>541605.87</v>
      </c>
      <c r="AT20" s="545">
        <f t="shared" si="16"/>
        <v>60006.739999999991</v>
      </c>
      <c r="AU20" s="543">
        <f t="shared" si="16"/>
        <v>63014.41</v>
      </c>
      <c r="AV20" s="543">
        <f t="shared" si="16"/>
        <v>69998.080000000045</v>
      </c>
      <c r="AW20" s="543">
        <f t="shared" si="16"/>
        <v>71421.579999999987</v>
      </c>
      <c r="AX20" s="543">
        <f t="shared" si="16"/>
        <v>53380.329999999987</v>
      </c>
      <c r="AY20" s="543">
        <f t="shared" si="16"/>
        <v>61105.740000000005</v>
      </c>
      <c r="AZ20" s="543">
        <f t="shared" ref="AZ20:CE20" si="17">SUBTOTAL(9,AZ21:AZ30)</f>
        <v>65741.690000000031</v>
      </c>
      <c r="BA20" s="543">
        <f t="shared" si="17"/>
        <v>47233.429999999993</v>
      </c>
      <c r="BB20" s="543">
        <f t="shared" si="17"/>
        <v>37424.939999999988</v>
      </c>
      <c r="BC20" s="543">
        <f t="shared" si="17"/>
        <v>54295.080000000016</v>
      </c>
      <c r="BD20" s="543">
        <f t="shared" si="17"/>
        <v>85833.440000000017</v>
      </c>
      <c r="BE20" s="544">
        <f t="shared" si="17"/>
        <v>67300.47</v>
      </c>
      <c r="BF20" s="539">
        <f t="shared" si="17"/>
        <v>736755.93</v>
      </c>
      <c r="BG20" s="545">
        <f t="shared" si="17"/>
        <v>109427.9</v>
      </c>
      <c r="BH20" s="543">
        <f t="shared" si="17"/>
        <v>137451.14000000001</v>
      </c>
      <c r="BI20" s="543">
        <f t="shared" si="17"/>
        <v>98962.919999999984</v>
      </c>
      <c r="BJ20" s="543">
        <f t="shared" si="17"/>
        <v>61614.233333333352</v>
      </c>
      <c r="BK20" s="543">
        <f t="shared" si="17"/>
        <v>0</v>
      </c>
      <c r="BL20" s="543">
        <f t="shared" si="17"/>
        <v>0</v>
      </c>
      <c r="BM20" s="543">
        <f t="shared" si="17"/>
        <v>0</v>
      </c>
      <c r="BN20" s="543">
        <f t="shared" si="17"/>
        <v>0</v>
      </c>
      <c r="BO20" s="543">
        <f t="shared" si="17"/>
        <v>0</v>
      </c>
      <c r="BP20" s="543">
        <f t="shared" si="17"/>
        <v>0</v>
      </c>
      <c r="BQ20" s="543">
        <f t="shared" si="17"/>
        <v>0</v>
      </c>
      <c r="BR20" s="544">
        <f t="shared" si="17"/>
        <v>0</v>
      </c>
      <c r="BS20" s="539">
        <f t="shared" si="17"/>
        <v>407456.1933333333</v>
      </c>
      <c r="BT20" s="545">
        <f t="shared" si="17"/>
        <v>0</v>
      </c>
      <c r="BU20" s="543">
        <f t="shared" si="17"/>
        <v>0</v>
      </c>
      <c r="BV20" s="543">
        <f t="shared" si="17"/>
        <v>0</v>
      </c>
      <c r="BW20" s="543">
        <f t="shared" si="17"/>
        <v>0</v>
      </c>
      <c r="BX20" s="543">
        <f t="shared" si="17"/>
        <v>0</v>
      </c>
      <c r="BY20" s="543">
        <f t="shared" si="17"/>
        <v>0</v>
      </c>
      <c r="BZ20" s="543">
        <f t="shared" si="17"/>
        <v>0</v>
      </c>
      <c r="CA20" s="543">
        <f t="shared" si="17"/>
        <v>0</v>
      </c>
      <c r="CB20" s="543">
        <f t="shared" si="17"/>
        <v>0</v>
      </c>
      <c r="CC20" s="543">
        <f t="shared" si="17"/>
        <v>0</v>
      </c>
      <c r="CD20" s="543">
        <f t="shared" si="17"/>
        <v>0</v>
      </c>
      <c r="CE20" s="544">
        <f t="shared" si="17"/>
        <v>0</v>
      </c>
      <c r="CF20" s="539">
        <f t="shared" ref="CF20:CM20" si="18">SUBTOTAL(9,CF21:CF30)</f>
        <v>0</v>
      </c>
      <c r="CG20" s="539">
        <f t="shared" si="18"/>
        <v>0</v>
      </c>
      <c r="CH20" s="539">
        <f t="shared" si="18"/>
        <v>2088224.1933333334</v>
      </c>
      <c r="CI20" s="539">
        <f t="shared" si="18"/>
        <v>0</v>
      </c>
      <c r="CJ20" s="539">
        <f t="shared" si="18"/>
        <v>2088224.1933333334</v>
      </c>
      <c r="CK20" s="539">
        <f t="shared" si="18"/>
        <v>-386603.80666666664</v>
      </c>
      <c r="CL20" s="539">
        <f t="shared" si="18"/>
        <v>2163371.04</v>
      </c>
      <c r="CM20" s="539">
        <f t="shared" si="18"/>
        <v>-75146.846666666679</v>
      </c>
    </row>
    <row r="21" spans="1:91" outlineLevel="2">
      <c r="A21" s="500"/>
      <c r="B21" s="526"/>
      <c r="C21" s="516"/>
      <c r="D21" s="1423">
        <v>101.021</v>
      </c>
      <c r="E21" s="1424"/>
      <c r="F21" s="1424"/>
      <c r="G21" s="501"/>
      <c r="H21" s="501"/>
      <c r="I21" s="501" t="s">
        <v>290</v>
      </c>
      <c r="J21" s="501"/>
      <c r="K21" s="547"/>
      <c r="L21" s="501"/>
      <c r="M21" s="517"/>
      <c r="N21" s="518"/>
      <c r="O21" s="504"/>
      <c r="P21" s="519"/>
      <c r="Q21" s="506">
        <v>1275064.8899999999</v>
      </c>
      <c r="R21" s="506">
        <v>1453953</v>
      </c>
      <c r="S21" s="504"/>
      <c r="T21" s="507">
        <f t="shared" ref="T21:AE21" si="19">+T317-T272-T273</f>
        <v>25344.849999999995</v>
      </c>
      <c r="U21" s="508">
        <f t="shared" si="19"/>
        <v>26141.249999999996</v>
      </c>
      <c r="V21" s="508">
        <f t="shared" si="19"/>
        <v>33241.319999999992</v>
      </c>
      <c r="W21" s="508">
        <f t="shared" si="19"/>
        <v>21549.759999999995</v>
      </c>
      <c r="X21" s="508">
        <f t="shared" si="19"/>
        <v>27957.75</v>
      </c>
      <c r="Y21" s="508">
        <f t="shared" si="19"/>
        <v>29523.989999999998</v>
      </c>
      <c r="Z21" s="508">
        <f t="shared" si="19"/>
        <v>20140.290000000005</v>
      </c>
      <c r="AA21" s="508">
        <f t="shared" si="19"/>
        <v>30536.499999999996</v>
      </c>
      <c r="AB21" s="508">
        <f t="shared" si="19"/>
        <v>38776.080000000009</v>
      </c>
      <c r="AC21" s="508">
        <f t="shared" si="19"/>
        <v>37983.150000000009</v>
      </c>
      <c r="AD21" s="508">
        <f t="shared" si="19"/>
        <v>55056.569999999992</v>
      </c>
      <c r="AE21" s="509">
        <f t="shared" si="19"/>
        <v>56154.690000000017</v>
      </c>
      <c r="AF21" s="504">
        <f t="shared" ref="AF21:AF35" si="20">SUM(T21:AE21)</f>
        <v>402406.2</v>
      </c>
      <c r="AG21" s="510">
        <f t="shared" ref="AG21:AR21" si="21">+AG317-AG272-AG273</f>
        <v>45104.180000000008</v>
      </c>
      <c r="AH21" s="510">
        <f t="shared" si="21"/>
        <v>35831.999999999985</v>
      </c>
      <c r="AI21" s="510">
        <f t="shared" si="21"/>
        <v>45857.62</v>
      </c>
      <c r="AJ21" s="510">
        <f t="shared" si="21"/>
        <v>50893.98000000001</v>
      </c>
      <c r="AK21" s="510">
        <f t="shared" si="21"/>
        <v>21369.410000000011</v>
      </c>
      <c r="AL21" s="510">
        <f t="shared" si="21"/>
        <v>41885.279999999984</v>
      </c>
      <c r="AM21" s="510">
        <f t="shared" si="21"/>
        <v>54409.80000000001</v>
      </c>
      <c r="AN21" s="510">
        <f t="shared" si="21"/>
        <v>60261.98000000001</v>
      </c>
      <c r="AO21" s="510">
        <f t="shared" si="21"/>
        <v>41286.989999999991</v>
      </c>
      <c r="AP21" s="510">
        <f t="shared" si="21"/>
        <v>40074.789999999979</v>
      </c>
      <c r="AQ21" s="510">
        <f t="shared" si="21"/>
        <v>52451.87000000001</v>
      </c>
      <c r="AR21" s="510">
        <f t="shared" si="21"/>
        <v>52177.97</v>
      </c>
      <c r="AS21" s="504">
        <f t="shared" ref="AS21:AS35" si="22">SUM(AG21:AR21)</f>
        <v>541605.87</v>
      </c>
      <c r="AT21" s="548">
        <f t="shared" ref="AT21:BD21" si="23">+AT317-AT272-AT273</f>
        <v>60006.739999999991</v>
      </c>
      <c r="AU21" s="508">
        <f t="shared" si="23"/>
        <v>63014.41</v>
      </c>
      <c r="AV21" s="508">
        <f t="shared" si="23"/>
        <v>69998.080000000045</v>
      </c>
      <c r="AW21" s="508">
        <f t="shared" si="23"/>
        <v>71421.579999999987</v>
      </c>
      <c r="AX21" s="508">
        <f t="shared" si="23"/>
        <v>53380.329999999987</v>
      </c>
      <c r="AY21" s="508">
        <f t="shared" si="23"/>
        <v>61105.740000000005</v>
      </c>
      <c r="AZ21" s="508">
        <f t="shared" si="23"/>
        <v>65741.690000000031</v>
      </c>
      <c r="BA21" s="508">
        <f t="shared" si="23"/>
        <v>47233.429999999993</v>
      </c>
      <c r="BB21" s="508">
        <f t="shared" si="23"/>
        <v>37424.939999999988</v>
      </c>
      <c r="BC21" s="508">
        <f t="shared" si="23"/>
        <v>54295.080000000016</v>
      </c>
      <c r="BD21" s="508">
        <f t="shared" si="23"/>
        <v>85833.440000000017</v>
      </c>
      <c r="BE21" s="508">
        <f>+BE317-BE272-BE273-3</f>
        <v>67300.47</v>
      </c>
      <c r="BF21" s="504">
        <f t="shared" ref="BF21:BF35" si="24">SUM(AT21:BE21)</f>
        <v>736755.93</v>
      </c>
      <c r="BG21" s="508">
        <f>+BG317-BG272-BG273-3</f>
        <v>109427.9</v>
      </c>
      <c r="BH21" s="549">
        <f>+BH317-BH272-BH273</f>
        <v>137451.14000000001</v>
      </c>
      <c r="BI21" s="549">
        <f>+BI317-BI272-BI273</f>
        <v>98962.919999999984</v>
      </c>
      <c r="BJ21" s="549">
        <f>+BJ317-BJ272-BJ273</f>
        <v>61614.233333333352</v>
      </c>
      <c r="BK21" s="659"/>
      <c r="BL21" s="659"/>
      <c r="BM21" s="508"/>
      <c r="BN21" s="508"/>
      <c r="BO21" s="508"/>
      <c r="BP21" s="508"/>
      <c r="BQ21" s="508"/>
      <c r="BR21" s="509"/>
      <c r="BS21" s="504">
        <f t="shared" ref="BS21:BS35" si="25">SUM(BG21:BR21)</f>
        <v>407456.1933333333</v>
      </c>
      <c r="BT21" s="510"/>
      <c r="BU21" s="508"/>
      <c r="BV21" s="508"/>
      <c r="BW21" s="508"/>
      <c r="BX21" s="508"/>
      <c r="BY21" s="508"/>
      <c r="BZ21" s="508"/>
      <c r="CA21" s="508"/>
      <c r="CB21" s="508"/>
      <c r="CC21" s="508"/>
      <c r="CD21" s="508"/>
      <c r="CE21" s="509"/>
      <c r="CF21" s="504">
        <f t="shared" ref="CF21:CF35" si="26">SUM(BT21:CE21)</f>
        <v>0</v>
      </c>
      <c r="CG21" s="504"/>
      <c r="CH21" s="504">
        <f t="shared" ref="CH21:CH35" si="27">SUMIF(($S$5:$CG$5),"Actual",(S21:CG21))</f>
        <v>2088224.1933333334</v>
      </c>
      <c r="CI21" s="504">
        <f t="shared" ref="CI21:CI35" si="28">SUMIF(($S$5:$CG$5),"Forecast",(S21:CG21))</f>
        <v>0</v>
      </c>
      <c r="CJ21" s="504">
        <f t="shared" ref="CJ21:CJ35" si="29">+CH21+CI21</f>
        <v>2088224.1933333334</v>
      </c>
      <c r="CK21" s="504">
        <f t="shared" ref="CK21:CK35" si="30">+CJ21-R21</f>
        <v>634271.19333333336</v>
      </c>
      <c r="CL21" s="504">
        <v>2163371.04</v>
      </c>
      <c r="CM21" s="504">
        <f t="shared" ref="CM21:CM35" si="31">+CJ21-CL21</f>
        <v>-75146.846666666679</v>
      </c>
    </row>
    <row r="22" spans="1:91" outlineLevel="2">
      <c r="A22" s="500"/>
      <c r="B22" s="526"/>
      <c r="C22" s="516"/>
      <c r="D22" s="1423">
        <f t="shared" ref="D22:D30" si="32">+D21+0.001</f>
        <v>101.02200000000001</v>
      </c>
      <c r="E22" s="1432"/>
      <c r="F22" s="1432"/>
      <c r="G22" s="501"/>
      <c r="H22" s="501"/>
      <c r="I22" s="501" t="s">
        <v>291</v>
      </c>
      <c r="J22" s="501"/>
      <c r="K22" s="547"/>
      <c r="L22" s="501"/>
      <c r="M22" s="517"/>
      <c r="N22" s="518"/>
      <c r="O22" s="504"/>
      <c r="P22" s="519"/>
      <c r="Q22" s="506">
        <v>300000</v>
      </c>
      <c r="R22" s="506">
        <v>275000</v>
      </c>
      <c r="S22" s="504"/>
      <c r="T22" s="507"/>
      <c r="U22" s="508"/>
      <c r="V22" s="508"/>
      <c r="W22" s="508"/>
      <c r="X22" s="508"/>
      <c r="Y22" s="508"/>
      <c r="Z22" s="508"/>
      <c r="AA22" s="508"/>
      <c r="AB22" s="508"/>
      <c r="AC22" s="508"/>
      <c r="AD22" s="508"/>
      <c r="AE22" s="509"/>
      <c r="AF22" s="504">
        <f t="shared" si="20"/>
        <v>0</v>
      </c>
      <c r="AG22" s="510"/>
      <c r="AH22" s="508"/>
      <c r="AI22" s="508"/>
      <c r="AJ22" s="549"/>
      <c r="AK22" s="549"/>
      <c r="AL22" s="508"/>
      <c r="AM22" s="549"/>
      <c r="AN22" s="508"/>
      <c r="AO22" s="549"/>
      <c r="AP22" s="508"/>
      <c r="AQ22" s="508"/>
      <c r="AR22" s="509"/>
      <c r="AS22" s="504">
        <f t="shared" si="22"/>
        <v>0</v>
      </c>
      <c r="AT22" s="548"/>
      <c r="AU22" s="508"/>
      <c r="AV22" s="508"/>
      <c r="AW22" s="508"/>
      <c r="AX22" s="549"/>
      <c r="AY22" s="549"/>
      <c r="AZ22" s="549"/>
      <c r="BA22" s="508"/>
      <c r="BB22" s="549"/>
      <c r="BC22" s="549"/>
      <c r="BD22" s="508"/>
      <c r="BE22" s="550"/>
      <c r="BF22" s="504">
        <f t="shared" si="24"/>
        <v>0</v>
      </c>
      <c r="BG22" s="510"/>
      <c r="BH22" s="510"/>
      <c r="BI22" s="510"/>
      <c r="BJ22" s="510"/>
      <c r="BK22" s="510"/>
      <c r="BL22" s="508"/>
      <c r="BM22" s="508"/>
      <c r="BN22" s="508"/>
      <c r="BO22" s="508"/>
      <c r="BP22" s="508"/>
      <c r="BQ22" s="508"/>
      <c r="BR22" s="509"/>
      <c r="BS22" s="504">
        <f t="shared" si="25"/>
        <v>0</v>
      </c>
      <c r="BT22" s="510"/>
      <c r="BU22" s="508"/>
      <c r="BV22" s="508"/>
      <c r="BW22" s="508"/>
      <c r="BX22" s="508"/>
      <c r="BY22" s="508"/>
      <c r="BZ22" s="508"/>
      <c r="CA22" s="508"/>
      <c r="CB22" s="508"/>
      <c r="CC22" s="508"/>
      <c r="CD22" s="508"/>
      <c r="CE22" s="509"/>
      <c r="CF22" s="504">
        <f t="shared" si="26"/>
        <v>0</v>
      </c>
      <c r="CG22" s="504"/>
      <c r="CH22" s="504">
        <f t="shared" si="27"/>
        <v>0</v>
      </c>
      <c r="CI22" s="504">
        <f t="shared" si="28"/>
        <v>0</v>
      </c>
      <c r="CJ22" s="504">
        <f t="shared" si="29"/>
        <v>0</v>
      </c>
      <c r="CK22" s="504">
        <f t="shared" si="30"/>
        <v>-275000</v>
      </c>
      <c r="CL22" s="504">
        <v>0</v>
      </c>
      <c r="CM22" s="504">
        <f t="shared" si="31"/>
        <v>0</v>
      </c>
    </row>
    <row r="23" spans="1:91" outlineLevel="2">
      <c r="A23" s="500"/>
      <c r="B23" s="526"/>
      <c r="C23" s="516"/>
      <c r="D23" s="1423">
        <f t="shared" si="32"/>
        <v>101.02300000000001</v>
      </c>
      <c r="E23" s="1432"/>
      <c r="F23" s="1432"/>
      <c r="G23" s="501"/>
      <c r="H23" s="501"/>
      <c r="I23" s="501" t="s">
        <v>292</v>
      </c>
      <c r="J23" s="501"/>
      <c r="K23" s="547"/>
      <c r="L23" s="501"/>
      <c r="M23" s="517"/>
      <c r="N23" s="518"/>
      <c r="O23" s="504"/>
      <c r="P23" s="519"/>
      <c r="Q23" s="506">
        <v>350000</v>
      </c>
      <c r="R23" s="506">
        <v>225000</v>
      </c>
      <c r="S23" s="504"/>
      <c r="T23" s="507"/>
      <c r="U23" s="508"/>
      <c r="V23" s="508"/>
      <c r="W23" s="508"/>
      <c r="X23" s="508"/>
      <c r="Y23" s="508"/>
      <c r="Z23" s="508"/>
      <c r="AA23" s="508"/>
      <c r="AB23" s="508"/>
      <c r="AC23" s="508"/>
      <c r="AD23" s="508"/>
      <c r="AE23" s="509"/>
      <c r="AF23" s="504">
        <f t="shared" si="20"/>
        <v>0</v>
      </c>
      <c r="AG23" s="510"/>
      <c r="AH23" s="508"/>
      <c r="AI23" s="508"/>
      <c r="AJ23" s="549"/>
      <c r="AK23" s="549"/>
      <c r="AL23" s="508"/>
      <c r="AM23" s="549"/>
      <c r="AN23" s="508"/>
      <c r="AO23" s="549"/>
      <c r="AP23" s="508"/>
      <c r="AQ23" s="508"/>
      <c r="AR23" s="509"/>
      <c r="AS23" s="504">
        <f t="shared" si="22"/>
        <v>0</v>
      </c>
      <c r="AT23" s="548"/>
      <c r="AU23" s="508"/>
      <c r="AV23" s="508"/>
      <c r="AW23" s="508"/>
      <c r="AX23" s="508"/>
      <c r="AY23" s="508"/>
      <c r="AZ23" s="508"/>
      <c r="BA23" s="508"/>
      <c r="BB23" s="508"/>
      <c r="BC23" s="508"/>
      <c r="BD23" s="508"/>
      <c r="BE23" s="509"/>
      <c r="BF23" s="504">
        <f t="shared" si="24"/>
        <v>0</v>
      </c>
      <c r="BG23" s="510"/>
      <c r="BH23" s="510"/>
      <c r="BI23" s="510"/>
      <c r="BJ23" s="510"/>
      <c r="BK23" s="510"/>
      <c r="BL23" s="508"/>
      <c r="BM23" s="508"/>
      <c r="BN23" s="508"/>
      <c r="BO23" s="508"/>
      <c r="BP23" s="508"/>
      <c r="BQ23" s="508"/>
      <c r="BR23" s="509"/>
      <c r="BS23" s="504">
        <f t="shared" si="25"/>
        <v>0</v>
      </c>
      <c r="BT23" s="510"/>
      <c r="BU23" s="508"/>
      <c r="BV23" s="508"/>
      <c r="BW23" s="508"/>
      <c r="BX23" s="508"/>
      <c r="BY23" s="508"/>
      <c r="BZ23" s="508"/>
      <c r="CA23" s="508"/>
      <c r="CB23" s="508"/>
      <c r="CC23" s="508"/>
      <c r="CD23" s="508"/>
      <c r="CE23" s="509"/>
      <c r="CF23" s="504">
        <f t="shared" si="26"/>
        <v>0</v>
      </c>
      <c r="CG23" s="504"/>
      <c r="CH23" s="504">
        <f t="shared" si="27"/>
        <v>0</v>
      </c>
      <c r="CI23" s="504">
        <f t="shared" si="28"/>
        <v>0</v>
      </c>
      <c r="CJ23" s="504">
        <f t="shared" si="29"/>
        <v>0</v>
      </c>
      <c r="CK23" s="504">
        <f t="shared" si="30"/>
        <v>-225000</v>
      </c>
      <c r="CL23" s="504">
        <v>0</v>
      </c>
      <c r="CM23" s="504">
        <f t="shared" si="31"/>
        <v>0</v>
      </c>
    </row>
    <row r="24" spans="1:91" outlineLevel="2">
      <c r="A24" s="500"/>
      <c r="B24" s="526"/>
      <c r="C24" s="516"/>
      <c r="D24" s="1423">
        <f t="shared" si="32"/>
        <v>101.02400000000002</v>
      </c>
      <c r="E24" s="1432"/>
      <c r="F24" s="1432"/>
      <c r="G24" s="501"/>
      <c r="H24" s="501"/>
      <c r="I24" s="501" t="s">
        <v>293</v>
      </c>
      <c r="J24" s="501"/>
      <c r="K24" s="547"/>
      <c r="L24" s="501"/>
      <c r="M24" s="517"/>
      <c r="N24" s="518"/>
      <c r="O24" s="504"/>
      <c r="P24" s="519"/>
      <c r="Q24" s="506">
        <v>250000</v>
      </c>
      <c r="R24" s="506">
        <v>225000</v>
      </c>
      <c r="S24" s="504"/>
      <c r="T24" s="507"/>
      <c r="U24" s="508"/>
      <c r="V24" s="508"/>
      <c r="W24" s="508"/>
      <c r="X24" s="508"/>
      <c r="Y24" s="508"/>
      <c r="Z24" s="508"/>
      <c r="AA24" s="508"/>
      <c r="AB24" s="508"/>
      <c r="AC24" s="508"/>
      <c r="AD24" s="508"/>
      <c r="AE24" s="509"/>
      <c r="AF24" s="504">
        <f t="shared" si="20"/>
        <v>0</v>
      </c>
      <c r="AG24" s="510"/>
      <c r="AH24" s="508"/>
      <c r="AI24" s="508"/>
      <c r="AJ24" s="549"/>
      <c r="AK24" s="549"/>
      <c r="AL24" s="508"/>
      <c r="AM24" s="549"/>
      <c r="AN24" s="508"/>
      <c r="AO24" s="549"/>
      <c r="AP24" s="508"/>
      <c r="AQ24" s="508"/>
      <c r="AR24" s="509"/>
      <c r="AS24" s="504">
        <f t="shared" si="22"/>
        <v>0</v>
      </c>
      <c r="AT24" s="548"/>
      <c r="AU24" s="508"/>
      <c r="AV24" s="508"/>
      <c r="AW24" s="508"/>
      <c r="AX24" s="508"/>
      <c r="AY24" s="508"/>
      <c r="AZ24" s="508"/>
      <c r="BA24" s="508"/>
      <c r="BB24" s="508"/>
      <c r="BC24" s="508"/>
      <c r="BD24" s="508"/>
      <c r="BE24" s="509"/>
      <c r="BF24" s="504">
        <f t="shared" si="24"/>
        <v>0</v>
      </c>
      <c r="BG24" s="510"/>
      <c r="BH24" s="510"/>
      <c r="BI24" s="510"/>
      <c r="BJ24" s="510"/>
      <c r="BK24" s="510"/>
      <c r="BL24" s="508"/>
      <c r="BM24" s="508"/>
      <c r="BN24" s="508"/>
      <c r="BO24" s="508"/>
      <c r="BP24" s="508"/>
      <c r="BQ24" s="508"/>
      <c r="BR24" s="509"/>
      <c r="BS24" s="504">
        <f t="shared" si="25"/>
        <v>0</v>
      </c>
      <c r="BT24" s="510"/>
      <c r="BU24" s="508"/>
      <c r="BV24" s="508"/>
      <c r="BW24" s="508"/>
      <c r="BX24" s="508"/>
      <c r="BY24" s="508"/>
      <c r="BZ24" s="508"/>
      <c r="CA24" s="508"/>
      <c r="CB24" s="508"/>
      <c r="CC24" s="508"/>
      <c r="CD24" s="508"/>
      <c r="CE24" s="509"/>
      <c r="CF24" s="504">
        <f t="shared" si="26"/>
        <v>0</v>
      </c>
      <c r="CG24" s="504"/>
      <c r="CH24" s="504">
        <f t="shared" si="27"/>
        <v>0</v>
      </c>
      <c r="CI24" s="504">
        <f t="shared" si="28"/>
        <v>0</v>
      </c>
      <c r="CJ24" s="504">
        <f t="shared" si="29"/>
        <v>0</v>
      </c>
      <c r="CK24" s="504">
        <f t="shared" si="30"/>
        <v>-225000</v>
      </c>
      <c r="CL24" s="504">
        <v>0</v>
      </c>
      <c r="CM24" s="504">
        <f t="shared" si="31"/>
        <v>0</v>
      </c>
    </row>
    <row r="25" spans="1:91" outlineLevel="2">
      <c r="A25" s="500"/>
      <c r="B25" s="526"/>
      <c r="C25" s="516"/>
      <c r="D25" s="1423">
        <f t="shared" si="32"/>
        <v>101.02500000000002</v>
      </c>
      <c r="E25" s="1432"/>
      <c r="F25" s="1432"/>
      <c r="G25" s="501"/>
      <c r="H25" s="501"/>
      <c r="I25" s="501" t="s">
        <v>294</v>
      </c>
      <c r="J25" s="501"/>
      <c r="K25" s="547"/>
      <c r="L25" s="501"/>
      <c r="M25" s="517"/>
      <c r="N25" s="518"/>
      <c r="O25" s="504"/>
      <c r="P25" s="519"/>
      <c r="Q25" s="506">
        <v>250000</v>
      </c>
      <c r="R25" s="506">
        <v>250000</v>
      </c>
      <c r="S25" s="504"/>
      <c r="T25" s="507"/>
      <c r="U25" s="508"/>
      <c r="V25" s="508"/>
      <c r="W25" s="508"/>
      <c r="X25" s="508"/>
      <c r="Y25" s="508"/>
      <c r="Z25" s="508"/>
      <c r="AA25" s="508"/>
      <c r="AB25" s="508"/>
      <c r="AC25" s="508"/>
      <c r="AD25" s="508"/>
      <c r="AE25" s="509"/>
      <c r="AF25" s="504">
        <f t="shared" si="20"/>
        <v>0</v>
      </c>
      <c r="AG25" s="510"/>
      <c r="AH25" s="508"/>
      <c r="AI25" s="508"/>
      <c r="AJ25" s="549"/>
      <c r="AK25" s="549"/>
      <c r="AL25" s="508"/>
      <c r="AM25" s="549"/>
      <c r="AN25" s="508"/>
      <c r="AO25" s="549"/>
      <c r="AP25" s="508"/>
      <c r="AQ25" s="508"/>
      <c r="AR25" s="509"/>
      <c r="AS25" s="504">
        <f t="shared" si="22"/>
        <v>0</v>
      </c>
      <c r="AT25" s="548"/>
      <c r="AU25" s="508"/>
      <c r="AV25" s="508"/>
      <c r="AW25" s="508"/>
      <c r="AX25" s="508"/>
      <c r="AY25" s="508"/>
      <c r="AZ25" s="508"/>
      <c r="BA25" s="508"/>
      <c r="BB25" s="508"/>
      <c r="BC25" s="508"/>
      <c r="BD25" s="508"/>
      <c r="BE25" s="509"/>
      <c r="BF25" s="504">
        <f t="shared" si="24"/>
        <v>0</v>
      </c>
      <c r="BG25" s="510"/>
      <c r="BH25" s="510"/>
      <c r="BI25" s="510"/>
      <c r="BJ25" s="510"/>
      <c r="BK25" s="510"/>
      <c r="BL25" s="508"/>
      <c r="BM25" s="508"/>
      <c r="BN25" s="508"/>
      <c r="BO25" s="508"/>
      <c r="BP25" s="508"/>
      <c r="BQ25" s="508"/>
      <c r="BR25" s="509"/>
      <c r="BS25" s="504">
        <f t="shared" si="25"/>
        <v>0</v>
      </c>
      <c r="BT25" s="510"/>
      <c r="BU25" s="508"/>
      <c r="BV25" s="508"/>
      <c r="BW25" s="508"/>
      <c r="BX25" s="508"/>
      <c r="BY25" s="508"/>
      <c r="BZ25" s="508"/>
      <c r="CA25" s="508"/>
      <c r="CB25" s="508"/>
      <c r="CC25" s="508"/>
      <c r="CD25" s="508"/>
      <c r="CE25" s="509"/>
      <c r="CF25" s="504">
        <f t="shared" si="26"/>
        <v>0</v>
      </c>
      <c r="CG25" s="504"/>
      <c r="CH25" s="504">
        <f t="shared" si="27"/>
        <v>0</v>
      </c>
      <c r="CI25" s="504">
        <f t="shared" si="28"/>
        <v>0</v>
      </c>
      <c r="CJ25" s="504">
        <f t="shared" si="29"/>
        <v>0</v>
      </c>
      <c r="CK25" s="504">
        <f t="shared" si="30"/>
        <v>-250000</v>
      </c>
      <c r="CL25" s="504">
        <v>0</v>
      </c>
      <c r="CM25" s="504">
        <f t="shared" si="31"/>
        <v>0</v>
      </c>
    </row>
    <row r="26" spans="1:91" outlineLevel="2">
      <c r="A26" s="500"/>
      <c r="B26" s="526"/>
      <c r="C26" s="516"/>
      <c r="D26" s="1423">
        <f t="shared" si="32"/>
        <v>101.02600000000002</v>
      </c>
      <c r="E26" s="1432"/>
      <c r="F26" s="1432"/>
      <c r="G26" s="501"/>
      <c r="H26" s="501"/>
      <c r="I26" s="501" t="s">
        <v>295</v>
      </c>
      <c r="J26" s="501"/>
      <c r="K26" s="547"/>
      <c r="L26" s="501"/>
      <c r="M26" s="502"/>
      <c r="N26" s="503"/>
      <c r="O26" s="504"/>
      <c r="P26" s="505"/>
      <c r="Q26" s="506">
        <v>20000</v>
      </c>
      <c r="R26" s="506">
        <v>0</v>
      </c>
      <c r="S26" s="504"/>
      <c r="T26" s="507"/>
      <c r="U26" s="508"/>
      <c r="V26" s="508"/>
      <c r="W26" s="508"/>
      <c r="X26" s="508"/>
      <c r="Y26" s="508"/>
      <c r="Z26" s="508"/>
      <c r="AA26" s="508"/>
      <c r="AB26" s="508"/>
      <c r="AC26" s="508"/>
      <c r="AD26" s="508"/>
      <c r="AE26" s="509"/>
      <c r="AF26" s="504">
        <f t="shared" si="20"/>
        <v>0</v>
      </c>
      <c r="AG26" s="510"/>
      <c r="AH26" s="508"/>
      <c r="AI26" s="508"/>
      <c r="AJ26" s="549"/>
      <c r="AK26" s="549"/>
      <c r="AL26" s="508"/>
      <c r="AM26" s="549"/>
      <c r="AN26" s="508"/>
      <c r="AO26" s="549"/>
      <c r="AP26" s="508"/>
      <c r="AQ26" s="508"/>
      <c r="AR26" s="509"/>
      <c r="AS26" s="504">
        <f t="shared" si="22"/>
        <v>0</v>
      </c>
      <c r="AT26" s="548"/>
      <c r="AU26" s="508"/>
      <c r="AV26" s="508"/>
      <c r="AW26" s="508"/>
      <c r="AX26" s="508"/>
      <c r="AY26" s="508"/>
      <c r="AZ26" s="508"/>
      <c r="BA26" s="508"/>
      <c r="BB26" s="508"/>
      <c r="BC26" s="508"/>
      <c r="BD26" s="508"/>
      <c r="BE26" s="509"/>
      <c r="BF26" s="504">
        <f t="shared" si="24"/>
        <v>0</v>
      </c>
      <c r="BG26" s="510"/>
      <c r="BH26" s="510"/>
      <c r="BI26" s="510"/>
      <c r="BJ26" s="510"/>
      <c r="BK26" s="510"/>
      <c r="BL26" s="508"/>
      <c r="BM26" s="508"/>
      <c r="BN26" s="508"/>
      <c r="BO26" s="508"/>
      <c r="BP26" s="508"/>
      <c r="BQ26" s="508"/>
      <c r="BR26" s="509"/>
      <c r="BS26" s="504">
        <f t="shared" si="25"/>
        <v>0</v>
      </c>
      <c r="BT26" s="510"/>
      <c r="BU26" s="508"/>
      <c r="BV26" s="508"/>
      <c r="BW26" s="508"/>
      <c r="BX26" s="508"/>
      <c r="BY26" s="508"/>
      <c r="BZ26" s="508"/>
      <c r="CA26" s="508"/>
      <c r="CB26" s="508"/>
      <c r="CC26" s="508"/>
      <c r="CD26" s="508"/>
      <c r="CE26" s="509"/>
      <c r="CF26" s="504">
        <f t="shared" si="26"/>
        <v>0</v>
      </c>
      <c r="CG26" s="504"/>
      <c r="CH26" s="504">
        <f t="shared" si="27"/>
        <v>0</v>
      </c>
      <c r="CI26" s="504">
        <f t="shared" si="28"/>
        <v>0</v>
      </c>
      <c r="CJ26" s="504">
        <f t="shared" si="29"/>
        <v>0</v>
      </c>
      <c r="CK26" s="504">
        <f t="shared" si="30"/>
        <v>0</v>
      </c>
      <c r="CL26" s="504">
        <v>0</v>
      </c>
      <c r="CM26" s="504">
        <f t="shared" si="31"/>
        <v>0</v>
      </c>
    </row>
    <row r="27" spans="1:91" outlineLevel="2">
      <c r="A27" s="500"/>
      <c r="B27" s="526"/>
      <c r="C27" s="551"/>
      <c r="D27" s="1423">
        <f t="shared" si="32"/>
        <v>101.02700000000003</v>
      </c>
      <c r="E27" s="1432"/>
      <c r="F27" s="1432"/>
      <c r="G27" s="552"/>
      <c r="H27" s="552"/>
      <c r="I27" s="501" t="s">
        <v>296</v>
      </c>
      <c r="J27" s="547"/>
      <c r="K27" s="547"/>
      <c r="L27" s="501"/>
      <c r="M27" s="502"/>
      <c r="N27" s="503"/>
      <c r="O27" s="504"/>
      <c r="P27" s="505"/>
      <c r="Q27" s="506">
        <v>9000</v>
      </c>
      <c r="R27" s="506">
        <v>21875</v>
      </c>
      <c r="S27" s="504"/>
      <c r="T27" s="507"/>
      <c r="U27" s="508"/>
      <c r="V27" s="508"/>
      <c r="W27" s="508"/>
      <c r="X27" s="508"/>
      <c r="Y27" s="508"/>
      <c r="Z27" s="508"/>
      <c r="AA27" s="508"/>
      <c r="AB27" s="508"/>
      <c r="AC27" s="508"/>
      <c r="AD27" s="508"/>
      <c r="AE27" s="509"/>
      <c r="AF27" s="504">
        <f t="shared" si="20"/>
        <v>0</v>
      </c>
      <c r="AG27" s="510"/>
      <c r="AH27" s="508"/>
      <c r="AI27" s="508"/>
      <c r="AJ27" s="549"/>
      <c r="AK27" s="549"/>
      <c r="AL27" s="508"/>
      <c r="AM27" s="549"/>
      <c r="AN27" s="508"/>
      <c r="AO27" s="549"/>
      <c r="AP27" s="508"/>
      <c r="AQ27" s="508"/>
      <c r="AR27" s="509"/>
      <c r="AS27" s="504">
        <f t="shared" si="22"/>
        <v>0</v>
      </c>
      <c r="AT27" s="548"/>
      <c r="AU27" s="508"/>
      <c r="AV27" s="508"/>
      <c r="AW27" s="508"/>
      <c r="AX27" s="508"/>
      <c r="AY27" s="508"/>
      <c r="AZ27" s="508"/>
      <c r="BA27" s="508"/>
      <c r="BB27" s="508"/>
      <c r="BC27" s="508"/>
      <c r="BD27" s="508"/>
      <c r="BE27" s="509"/>
      <c r="BF27" s="504">
        <f t="shared" si="24"/>
        <v>0</v>
      </c>
      <c r="BG27" s="510"/>
      <c r="BH27" s="510"/>
      <c r="BI27" s="510"/>
      <c r="BJ27" s="510"/>
      <c r="BK27" s="510"/>
      <c r="BL27" s="508"/>
      <c r="BM27" s="508"/>
      <c r="BN27" s="508"/>
      <c r="BO27" s="508"/>
      <c r="BP27" s="508"/>
      <c r="BQ27" s="508"/>
      <c r="BR27" s="509"/>
      <c r="BS27" s="504">
        <f t="shared" si="25"/>
        <v>0</v>
      </c>
      <c r="BT27" s="510"/>
      <c r="BU27" s="508"/>
      <c r="BV27" s="508"/>
      <c r="BW27" s="508"/>
      <c r="BX27" s="508"/>
      <c r="BY27" s="508"/>
      <c r="BZ27" s="508"/>
      <c r="CA27" s="508"/>
      <c r="CB27" s="508"/>
      <c r="CC27" s="508"/>
      <c r="CD27" s="508"/>
      <c r="CE27" s="509"/>
      <c r="CF27" s="504">
        <f t="shared" si="26"/>
        <v>0</v>
      </c>
      <c r="CG27" s="504"/>
      <c r="CH27" s="504">
        <f t="shared" si="27"/>
        <v>0</v>
      </c>
      <c r="CI27" s="504">
        <f t="shared" si="28"/>
        <v>0</v>
      </c>
      <c r="CJ27" s="504">
        <f t="shared" si="29"/>
        <v>0</v>
      </c>
      <c r="CK27" s="504">
        <f t="shared" si="30"/>
        <v>-21875</v>
      </c>
      <c r="CL27" s="504">
        <v>0</v>
      </c>
      <c r="CM27" s="504">
        <f t="shared" si="31"/>
        <v>0</v>
      </c>
    </row>
    <row r="28" spans="1:91" outlineLevel="2">
      <c r="A28" s="500"/>
      <c r="B28" s="526"/>
      <c r="C28" s="551"/>
      <c r="D28" s="1423">
        <f t="shared" si="32"/>
        <v>101.02800000000003</v>
      </c>
      <c r="E28" s="1432"/>
      <c r="F28" s="1432"/>
      <c r="G28" s="552"/>
      <c r="H28" s="552"/>
      <c r="I28" s="501" t="s">
        <v>297</v>
      </c>
      <c r="J28" s="547"/>
      <c r="K28" s="547"/>
      <c r="L28" s="501"/>
      <c r="M28" s="502"/>
      <c r="N28" s="503"/>
      <c r="O28" s="504"/>
      <c r="P28" s="505"/>
      <c r="Q28" s="506">
        <v>13500</v>
      </c>
      <c r="R28" s="506">
        <v>13500</v>
      </c>
      <c r="S28" s="504"/>
      <c r="T28" s="507"/>
      <c r="U28" s="508"/>
      <c r="V28" s="508"/>
      <c r="W28" s="508"/>
      <c r="X28" s="508"/>
      <c r="Y28" s="508"/>
      <c r="Z28" s="508"/>
      <c r="AA28" s="508"/>
      <c r="AB28" s="508"/>
      <c r="AC28" s="508"/>
      <c r="AD28" s="508"/>
      <c r="AE28" s="509"/>
      <c r="AF28" s="504">
        <f t="shared" si="20"/>
        <v>0</v>
      </c>
      <c r="AG28" s="510"/>
      <c r="AH28" s="508"/>
      <c r="AI28" s="508"/>
      <c r="AJ28" s="549"/>
      <c r="AK28" s="549"/>
      <c r="AL28" s="508"/>
      <c r="AM28" s="549"/>
      <c r="AN28" s="508"/>
      <c r="AO28" s="549"/>
      <c r="AP28" s="508"/>
      <c r="AQ28" s="508"/>
      <c r="AR28" s="509"/>
      <c r="AS28" s="504">
        <f t="shared" si="22"/>
        <v>0</v>
      </c>
      <c r="AT28" s="548"/>
      <c r="AU28" s="508"/>
      <c r="AV28" s="508"/>
      <c r="AW28" s="508"/>
      <c r="AX28" s="508"/>
      <c r="AY28" s="508"/>
      <c r="AZ28" s="508"/>
      <c r="BA28" s="508"/>
      <c r="BB28" s="508"/>
      <c r="BC28" s="508"/>
      <c r="BD28" s="508"/>
      <c r="BE28" s="509"/>
      <c r="BF28" s="504">
        <f t="shared" si="24"/>
        <v>0</v>
      </c>
      <c r="BG28" s="510"/>
      <c r="BH28" s="510"/>
      <c r="BI28" s="510"/>
      <c r="BJ28" s="510"/>
      <c r="BK28" s="510"/>
      <c r="BL28" s="508"/>
      <c r="BM28" s="508"/>
      <c r="BN28" s="508"/>
      <c r="BO28" s="508"/>
      <c r="BP28" s="508"/>
      <c r="BQ28" s="508"/>
      <c r="BR28" s="509"/>
      <c r="BS28" s="504">
        <f t="shared" si="25"/>
        <v>0</v>
      </c>
      <c r="BT28" s="510"/>
      <c r="BU28" s="508"/>
      <c r="BV28" s="508"/>
      <c r="BW28" s="508"/>
      <c r="BX28" s="508"/>
      <c r="BY28" s="508"/>
      <c r="BZ28" s="508"/>
      <c r="CA28" s="508"/>
      <c r="CB28" s="508"/>
      <c r="CC28" s="508"/>
      <c r="CD28" s="508"/>
      <c r="CE28" s="509"/>
      <c r="CF28" s="504">
        <f t="shared" si="26"/>
        <v>0</v>
      </c>
      <c r="CG28" s="504"/>
      <c r="CH28" s="504">
        <f t="shared" si="27"/>
        <v>0</v>
      </c>
      <c r="CI28" s="504">
        <f t="shared" si="28"/>
        <v>0</v>
      </c>
      <c r="CJ28" s="504">
        <f t="shared" si="29"/>
        <v>0</v>
      </c>
      <c r="CK28" s="504">
        <f t="shared" si="30"/>
        <v>-13500</v>
      </c>
      <c r="CL28" s="504">
        <v>0</v>
      </c>
      <c r="CM28" s="504">
        <f t="shared" si="31"/>
        <v>0</v>
      </c>
    </row>
    <row r="29" spans="1:91" outlineLevel="2">
      <c r="A29" s="500"/>
      <c r="B29" s="526"/>
      <c r="C29" s="551"/>
      <c r="D29" s="1423">
        <f t="shared" si="32"/>
        <v>101.02900000000004</v>
      </c>
      <c r="E29" s="1432"/>
      <c r="F29" s="1432"/>
      <c r="G29" s="552"/>
      <c r="H29" s="552"/>
      <c r="I29" s="501" t="s">
        <v>298</v>
      </c>
      <c r="J29" s="547"/>
      <c r="K29" s="547"/>
      <c r="L29" s="501"/>
      <c r="M29" s="502"/>
      <c r="N29" s="503"/>
      <c r="O29" s="504"/>
      <c r="P29" s="505"/>
      <c r="Q29" s="506">
        <v>10500</v>
      </c>
      <c r="R29" s="506">
        <v>10500</v>
      </c>
      <c r="S29" s="504"/>
      <c r="T29" s="507"/>
      <c r="U29" s="508"/>
      <c r="V29" s="508"/>
      <c r="W29" s="508"/>
      <c r="X29" s="508"/>
      <c r="Y29" s="508"/>
      <c r="Z29" s="508"/>
      <c r="AA29" s="508"/>
      <c r="AB29" s="508"/>
      <c r="AC29" s="508"/>
      <c r="AD29" s="508"/>
      <c r="AE29" s="509"/>
      <c r="AF29" s="504">
        <f t="shared" si="20"/>
        <v>0</v>
      </c>
      <c r="AG29" s="510"/>
      <c r="AH29" s="508"/>
      <c r="AI29" s="508"/>
      <c r="AJ29" s="549"/>
      <c r="AK29" s="549"/>
      <c r="AL29" s="508"/>
      <c r="AM29" s="549"/>
      <c r="AN29" s="508"/>
      <c r="AO29" s="549"/>
      <c r="AP29" s="508"/>
      <c r="AQ29" s="508"/>
      <c r="AR29" s="508"/>
      <c r="AS29" s="504">
        <f t="shared" si="22"/>
        <v>0</v>
      </c>
      <c r="AT29" s="549"/>
      <c r="AU29" s="508"/>
      <c r="AV29" s="508"/>
      <c r="AW29" s="508"/>
      <c r="AX29" s="508"/>
      <c r="AY29" s="508"/>
      <c r="AZ29" s="508"/>
      <c r="BA29" s="508"/>
      <c r="BB29" s="508"/>
      <c r="BC29" s="508"/>
      <c r="BD29" s="508"/>
      <c r="BE29" s="508"/>
      <c r="BF29" s="504">
        <f t="shared" si="24"/>
        <v>0</v>
      </c>
      <c r="BG29" s="510"/>
      <c r="BH29" s="510"/>
      <c r="BI29" s="510"/>
      <c r="BJ29" s="510"/>
      <c r="BK29" s="510"/>
      <c r="BL29" s="508"/>
      <c r="BM29" s="508"/>
      <c r="BN29" s="508"/>
      <c r="BO29" s="508"/>
      <c r="BP29" s="508"/>
      <c r="BQ29" s="508"/>
      <c r="BR29" s="509"/>
      <c r="BS29" s="504">
        <f t="shared" si="25"/>
        <v>0</v>
      </c>
      <c r="BT29" s="510"/>
      <c r="BU29" s="508"/>
      <c r="BV29" s="508"/>
      <c r="BW29" s="508"/>
      <c r="BX29" s="508"/>
      <c r="BY29" s="508"/>
      <c r="BZ29" s="508"/>
      <c r="CA29" s="508"/>
      <c r="CB29" s="508"/>
      <c r="CC29" s="508"/>
      <c r="CD29" s="508"/>
      <c r="CE29" s="509"/>
      <c r="CF29" s="504">
        <f t="shared" si="26"/>
        <v>0</v>
      </c>
      <c r="CG29" s="504"/>
      <c r="CH29" s="504">
        <f t="shared" si="27"/>
        <v>0</v>
      </c>
      <c r="CI29" s="504">
        <f t="shared" si="28"/>
        <v>0</v>
      </c>
      <c r="CJ29" s="504">
        <f t="shared" si="29"/>
        <v>0</v>
      </c>
      <c r="CK29" s="504">
        <f t="shared" si="30"/>
        <v>-10500</v>
      </c>
      <c r="CL29" s="504">
        <v>0</v>
      </c>
      <c r="CM29" s="504">
        <f t="shared" si="31"/>
        <v>0</v>
      </c>
    </row>
    <row r="30" spans="1:91" outlineLevel="2">
      <c r="A30" s="500"/>
      <c r="B30" s="526"/>
      <c r="C30" s="551"/>
      <c r="D30" s="1444">
        <f t="shared" si="32"/>
        <v>101.03000000000004</v>
      </c>
      <c r="E30" s="1445"/>
      <c r="F30" s="1445"/>
      <c r="G30" s="553"/>
      <c r="H30" s="553"/>
      <c r="I30" s="554" t="s">
        <v>299</v>
      </c>
      <c r="J30" s="555"/>
      <c r="K30" s="555"/>
      <c r="L30" s="501"/>
      <c r="M30" s="502"/>
      <c r="N30" s="503"/>
      <c r="O30" s="504"/>
      <c r="P30" s="505"/>
      <c r="Q30" s="506"/>
      <c r="R30" s="506"/>
      <c r="S30" s="504"/>
      <c r="T30" s="507"/>
      <c r="U30" s="508"/>
      <c r="V30" s="508"/>
      <c r="W30" s="508"/>
      <c r="X30" s="508"/>
      <c r="Y30" s="508"/>
      <c r="Z30" s="508"/>
      <c r="AA30" s="508"/>
      <c r="AB30" s="508"/>
      <c r="AC30" s="508"/>
      <c r="AD30" s="508"/>
      <c r="AE30" s="509"/>
      <c r="AF30" s="504">
        <f t="shared" si="20"/>
        <v>0</v>
      </c>
      <c r="AG30" s="510"/>
      <c r="AH30" s="508"/>
      <c r="AI30" s="508"/>
      <c r="AJ30" s="549"/>
      <c r="AK30" s="549"/>
      <c r="AL30" s="508"/>
      <c r="AM30" s="549"/>
      <c r="AN30" s="508"/>
      <c r="AO30" s="549"/>
      <c r="AP30" s="508"/>
      <c r="AQ30" s="508"/>
      <c r="AR30" s="508"/>
      <c r="AS30" s="504">
        <f t="shared" si="22"/>
        <v>0</v>
      </c>
      <c r="AT30" s="549"/>
      <c r="AU30" s="549"/>
      <c r="AV30" s="508"/>
      <c r="AW30" s="508"/>
      <c r="AX30" s="508"/>
      <c r="AY30" s="508"/>
      <c r="AZ30" s="508"/>
      <c r="BA30" s="508"/>
      <c r="BB30" s="508"/>
      <c r="BC30" s="508"/>
      <c r="BD30" s="508"/>
      <c r="BE30" s="508"/>
      <c r="BF30" s="504">
        <f t="shared" si="24"/>
        <v>0</v>
      </c>
      <c r="BG30" s="510"/>
      <c r="BH30" s="510"/>
      <c r="BI30" s="510"/>
      <c r="BJ30" s="510"/>
      <c r="BK30" s="510"/>
      <c r="BL30" s="659"/>
      <c r="BM30" s="508"/>
      <c r="BN30" s="508"/>
      <c r="BO30" s="508"/>
      <c r="BP30" s="508"/>
      <c r="BQ30" s="508"/>
      <c r="BR30" s="509"/>
      <c r="BS30" s="504">
        <f t="shared" si="25"/>
        <v>0</v>
      </c>
      <c r="BT30" s="510"/>
      <c r="BU30" s="508"/>
      <c r="BV30" s="508"/>
      <c r="BW30" s="508"/>
      <c r="BX30" s="508"/>
      <c r="BY30" s="508"/>
      <c r="BZ30" s="508"/>
      <c r="CA30" s="508"/>
      <c r="CB30" s="508"/>
      <c r="CC30" s="508"/>
      <c r="CD30" s="508"/>
      <c r="CE30" s="509"/>
      <c r="CF30" s="504">
        <f t="shared" si="26"/>
        <v>0</v>
      </c>
      <c r="CG30" s="504"/>
      <c r="CH30" s="504">
        <f t="shared" si="27"/>
        <v>0</v>
      </c>
      <c r="CI30" s="556">
        <f t="shared" si="28"/>
        <v>0</v>
      </c>
      <c r="CJ30" s="504">
        <f t="shared" si="29"/>
        <v>0</v>
      </c>
      <c r="CK30" s="504">
        <f t="shared" si="30"/>
        <v>0</v>
      </c>
      <c r="CL30" s="504">
        <v>0</v>
      </c>
      <c r="CM30" s="504">
        <f t="shared" si="31"/>
        <v>0</v>
      </c>
    </row>
    <row r="31" spans="1:91" outlineLevel="1">
      <c r="A31" s="500"/>
      <c r="B31" s="526"/>
      <c r="C31" s="551"/>
      <c r="D31" s="557"/>
      <c r="E31" s="557"/>
      <c r="F31" s="558"/>
      <c r="G31" s="552"/>
      <c r="H31" s="552"/>
      <c r="I31" s="501"/>
      <c r="J31" s="547"/>
      <c r="K31" s="547"/>
      <c r="L31" s="501"/>
      <c r="M31" s="502"/>
      <c r="N31" s="503"/>
      <c r="O31" s="504"/>
      <c r="P31" s="505"/>
      <c r="Q31" s="506">
        <v>0</v>
      </c>
      <c r="R31" s="506">
        <v>0</v>
      </c>
      <c r="S31" s="504"/>
      <c r="T31" s="507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9"/>
      <c r="AF31" s="504">
        <f t="shared" si="20"/>
        <v>0</v>
      </c>
      <c r="AG31" s="510"/>
      <c r="AH31" s="508"/>
      <c r="AI31" s="508"/>
      <c r="AJ31" s="549"/>
      <c r="AK31" s="549"/>
      <c r="AL31" s="508"/>
      <c r="AM31" s="508"/>
      <c r="AN31" s="508"/>
      <c r="AO31" s="508"/>
      <c r="AP31" s="508"/>
      <c r="AQ31" s="508"/>
      <c r="AR31" s="509"/>
      <c r="AS31" s="504">
        <f t="shared" si="22"/>
        <v>0</v>
      </c>
      <c r="AT31" s="510"/>
      <c r="AU31" s="508"/>
      <c r="AV31" s="508"/>
      <c r="AW31" s="508"/>
      <c r="AX31" s="508"/>
      <c r="AY31" s="508"/>
      <c r="AZ31" s="508"/>
      <c r="BA31" s="508"/>
      <c r="BB31" s="508"/>
      <c r="BC31" s="508"/>
      <c r="BD31" s="508"/>
      <c r="BE31" s="509"/>
      <c r="BF31" s="504">
        <f t="shared" si="24"/>
        <v>0</v>
      </c>
      <c r="BG31" s="510"/>
      <c r="BH31" s="510"/>
      <c r="BI31" s="510"/>
      <c r="BJ31" s="510"/>
      <c r="BK31" s="510"/>
      <c r="BL31" s="508"/>
      <c r="BM31" s="508"/>
      <c r="BN31" s="508"/>
      <c r="BO31" s="508"/>
      <c r="BP31" s="508"/>
      <c r="BQ31" s="508"/>
      <c r="BR31" s="509"/>
      <c r="BS31" s="504">
        <f t="shared" si="25"/>
        <v>0</v>
      </c>
      <c r="BT31" s="510"/>
      <c r="BU31" s="508"/>
      <c r="BV31" s="508"/>
      <c r="BW31" s="508"/>
      <c r="BX31" s="508"/>
      <c r="BY31" s="508"/>
      <c r="BZ31" s="508"/>
      <c r="CA31" s="508"/>
      <c r="CB31" s="508"/>
      <c r="CC31" s="508"/>
      <c r="CD31" s="508"/>
      <c r="CE31" s="509"/>
      <c r="CF31" s="504">
        <f t="shared" si="26"/>
        <v>0</v>
      </c>
      <c r="CG31" s="504"/>
      <c r="CH31" s="504">
        <f t="shared" si="27"/>
        <v>0</v>
      </c>
      <c r="CI31" s="504">
        <f t="shared" si="28"/>
        <v>0</v>
      </c>
      <c r="CJ31" s="504">
        <f t="shared" si="29"/>
        <v>0</v>
      </c>
      <c r="CK31" s="504">
        <f t="shared" si="30"/>
        <v>0</v>
      </c>
      <c r="CL31" s="504">
        <v>0</v>
      </c>
      <c r="CM31" s="504">
        <f t="shared" si="31"/>
        <v>0</v>
      </c>
    </row>
    <row r="32" spans="1:91" outlineLevel="1">
      <c r="A32" s="500"/>
      <c r="B32" s="1423">
        <v>102</v>
      </c>
      <c r="C32" s="1424"/>
      <c r="D32" s="1424"/>
      <c r="E32" s="501"/>
      <c r="F32" s="516"/>
      <c r="G32" s="501" t="s">
        <v>300</v>
      </c>
      <c r="H32" s="501"/>
      <c r="I32" s="501"/>
      <c r="J32" s="501"/>
      <c r="K32" s="501"/>
      <c r="L32" s="501"/>
      <c r="M32" s="517"/>
      <c r="N32" s="518"/>
      <c r="O32" s="504"/>
      <c r="P32" s="519"/>
      <c r="Q32" s="506">
        <v>0</v>
      </c>
      <c r="R32" s="506">
        <v>0</v>
      </c>
      <c r="S32" s="504"/>
      <c r="T32" s="507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9"/>
      <c r="AF32" s="504">
        <f t="shared" si="20"/>
        <v>0</v>
      </c>
      <c r="AG32" s="510"/>
      <c r="AH32" s="508"/>
      <c r="AI32" s="508"/>
      <c r="AJ32" s="508"/>
      <c r="AK32" s="549"/>
      <c r="AL32" s="508"/>
      <c r="AM32" s="508"/>
      <c r="AN32" s="508"/>
      <c r="AO32" s="508"/>
      <c r="AP32" s="508"/>
      <c r="AQ32" s="508"/>
      <c r="AR32" s="509"/>
      <c r="AS32" s="504">
        <f t="shared" si="22"/>
        <v>0</v>
      </c>
      <c r="AT32" s="510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9"/>
      <c r="BF32" s="504">
        <f t="shared" si="24"/>
        <v>0</v>
      </c>
      <c r="BG32" s="510"/>
      <c r="BH32" s="510"/>
      <c r="BI32" s="510"/>
      <c r="BJ32" s="510"/>
      <c r="BK32" s="510"/>
      <c r="BL32" s="508"/>
      <c r="BM32" s="508"/>
      <c r="BN32" s="508"/>
      <c r="BO32" s="508"/>
      <c r="BP32" s="508"/>
      <c r="BQ32" s="508"/>
      <c r="BR32" s="509"/>
      <c r="BS32" s="504">
        <f t="shared" si="25"/>
        <v>0</v>
      </c>
      <c r="BT32" s="510"/>
      <c r="BU32" s="508"/>
      <c r="BV32" s="508"/>
      <c r="BW32" s="508"/>
      <c r="BX32" s="508"/>
      <c r="BY32" s="508"/>
      <c r="BZ32" s="508"/>
      <c r="CA32" s="508"/>
      <c r="CB32" s="508"/>
      <c r="CC32" s="508"/>
      <c r="CD32" s="508"/>
      <c r="CE32" s="509"/>
      <c r="CF32" s="504">
        <f t="shared" si="26"/>
        <v>0</v>
      </c>
      <c r="CG32" s="504"/>
      <c r="CH32" s="504">
        <f t="shared" si="27"/>
        <v>0</v>
      </c>
      <c r="CI32" s="504">
        <f t="shared" si="28"/>
        <v>0</v>
      </c>
      <c r="CJ32" s="504">
        <f t="shared" si="29"/>
        <v>0</v>
      </c>
      <c r="CK32" s="504">
        <f t="shared" si="30"/>
        <v>0</v>
      </c>
      <c r="CL32" s="504">
        <v>0</v>
      </c>
      <c r="CM32" s="504">
        <f t="shared" si="31"/>
        <v>0</v>
      </c>
    </row>
    <row r="33" spans="1:95" outlineLevel="1">
      <c r="A33" s="500"/>
      <c r="B33" s="1423">
        <v>103</v>
      </c>
      <c r="C33" s="1424"/>
      <c r="D33" s="1424"/>
      <c r="E33" s="501"/>
      <c r="F33" s="516"/>
      <c r="G33" s="501" t="s">
        <v>301</v>
      </c>
      <c r="H33" s="501"/>
      <c r="I33" s="501"/>
      <c r="J33" s="501"/>
      <c r="K33" s="501"/>
      <c r="L33" s="501"/>
      <c r="M33" s="517"/>
      <c r="N33" s="518"/>
      <c r="O33" s="504"/>
      <c r="P33" s="519"/>
      <c r="Q33" s="506">
        <v>703451.77393999998</v>
      </c>
      <c r="R33" s="506">
        <v>627989</v>
      </c>
      <c r="S33" s="504"/>
      <c r="T33" s="507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9"/>
      <c r="AF33" s="504">
        <f t="shared" si="20"/>
        <v>0</v>
      </c>
      <c r="AG33" s="510"/>
      <c r="AH33" s="508"/>
      <c r="AI33" s="508"/>
      <c r="AJ33" s="508"/>
      <c r="AK33" s="549"/>
      <c r="AL33" s="549"/>
      <c r="AM33" s="549"/>
      <c r="AN33" s="549"/>
      <c r="AO33" s="549"/>
      <c r="AP33" s="549"/>
      <c r="AQ33" s="549"/>
      <c r="AR33" s="550"/>
      <c r="AS33" s="559">
        <f t="shared" si="22"/>
        <v>0</v>
      </c>
      <c r="AT33" s="548"/>
      <c r="AU33" s="549"/>
      <c r="AV33" s="549"/>
      <c r="AW33" s="549"/>
      <c r="AX33" s="549"/>
      <c r="AY33" s="549"/>
      <c r="AZ33" s="549"/>
      <c r="BA33" s="549"/>
      <c r="BB33" s="549"/>
      <c r="BC33" s="549"/>
      <c r="BD33" s="549"/>
      <c r="BE33" s="550"/>
      <c r="BF33" s="559">
        <f t="shared" si="24"/>
        <v>0</v>
      </c>
      <c r="BG33" s="548"/>
      <c r="BH33" s="548"/>
      <c r="BI33" s="548"/>
      <c r="BJ33" s="548"/>
      <c r="BK33" s="548"/>
      <c r="BL33" s="549"/>
      <c r="BM33" s="549"/>
      <c r="BN33" s="549"/>
      <c r="BO33" s="549"/>
      <c r="BP33" s="549"/>
      <c r="BQ33" s="549"/>
      <c r="BR33" s="550"/>
      <c r="BS33" s="559">
        <f t="shared" si="25"/>
        <v>0</v>
      </c>
      <c r="BT33" s="548"/>
      <c r="BU33" s="549"/>
      <c r="BV33" s="549"/>
      <c r="BW33" s="549"/>
      <c r="BX33" s="549"/>
      <c r="BY33" s="549"/>
      <c r="BZ33" s="549"/>
      <c r="CA33" s="549"/>
      <c r="CB33" s="549"/>
      <c r="CC33" s="549"/>
      <c r="CD33" s="549"/>
      <c r="CE33" s="550"/>
      <c r="CF33" s="559">
        <f t="shared" si="26"/>
        <v>0</v>
      </c>
      <c r="CG33" s="559"/>
      <c r="CH33" s="559">
        <f t="shared" si="27"/>
        <v>0</v>
      </c>
      <c r="CI33" s="559">
        <f t="shared" si="28"/>
        <v>0</v>
      </c>
      <c r="CJ33" s="504">
        <f t="shared" si="29"/>
        <v>0</v>
      </c>
      <c r="CK33" s="504">
        <f t="shared" si="30"/>
        <v>-627989</v>
      </c>
      <c r="CL33" s="504">
        <v>0</v>
      </c>
      <c r="CM33" s="504">
        <f t="shared" si="31"/>
        <v>0</v>
      </c>
    </row>
    <row r="34" spans="1:95" outlineLevel="1">
      <c r="A34" s="500"/>
      <c r="B34" s="1423">
        <v>104</v>
      </c>
      <c r="C34" s="1424"/>
      <c r="D34" s="1424"/>
      <c r="E34" s="501"/>
      <c r="F34" s="516"/>
      <c r="G34" s="501" t="s">
        <v>302</v>
      </c>
      <c r="H34" s="501"/>
      <c r="I34" s="501"/>
      <c r="J34" s="501"/>
      <c r="K34" s="501"/>
      <c r="L34" s="501"/>
      <c r="M34" s="517"/>
      <c r="N34" s="518"/>
      <c r="O34" s="504"/>
      <c r="P34" s="519"/>
      <c r="Q34" s="506">
        <v>0</v>
      </c>
      <c r="R34" s="506">
        <v>0</v>
      </c>
      <c r="S34" s="504"/>
      <c r="T34" s="507"/>
      <c r="U34" s="508"/>
      <c r="V34" s="508"/>
      <c r="W34" s="508"/>
      <c r="X34" s="508"/>
      <c r="Y34" s="508"/>
      <c r="Z34" s="508"/>
      <c r="AA34" s="508"/>
      <c r="AB34" s="508"/>
      <c r="AC34" s="508"/>
      <c r="AD34" s="508"/>
      <c r="AE34" s="509"/>
      <c r="AF34" s="504">
        <f t="shared" si="20"/>
        <v>0</v>
      </c>
      <c r="AG34" s="510"/>
      <c r="AH34" s="508"/>
      <c r="AI34" s="508"/>
      <c r="AJ34" s="508"/>
      <c r="AK34" s="508"/>
      <c r="AL34" s="508"/>
      <c r="AM34" s="508"/>
      <c r="AN34" s="508"/>
      <c r="AO34" s="508"/>
      <c r="AP34" s="508"/>
      <c r="AQ34" s="508"/>
      <c r="AR34" s="509"/>
      <c r="AS34" s="504">
        <f t="shared" si="22"/>
        <v>0</v>
      </c>
      <c r="AT34" s="510"/>
      <c r="AU34" s="508"/>
      <c r="AV34" s="508"/>
      <c r="AW34" s="508"/>
      <c r="AX34" s="508"/>
      <c r="AY34" s="508"/>
      <c r="AZ34" s="508"/>
      <c r="BA34" s="508"/>
      <c r="BB34" s="508"/>
      <c r="BC34" s="508"/>
      <c r="BD34" s="508"/>
      <c r="BE34" s="509"/>
      <c r="BF34" s="504">
        <f t="shared" si="24"/>
        <v>0</v>
      </c>
      <c r="BG34" s="510"/>
      <c r="BH34" s="508"/>
      <c r="BI34" s="508"/>
      <c r="BJ34" s="508"/>
      <c r="BK34" s="508"/>
      <c r="BL34" s="508"/>
      <c r="BM34" s="508"/>
      <c r="BN34" s="508"/>
      <c r="BO34" s="508"/>
      <c r="BP34" s="508"/>
      <c r="BQ34" s="508"/>
      <c r="BR34" s="509"/>
      <c r="BS34" s="504">
        <f t="shared" si="25"/>
        <v>0</v>
      </c>
      <c r="BT34" s="510"/>
      <c r="BU34" s="508"/>
      <c r="BV34" s="508"/>
      <c r="BW34" s="508"/>
      <c r="BX34" s="508"/>
      <c r="BY34" s="508"/>
      <c r="BZ34" s="508"/>
      <c r="CA34" s="508"/>
      <c r="CB34" s="508"/>
      <c r="CC34" s="508"/>
      <c r="CD34" s="508"/>
      <c r="CE34" s="509"/>
      <c r="CF34" s="504">
        <f t="shared" si="26"/>
        <v>0</v>
      </c>
      <c r="CG34" s="504"/>
      <c r="CH34" s="504">
        <f t="shared" si="27"/>
        <v>0</v>
      </c>
      <c r="CI34" s="504">
        <f t="shared" si="28"/>
        <v>0</v>
      </c>
      <c r="CJ34" s="504">
        <f t="shared" si="29"/>
        <v>0</v>
      </c>
      <c r="CK34" s="504">
        <f t="shared" si="30"/>
        <v>0</v>
      </c>
      <c r="CL34" s="504">
        <v>0</v>
      </c>
      <c r="CM34" s="504">
        <f t="shared" si="31"/>
        <v>0</v>
      </c>
    </row>
    <row r="35" spans="1:95">
      <c r="A35" s="500"/>
      <c r="B35" s="526"/>
      <c r="C35" s="1446"/>
      <c r="D35" s="1447"/>
      <c r="E35" s="1432"/>
      <c r="F35" s="501"/>
      <c r="G35" s="501"/>
      <c r="H35" s="501"/>
      <c r="I35" s="501"/>
      <c r="J35" s="501"/>
      <c r="K35" s="501"/>
      <c r="L35" s="501"/>
      <c r="M35" s="517"/>
      <c r="N35" s="518"/>
      <c r="O35" s="504"/>
      <c r="P35" s="519"/>
      <c r="Q35" s="506">
        <v>0</v>
      </c>
      <c r="R35" s="506">
        <v>0</v>
      </c>
      <c r="S35" s="504"/>
      <c r="T35" s="507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9"/>
      <c r="AF35" s="504">
        <f t="shared" si="20"/>
        <v>0</v>
      </c>
      <c r="AG35" s="510"/>
      <c r="AH35" s="508"/>
      <c r="AI35" s="508"/>
      <c r="AJ35" s="508"/>
      <c r="AK35" s="508"/>
      <c r="AL35" s="508"/>
      <c r="AM35" s="508"/>
      <c r="AN35" s="508"/>
      <c r="AO35" s="508"/>
      <c r="AP35" s="508"/>
      <c r="AQ35" s="508"/>
      <c r="AR35" s="509"/>
      <c r="AS35" s="504">
        <f t="shared" si="22"/>
        <v>0</v>
      </c>
      <c r="AT35" s="510"/>
      <c r="AU35" s="508"/>
      <c r="AV35" s="508"/>
      <c r="AW35" s="508"/>
      <c r="AX35" s="508"/>
      <c r="AY35" s="508"/>
      <c r="AZ35" s="508"/>
      <c r="BA35" s="508"/>
      <c r="BB35" s="508"/>
      <c r="BC35" s="508"/>
      <c r="BD35" s="508"/>
      <c r="BE35" s="509"/>
      <c r="BF35" s="504">
        <f t="shared" si="24"/>
        <v>0</v>
      </c>
      <c r="BG35" s="510"/>
      <c r="BH35" s="508"/>
      <c r="BI35" s="508"/>
      <c r="BJ35" s="508"/>
      <c r="BK35" s="508"/>
      <c r="BL35" s="508"/>
      <c r="BM35" s="508"/>
      <c r="BN35" s="508"/>
      <c r="BO35" s="508"/>
      <c r="BP35" s="508"/>
      <c r="BQ35" s="508"/>
      <c r="BR35" s="509"/>
      <c r="BS35" s="504">
        <f t="shared" si="25"/>
        <v>0</v>
      </c>
      <c r="BT35" s="510"/>
      <c r="BU35" s="508"/>
      <c r="BV35" s="508"/>
      <c r="BW35" s="508"/>
      <c r="BX35" s="508"/>
      <c r="BY35" s="508"/>
      <c r="BZ35" s="508"/>
      <c r="CA35" s="508"/>
      <c r="CB35" s="508"/>
      <c r="CC35" s="508"/>
      <c r="CD35" s="508"/>
      <c r="CE35" s="509"/>
      <c r="CF35" s="504">
        <f t="shared" si="26"/>
        <v>0</v>
      </c>
      <c r="CG35" s="504"/>
      <c r="CH35" s="504">
        <f t="shared" si="27"/>
        <v>0</v>
      </c>
      <c r="CI35" s="504">
        <f t="shared" si="28"/>
        <v>0</v>
      </c>
      <c r="CJ35" s="504">
        <f t="shared" si="29"/>
        <v>0</v>
      </c>
      <c r="CK35" s="504">
        <f t="shared" si="30"/>
        <v>0</v>
      </c>
      <c r="CL35" s="504">
        <f>+CK35-S35</f>
        <v>0</v>
      </c>
      <c r="CM35" s="504">
        <f t="shared" si="31"/>
        <v>0</v>
      </c>
    </row>
    <row r="36" spans="1:95">
      <c r="A36" s="481" t="s">
        <v>303</v>
      </c>
      <c r="B36" s="1430">
        <v>300</v>
      </c>
      <c r="C36" s="1431"/>
      <c r="D36" s="1431"/>
      <c r="E36" s="1432"/>
      <c r="F36" s="527"/>
      <c r="G36" s="482" t="s">
        <v>304</v>
      </c>
      <c r="H36" s="482"/>
      <c r="I36" s="482"/>
      <c r="J36" s="482"/>
      <c r="K36" s="482"/>
      <c r="L36" s="482"/>
      <c r="M36" s="560"/>
      <c r="N36" s="561"/>
      <c r="O36" s="562"/>
      <c r="P36" s="563"/>
      <c r="Q36" s="528">
        <f t="shared" ref="Q36:AV36" si="33">SUBTOTAL(9,Q37:Q113)</f>
        <v>5765600</v>
      </c>
      <c r="R36" s="528">
        <f t="shared" si="33"/>
        <v>7385189</v>
      </c>
      <c r="S36" s="529">
        <f t="shared" si="33"/>
        <v>641916</v>
      </c>
      <c r="T36" s="530">
        <f t="shared" si="33"/>
        <v>20590.52</v>
      </c>
      <c r="U36" s="531">
        <f t="shared" si="33"/>
        <v>20147.919999999998</v>
      </c>
      <c r="V36" s="531">
        <f t="shared" si="33"/>
        <v>38789.26</v>
      </c>
      <c r="W36" s="531">
        <f t="shared" si="33"/>
        <v>436372.39</v>
      </c>
      <c r="X36" s="531">
        <f t="shared" si="33"/>
        <v>12582.34</v>
      </c>
      <c r="Y36" s="531">
        <f t="shared" si="33"/>
        <v>481412.14999999997</v>
      </c>
      <c r="Z36" s="531">
        <f t="shared" si="33"/>
        <v>229272.55000000002</v>
      </c>
      <c r="AA36" s="531">
        <f t="shared" si="33"/>
        <v>36056.859999999993</v>
      </c>
      <c r="AB36" s="531">
        <f t="shared" si="33"/>
        <v>70796.740000000005</v>
      </c>
      <c r="AC36" s="531">
        <f t="shared" si="33"/>
        <v>216499.33000000002</v>
      </c>
      <c r="AD36" s="531">
        <f t="shared" si="33"/>
        <v>253243.12999999998</v>
      </c>
      <c r="AE36" s="532">
        <f t="shared" si="33"/>
        <v>795310.06</v>
      </c>
      <c r="AF36" s="529">
        <f t="shared" si="33"/>
        <v>2611073.2500000009</v>
      </c>
      <c r="AG36" s="533">
        <f t="shared" si="33"/>
        <v>-208401.5</v>
      </c>
      <c r="AH36" s="531">
        <f t="shared" si="33"/>
        <v>140300.25</v>
      </c>
      <c r="AI36" s="531">
        <f t="shared" si="33"/>
        <v>558056.4</v>
      </c>
      <c r="AJ36" s="531">
        <f t="shared" si="33"/>
        <v>51822.260000000017</v>
      </c>
      <c r="AK36" s="531">
        <f t="shared" si="33"/>
        <v>199403.85</v>
      </c>
      <c r="AL36" s="531">
        <f t="shared" si="33"/>
        <v>217462.66000000003</v>
      </c>
      <c r="AM36" s="531">
        <f t="shared" si="33"/>
        <v>507880.5</v>
      </c>
      <c r="AN36" s="531">
        <f t="shared" si="33"/>
        <v>-173769.02</v>
      </c>
      <c r="AO36" s="531">
        <f t="shared" si="33"/>
        <v>146474.73000000001</v>
      </c>
      <c r="AP36" s="531">
        <f t="shared" si="33"/>
        <v>89723.090000000011</v>
      </c>
      <c r="AQ36" s="531">
        <f t="shared" si="33"/>
        <v>19600.649999999998</v>
      </c>
      <c r="AR36" s="532">
        <f t="shared" si="33"/>
        <v>94236.57</v>
      </c>
      <c r="AS36" s="529">
        <f t="shared" si="33"/>
        <v>1642790.4400000002</v>
      </c>
      <c r="AT36" s="533">
        <f t="shared" si="33"/>
        <v>75778.429999999993</v>
      </c>
      <c r="AU36" s="531">
        <f t="shared" si="33"/>
        <v>140298.05000000002</v>
      </c>
      <c r="AV36" s="531">
        <f t="shared" si="33"/>
        <v>136432.51</v>
      </c>
      <c r="AW36" s="531">
        <f t="shared" ref="AW36:CB36" si="34">SUBTOTAL(9,AW37:AW113)</f>
        <v>300731.89</v>
      </c>
      <c r="AX36" s="531">
        <f t="shared" si="34"/>
        <v>100073.59</v>
      </c>
      <c r="AY36" s="531">
        <f t="shared" si="34"/>
        <v>159006.72</v>
      </c>
      <c r="AZ36" s="531">
        <f t="shared" si="34"/>
        <v>65048.43</v>
      </c>
      <c r="BA36" s="531">
        <f t="shared" si="34"/>
        <v>59084.25</v>
      </c>
      <c r="BB36" s="531">
        <f t="shared" si="34"/>
        <v>71487.689999999988</v>
      </c>
      <c r="BC36" s="531">
        <f t="shared" si="34"/>
        <v>21797.159999999993</v>
      </c>
      <c r="BD36" s="531">
        <f t="shared" si="34"/>
        <v>-12385.090000000002</v>
      </c>
      <c r="BE36" s="532">
        <f t="shared" si="34"/>
        <v>23393.469999999998</v>
      </c>
      <c r="BF36" s="529">
        <f t="shared" si="34"/>
        <v>1140747.1000000001</v>
      </c>
      <c r="BG36" s="533">
        <f t="shared" si="34"/>
        <v>86004.760000000009</v>
      </c>
      <c r="BH36" s="531">
        <f t="shared" si="34"/>
        <v>13609.26</v>
      </c>
      <c r="BI36" s="531">
        <f t="shared" si="34"/>
        <v>140495.84000000003</v>
      </c>
      <c r="BJ36" s="531">
        <f t="shared" si="34"/>
        <v>57733.041666666664</v>
      </c>
      <c r="BK36" s="531">
        <f t="shared" si="34"/>
        <v>0</v>
      </c>
      <c r="BL36" s="531">
        <f t="shared" si="34"/>
        <v>0</v>
      </c>
      <c r="BM36" s="531">
        <f t="shared" si="34"/>
        <v>0</v>
      </c>
      <c r="BN36" s="531">
        <f t="shared" si="34"/>
        <v>0</v>
      </c>
      <c r="BO36" s="531">
        <f t="shared" si="34"/>
        <v>0</v>
      </c>
      <c r="BP36" s="531">
        <f t="shared" si="34"/>
        <v>0</v>
      </c>
      <c r="BQ36" s="531">
        <f t="shared" si="34"/>
        <v>0</v>
      </c>
      <c r="BR36" s="532">
        <f t="shared" si="34"/>
        <v>0</v>
      </c>
      <c r="BS36" s="529">
        <f t="shared" si="34"/>
        <v>297842.90166666661</v>
      </c>
      <c r="BT36" s="533">
        <f t="shared" si="34"/>
        <v>0</v>
      </c>
      <c r="BU36" s="531">
        <f t="shared" si="34"/>
        <v>0</v>
      </c>
      <c r="BV36" s="531">
        <f t="shared" si="34"/>
        <v>0</v>
      </c>
      <c r="BW36" s="531">
        <f t="shared" si="34"/>
        <v>0</v>
      </c>
      <c r="BX36" s="531">
        <f t="shared" si="34"/>
        <v>0</v>
      </c>
      <c r="BY36" s="531">
        <f t="shared" si="34"/>
        <v>0</v>
      </c>
      <c r="BZ36" s="531">
        <f t="shared" si="34"/>
        <v>0</v>
      </c>
      <c r="CA36" s="531">
        <f t="shared" si="34"/>
        <v>0</v>
      </c>
      <c r="CB36" s="531">
        <f t="shared" si="34"/>
        <v>0</v>
      </c>
      <c r="CC36" s="531">
        <f t="shared" ref="CC36:CM36" si="35">SUBTOTAL(9,CC37:CC113)</f>
        <v>0</v>
      </c>
      <c r="CD36" s="531">
        <f t="shared" si="35"/>
        <v>0</v>
      </c>
      <c r="CE36" s="532">
        <f t="shared" si="35"/>
        <v>0</v>
      </c>
      <c r="CF36" s="529">
        <f t="shared" si="35"/>
        <v>0</v>
      </c>
      <c r="CG36" s="529">
        <f t="shared" si="35"/>
        <v>0</v>
      </c>
      <c r="CH36" s="529">
        <f t="shared" si="35"/>
        <v>6334369.6916666664</v>
      </c>
      <c r="CI36" s="529">
        <f t="shared" si="35"/>
        <v>0</v>
      </c>
      <c r="CJ36" s="529">
        <f t="shared" si="35"/>
        <v>6334369.6916666664</v>
      </c>
      <c r="CK36" s="529">
        <f t="shared" si="35"/>
        <v>-1050819.3083333333</v>
      </c>
      <c r="CL36" s="529">
        <f t="shared" si="35"/>
        <v>6503746.7700000005</v>
      </c>
      <c r="CM36" s="529">
        <f t="shared" si="35"/>
        <v>-169377.07833333337</v>
      </c>
    </row>
    <row r="37" spans="1:95" outlineLevel="1">
      <c r="A37" s="500"/>
      <c r="B37" s="1423">
        <v>301</v>
      </c>
      <c r="C37" s="1424"/>
      <c r="D37" s="1424"/>
      <c r="E37" s="525"/>
      <c r="F37" s="501"/>
      <c r="G37" s="501" t="s">
        <v>305</v>
      </c>
      <c r="H37" s="501"/>
      <c r="I37" s="501"/>
      <c r="J37" s="501"/>
      <c r="K37" s="501"/>
      <c r="L37" s="501"/>
      <c r="M37" s="517"/>
      <c r="N37" s="518"/>
      <c r="O37" s="504"/>
      <c r="P37" s="519"/>
      <c r="Q37" s="506">
        <v>0</v>
      </c>
      <c r="R37" s="506">
        <v>0</v>
      </c>
      <c r="S37" s="504"/>
      <c r="T37" s="507"/>
      <c r="U37" s="508"/>
      <c r="V37" s="508"/>
      <c r="W37" s="508"/>
      <c r="X37" s="508"/>
      <c r="Y37" s="508"/>
      <c r="Z37" s="508"/>
      <c r="AA37" s="508"/>
      <c r="AB37" s="508"/>
      <c r="AC37" s="508"/>
      <c r="AD37" s="508"/>
      <c r="AE37" s="509"/>
      <c r="AF37" s="504">
        <f t="shared" ref="AF37:AF68" si="36">SUM(T37:AE37)</f>
        <v>0</v>
      </c>
      <c r="AG37" s="510"/>
      <c r="AH37" s="508"/>
      <c r="AI37" s="508"/>
      <c r="AJ37" s="508"/>
      <c r="AK37" s="508"/>
      <c r="AL37" s="508"/>
      <c r="AM37" s="508"/>
      <c r="AN37" s="508"/>
      <c r="AO37" s="508"/>
      <c r="AP37" s="508"/>
      <c r="AQ37" s="508"/>
      <c r="AR37" s="509"/>
      <c r="AS37" s="504">
        <f t="shared" ref="AS37:AS68" si="37">SUM(AG37:AR37)</f>
        <v>0</v>
      </c>
      <c r="AT37" s="510"/>
      <c r="AU37" s="508"/>
      <c r="AV37" s="508"/>
      <c r="AW37" s="508"/>
      <c r="AX37" s="508"/>
      <c r="AY37" s="508"/>
      <c r="AZ37" s="508"/>
      <c r="BA37" s="508"/>
      <c r="BB37" s="508"/>
      <c r="BC37" s="508"/>
      <c r="BD37" s="508"/>
      <c r="BE37" s="509"/>
      <c r="BF37" s="504">
        <f t="shared" ref="BF37:BF68" si="38">SUM(AT37:BE37)</f>
        <v>0</v>
      </c>
      <c r="BG37" s="510"/>
      <c r="BH37" s="508"/>
      <c r="BI37" s="508"/>
      <c r="BJ37" s="508"/>
      <c r="BK37" s="508"/>
      <c r="BL37" s="508"/>
      <c r="BM37" s="508"/>
      <c r="BN37" s="508"/>
      <c r="BO37" s="508"/>
      <c r="BP37" s="508"/>
      <c r="BQ37" s="508"/>
      <c r="BR37" s="509"/>
      <c r="BS37" s="504">
        <f t="shared" ref="BS37:BS68" si="39">SUM(BG37:BR37)</f>
        <v>0</v>
      </c>
      <c r="BT37" s="510"/>
      <c r="BU37" s="508"/>
      <c r="BV37" s="508"/>
      <c r="BW37" s="508"/>
      <c r="BX37" s="508"/>
      <c r="BY37" s="508"/>
      <c r="BZ37" s="508"/>
      <c r="CA37" s="508"/>
      <c r="CB37" s="508"/>
      <c r="CC37" s="508"/>
      <c r="CD37" s="508"/>
      <c r="CE37" s="509"/>
      <c r="CF37" s="504">
        <f t="shared" ref="CF37:CF68" si="40">SUM(BT37:CE37)</f>
        <v>0</v>
      </c>
      <c r="CG37" s="504"/>
      <c r="CH37" s="504">
        <f t="shared" ref="CH37:CH68" si="41">SUMIF(($S$5:$CG$5),"Actual",(S37:CG37))</f>
        <v>0</v>
      </c>
      <c r="CI37" s="504">
        <f t="shared" ref="CI37:CI68" si="42">SUMIF(($S$5:$CG$5),"Forecast",(S37:CG37))</f>
        <v>0</v>
      </c>
      <c r="CJ37" s="504">
        <f t="shared" ref="CJ37:CJ68" si="43">+CH37+CI37</f>
        <v>0</v>
      </c>
      <c r="CK37" s="504">
        <f t="shared" ref="CK37:CK68" si="44">+CJ37-R37</f>
        <v>0</v>
      </c>
      <c r="CL37" s="504"/>
      <c r="CM37" s="504">
        <f t="shared" ref="CM37:CM68" si="45">+CJ37-CL37</f>
        <v>0</v>
      </c>
    </row>
    <row r="38" spans="1:95" outlineLevel="1">
      <c r="A38" s="500"/>
      <c r="B38" s="516"/>
      <c r="C38" s="1423">
        <v>301.01</v>
      </c>
      <c r="D38" s="1423"/>
      <c r="E38" s="1423"/>
      <c r="F38" s="501"/>
      <c r="G38" s="501"/>
      <c r="H38" s="501" t="s">
        <v>306</v>
      </c>
      <c r="I38" s="501"/>
      <c r="J38" s="501"/>
      <c r="K38" s="501"/>
      <c r="L38" s="501"/>
      <c r="M38" s="517"/>
      <c r="N38" s="518"/>
      <c r="O38" s="504"/>
      <c r="P38" s="519"/>
      <c r="Q38" s="506">
        <v>641916</v>
      </c>
      <c r="R38" s="506">
        <v>641916</v>
      </c>
      <c r="S38" s="504">
        <f>408085+233831</f>
        <v>641916</v>
      </c>
      <c r="T38" s="507"/>
      <c r="U38" s="508"/>
      <c r="V38" s="508"/>
      <c r="W38" s="508"/>
      <c r="X38" s="508"/>
      <c r="Y38" s="508"/>
      <c r="Z38" s="508"/>
      <c r="AA38" s="508"/>
      <c r="AB38" s="508"/>
      <c r="AC38" s="508"/>
      <c r="AD38" s="508"/>
      <c r="AE38" s="509"/>
      <c r="AF38" s="504">
        <f t="shared" si="36"/>
        <v>0</v>
      </c>
      <c r="AG38" s="510"/>
      <c r="AH38" s="508"/>
      <c r="AI38" s="508"/>
      <c r="AJ38" s="508"/>
      <c r="AK38" s="508"/>
      <c r="AL38" s="508"/>
      <c r="AM38" s="508"/>
      <c r="AN38" s="508"/>
      <c r="AO38" s="508"/>
      <c r="AP38" s="508"/>
      <c r="AQ38" s="508"/>
      <c r="AR38" s="509"/>
      <c r="AS38" s="504">
        <f t="shared" si="37"/>
        <v>0</v>
      </c>
      <c r="AT38" s="510"/>
      <c r="AU38" s="508"/>
      <c r="AV38" s="508"/>
      <c r="AW38" s="508"/>
      <c r="AX38" s="508"/>
      <c r="AY38" s="508"/>
      <c r="AZ38" s="508"/>
      <c r="BA38" s="508"/>
      <c r="BB38" s="508"/>
      <c r="BC38" s="508"/>
      <c r="BD38" s="508"/>
      <c r="BE38" s="509"/>
      <c r="BF38" s="504">
        <f t="shared" si="38"/>
        <v>0</v>
      </c>
      <c r="BG38" s="510"/>
      <c r="BH38" s="508"/>
      <c r="BI38" s="508"/>
      <c r="BJ38" s="508"/>
      <c r="BK38" s="508"/>
      <c r="BL38" s="508"/>
      <c r="BM38" s="508"/>
      <c r="BN38" s="508"/>
      <c r="BO38" s="508"/>
      <c r="BP38" s="508"/>
      <c r="BQ38" s="508"/>
      <c r="BR38" s="509"/>
      <c r="BS38" s="504">
        <f t="shared" si="39"/>
        <v>0</v>
      </c>
      <c r="BT38" s="510"/>
      <c r="BU38" s="508"/>
      <c r="BV38" s="508"/>
      <c r="BW38" s="508"/>
      <c r="BX38" s="508"/>
      <c r="BY38" s="508"/>
      <c r="BZ38" s="508"/>
      <c r="CA38" s="508"/>
      <c r="CB38" s="508"/>
      <c r="CC38" s="508"/>
      <c r="CD38" s="508"/>
      <c r="CE38" s="509"/>
      <c r="CF38" s="504">
        <f t="shared" si="40"/>
        <v>0</v>
      </c>
      <c r="CG38" s="504"/>
      <c r="CH38" s="504">
        <f t="shared" si="41"/>
        <v>641916</v>
      </c>
      <c r="CI38" s="504">
        <f t="shared" si="42"/>
        <v>0</v>
      </c>
      <c r="CJ38" s="504">
        <f t="shared" si="43"/>
        <v>641916</v>
      </c>
      <c r="CK38" s="504">
        <f t="shared" si="44"/>
        <v>0</v>
      </c>
      <c r="CL38" s="504">
        <v>641916</v>
      </c>
      <c r="CM38" s="504">
        <f t="shared" si="45"/>
        <v>0</v>
      </c>
    </row>
    <row r="39" spans="1:95" outlineLevel="1">
      <c r="A39" s="500"/>
      <c r="B39" s="516"/>
      <c r="C39" s="525"/>
      <c r="D39" s="525"/>
      <c r="E39" s="525"/>
      <c r="F39" s="501"/>
      <c r="G39" s="501"/>
      <c r="H39" s="501"/>
      <c r="I39" s="501"/>
      <c r="J39" s="501"/>
      <c r="K39" s="501"/>
      <c r="L39" s="501"/>
      <c r="M39" s="517"/>
      <c r="N39" s="518"/>
      <c r="O39" s="504"/>
      <c r="P39" s="519"/>
      <c r="Q39" s="506">
        <v>0</v>
      </c>
      <c r="R39" s="506">
        <v>0</v>
      </c>
      <c r="S39" s="504"/>
      <c r="T39" s="507"/>
      <c r="U39" s="508"/>
      <c r="V39" s="508"/>
      <c r="W39" s="508"/>
      <c r="X39" s="508"/>
      <c r="Y39" s="508"/>
      <c r="Z39" s="508"/>
      <c r="AA39" s="508"/>
      <c r="AB39" s="508"/>
      <c r="AC39" s="508"/>
      <c r="AD39" s="508"/>
      <c r="AE39" s="509"/>
      <c r="AF39" s="504">
        <f t="shared" si="36"/>
        <v>0</v>
      </c>
      <c r="AG39" s="510"/>
      <c r="AH39" s="508"/>
      <c r="AI39" s="508"/>
      <c r="AJ39" s="508"/>
      <c r="AK39" s="508"/>
      <c r="AL39" s="508"/>
      <c r="AM39" s="508"/>
      <c r="AN39" s="508"/>
      <c r="AO39" s="508"/>
      <c r="AP39" s="508"/>
      <c r="AQ39" s="508"/>
      <c r="AR39" s="509"/>
      <c r="AS39" s="504">
        <f t="shared" si="37"/>
        <v>0</v>
      </c>
      <c r="AT39" s="510"/>
      <c r="AU39" s="508"/>
      <c r="AV39" s="508"/>
      <c r="AW39" s="508"/>
      <c r="AX39" s="508"/>
      <c r="AY39" s="508"/>
      <c r="AZ39" s="508"/>
      <c r="BA39" s="508"/>
      <c r="BB39" s="508"/>
      <c r="BC39" s="508"/>
      <c r="BD39" s="508"/>
      <c r="BE39" s="509"/>
      <c r="BF39" s="504">
        <f t="shared" si="38"/>
        <v>0</v>
      </c>
      <c r="BG39" s="510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9"/>
      <c r="BS39" s="504">
        <f t="shared" si="39"/>
        <v>0</v>
      </c>
      <c r="BT39" s="510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9"/>
      <c r="CF39" s="504">
        <f t="shared" si="40"/>
        <v>0</v>
      </c>
      <c r="CG39" s="504"/>
      <c r="CH39" s="504">
        <f t="shared" si="41"/>
        <v>0</v>
      </c>
      <c r="CI39" s="504">
        <f t="shared" si="42"/>
        <v>0</v>
      </c>
      <c r="CJ39" s="504">
        <f t="shared" si="43"/>
        <v>0</v>
      </c>
      <c r="CK39" s="504">
        <f t="shared" si="44"/>
        <v>0</v>
      </c>
      <c r="CL39" s="504">
        <v>0</v>
      </c>
      <c r="CM39" s="504">
        <f t="shared" si="45"/>
        <v>0</v>
      </c>
    </row>
    <row r="40" spans="1:95" outlineLevel="1">
      <c r="A40" s="500"/>
      <c r="B40" s="1423">
        <v>302</v>
      </c>
      <c r="C40" s="1424"/>
      <c r="D40" s="1424"/>
      <c r="E40" s="525"/>
      <c r="F40" s="501"/>
      <c r="G40" s="501" t="s">
        <v>307</v>
      </c>
      <c r="H40" s="501"/>
      <c r="I40" s="501"/>
      <c r="J40" s="501"/>
      <c r="K40" s="501"/>
      <c r="L40" s="501" t="s">
        <v>308</v>
      </c>
      <c r="M40" s="564"/>
      <c r="N40" s="565"/>
      <c r="O40" s="566"/>
      <c r="P40" s="567"/>
      <c r="Q40" s="568">
        <v>0</v>
      </c>
      <c r="R40" s="568">
        <v>0</v>
      </c>
      <c r="S40" s="504"/>
      <c r="T40" s="507"/>
      <c r="U40" s="508"/>
      <c r="V40" s="508"/>
      <c r="W40" s="508"/>
      <c r="X40" s="508"/>
      <c r="Y40" s="508"/>
      <c r="Z40" s="508"/>
      <c r="AA40" s="508"/>
      <c r="AB40" s="508"/>
      <c r="AC40" s="508"/>
      <c r="AD40" s="508"/>
      <c r="AE40" s="509"/>
      <c r="AF40" s="504">
        <f t="shared" si="36"/>
        <v>0</v>
      </c>
      <c r="AG40" s="510"/>
      <c r="AH40" s="508"/>
      <c r="AI40" s="508"/>
      <c r="AJ40" s="508"/>
      <c r="AK40" s="508"/>
      <c r="AL40" s="508"/>
      <c r="AM40" s="508"/>
      <c r="AN40" s="508"/>
      <c r="AO40" s="508"/>
      <c r="AP40" s="508"/>
      <c r="AQ40" s="508"/>
      <c r="AR40" s="509"/>
      <c r="AS40" s="504">
        <f t="shared" si="37"/>
        <v>0</v>
      </c>
      <c r="AT40" s="510"/>
      <c r="AU40" s="508"/>
      <c r="AV40" s="508"/>
      <c r="AW40" s="508"/>
      <c r="AX40" s="508"/>
      <c r="AY40" s="508"/>
      <c r="AZ40" s="508"/>
      <c r="BA40" s="508"/>
      <c r="BB40" s="508"/>
      <c r="BC40" s="508"/>
      <c r="BD40" s="508"/>
      <c r="BE40" s="509"/>
      <c r="BF40" s="504">
        <f t="shared" si="38"/>
        <v>0</v>
      </c>
      <c r="BG40" s="510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9"/>
      <c r="BS40" s="504">
        <f t="shared" si="39"/>
        <v>0</v>
      </c>
      <c r="BT40" s="510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9"/>
      <c r="CF40" s="504">
        <f t="shared" si="40"/>
        <v>0</v>
      </c>
      <c r="CG40" s="504"/>
      <c r="CH40" s="504">
        <f t="shared" si="41"/>
        <v>0</v>
      </c>
      <c r="CI40" s="504">
        <f t="shared" si="42"/>
        <v>0</v>
      </c>
      <c r="CJ40" s="504">
        <f t="shared" si="43"/>
        <v>0</v>
      </c>
      <c r="CK40" s="504">
        <f t="shared" si="44"/>
        <v>0</v>
      </c>
      <c r="CL40" s="504">
        <v>0</v>
      </c>
      <c r="CM40" s="504">
        <f t="shared" si="45"/>
        <v>0</v>
      </c>
    </row>
    <row r="41" spans="1:95" outlineLevel="1">
      <c r="A41" s="500"/>
      <c r="B41" s="516"/>
      <c r="C41" s="1423">
        <v>302.01</v>
      </c>
      <c r="D41" s="1423"/>
      <c r="E41" s="1423"/>
      <c r="F41" s="501"/>
      <c r="G41" s="501"/>
      <c r="H41" s="501" t="s">
        <v>309</v>
      </c>
      <c r="I41" s="501"/>
      <c r="J41" s="501"/>
      <c r="K41" s="501"/>
      <c r="L41" s="501"/>
      <c r="M41" s="517"/>
      <c r="N41" s="518">
        <v>6400002256</v>
      </c>
      <c r="O41" s="504">
        <v>4250898</v>
      </c>
      <c r="P41" s="519" t="s">
        <v>310</v>
      </c>
      <c r="Q41" s="506">
        <v>2075047</v>
      </c>
      <c r="R41" s="506">
        <f>3928468-1620508</f>
        <v>2307960</v>
      </c>
      <c r="S41" s="504"/>
      <c r="T41" s="507"/>
      <c r="U41" s="508"/>
      <c r="V41" s="508"/>
      <c r="W41" s="508">
        <v>430425.67</v>
      </c>
      <c r="X41" s="508"/>
      <c r="Y41" s="508">
        <v>294622.08000000002</v>
      </c>
      <c r="Z41" s="508">
        <v>213509</v>
      </c>
      <c r="AA41" s="508">
        <v>-0.47000000000116415</v>
      </c>
      <c r="AB41" s="508">
        <v>44618.58</v>
      </c>
      <c r="AC41" s="508">
        <v>196389.08</v>
      </c>
      <c r="AD41" s="508">
        <v>236567.89</v>
      </c>
      <c r="AE41" s="550">
        <f>211211.91+541778</f>
        <v>752989.91</v>
      </c>
      <c r="AF41" s="559">
        <f t="shared" si="36"/>
        <v>2169121.7400000002</v>
      </c>
      <c r="AG41" s="548">
        <f>-541778+330566</f>
        <v>-211212</v>
      </c>
      <c r="AH41" s="549">
        <f>-330566+270550+190623.94</f>
        <v>130607.94</v>
      </c>
      <c r="AI41" s="549">
        <f>542021.92-270550</f>
        <v>271471.92000000004</v>
      </c>
      <c r="AJ41" s="549">
        <v>55042.62</v>
      </c>
      <c r="AK41" s="549">
        <v>68991.78</v>
      </c>
      <c r="AL41" s="549"/>
      <c r="AM41" s="508">
        <f>88619.43+168472.83</f>
        <v>257092.25999999998</v>
      </c>
      <c r="AN41" s="508"/>
      <c r="AO41" s="508"/>
      <c r="AP41" s="508"/>
      <c r="AQ41" s="508"/>
      <c r="AR41" s="509"/>
      <c r="AS41" s="504">
        <f t="shared" si="37"/>
        <v>571994.52</v>
      </c>
      <c r="AT41" s="510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9"/>
      <c r="BF41" s="504">
        <f t="shared" si="38"/>
        <v>0</v>
      </c>
      <c r="BG41" s="510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9"/>
      <c r="BS41" s="504">
        <f t="shared" si="39"/>
        <v>0</v>
      </c>
      <c r="BT41" s="510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9"/>
      <c r="CF41" s="504">
        <f t="shared" si="40"/>
        <v>0</v>
      </c>
      <c r="CG41" s="504"/>
      <c r="CH41" s="504">
        <f t="shared" si="41"/>
        <v>2741116.26</v>
      </c>
      <c r="CI41" s="559">
        <f t="shared" si="42"/>
        <v>0</v>
      </c>
      <c r="CJ41" s="504">
        <f t="shared" si="43"/>
        <v>2741116.26</v>
      </c>
      <c r="CK41" s="504">
        <f t="shared" si="44"/>
        <v>433156.25999999978</v>
      </c>
      <c r="CL41" s="504">
        <v>2741116.26</v>
      </c>
      <c r="CM41" s="504">
        <f t="shared" si="45"/>
        <v>0</v>
      </c>
      <c r="CO41" s="569">
        <v>4250898</v>
      </c>
      <c r="CP41" s="570">
        <f>+CO41-CJ41</f>
        <v>1509781.7400000002</v>
      </c>
      <c r="CQ41" s="1302">
        <v>233831</v>
      </c>
    </row>
    <row r="42" spans="1:95" s="586" customFormat="1" outlineLevel="1">
      <c r="A42" s="571"/>
      <c r="B42" s="572"/>
      <c r="C42" s="1441"/>
      <c r="D42" s="1441"/>
      <c r="E42" s="1441"/>
      <c r="F42" s="573"/>
      <c r="G42" s="573"/>
      <c r="H42" s="573"/>
      <c r="I42" s="573"/>
      <c r="J42" s="573" t="s">
        <v>311</v>
      </c>
      <c r="K42" s="573"/>
      <c r="L42" s="573"/>
      <c r="M42" s="574"/>
      <c r="N42" s="575"/>
      <c r="O42" s="575"/>
      <c r="P42" s="576"/>
      <c r="Q42" s="577"/>
      <c r="R42" s="577"/>
      <c r="S42" s="575"/>
      <c r="T42" s="578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80"/>
      <c r="AF42" s="581">
        <f t="shared" si="36"/>
        <v>0</v>
      </c>
      <c r="AG42" s="582"/>
      <c r="AH42" s="583"/>
      <c r="AI42" s="583"/>
      <c r="AJ42" s="583"/>
      <c r="AK42" s="583"/>
      <c r="AL42" s="583"/>
      <c r="AM42" s="579"/>
      <c r="AN42" s="579"/>
      <c r="AO42" s="579"/>
      <c r="AP42" s="579"/>
      <c r="AQ42" s="579"/>
      <c r="AR42" s="584"/>
      <c r="AS42" s="575">
        <f t="shared" si="37"/>
        <v>0</v>
      </c>
      <c r="AT42" s="585"/>
      <c r="AU42" s="579"/>
      <c r="AV42" s="579"/>
      <c r="AW42" s="579"/>
      <c r="AX42" s="579"/>
      <c r="AY42" s="579"/>
      <c r="AZ42" s="579"/>
      <c r="BA42" s="579"/>
      <c r="BB42" s="579"/>
      <c r="BC42" s="579"/>
      <c r="BD42" s="579"/>
      <c r="BE42" s="584"/>
      <c r="BF42" s="575">
        <f t="shared" si="38"/>
        <v>0</v>
      </c>
      <c r="BG42" s="585"/>
      <c r="BH42" s="579"/>
      <c r="BI42" s="579"/>
      <c r="BJ42" s="579"/>
      <c r="BK42" s="579"/>
      <c r="BL42" s="579"/>
      <c r="BM42" s="579"/>
      <c r="BN42" s="579"/>
      <c r="BO42" s="579"/>
      <c r="BP42" s="579"/>
      <c r="BQ42" s="579"/>
      <c r="BR42" s="584"/>
      <c r="BS42" s="575">
        <f t="shared" si="39"/>
        <v>0</v>
      </c>
      <c r="BT42" s="585"/>
      <c r="BU42" s="579"/>
      <c r="BV42" s="579"/>
      <c r="BW42" s="579"/>
      <c r="BX42" s="579"/>
      <c r="BY42" s="579"/>
      <c r="BZ42" s="579"/>
      <c r="CA42" s="579"/>
      <c r="CB42" s="579"/>
      <c r="CC42" s="579"/>
      <c r="CD42" s="579"/>
      <c r="CE42" s="584"/>
      <c r="CF42" s="575">
        <f t="shared" si="40"/>
        <v>0</v>
      </c>
      <c r="CG42" s="575"/>
      <c r="CH42" s="504">
        <f t="shared" si="41"/>
        <v>0</v>
      </c>
      <c r="CI42" s="581">
        <f t="shared" si="42"/>
        <v>0</v>
      </c>
      <c r="CJ42" s="504">
        <f t="shared" si="43"/>
        <v>0</v>
      </c>
      <c r="CK42" s="504">
        <f t="shared" si="44"/>
        <v>0</v>
      </c>
      <c r="CL42" s="504">
        <v>0</v>
      </c>
      <c r="CM42" s="504">
        <f t="shared" si="45"/>
        <v>0</v>
      </c>
      <c r="CO42" s="587"/>
    </row>
    <row r="43" spans="1:95" outlineLevel="1">
      <c r="A43" s="500"/>
      <c r="B43" s="516"/>
      <c r="C43" s="1423">
        <v>302.02</v>
      </c>
      <c r="D43" s="1423"/>
      <c r="E43" s="1423"/>
      <c r="F43" s="501"/>
      <c r="G43" s="501"/>
      <c r="H43" s="501" t="s">
        <v>312</v>
      </c>
      <c r="I43" s="501"/>
      <c r="J43" s="501"/>
      <c r="K43" s="501"/>
      <c r="L43" s="501"/>
      <c r="M43" s="517"/>
      <c r="N43" s="518">
        <v>6400002823</v>
      </c>
      <c r="O43" s="504">
        <v>460671</v>
      </c>
      <c r="P43" s="519" t="s">
        <v>310</v>
      </c>
      <c r="Q43" s="506">
        <v>198827</v>
      </c>
      <c r="R43" s="506">
        <v>298827</v>
      </c>
      <c r="S43" s="504"/>
      <c r="T43" s="507"/>
      <c r="U43" s="508"/>
      <c r="V43" s="508">
        <v>27550.59</v>
      </c>
      <c r="W43" s="508"/>
      <c r="X43" s="508"/>
      <c r="Y43" s="508">
        <v>142546.4</v>
      </c>
      <c r="Z43" s="508"/>
      <c r="AA43" s="508">
        <v>17988.349999999999</v>
      </c>
      <c r="AB43" s="508"/>
      <c r="AC43" s="508">
        <v>10741.97</v>
      </c>
      <c r="AD43" s="508"/>
      <c r="AE43" s="509"/>
      <c r="AF43" s="559">
        <f t="shared" si="36"/>
        <v>198827.31</v>
      </c>
      <c r="AG43" s="510"/>
      <c r="AH43" s="508"/>
      <c r="AI43" s="549"/>
      <c r="AJ43" s="549">
        <v>17888.009999999998</v>
      </c>
      <c r="AK43" s="549">
        <v>81547.839999999997</v>
      </c>
      <c r="AL43" s="508"/>
      <c r="AM43" s="508"/>
      <c r="AN43" s="508"/>
      <c r="AO43" s="508"/>
      <c r="AP43" s="508">
        <v>7500</v>
      </c>
      <c r="AQ43" s="508"/>
      <c r="AR43" s="509"/>
      <c r="AS43" s="504">
        <f t="shared" si="37"/>
        <v>106935.84999999999</v>
      </c>
      <c r="AT43" s="510"/>
      <c r="AU43" s="508"/>
      <c r="AV43" s="508"/>
      <c r="AW43" s="508"/>
      <c r="AX43" s="508"/>
      <c r="AY43" s="508"/>
      <c r="AZ43" s="508"/>
      <c r="BA43" s="508"/>
      <c r="BB43" s="508"/>
      <c r="BC43" s="508"/>
      <c r="BD43" s="508"/>
      <c r="BE43" s="509"/>
      <c r="BF43" s="504">
        <f t="shared" si="38"/>
        <v>0</v>
      </c>
      <c r="BG43" s="510"/>
      <c r="BH43" s="508"/>
      <c r="BI43" s="508"/>
      <c r="BJ43" s="508"/>
      <c r="BK43" s="508"/>
      <c r="BL43" s="508"/>
      <c r="BM43" s="508"/>
      <c r="BN43" s="508"/>
      <c r="BO43" s="508"/>
      <c r="BP43" s="508"/>
      <c r="BQ43" s="508"/>
      <c r="BR43" s="509"/>
      <c r="BS43" s="504">
        <f t="shared" si="39"/>
        <v>0</v>
      </c>
      <c r="BT43" s="510"/>
      <c r="BU43" s="508"/>
      <c r="BV43" s="508"/>
      <c r="BW43" s="508"/>
      <c r="BX43" s="508"/>
      <c r="BY43" s="508"/>
      <c r="BZ43" s="508"/>
      <c r="CA43" s="508"/>
      <c r="CB43" s="508"/>
      <c r="CC43" s="508"/>
      <c r="CD43" s="508"/>
      <c r="CE43" s="509"/>
      <c r="CF43" s="504">
        <f t="shared" si="40"/>
        <v>0</v>
      </c>
      <c r="CG43" s="504"/>
      <c r="CH43" s="504">
        <f t="shared" si="41"/>
        <v>305763.16000000003</v>
      </c>
      <c r="CI43" s="504">
        <f t="shared" si="42"/>
        <v>0</v>
      </c>
      <c r="CJ43" s="504">
        <f t="shared" si="43"/>
        <v>305763.16000000003</v>
      </c>
      <c r="CK43" s="504">
        <f t="shared" si="44"/>
        <v>6936.1600000000326</v>
      </c>
      <c r="CL43" s="504">
        <v>305763.15999999997</v>
      </c>
      <c r="CM43" s="504">
        <f t="shared" si="45"/>
        <v>0</v>
      </c>
    </row>
    <row r="44" spans="1:95" outlineLevel="1">
      <c r="A44" s="500"/>
      <c r="B44" s="516"/>
      <c r="C44" s="1423">
        <v>302.02999999999997</v>
      </c>
      <c r="D44" s="1423"/>
      <c r="E44" s="1423"/>
      <c r="F44" s="501"/>
      <c r="G44" s="501"/>
      <c r="H44" s="501" t="s">
        <v>313</v>
      </c>
      <c r="I44" s="501"/>
      <c r="J44" s="501"/>
      <c r="K44" s="501"/>
      <c r="L44" s="501"/>
      <c r="M44" s="517"/>
      <c r="N44" s="518">
        <v>4600004599</v>
      </c>
      <c r="O44" s="504">
        <v>2199000</v>
      </c>
      <c r="P44" s="519" t="s">
        <v>314</v>
      </c>
      <c r="Q44" s="506">
        <v>37813</v>
      </c>
      <c r="R44" s="506">
        <v>49207</v>
      </c>
      <c r="S44" s="504"/>
      <c r="T44" s="507">
        <v>2654.32</v>
      </c>
      <c r="U44" s="508"/>
      <c r="V44" s="508">
        <v>1165.8800000000001</v>
      </c>
      <c r="W44" s="508">
        <v>3893.88</v>
      </c>
      <c r="X44" s="508"/>
      <c r="Y44" s="508">
        <v>7986.81</v>
      </c>
      <c r="Z44" s="508">
        <v>1369.19</v>
      </c>
      <c r="AA44" s="508"/>
      <c r="AB44" s="508">
        <v>5742.89</v>
      </c>
      <c r="AC44" s="508">
        <v>6731.89</v>
      </c>
      <c r="AD44" s="508"/>
      <c r="AE44" s="509">
        <f>9115.25+8268</f>
        <v>17383.25</v>
      </c>
      <c r="AF44" s="559">
        <f t="shared" si="36"/>
        <v>46928.11</v>
      </c>
      <c r="AG44" s="510">
        <f>-8268+5505.3</f>
        <v>-2762.7</v>
      </c>
      <c r="AH44" s="508">
        <v>2510.75</v>
      </c>
      <c r="AI44" s="508">
        <v>2530.77</v>
      </c>
      <c r="AJ44" s="508"/>
      <c r="AK44" s="508"/>
      <c r="AL44" s="508"/>
      <c r="AM44" s="508"/>
      <c r="AN44" s="508"/>
      <c r="AO44" s="508"/>
      <c r="AP44" s="508"/>
      <c r="AQ44" s="508"/>
      <c r="AR44" s="509"/>
      <c r="AS44" s="504">
        <f t="shared" si="37"/>
        <v>2278.8200000000002</v>
      </c>
      <c r="AT44" s="510"/>
      <c r="AU44" s="508"/>
      <c r="AV44" s="508"/>
      <c r="AW44" s="508"/>
      <c r="AX44" s="508"/>
      <c r="AY44" s="508"/>
      <c r="AZ44" s="508"/>
      <c r="BA44" s="508"/>
      <c r="BB44" s="508"/>
      <c r="BC44" s="508"/>
      <c r="BD44" s="508"/>
      <c r="BE44" s="509"/>
      <c r="BF44" s="504">
        <f t="shared" si="38"/>
        <v>0</v>
      </c>
      <c r="BG44" s="510"/>
      <c r="BH44" s="508"/>
      <c r="BI44" s="508"/>
      <c r="BJ44" s="508"/>
      <c r="BK44" s="508"/>
      <c r="BL44" s="508"/>
      <c r="BM44" s="508"/>
      <c r="BN44" s="508"/>
      <c r="BO44" s="508"/>
      <c r="BP44" s="508"/>
      <c r="BQ44" s="508"/>
      <c r="BR44" s="509"/>
      <c r="BS44" s="504">
        <f t="shared" si="39"/>
        <v>0</v>
      </c>
      <c r="BT44" s="510"/>
      <c r="BU44" s="508"/>
      <c r="BV44" s="508"/>
      <c r="BW44" s="508"/>
      <c r="BX44" s="508"/>
      <c r="BY44" s="508"/>
      <c r="BZ44" s="508"/>
      <c r="CA44" s="508"/>
      <c r="CB44" s="508"/>
      <c r="CC44" s="508"/>
      <c r="CD44" s="508"/>
      <c r="CE44" s="509"/>
      <c r="CF44" s="504">
        <f t="shared" si="40"/>
        <v>0</v>
      </c>
      <c r="CG44" s="504"/>
      <c r="CH44" s="504">
        <f t="shared" si="41"/>
        <v>49206.93</v>
      </c>
      <c r="CI44" s="504">
        <f t="shared" si="42"/>
        <v>0</v>
      </c>
      <c r="CJ44" s="504">
        <f t="shared" si="43"/>
        <v>49206.93</v>
      </c>
      <c r="CK44" s="504">
        <f t="shared" si="44"/>
        <v>-6.9999999999708962E-2</v>
      </c>
      <c r="CL44" s="504">
        <v>49206.93</v>
      </c>
      <c r="CM44" s="504">
        <f t="shared" si="45"/>
        <v>0</v>
      </c>
    </row>
    <row r="45" spans="1:95" outlineLevel="1">
      <c r="A45" s="500"/>
      <c r="B45" s="516"/>
      <c r="C45" s="1423">
        <v>302.04000000000002</v>
      </c>
      <c r="D45" s="1423"/>
      <c r="E45" s="1423"/>
      <c r="F45" s="501"/>
      <c r="G45" s="501"/>
      <c r="H45" s="501" t="s">
        <v>315</v>
      </c>
      <c r="I45" s="501"/>
      <c r="J45" s="501"/>
      <c r="K45" s="501"/>
      <c r="L45" s="501"/>
      <c r="M45" s="517"/>
      <c r="N45" s="518">
        <v>4600003776</v>
      </c>
      <c r="O45" s="504">
        <v>1370000</v>
      </c>
      <c r="P45" s="519" t="s">
        <v>310</v>
      </c>
      <c r="Q45" s="506">
        <v>47089</v>
      </c>
      <c r="R45" s="506">
        <v>47089</v>
      </c>
      <c r="S45" s="504"/>
      <c r="T45" s="507">
        <v>2881.92</v>
      </c>
      <c r="U45" s="508">
        <v>2638.72</v>
      </c>
      <c r="V45" s="508">
        <v>4158.72</v>
      </c>
      <c r="W45" s="508"/>
      <c r="X45" s="508">
        <v>9938.27</v>
      </c>
      <c r="Y45" s="508">
        <v>3712</v>
      </c>
      <c r="Z45" s="508"/>
      <c r="AA45" s="508">
        <v>12961.28</v>
      </c>
      <c r="AB45" s="508">
        <v>10798</v>
      </c>
      <c r="AC45" s="508"/>
      <c r="AD45" s="508"/>
      <c r="AE45" s="509"/>
      <c r="AF45" s="559">
        <f t="shared" si="36"/>
        <v>47088.91</v>
      </c>
      <c r="AG45" s="510"/>
      <c r="AH45" s="508"/>
      <c r="AI45" s="508"/>
      <c r="AJ45" s="508"/>
      <c r="AK45" s="508"/>
      <c r="AL45" s="508"/>
      <c r="AM45" s="508"/>
      <c r="AN45" s="508"/>
      <c r="AO45" s="508"/>
      <c r="AP45" s="508"/>
      <c r="AQ45" s="508"/>
      <c r="AR45" s="509"/>
      <c r="AS45" s="504">
        <f t="shared" si="37"/>
        <v>0</v>
      </c>
      <c r="AT45" s="510"/>
      <c r="AU45" s="508"/>
      <c r="AV45" s="508"/>
      <c r="AW45" s="508"/>
      <c r="AX45" s="508"/>
      <c r="AY45" s="508"/>
      <c r="AZ45" s="508"/>
      <c r="BA45" s="508"/>
      <c r="BB45" s="508"/>
      <c r="BC45" s="508"/>
      <c r="BD45" s="508"/>
      <c r="BE45" s="509"/>
      <c r="BF45" s="504">
        <f t="shared" si="38"/>
        <v>0</v>
      </c>
      <c r="BG45" s="510"/>
      <c r="BH45" s="508"/>
      <c r="BI45" s="508"/>
      <c r="BJ45" s="508"/>
      <c r="BK45" s="508"/>
      <c r="BL45" s="508"/>
      <c r="BM45" s="508"/>
      <c r="BN45" s="508"/>
      <c r="BO45" s="508"/>
      <c r="BP45" s="508"/>
      <c r="BQ45" s="508"/>
      <c r="BR45" s="509"/>
      <c r="BS45" s="504">
        <f t="shared" si="39"/>
        <v>0</v>
      </c>
      <c r="BT45" s="510"/>
      <c r="BU45" s="508"/>
      <c r="BV45" s="508"/>
      <c r="BW45" s="508"/>
      <c r="BX45" s="508"/>
      <c r="BY45" s="508"/>
      <c r="BZ45" s="508"/>
      <c r="CA45" s="508"/>
      <c r="CB45" s="508"/>
      <c r="CC45" s="508"/>
      <c r="CD45" s="508"/>
      <c r="CE45" s="509"/>
      <c r="CF45" s="504">
        <f t="shared" si="40"/>
        <v>0</v>
      </c>
      <c r="CG45" s="504"/>
      <c r="CH45" s="504">
        <f t="shared" si="41"/>
        <v>47088.91</v>
      </c>
      <c r="CI45" s="504">
        <f t="shared" si="42"/>
        <v>0</v>
      </c>
      <c r="CJ45" s="504">
        <f t="shared" si="43"/>
        <v>47088.91</v>
      </c>
      <c r="CK45" s="504">
        <f t="shared" si="44"/>
        <v>-8.999999999650754E-2</v>
      </c>
      <c r="CL45" s="504">
        <v>47088.91</v>
      </c>
      <c r="CM45" s="504">
        <f t="shared" si="45"/>
        <v>0</v>
      </c>
    </row>
    <row r="46" spans="1:95" outlineLevel="1">
      <c r="A46" s="500"/>
      <c r="B46" s="516"/>
      <c r="C46" s="1423">
        <v>302.05</v>
      </c>
      <c r="D46" s="1423"/>
      <c r="E46" s="1423"/>
      <c r="F46" s="501"/>
      <c r="G46" s="501"/>
      <c r="H46" s="501" t="s">
        <v>316</v>
      </c>
      <c r="I46" s="501"/>
      <c r="J46" s="501"/>
      <c r="K46" s="501"/>
      <c r="L46" s="501"/>
      <c r="M46" s="517"/>
      <c r="N46" s="518"/>
      <c r="O46" s="504"/>
      <c r="P46" s="519"/>
      <c r="Q46" s="506">
        <v>0</v>
      </c>
      <c r="R46" s="506">
        <v>0</v>
      </c>
      <c r="S46" s="504"/>
      <c r="T46" s="507"/>
      <c r="U46" s="508"/>
      <c r="V46" s="508"/>
      <c r="W46" s="508"/>
      <c r="X46" s="508"/>
      <c r="Y46" s="508"/>
      <c r="Z46" s="508"/>
      <c r="AA46" s="508"/>
      <c r="AB46" s="508"/>
      <c r="AC46" s="508"/>
      <c r="AD46" s="508"/>
      <c r="AE46" s="509"/>
      <c r="AF46" s="559">
        <f t="shared" si="36"/>
        <v>0</v>
      </c>
      <c r="AG46" s="510"/>
      <c r="AH46" s="508"/>
      <c r="AI46" s="508"/>
      <c r="AJ46" s="508"/>
      <c r="AK46" s="508"/>
      <c r="AL46" s="508"/>
      <c r="AM46" s="508"/>
      <c r="AN46" s="508"/>
      <c r="AO46" s="508"/>
      <c r="AP46" s="508"/>
      <c r="AQ46" s="508"/>
      <c r="AR46" s="509"/>
      <c r="AS46" s="504">
        <f t="shared" si="37"/>
        <v>0</v>
      </c>
      <c r="AT46" s="510"/>
      <c r="AU46" s="508"/>
      <c r="AV46" s="508"/>
      <c r="AW46" s="508"/>
      <c r="AX46" s="508"/>
      <c r="AY46" s="508"/>
      <c r="AZ46" s="508"/>
      <c r="BA46" s="508"/>
      <c r="BB46" s="508"/>
      <c r="BC46" s="508"/>
      <c r="BD46" s="508"/>
      <c r="BE46" s="509"/>
      <c r="BF46" s="504">
        <f t="shared" si="38"/>
        <v>0</v>
      </c>
      <c r="BG46" s="510"/>
      <c r="BH46" s="508"/>
      <c r="BI46" s="508"/>
      <c r="BJ46" s="508"/>
      <c r="BK46" s="508"/>
      <c r="BL46" s="508"/>
      <c r="BM46" s="508"/>
      <c r="BN46" s="508"/>
      <c r="BO46" s="508"/>
      <c r="BP46" s="508"/>
      <c r="BQ46" s="508"/>
      <c r="BR46" s="509"/>
      <c r="BS46" s="504">
        <f t="shared" si="39"/>
        <v>0</v>
      </c>
      <c r="BT46" s="510"/>
      <c r="BU46" s="508"/>
      <c r="BV46" s="508"/>
      <c r="BW46" s="508"/>
      <c r="BX46" s="508"/>
      <c r="BY46" s="508"/>
      <c r="BZ46" s="508"/>
      <c r="CA46" s="508"/>
      <c r="CB46" s="508"/>
      <c r="CC46" s="508"/>
      <c r="CD46" s="508"/>
      <c r="CE46" s="509"/>
      <c r="CF46" s="504">
        <f t="shared" si="40"/>
        <v>0</v>
      </c>
      <c r="CG46" s="504"/>
      <c r="CH46" s="504">
        <f t="shared" si="41"/>
        <v>0</v>
      </c>
      <c r="CI46" s="504">
        <f t="shared" si="42"/>
        <v>0</v>
      </c>
      <c r="CJ46" s="504">
        <f t="shared" si="43"/>
        <v>0</v>
      </c>
      <c r="CK46" s="504">
        <f t="shared" si="44"/>
        <v>0</v>
      </c>
      <c r="CL46" s="504">
        <v>0</v>
      </c>
      <c r="CM46" s="504">
        <f t="shared" si="45"/>
        <v>0</v>
      </c>
    </row>
    <row r="47" spans="1:95" outlineLevel="1">
      <c r="A47" s="500"/>
      <c r="B47" s="516"/>
      <c r="C47" s="1423">
        <v>302.06</v>
      </c>
      <c r="D47" s="1423"/>
      <c r="E47" s="1423"/>
      <c r="F47" s="501"/>
      <c r="G47" s="501"/>
      <c r="H47" s="501" t="s">
        <v>317</v>
      </c>
      <c r="I47" s="501"/>
      <c r="J47" s="501"/>
      <c r="K47" s="501"/>
      <c r="L47" s="501"/>
      <c r="M47" s="517"/>
      <c r="N47" s="518">
        <v>6400001807</v>
      </c>
      <c r="O47" s="504">
        <v>1000000</v>
      </c>
      <c r="P47" s="519" t="s">
        <v>310</v>
      </c>
      <c r="Q47" s="506">
        <v>8392</v>
      </c>
      <c r="R47" s="506">
        <v>29500</v>
      </c>
      <c r="S47" s="504"/>
      <c r="T47" s="507"/>
      <c r="U47" s="508"/>
      <c r="V47" s="508"/>
      <c r="W47" s="508"/>
      <c r="X47" s="508"/>
      <c r="Y47" s="508"/>
      <c r="Z47" s="508"/>
      <c r="AA47" s="508"/>
      <c r="AB47" s="508"/>
      <c r="AC47" s="508"/>
      <c r="AD47" s="508">
        <v>8391.7900000000009</v>
      </c>
      <c r="AE47" s="509">
        <v>15751.11</v>
      </c>
      <c r="AF47" s="559">
        <f t="shared" si="36"/>
        <v>24142.9</v>
      </c>
      <c r="AG47" s="510"/>
      <c r="AH47" s="508">
        <v>5356.75</v>
      </c>
      <c r="AI47" s="508"/>
      <c r="AJ47" s="508"/>
      <c r="AK47" s="508"/>
      <c r="AL47" s="508"/>
      <c r="AM47" s="508"/>
      <c r="AN47" s="508"/>
      <c r="AO47" s="508"/>
      <c r="AP47" s="508"/>
      <c r="AQ47" s="508"/>
      <c r="AR47" s="509"/>
      <c r="AS47" s="504">
        <f t="shared" si="37"/>
        <v>5356.75</v>
      </c>
      <c r="AT47" s="510"/>
      <c r="AU47" s="508"/>
      <c r="AV47" s="508"/>
      <c r="AW47" s="508"/>
      <c r="AX47" s="508"/>
      <c r="AY47" s="508"/>
      <c r="AZ47" s="508"/>
      <c r="BA47" s="508"/>
      <c r="BB47" s="508"/>
      <c r="BC47" s="508"/>
      <c r="BD47" s="508"/>
      <c r="BE47" s="509"/>
      <c r="BF47" s="504">
        <f t="shared" si="38"/>
        <v>0</v>
      </c>
      <c r="BG47" s="510"/>
      <c r="BH47" s="508"/>
      <c r="BI47" s="508"/>
      <c r="BJ47" s="508"/>
      <c r="BK47" s="508"/>
      <c r="BL47" s="508"/>
      <c r="BM47" s="508"/>
      <c r="BN47" s="508"/>
      <c r="BO47" s="508"/>
      <c r="BP47" s="508"/>
      <c r="BQ47" s="508"/>
      <c r="BR47" s="509"/>
      <c r="BS47" s="504">
        <f t="shared" si="39"/>
        <v>0</v>
      </c>
      <c r="BT47" s="510"/>
      <c r="BU47" s="508"/>
      <c r="BV47" s="508"/>
      <c r="BW47" s="508"/>
      <c r="BX47" s="508"/>
      <c r="BY47" s="508"/>
      <c r="BZ47" s="508"/>
      <c r="CA47" s="508"/>
      <c r="CB47" s="508"/>
      <c r="CC47" s="508"/>
      <c r="CD47" s="508"/>
      <c r="CE47" s="509"/>
      <c r="CF47" s="504">
        <f t="shared" si="40"/>
        <v>0</v>
      </c>
      <c r="CG47" s="504"/>
      <c r="CH47" s="504">
        <f t="shared" si="41"/>
        <v>29499.65</v>
      </c>
      <c r="CI47" s="504">
        <f t="shared" si="42"/>
        <v>0</v>
      </c>
      <c r="CJ47" s="504">
        <f t="shared" si="43"/>
        <v>29499.65</v>
      </c>
      <c r="CK47" s="504">
        <f t="shared" si="44"/>
        <v>-0.34999999999854481</v>
      </c>
      <c r="CL47" s="504">
        <v>29499.65</v>
      </c>
      <c r="CM47" s="504">
        <f t="shared" si="45"/>
        <v>0</v>
      </c>
    </row>
    <row r="48" spans="1:95" outlineLevel="1">
      <c r="A48" s="500"/>
      <c r="B48" s="516"/>
      <c r="C48" s="1423">
        <v>302.07</v>
      </c>
      <c r="D48" s="1423"/>
      <c r="E48" s="1423"/>
      <c r="F48" s="501"/>
      <c r="G48" s="501"/>
      <c r="H48" s="501" t="s">
        <v>318</v>
      </c>
      <c r="I48" s="501"/>
      <c r="J48" s="501"/>
      <c r="K48" s="501"/>
      <c r="L48" s="501"/>
      <c r="M48" s="517"/>
      <c r="N48" s="518"/>
      <c r="O48" s="504"/>
      <c r="P48" s="519"/>
      <c r="Q48" s="506">
        <v>0</v>
      </c>
      <c r="R48" s="506">
        <v>0</v>
      </c>
      <c r="S48" s="504"/>
      <c r="T48" s="507"/>
      <c r="U48" s="508"/>
      <c r="V48" s="508"/>
      <c r="W48" s="508"/>
      <c r="X48" s="508"/>
      <c r="Y48" s="508"/>
      <c r="Z48" s="508"/>
      <c r="AA48" s="508"/>
      <c r="AB48" s="508"/>
      <c r="AC48" s="508"/>
      <c r="AD48" s="508"/>
      <c r="AE48" s="509"/>
      <c r="AF48" s="559">
        <f t="shared" si="36"/>
        <v>0</v>
      </c>
      <c r="AG48" s="510"/>
      <c r="AH48" s="508"/>
      <c r="AI48" s="508"/>
      <c r="AJ48" s="508"/>
      <c r="AK48" s="508"/>
      <c r="AL48" s="508"/>
      <c r="AM48" s="508"/>
      <c r="AN48" s="508"/>
      <c r="AO48" s="508"/>
      <c r="AP48" s="508"/>
      <c r="AQ48" s="508"/>
      <c r="AR48" s="509"/>
      <c r="AS48" s="504">
        <f t="shared" si="37"/>
        <v>0</v>
      </c>
      <c r="AT48" s="510"/>
      <c r="AU48" s="508"/>
      <c r="AV48" s="508"/>
      <c r="AW48" s="508"/>
      <c r="AX48" s="508"/>
      <c r="AY48" s="508"/>
      <c r="AZ48" s="508"/>
      <c r="BA48" s="508"/>
      <c r="BB48" s="508"/>
      <c r="BC48" s="508"/>
      <c r="BD48" s="508"/>
      <c r="BE48" s="509"/>
      <c r="BF48" s="504">
        <f t="shared" si="38"/>
        <v>0</v>
      </c>
      <c r="BG48" s="510"/>
      <c r="BH48" s="508"/>
      <c r="BI48" s="508"/>
      <c r="BJ48" s="508"/>
      <c r="BK48" s="508"/>
      <c r="BL48" s="508"/>
      <c r="BM48" s="508"/>
      <c r="BN48" s="508"/>
      <c r="BO48" s="508"/>
      <c r="BP48" s="508"/>
      <c r="BQ48" s="508"/>
      <c r="BR48" s="509"/>
      <c r="BS48" s="504">
        <f t="shared" si="39"/>
        <v>0</v>
      </c>
      <c r="BT48" s="510"/>
      <c r="BU48" s="508"/>
      <c r="BV48" s="508"/>
      <c r="BW48" s="508"/>
      <c r="BX48" s="508"/>
      <c r="BY48" s="508"/>
      <c r="BZ48" s="508"/>
      <c r="CA48" s="508"/>
      <c r="CB48" s="508"/>
      <c r="CC48" s="508"/>
      <c r="CD48" s="508"/>
      <c r="CE48" s="509"/>
      <c r="CF48" s="504">
        <f t="shared" si="40"/>
        <v>0</v>
      </c>
      <c r="CG48" s="504"/>
      <c r="CH48" s="504">
        <f t="shared" si="41"/>
        <v>0</v>
      </c>
      <c r="CI48" s="504">
        <f t="shared" si="42"/>
        <v>0</v>
      </c>
      <c r="CJ48" s="504">
        <f t="shared" si="43"/>
        <v>0</v>
      </c>
      <c r="CK48" s="504">
        <f t="shared" si="44"/>
        <v>0</v>
      </c>
      <c r="CL48" s="504">
        <v>0</v>
      </c>
      <c r="CM48" s="504">
        <f t="shared" si="45"/>
        <v>0</v>
      </c>
    </row>
    <row r="49" spans="1:91" outlineLevel="1">
      <c r="A49" s="500"/>
      <c r="B49" s="516"/>
      <c r="C49" s="1423">
        <v>302.08</v>
      </c>
      <c r="D49" s="1423"/>
      <c r="E49" s="1423"/>
      <c r="F49" s="501"/>
      <c r="G49" s="501"/>
      <c r="H49" s="501" t="s">
        <v>319</v>
      </c>
      <c r="I49" s="501"/>
      <c r="J49" s="501"/>
      <c r="K49" s="501"/>
      <c r="L49" s="501"/>
      <c r="M49" s="517"/>
      <c r="N49" s="518">
        <v>6400001762</v>
      </c>
      <c r="O49" s="504">
        <v>80000</v>
      </c>
      <c r="P49" s="519" t="s">
        <v>310</v>
      </c>
      <c r="Q49" s="506">
        <v>14658</v>
      </c>
      <c r="R49" s="506">
        <v>14658</v>
      </c>
      <c r="S49" s="504"/>
      <c r="T49" s="507">
        <v>14657.8</v>
      </c>
      <c r="U49" s="508"/>
      <c r="V49" s="508"/>
      <c r="W49" s="508"/>
      <c r="X49" s="508"/>
      <c r="Y49" s="508"/>
      <c r="Z49" s="508"/>
      <c r="AA49" s="508"/>
      <c r="AB49" s="508"/>
      <c r="AC49" s="508"/>
      <c r="AD49" s="508"/>
      <c r="AE49" s="509"/>
      <c r="AF49" s="559">
        <f t="shared" si="36"/>
        <v>14657.8</v>
      </c>
      <c r="AG49" s="510"/>
      <c r="AH49" s="508"/>
      <c r="AI49" s="508"/>
      <c r="AJ49" s="508"/>
      <c r="AK49" s="508"/>
      <c r="AL49" s="508"/>
      <c r="AM49" s="508"/>
      <c r="AN49" s="508"/>
      <c r="AO49" s="508"/>
      <c r="AP49" s="508"/>
      <c r="AQ49" s="508"/>
      <c r="AR49" s="509"/>
      <c r="AS49" s="504">
        <f t="shared" si="37"/>
        <v>0</v>
      </c>
      <c r="AT49" s="510"/>
      <c r="AU49" s="508"/>
      <c r="AV49" s="508"/>
      <c r="AW49" s="508"/>
      <c r="AX49" s="508"/>
      <c r="AY49" s="508"/>
      <c r="AZ49" s="508"/>
      <c r="BA49" s="508"/>
      <c r="BB49" s="508"/>
      <c r="BC49" s="508"/>
      <c r="BD49" s="508"/>
      <c r="BE49" s="509"/>
      <c r="BF49" s="504">
        <f t="shared" si="38"/>
        <v>0</v>
      </c>
      <c r="BG49" s="510"/>
      <c r="BH49" s="508"/>
      <c r="BI49" s="508"/>
      <c r="BJ49" s="508"/>
      <c r="BK49" s="508"/>
      <c r="BL49" s="508"/>
      <c r="BM49" s="508"/>
      <c r="BN49" s="508"/>
      <c r="BO49" s="508"/>
      <c r="BP49" s="508"/>
      <c r="BQ49" s="508"/>
      <c r="BR49" s="509"/>
      <c r="BS49" s="504">
        <f t="shared" si="39"/>
        <v>0</v>
      </c>
      <c r="BT49" s="510"/>
      <c r="BU49" s="508"/>
      <c r="BV49" s="508"/>
      <c r="BW49" s="508"/>
      <c r="BX49" s="508"/>
      <c r="BY49" s="508"/>
      <c r="BZ49" s="508"/>
      <c r="CA49" s="508"/>
      <c r="CB49" s="508"/>
      <c r="CC49" s="508"/>
      <c r="CD49" s="508"/>
      <c r="CE49" s="509"/>
      <c r="CF49" s="504">
        <f t="shared" si="40"/>
        <v>0</v>
      </c>
      <c r="CG49" s="504"/>
      <c r="CH49" s="504">
        <f t="shared" si="41"/>
        <v>14657.8</v>
      </c>
      <c r="CI49" s="504">
        <f t="shared" si="42"/>
        <v>0</v>
      </c>
      <c r="CJ49" s="504">
        <f t="shared" si="43"/>
        <v>14657.8</v>
      </c>
      <c r="CK49" s="504">
        <f t="shared" si="44"/>
        <v>-0.2000000000007276</v>
      </c>
      <c r="CL49" s="504">
        <v>14657.8</v>
      </c>
      <c r="CM49" s="504">
        <f t="shared" si="45"/>
        <v>0</v>
      </c>
    </row>
    <row r="50" spans="1:91" outlineLevel="1">
      <c r="A50" s="500"/>
      <c r="B50" s="516"/>
      <c r="C50" s="1423">
        <v>302.08999999999997</v>
      </c>
      <c r="D50" s="1423"/>
      <c r="E50" s="1423"/>
      <c r="F50" s="501"/>
      <c r="G50" s="501"/>
      <c r="H50" s="501" t="s">
        <v>320</v>
      </c>
      <c r="I50" s="501"/>
      <c r="J50" s="501"/>
      <c r="K50" s="501"/>
      <c r="L50" s="501"/>
      <c r="M50" s="517"/>
      <c r="N50" s="518">
        <v>4600005167</v>
      </c>
      <c r="O50" s="504">
        <v>11636100</v>
      </c>
      <c r="P50" s="519" t="s">
        <v>314</v>
      </c>
      <c r="Q50" s="506">
        <f>7935+738</f>
        <v>8673</v>
      </c>
      <c r="R50" s="506">
        <v>10198</v>
      </c>
      <c r="S50" s="504"/>
      <c r="T50" s="507"/>
      <c r="U50" s="508"/>
      <c r="V50" s="508"/>
      <c r="W50" s="508"/>
      <c r="X50" s="508"/>
      <c r="Y50" s="508">
        <v>1418.75</v>
      </c>
      <c r="Z50" s="508">
        <v>2028.75</v>
      </c>
      <c r="AA50" s="508">
        <v>1517.75</v>
      </c>
      <c r="AB50" s="508"/>
      <c r="AC50" s="508">
        <v>1129.25</v>
      </c>
      <c r="AD50" s="508">
        <v>1840.25</v>
      </c>
      <c r="AE50" s="550">
        <v>738</v>
      </c>
      <c r="AF50" s="559">
        <f t="shared" si="36"/>
        <v>8672.75</v>
      </c>
      <c r="AG50" s="510"/>
      <c r="AH50" s="508"/>
      <c r="AI50" s="508"/>
      <c r="AJ50" s="508"/>
      <c r="AK50" s="508"/>
      <c r="AL50" s="508"/>
      <c r="AM50" s="508"/>
      <c r="AN50" s="508"/>
      <c r="AO50" s="508"/>
      <c r="AP50" s="508"/>
      <c r="AQ50" s="508"/>
      <c r="AR50" s="509"/>
      <c r="AS50" s="504">
        <f t="shared" si="37"/>
        <v>0</v>
      </c>
      <c r="AT50" s="510"/>
      <c r="AU50" s="508"/>
      <c r="AV50" s="508"/>
      <c r="AW50" s="508"/>
      <c r="AX50" s="508"/>
      <c r="AY50" s="508"/>
      <c r="AZ50" s="508"/>
      <c r="BA50" s="508"/>
      <c r="BB50" s="508"/>
      <c r="BC50" s="508"/>
      <c r="BD50" s="508"/>
      <c r="BE50" s="509"/>
      <c r="BF50" s="504">
        <f t="shared" si="38"/>
        <v>0</v>
      </c>
      <c r="BG50" s="510"/>
      <c r="BH50" s="508"/>
      <c r="BI50" s="508"/>
      <c r="BJ50" s="508"/>
      <c r="BK50" s="508"/>
      <c r="BL50" s="508"/>
      <c r="BM50" s="508"/>
      <c r="BN50" s="508"/>
      <c r="BO50" s="508"/>
      <c r="BP50" s="508"/>
      <c r="BQ50" s="508"/>
      <c r="BR50" s="509"/>
      <c r="BS50" s="504">
        <f t="shared" si="39"/>
        <v>0</v>
      </c>
      <c r="BT50" s="510"/>
      <c r="BU50" s="508"/>
      <c r="BV50" s="508"/>
      <c r="BW50" s="508"/>
      <c r="BX50" s="508"/>
      <c r="BY50" s="508"/>
      <c r="BZ50" s="508"/>
      <c r="CA50" s="508"/>
      <c r="CB50" s="508"/>
      <c r="CC50" s="508"/>
      <c r="CD50" s="508"/>
      <c r="CE50" s="509"/>
      <c r="CF50" s="504">
        <f t="shared" si="40"/>
        <v>0</v>
      </c>
      <c r="CG50" s="504"/>
      <c r="CH50" s="504">
        <f t="shared" si="41"/>
        <v>8672.75</v>
      </c>
      <c r="CI50" s="504">
        <f t="shared" si="42"/>
        <v>0</v>
      </c>
      <c r="CJ50" s="504">
        <f t="shared" si="43"/>
        <v>8672.75</v>
      </c>
      <c r="CK50" s="504">
        <f t="shared" si="44"/>
        <v>-1525.25</v>
      </c>
      <c r="CL50" s="504">
        <v>8672.75</v>
      </c>
      <c r="CM50" s="504">
        <f t="shared" si="45"/>
        <v>0</v>
      </c>
    </row>
    <row r="51" spans="1:91" outlineLevel="1">
      <c r="A51" s="500"/>
      <c r="B51" s="516"/>
      <c r="C51" s="1423">
        <v>302.10000000000002</v>
      </c>
      <c r="D51" s="1423"/>
      <c r="E51" s="1423"/>
      <c r="F51" s="501"/>
      <c r="G51" s="501"/>
      <c r="H51" s="501" t="s">
        <v>284</v>
      </c>
      <c r="I51" s="501"/>
      <c r="J51" s="501"/>
      <c r="K51" s="501"/>
      <c r="L51" s="501"/>
      <c r="M51" s="517"/>
      <c r="N51" s="518"/>
      <c r="O51" s="504"/>
      <c r="P51" s="519"/>
      <c r="Q51" s="506"/>
      <c r="R51" s="506"/>
      <c r="S51" s="504"/>
      <c r="T51" s="507"/>
      <c r="U51" s="508"/>
      <c r="V51" s="508"/>
      <c r="W51" s="508"/>
      <c r="X51" s="508"/>
      <c r="Y51" s="508"/>
      <c r="Z51" s="508"/>
      <c r="AA51" s="508"/>
      <c r="AB51" s="508"/>
      <c r="AC51" s="508"/>
      <c r="AD51" s="508"/>
      <c r="AE51" s="509"/>
      <c r="AF51" s="559">
        <f t="shared" si="36"/>
        <v>0</v>
      </c>
      <c r="AG51" s="510"/>
      <c r="AH51" s="508"/>
      <c r="AI51" s="508"/>
      <c r="AJ51" s="508"/>
      <c r="AK51" s="508"/>
      <c r="AL51" s="508"/>
      <c r="AM51" s="508"/>
      <c r="AN51" s="508"/>
      <c r="AO51" s="508"/>
      <c r="AP51" s="508"/>
      <c r="AQ51" s="508"/>
      <c r="AR51" s="509"/>
      <c r="AS51" s="504">
        <f t="shared" si="37"/>
        <v>0</v>
      </c>
      <c r="AT51" s="510"/>
      <c r="AU51" s="508"/>
      <c r="AV51" s="508"/>
      <c r="AW51" s="508"/>
      <c r="AX51" s="508"/>
      <c r="AY51" s="508"/>
      <c r="AZ51" s="508"/>
      <c r="BA51" s="508"/>
      <c r="BB51" s="508"/>
      <c r="BC51" s="508"/>
      <c r="BD51" s="508"/>
      <c r="BE51" s="509"/>
      <c r="BF51" s="504">
        <f t="shared" si="38"/>
        <v>0</v>
      </c>
      <c r="BG51" s="510"/>
      <c r="BH51" s="508"/>
      <c r="BI51" s="508"/>
      <c r="BJ51" s="508"/>
      <c r="BK51" s="508"/>
      <c r="BL51" s="508"/>
      <c r="BM51" s="508"/>
      <c r="BN51" s="508"/>
      <c r="BO51" s="508"/>
      <c r="BP51" s="508"/>
      <c r="BQ51" s="508"/>
      <c r="BR51" s="509"/>
      <c r="BS51" s="504">
        <f t="shared" si="39"/>
        <v>0</v>
      </c>
      <c r="BT51" s="510"/>
      <c r="BU51" s="508"/>
      <c r="BV51" s="508"/>
      <c r="BW51" s="508"/>
      <c r="BX51" s="508"/>
      <c r="BY51" s="508"/>
      <c r="BZ51" s="508"/>
      <c r="CA51" s="508"/>
      <c r="CB51" s="508"/>
      <c r="CC51" s="508"/>
      <c r="CD51" s="508"/>
      <c r="CE51" s="509"/>
      <c r="CF51" s="504">
        <f t="shared" si="40"/>
        <v>0</v>
      </c>
      <c r="CG51" s="504"/>
      <c r="CH51" s="504">
        <f t="shared" si="41"/>
        <v>0</v>
      </c>
      <c r="CI51" s="504">
        <f t="shared" si="42"/>
        <v>0</v>
      </c>
      <c r="CJ51" s="504">
        <f t="shared" si="43"/>
        <v>0</v>
      </c>
      <c r="CK51" s="504">
        <f t="shared" si="44"/>
        <v>0</v>
      </c>
      <c r="CL51" s="504">
        <v>0</v>
      </c>
      <c r="CM51" s="504">
        <f t="shared" si="45"/>
        <v>0</v>
      </c>
    </row>
    <row r="52" spans="1:91" outlineLevel="1">
      <c r="A52" s="500"/>
      <c r="B52" s="516"/>
      <c r="C52" s="501"/>
      <c r="D52" s="1423">
        <v>302.101</v>
      </c>
      <c r="E52" s="1432"/>
      <c r="F52" s="1432"/>
      <c r="G52" s="501"/>
      <c r="H52" s="501"/>
      <c r="I52" s="501" t="s">
        <v>321</v>
      </c>
      <c r="J52" s="501"/>
      <c r="K52" s="547"/>
      <c r="L52" s="501"/>
      <c r="M52" s="517"/>
      <c r="N52" s="518"/>
      <c r="O52" s="504"/>
      <c r="P52" s="519"/>
      <c r="Q52" s="506"/>
      <c r="R52" s="506"/>
      <c r="S52" s="504"/>
      <c r="T52" s="507"/>
      <c r="U52" s="508"/>
      <c r="V52" s="508"/>
      <c r="W52" s="508"/>
      <c r="X52" s="508"/>
      <c r="Y52" s="508"/>
      <c r="Z52" s="508"/>
      <c r="AA52" s="508"/>
      <c r="AB52" s="508"/>
      <c r="AC52" s="508"/>
      <c r="AD52" s="508"/>
      <c r="AE52" s="509"/>
      <c r="AF52" s="559">
        <f t="shared" si="36"/>
        <v>0</v>
      </c>
      <c r="AG52" s="510"/>
      <c r="AH52" s="508"/>
      <c r="AI52" s="508"/>
      <c r="AJ52" s="508"/>
      <c r="AK52" s="508"/>
      <c r="AL52" s="508"/>
      <c r="AM52" s="508"/>
      <c r="AN52" s="508"/>
      <c r="AO52" s="508"/>
      <c r="AP52" s="508"/>
      <c r="AQ52" s="508"/>
      <c r="AR52" s="509"/>
      <c r="AS52" s="504">
        <f t="shared" si="37"/>
        <v>0</v>
      </c>
      <c r="AT52" s="510"/>
      <c r="AU52" s="508"/>
      <c r="AV52" s="508"/>
      <c r="AW52" s="508"/>
      <c r="AX52" s="508"/>
      <c r="AY52" s="508"/>
      <c r="AZ52" s="508"/>
      <c r="BA52" s="508"/>
      <c r="BB52" s="508"/>
      <c r="BC52" s="508"/>
      <c r="BD52" s="508"/>
      <c r="BE52" s="509"/>
      <c r="BF52" s="504">
        <f t="shared" si="38"/>
        <v>0</v>
      </c>
      <c r="BG52" s="510"/>
      <c r="BH52" s="508"/>
      <c r="BI52" s="508"/>
      <c r="BJ52" s="508"/>
      <c r="BK52" s="508"/>
      <c r="BL52" s="508"/>
      <c r="BM52" s="508"/>
      <c r="BN52" s="508"/>
      <c r="BO52" s="508"/>
      <c r="BP52" s="508"/>
      <c r="BQ52" s="508"/>
      <c r="BR52" s="509"/>
      <c r="BS52" s="504">
        <f t="shared" si="39"/>
        <v>0</v>
      </c>
      <c r="BT52" s="510"/>
      <c r="BU52" s="508"/>
      <c r="BV52" s="508"/>
      <c r="BW52" s="508"/>
      <c r="BX52" s="508"/>
      <c r="BY52" s="508"/>
      <c r="BZ52" s="508"/>
      <c r="CA52" s="508"/>
      <c r="CB52" s="508"/>
      <c r="CC52" s="508"/>
      <c r="CD52" s="508"/>
      <c r="CE52" s="509"/>
      <c r="CF52" s="504">
        <f t="shared" si="40"/>
        <v>0</v>
      </c>
      <c r="CG52" s="504"/>
      <c r="CH52" s="504">
        <f t="shared" si="41"/>
        <v>0</v>
      </c>
      <c r="CI52" s="504">
        <f t="shared" si="42"/>
        <v>0</v>
      </c>
      <c r="CJ52" s="504">
        <f t="shared" si="43"/>
        <v>0</v>
      </c>
      <c r="CK52" s="504">
        <f t="shared" si="44"/>
        <v>0</v>
      </c>
      <c r="CL52" s="504">
        <v>0</v>
      </c>
      <c r="CM52" s="504">
        <f t="shared" si="45"/>
        <v>0</v>
      </c>
    </row>
    <row r="53" spans="1:91" outlineLevel="1">
      <c r="A53" s="500"/>
      <c r="B53" s="516"/>
      <c r="C53" s="501"/>
      <c r="D53" s="1423">
        <f t="shared" ref="D53:D66" si="46">+D52+0.001</f>
        <v>302.10199999999998</v>
      </c>
      <c r="E53" s="1432"/>
      <c r="F53" s="1432"/>
      <c r="G53" s="501"/>
      <c r="H53" s="501"/>
      <c r="I53" s="501" t="s">
        <v>322</v>
      </c>
      <c r="J53" s="501"/>
      <c r="K53" s="547"/>
      <c r="L53" s="501"/>
      <c r="M53" s="517"/>
      <c r="N53" s="518"/>
      <c r="O53" s="504"/>
      <c r="P53" s="519"/>
      <c r="Q53" s="506">
        <v>35759</v>
      </c>
      <c r="R53" s="506">
        <v>38000</v>
      </c>
      <c r="S53" s="504"/>
      <c r="T53" s="507"/>
      <c r="U53" s="508"/>
      <c r="V53" s="508"/>
      <c r="W53" s="508"/>
      <c r="X53" s="508"/>
      <c r="Y53" s="508">
        <v>21623.5</v>
      </c>
      <c r="Z53" s="508">
        <v>11071.48</v>
      </c>
      <c r="AA53" s="508">
        <v>675</v>
      </c>
      <c r="AB53" s="508">
        <v>729</v>
      </c>
      <c r="AC53" s="508">
        <v>498</v>
      </c>
      <c r="AD53" s="508">
        <v>1162</v>
      </c>
      <c r="AE53" s="509">
        <v>2158</v>
      </c>
      <c r="AF53" s="559">
        <f t="shared" si="36"/>
        <v>37916.979999999996</v>
      </c>
      <c r="AG53" s="510"/>
      <c r="AH53" s="508">
        <v>83</v>
      </c>
      <c r="AI53" s="508"/>
      <c r="AJ53" s="508"/>
      <c r="AK53" s="508"/>
      <c r="AL53" s="508"/>
      <c r="AM53" s="508"/>
      <c r="AN53" s="508"/>
      <c r="AO53" s="508"/>
      <c r="AP53" s="508"/>
      <c r="AQ53" s="508"/>
      <c r="AR53" s="509"/>
      <c r="AS53" s="504">
        <f t="shared" si="37"/>
        <v>83</v>
      </c>
      <c r="AT53" s="510"/>
      <c r="AU53" s="508"/>
      <c r="AV53" s="508"/>
      <c r="AW53" s="508"/>
      <c r="AX53" s="508"/>
      <c r="AY53" s="508"/>
      <c r="AZ53" s="508"/>
      <c r="BA53" s="508"/>
      <c r="BB53" s="508"/>
      <c r="BC53" s="508"/>
      <c r="BD53" s="508"/>
      <c r="BE53" s="509"/>
      <c r="BF53" s="504">
        <f t="shared" si="38"/>
        <v>0</v>
      </c>
      <c r="BG53" s="510"/>
      <c r="BH53" s="508"/>
      <c r="BI53" s="508"/>
      <c r="BJ53" s="508"/>
      <c r="BK53" s="508"/>
      <c r="BL53" s="508"/>
      <c r="BM53" s="508"/>
      <c r="BN53" s="508"/>
      <c r="BO53" s="508"/>
      <c r="BP53" s="508"/>
      <c r="BQ53" s="508"/>
      <c r="BR53" s="509"/>
      <c r="BS53" s="504">
        <f t="shared" si="39"/>
        <v>0</v>
      </c>
      <c r="BT53" s="510"/>
      <c r="BU53" s="508"/>
      <c r="BV53" s="508"/>
      <c r="BW53" s="508"/>
      <c r="BX53" s="508"/>
      <c r="BY53" s="508"/>
      <c r="BZ53" s="508"/>
      <c r="CA53" s="508"/>
      <c r="CB53" s="508"/>
      <c r="CC53" s="508"/>
      <c r="CD53" s="508"/>
      <c r="CE53" s="509"/>
      <c r="CF53" s="504">
        <f t="shared" si="40"/>
        <v>0</v>
      </c>
      <c r="CG53" s="504"/>
      <c r="CH53" s="504">
        <f t="shared" si="41"/>
        <v>37999.979999999996</v>
      </c>
      <c r="CI53" s="504">
        <f t="shared" si="42"/>
        <v>0</v>
      </c>
      <c r="CJ53" s="504">
        <f t="shared" si="43"/>
        <v>37999.979999999996</v>
      </c>
      <c r="CK53" s="504">
        <f t="shared" si="44"/>
        <v>-2.0000000004074536E-2</v>
      </c>
      <c r="CL53" s="504">
        <v>37999.980000000003</v>
      </c>
      <c r="CM53" s="504">
        <f t="shared" si="45"/>
        <v>0</v>
      </c>
    </row>
    <row r="54" spans="1:91" outlineLevel="1">
      <c r="A54" s="500"/>
      <c r="B54" s="516"/>
      <c r="C54" s="501"/>
      <c r="D54" s="1423">
        <f t="shared" si="46"/>
        <v>302.10299999999995</v>
      </c>
      <c r="E54" s="1432"/>
      <c r="F54" s="1432"/>
      <c r="G54" s="501"/>
      <c r="H54" s="501"/>
      <c r="I54" s="501" t="s">
        <v>323</v>
      </c>
      <c r="J54" s="501"/>
      <c r="K54" s="547"/>
      <c r="L54" s="501"/>
      <c r="M54" s="517"/>
      <c r="N54" s="518"/>
      <c r="O54" s="504"/>
      <c r="P54" s="519"/>
      <c r="Q54" s="506"/>
      <c r="R54" s="506"/>
      <c r="S54" s="504"/>
      <c r="T54" s="507"/>
      <c r="U54" s="508"/>
      <c r="V54" s="508"/>
      <c r="W54" s="508"/>
      <c r="X54" s="508"/>
      <c r="Y54" s="508"/>
      <c r="Z54" s="508"/>
      <c r="AA54" s="508"/>
      <c r="AB54" s="508"/>
      <c r="AC54" s="508"/>
      <c r="AD54" s="508"/>
      <c r="AE54" s="509"/>
      <c r="AF54" s="559">
        <f t="shared" si="36"/>
        <v>0</v>
      </c>
      <c r="AG54" s="510"/>
      <c r="AH54" s="508"/>
      <c r="AI54" s="508"/>
      <c r="AJ54" s="508"/>
      <c r="AK54" s="508"/>
      <c r="AL54" s="508"/>
      <c r="AM54" s="508"/>
      <c r="AN54" s="508"/>
      <c r="AO54" s="508"/>
      <c r="AP54" s="508"/>
      <c r="AQ54" s="508"/>
      <c r="AR54" s="509"/>
      <c r="AS54" s="504">
        <f t="shared" si="37"/>
        <v>0</v>
      </c>
      <c r="AT54" s="510"/>
      <c r="AU54" s="508"/>
      <c r="AV54" s="508"/>
      <c r="AW54" s="508"/>
      <c r="AX54" s="508"/>
      <c r="AY54" s="508"/>
      <c r="AZ54" s="508"/>
      <c r="BA54" s="508"/>
      <c r="BB54" s="508"/>
      <c r="BC54" s="508"/>
      <c r="BD54" s="508"/>
      <c r="BE54" s="509"/>
      <c r="BF54" s="504">
        <f t="shared" si="38"/>
        <v>0</v>
      </c>
      <c r="BG54" s="510"/>
      <c r="BH54" s="508"/>
      <c r="BI54" s="508"/>
      <c r="BJ54" s="508"/>
      <c r="BK54" s="508"/>
      <c r="BL54" s="508"/>
      <c r="BM54" s="508"/>
      <c r="BN54" s="508"/>
      <c r="BO54" s="508"/>
      <c r="BP54" s="508"/>
      <c r="BQ54" s="508"/>
      <c r="BR54" s="509"/>
      <c r="BS54" s="504">
        <f t="shared" si="39"/>
        <v>0</v>
      </c>
      <c r="BT54" s="510"/>
      <c r="BU54" s="508"/>
      <c r="BV54" s="508"/>
      <c r="BW54" s="508"/>
      <c r="BX54" s="508"/>
      <c r="BY54" s="508"/>
      <c r="BZ54" s="508"/>
      <c r="CA54" s="508"/>
      <c r="CB54" s="508"/>
      <c r="CC54" s="508"/>
      <c r="CD54" s="508"/>
      <c r="CE54" s="509"/>
      <c r="CF54" s="504">
        <f t="shared" si="40"/>
        <v>0</v>
      </c>
      <c r="CG54" s="504"/>
      <c r="CH54" s="504">
        <f t="shared" si="41"/>
        <v>0</v>
      </c>
      <c r="CI54" s="504">
        <f t="shared" si="42"/>
        <v>0</v>
      </c>
      <c r="CJ54" s="504">
        <f t="shared" si="43"/>
        <v>0</v>
      </c>
      <c r="CK54" s="504">
        <f t="shared" si="44"/>
        <v>0</v>
      </c>
      <c r="CL54" s="504">
        <v>0</v>
      </c>
      <c r="CM54" s="504">
        <f t="shared" si="45"/>
        <v>0</v>
      </c>
    </row>
    <row r="55" spans="1:91" outlineLevel="1">
      <c r="A55" s="500"/>
      <c r="B55" s="516"/>
      <c r="C55" s="501"/>
      <c r="D55" s="1423">
        <f t="shared" si="46"/>
        <v>302.10399999999993</v>
      </c>
      <c r="E55" s="1432"/>
      <c r="F55" s="1432"/>
      <c r="G55" s="501"/>
      <c r="H55" s="501"/>
      <c r="I55" s="501" t="s">
        <v>324</v>
      </c>
      <c r="J55" s="501"/>
      <c r="K55" s="547"/>
      <c r="L55" s="501"/>
      <c r="M55" s="517"/>
      <c r="N55" s="518"/>
      <c r="O55" s="504"/>
      <c r="P55" s="519"/>
      <c r="Q55" s="506"/>
      <c r="R55" s="506"/>
      <c r="S55" s="504"/>
      <c r="T55" s="507"/>
      <c r="U55" s="508"/>
      <c r="V55" s="508"/>
      <c r="W55" s="508"/>
      <c r="X55" s="508"/>
      <c r="Y55" s="508"/>
      <c r="Z55" s="508"/>
      <c r="AA55" s="508"/>
      <c r="AB55" s="508"/>
      <c r="AC55" s="508"/>
      <c r="AD55" s="508"/>
      <c r="AE55" s="509"/>
      <c r="AF55" s="559">
        <f t="shared" si="36"/>
        <v>0</v>
      </c>
      <c r="AG55" s="510"/>
      <c r="AH55" s="508"/>
      <c r="AI55" s="508"/>
      <c r="AJ55" s="508"/>
      <c r="AK55" s="508"/>
      <c r="AL55" s="508"/>
      <c r="AM55" s="508"/>
      <c r="AN55" s="508"/>
      <c r="AO55" s="508"/>
      <c r="AP55" s="508"/>
      <c r="AQ55" s="508"/>
      <c r="AR55" s="509"/>
      <c r="AS55" s="504">
        <f t="shared" si="37"/>
        <v>0</v>
      </c>
      <c r="AT55" s="510"/>
      <c r="AU55" s="508"/>
      <c r="AV55" s="508"/>
      <c r="AW55" s="508"/>
      <c r="AX55" s="508"/>
      <c r="AY55" s="508"/>
      <c r="AZ55" s="508"/>
      <c r="BA55" s="508"/>
      <c r="BB55" s="508"/>
      <c r="BC55" s="508"/>
      <c r="BD55" s="508"/>
      <c r="BE55" s="509"/>
      <c r="BF55" s="504">
        <f t="shared" si="38"/>
        <v>0</v>
      </c>
      <c r="BG55" s="510"/>
      <c r="BH55" s="508"/>
      <c r="BI55" s="508"/>
      <c r="BJ55" s="508"/>
      <c r="BK55" s="508"/>
      <c r="BL55" s="508"/>
      <c r="BM55" s="508"/>
      <c r="BN55" s="508"/>
      <c r="BO55" s="508"/>
      <c r="BP55" s="508"/>
      <c r="BQ55" s="508"/>
      <c r="BR55" s="509"/>
      <c r="BS55" s="504">
        <f t="shared" si="39"/>
        <v>0</v>
      </c>
      <c r="BT55" s="510"/>
      <c r="BU55" s="508"/>
      <c r="BV55" s="508"/>
      <c r="BW55" s="508"/>
      <c r="BX55" s="508"/>
      <c r="BY55" s="508"/>
      <c r="BZ55" s="508"/>
      <c r="CA55" s="508"/>
      <c r="CB55" s="508"/>
      <c r="CC55" s="508"/>
      <c r="CD55" s="508"/>
      <c r="CE55" s="509"/>
      <c r="CF55" s="504">
        <f t="shared" si="40"/>
        <v>0</v>
      </c>
      <c r="CG55" s="504"/>
      <c r="CH55" s="504">
        <f t="shared" si="41"/>
        <v>0</v>
      </c>
      <c r="CI55" s="504">
        <f t="shared" si="42"/>
        <v>0</v>
      </c>
      <c r="CJ55" s="504">
        <f t="shared" si="43"/>
        <v>0</v>
      </c>
      <c r="CK55" s="504">
        <f t="shared" si="44"/>
        <v>0</v>
      </c>
      <c r="CL55" s="504">
        <v>0</v>
      </c>
      <c r="CM55" s="504">
        <f t="shared" si="45"/>
        <v>0</v>
      </c>
    </row>
    <row r="56" spans="1:91" outlineLevel="1">
      <c r="A56" s="500"/>
      <c r="B56" s="516"/>
      <c r="C56" s="501"/>
      <c r="D56" s="1423">
        <f t="shared" si="46"/>
        <v>302.1049999999999</v>
      </c>
      <c r="E56" s="1432"/>
      <c r="F56" s="1432"/>
      <c r="G56" s="501"/>
      <c r="H56" s="501"/>
      <c r="I56" s="501" t="s">
        <v>325</v>
      </c>
      <c r="J56" s="501"/>
      <c r="K56" s="547"/>
      <c r="L56" s="501"/>
      <c r="M56" s="517"/>
      <c r="N56" s="518">
        <v>6400003484</v>
      </c>
      <c r="O56" s="504">
        <v>20000</v>
      </c>
      <c r="P56" s="519" t="s">
        <v>326</v>
      </c>
      <c r="Q56" s="506">
        <v>5186</v>
      </c>
      <c r="R56" s="506">
        <v>5186</v>
      </c>
      <c r="S56" s="504"/>
      <c r="T56" s="507"/>
      <c r="U56" s="508"/>
      <c r="V56" s="508"/>
      <c r="W56" s="508"/>
      <c r="X56" s="508"/>
      <c r="Y56" s="508"/>
      <c r="Z56" s="508"/>
      <c r="AA56" s="508"/>
      <c r="AB56" s="508">
        <v>5186</v>
      </c>
      <c r="AC56" s="508"/>
      <c r="AD56" s="508"/>
      <c r="AE56" s="509"/>
      <c r="AF56" s="559">
        <f t="shared" si="36"/>
        <v>5186</v>
      </c>
      <c r="AG56" s="510"/>
      <c r="AH56" s="508"/>
      <c r="AI56" s="508"/>
      <c r="AJ56" s="508"/>
      <c r="AK56" s="508"/>
      <c r="AL56" s="508"/>
      <c r="AM56" s="508"/>
      <c r="AN56" s="508"/>
      <c r="AO56" s="508"/>
      <c r="AP56" s="508"/>
      <c r="AQ56" s="508"/>
      <c r="AR56" s="509"/>
      <c r="AS56" s="504">
        <f t="shared" si="37"/>
        <v>0</v>
      </c>
      <c r="AT56" s="510"/>
      <c r="AU56" s="508"/>
      <c r="AV56" s="508"/>
      <c r="AW56" s="508"/>
      <c r="AX56" s="508"/>
      <c r="AY56" s="508"/>
      <c r="AZ56" s="508"/>
      <c r="BA56" s="508"/>
      <c r="BB56" s="508"/>
      <c r="BC56" s="508"/>
      <c r="BD56" s="508"/>
      <c r="BE56" s="509"/>
      <c r="BF56" s="504">
        <f t="shared" si="38"/>
        <v>0</v>
      </c>
      <c r="BG56" s="510"/>
      <c r="BH56" s="508"/>
      <c r="BI56" s="508"/>
      <c r="BJ56" s="508"/>
      <c r="BK56" s="508"/>
      <c r="BL56" s="508"/>
      <c r="BM56" s="508"/>
      <c r="BN56" s="508"/>
      <c r="BO56" s="508"/>
      <c r="BP56" s="508"/>
      <c r="BQ56" s="508"/>
      <c r="BR56" s="509"/>
      <c r="BS56" s="504">
        <f t="shared" si="39"/>
        <v>0</v>
      </c>
      <c r="BT56" s="510"/>
      <c r="BU56" s="508"/>
      <c r="BV56" s="508"/>
      <c r="BW56" s="508"/>
      <c r="BX56" s="508"/>
      <c r="BY56" s="508"/>
      <c r="BZ56" s="508"/>
      <c r="CA56" s="508"/>
      <c r="CB56" s="508"/>
      <c r="CC56" s="508"/>
      <c r="CD56" s="508"/>
      <c r="CE56" s="509"/>
      <c r="CF56" s="504">
        <f t="shared" si="40"/>
        <v>0</v>
      </c>
      <c r="CG56" s="504"/>
      <c r="CH56" s="504">
        <f t="shared" si="41"/>
        <v>5186</v>
      </c>
      <c r="CI56" s="504">
        <f t="shared" si="42"/>
        <v>0</v>
      </c>
      <c r="CJ56" s="504">
        <f t="shared" si="43"/>
        <v>5186</v>
      </c>
      <c r="CK56" s="504">
        <f t="shared" si="44"/>
        <v>0</v>
      </c>
      <c r="CL56" s="504">
        <v>5186</v>
      </c>
      <c r="CM56" s="504">
        <f t="shared" si="45"/>
        <v>0</v>
      </c>
    </row>
    <row r="57" spans="1:91" outlineLevel="1">
      <c r="A57" s="500"/>
      <c r="B57" s="516"/>
      <c r="C57" s="501"/>
      <c r="D57" s="1423">
        <f t="shared" si="46"/>
        <v>302.10599999999988</v>
      </c>
      <c r="E57" s="1432"/>
      <c r="F57" s="1432"/>
      <c r="G57" s="501"/>
      <c r="H57" s="501"/>
      <c r="I57" s="501" t="s">
        <v>327</v>
      </c>
      <c r="J57" s="501"/>
      <c r="K57" s="547"/>
      <c r="L57" s="501"/>
      <c r="M57" s="517"/>
      <c r="N57" s="518">
        <v>6400001827</v>
      </c>
      <c r="O57" s="504">
        <v>800000</v>
      </c>
      <c r="P57" s="519" t="s">
        <v>314</v>
      </c>
      <c r="Q57" s="506">
        <v>22022</v>
      </c>
      <c r="R57" s="506">
        <v>22022</v>
      </c>
      <c r="S57" s="504"/>
      <c r="T57" s="507"/>
      <c r="U57" s="508">
        <v>11548.46</v>
      </c>
      <c r="V57" s="508">
        <v>4817.6400000000003</v>
      </c>
      <c r="W57" s="508"/>
      <c r="X57" s="508">
        <v>2465.8000000000002</v>
      </c>
      <c r="Y57" s="508"/>
      <c r="Z57" s="508"/>
      <c r="AA57" s="508">
        <v>2666.95</v>
      </c>
      <c r="AB57" s="508"/>
      <c r="AC57" s="508"/>
      <c r="AD57" s="508">
        <v>523.33000000000004</v>
      </c>
      <c r="AE57" s="509">
        <v>0</v>
      </c>
      <c r="AF57" s="559">
        <f t="shared" si="36"/>
        <v>22022.18</v>
      </c>
      <c r="AG57" s="510"/>
      <c r="AH57" s="508"/>
      <c r="AI57" s="508"/>
      <c r="AJ57" s="508"/>
      <c r="AK57" s="508"/>
      <c r="AL57" s="508"/>
      <c r="AM57" s="508"/>
      <c r="AN57" s="508"/>
      <c r="AO57" s="508"/>
      <c r="AP57" s="508"/>
      <c r="AQ57" s="508"/>
      <c r="AR57" s="509"/>
      <c r="AS57" s="504">
        <f t="shared" si="37"/>
        <v>0</v>
      </c>
      <c r="AT57" s="510"/>
      <c r="AU57" s="508"/>
      <c r="AV57" s="508"/>
      <c r="AW57" s="508"/>
      <c r="AX57" s="508"/>
      <c r="AY57" s="508"/>
      <c r="AZ57" s="508"/>
      <c r="BA57" s="508"/>
      <c r="BB57" s="508"/>
      <c r="BC57" s="508"/>
      <c r="BD57" s="508"/>
      <c r="BE57" s="509"/>
      <c r="BF57" s="504">
        <f t="shared" si="38"/>
        <v>0</v>
      </c>
      <c r="BG57" s="510"/>
      <c r="BH57" s="508"/>
      <c r="BI57" s="508"/>
      <c r="BJ57" s="508"/>
      <c r="BK57" s="508"/>
      <c r="BL57" s="508"/>
      <c r="BM57" s="508"/>
      <c r="BN57" s="508"/>
      <c r="BO57" s="508"/>
      <c r="BP57" s="508"/>
      <c r="BQ57" s="508"/>
      <c r="BR57" s="509"/>
      <c r="BS57" s="504">
        <f t="shared" si="39"/>
        <v>0</v>
      </c>
      <c r="BT57" s="510"/>
      <c r="BU57" s="508"/>
      <c r="BV57" s="508"/>
      <c r="BW57" s="508"/>
      <c r="BX57" s="508"/>
      <c r="BY57" s="508"/>
      <c r="BZ57" s="508"/>
      <c r="CA57" s="508"/>
      <c r="CB57" s="508"/>
      <c r="CC57" s="508"/>
      <c r="CD57" s="508"/>
      <c r="CE57" s="509"/>
      <c r="CF57" s="504">
        <f t="shared" si="40"/>
        <v>0</v>
      </c>
      <c r="CG57" s="504"/>
      <c r="CH57" s="504">
        <f t="shared" si="41"/>
        <v>22022.18</v>
      </c>
      <c r="CI57" s="504">
        <f t="shared" si="42"/>
        <v>0</v>
      </c>
      <c r="CJ57" s="504">
        <f t="shared" si="43"/>
        <v>22022.18</v>
      </c>
      <c r="CK57" s="504">
        <f t="shared" si="44"/>
        <v>0.18000000000029104</v>
      </c>
      <c r="CL57" s="504">
        <v>22022.18</v>
      </c>
      <c r="CM57" s="504">
        <f t="shared" si="45"/>
        <v>0</v>
      </c>
    </row>
    <row r="58" spans="1:91" outlineLevel="1">
      <c r="A58" s="500"/>
      <c r="B58" s="516"/>
      <c r="C58" s="501"/>
      <c r="D58" s="1423">
        <f t="shared" si="46"/>
        <v>302.10699999999986</v>
      </c>
      <c r="E58" s="1432"/>
      <c r="F58" s="1432"/>
      <c r="G58" s="501"/>
      <c r="H58" s="501"/>
      <c r="I58" s="501" t="s">
        <v>328</v>
      </c>
      <c r="J58" s="501"/>
      <c r="K58" s="547"/>
      <c r="L58" s="501"/>
      <c r="M58" s="517"/>
      <c r="N58" s="518">
        <v>6400002433</v>
      </c>
      <c r="O58" s="504">
        <v>210000</v>
      </c>
      <c r="P58" s="519" t="s">
        <v>314</v>
      </c>
      <c r="Q58" s="506">
        <v>2040</v>
      </c>
      <c r="R58" s="506">
        <v>2040</v>
      </c>
      <c r="S58" s="504"/>
      <c r="T58" s="507"/>
      <c r="U58" s="508"/>
      <c r="V58" s="508"/>
      <c r="W58" s="508">
        <v>2040</v>
      </c>
      <c r="X58" s="508"/>
      <c r="Y58" s="508"/>
      <c r="Z58" s="508"/>
      <c r="AA58" s="508"/>
      <c r="AB58" s="508"/>
      <c r="AC58" s="508"/>
      <c r="AD58" s="508"/>
      <c r="AE58" s="509"/>
      <c r="AF58" s="559">
        <f t="shared" si="36"/>
        <v>2040</v>
      </c>
      <c r="AG58" s="510"/>
      <c r="AH58" s="508"/>
      <c r="AI58" s="508"/>
      <c r="AJ58" s="508">
        <v>1700</v>
      </c>
      <c r="AK58" s="508"/>
      <c r="AL58" s="508"/>
      <c r="AM58" s="508"/>
      <c r="AN58" s="508"/>
      <c r="AO58" s="508"/>
      <c r="AP58" s="508"/>
      <c r="AQ58" s="508"/>
      <c r="AR58" s="509"/>
      <c r="AS58" s="504">
        <f t="shared" si="37"/>
        <v>1700</v>
      </c>
      <c r="AT58" s="510"/>
      <c r="AU58" s="508"/>
      <c r="AV58" s="508"/>
      <c r="AW58" s="508"/>
      <c r="AX58" s="508"/>
      <c r="AY58" s="508"/>
      <c r="AZ58" s="508"/>
      <c r="BA58" s="508"/>
      <c r="BB58" s="508"/>
      <c r="BC58" s="508"/>
      <c r="BD58" s="508"/>
      <c r="BE58" s="509"/>
      <c r="BF58" s="504">
        <f t="shared" si="38"/>
        <v>0</v>
      </c>
      <c r="BG58" s="510"/>
      <c r="BH58" s="508"/>
      <c r="BI58" s="508"/>
      <c r="BJ58" s="508"/>
      <c r="BK58" s="508"/>
      <c r="BL58" s="508"/>
      <c r="BM58" s="508"/>
      <c r="BN58" s="508"/>
      <c r="BO58" s="508"/>
      <c r="BP58" s="508"/>
      <c r="BQ58" s="508"/>
      <c r="BR58" s="509"/>
      <c r="BS58" s="504">
        <f t="shared" si="39"/>
        <v>0</v>
      </c>
      <c r="BT58" s="510"/>
      <c r="BU58" s="508"/>
      <c r="BV58" s="508"/>
      <c r="BW58" s="508"/>
      <c r="BX58" s="508"/>
      <c r="BY58" s="508"/>
      <c r="BZ58" s="508"/>
      <c r="CA58" s="508"/>
      <c r="CB58" s="508"/>
      <c r="CC58" s="508"/>
      <c r="CD58" s="508"/>
      <c r="CE58" s="509"/>
      <c r="CF58" s="504">
        <f t="shared" si="40"/>
        <v>0</v>
      </c>
      <c r="CG58" s="504"/>
      <c r="CH58" s="504">
        <f t="shared" si="41"/>
        <v>3740</v>
      </c>
      <c r="CI58" s="504">
        <f t="shared" si="42"/>
        <v>0</v>
      </c>
      <c r="CJ58" s="504">
        <f t="shared" si="43"/>
        <v>3740</v>
      </c>
      <c r="CK58" s="504">
        <f t="shared" si="44"/>
        <v>1700</v>
      </c>
      <c r="CL58" s="504">
        <v>3740</v>
      </c>
      <c r="CM58" s="504">
        <f t="shared" si="45"/>
        <v>0</v>
      </c>
    </row>
    <row r="59" spans="1:91" outlineLevel="1">
      <c r="A59" s="500"/>
      <c r="B59" s="516"/>
      <c r="C59" s="501"/>
      <c r="D59" s="1423">
        <f t="shared" si="46"/>
        <v>302.10799999999983</v>
      </c>
      <c r="E59" s="1432"/>
      <c r="F59" s="1432"/>
      <c r="G59" s="501"/>
      <c r="H59" s="501"/>
      <c r="I59" s="501" t="s">
        <v>329</v>
      </c>
      <c r="J59" s="501"/>
      <c r="K59" s="547"/>
      <c r="L59" s="501"/>
      <c r="M59" s="517"/>
      <c r="N59" s="518">
        <v>4600004941</v>
      </c>
      <c r="O59" s="504">
        <v>1034770</v>
      </c>
      <c r="P59" s="519" t="s">
        <v>314</v>
      </c>
      <c r="Q59" s="506">
        <v>7329</v>
      </c>
      <c r="R59" s="506">
        <v>14839</v>
      </c>
      <c r="S59" s="504"/>
      <c r="T59" s="507"/>
      <c r="U59" s="508">
        <v>5294</v>
      </c>
      <c r="V59" s="508">
        <v>1000</v>
      </c>
      <c r="W59" s="508"/>
      <c r="X59" s="508"/>
      <c r="Y59" s="508"/>
      <c r="Z59" s="508"/>
      <c r="AA59" s="508"/>
      <c r="AB59" s="508"/>
      <c r="AC59" s="508">
        <v>1035</v>
      </c>
      <c r="AD59" s="508"/>
      <c r="AE59" s="509">
        <f>570+4410</f>
        <v>4980</v>
      </c>
      <c r="AF59" s="559">
        <f t="shared" si="36"/>
        <v>12309</v>
      </c>
      <c r="AG59" s="510"/>
      <c r="AH59" s="508">
        <v>920</v>
      </c>
      <c r="AI59" s="508">
        <v>1610</v>
      </c>
      <c r="AJ59" s="508"/>
      <c r="AK59" s="508"/>
      <c r="AL59" s="508"/>
      <c r="AM59" s="508"/>
      <c r="AN59" s="508"/>
      <c r="AO59" s="508"/>
      <c r="AP59" s="508"/>
      <c r="AQ59" s="508"/>
      <c r="AR59" s="509"/>
      <c r="AS59" s="504">
        <f t="shared" si="37"/>
        <v>2530</v>
      </c>
      <c r="AT59" s="510"/>
      <c r="AU59" s="508"/>
      <c r="AV59" s="508"/>
      <c r="AW59" s="508"/>
      <c r="AX59" s="508"/>
      <c r="AY59" s="508"/>
      <c r="AZ59" s="508"/>
      <c r="BA59" s="508"/>
      <c r="BB59" s="508"/>
      <c r="BC59" s="508"/>
      <c r="BD59" s="508"/>
      <c r="BE59" s="509"/>
      <c r="BF59" s="504">
        <f t="shared" si="38"/>
        <v>0</v>
      </c>
      <c r="BG59" s="510"/>
      <c r="BH59" s="508"/>
      <c r="BI59" s="508"/>
      <c r="BJ59" s="508"/>
      <c r="BK59" s="508"/>
      <c r="BL59" s="508"/>
      <c r="BM59" s="508"/>
      <c r="BN59" s="508"/>
      <c r="BO59" s="508"/>
      <c r="BP59" s="508"/>
      <c r="BQ59" s="508"/>
      <c r="BR59" s="509"/>
      <c r="BS59" s="504">
        <f t="shared" si="39"/>
        <v>0</v>
      </c>
      <c r="BT59" s="510"/>
      <c r="BU59" s="508"/>
      <c r="BV59" s="508"/>
      <c r="BW59" s="508"/>
      <c r="BX59" s="508"/>
      <c r="BY59" s="508"/>
      <c r="BZ59" s="508"/>
      <c r="CA59" s="508"/>
      <c r="CB59" s="508"/>
      <c r="CC59" s="508"/>
      <c r="CD59" s="508"/>
      <c r="CE59" s="509"/>
      <c r="CF59" s="504">
        <f t="shared" si="40"/>
        <v>0</v>
      </c>
      <c r="CG59" s="504"/>
      <c r="CH59" s="504">
        <f t="shared" si="41"/>
        <v>14839</v>
      </c>
      <c r="CI59" s="504">
        <f t="shared" si="42"/>
        <v>0</v>
      </c>
      <c r="CJ59" s="504">
        <f t="shared" si="43"/>
        <v>14839</v>
      </c>
      <c r="CK59" s="504">
        <f t="shared" si="44"/>
        <v>0</v>
      </c>
      <c r="CL59" s="504">
        <v>14839</v>
      </c>
      <c r="CM59" s="504">
        <f t="shared" si="45"/>
        <v>0</v>
      </c>
    </row>
    <row r="60" spans="1:91" outlineLevel="1">
      <c r="A60" s="500"/>
      <c r="B60" s="516"/>
      <c r="C60" s="501"/>
      <c r="D60" s="1423">
        <f t="shared" si="46"/>
        <v>302.10899999999981</v>
      </c>
      <c r="E60" s="1432"/>
      <c r="F60" s="1432"/>
      <c r="G60" s="501"/>
      <c r="H60" s="501"/>
      <c r="I60" s="501" t="s">
        <v>330</v>
      </c>
      <c r="J60" s="501"/>
      <c r="K60" s="547"/>
      <c r="L60" s="501"/>
      <c r="M60" s="517"/>
      <c r="N60" s="518"/>
      <c r="O60" s="504"/>
      <c r="P60" s="519"/>
      <c r="Q60" s="506">
        <v>15957</v>
      </c>
      <c r="R60" s="506">
        <v>19852</v>
      </c>
      <c r="S60" s="504"/>
      <c r="T60" s="507"/>
      <c r="U60" s="508"/>
      <c r="V60" s="508"/>
      <c r="W60" s="508"/>
      <c r="X60" s="508"/>
      <c r="Y60" s="508">
        <v>9379.1</v>
      </c>
      <c r="Z60" s="508">
        <v>1135.03</v>
      </c>
      <c r="AA60" s="508"/>
      <c r="AB60" s="508">
        <v>3510.17</v>
      </c>
      <c r="AC60" s="508"/>
      <c r="AD60" s="508">
        <v>1932.44</v>
      </c>
      <c r="AE60" s="509"/>
      <c r="AF60" s="559">
        <f t="shared" si="36"/>
        <v>15956.740000000002</v>
      </c>
      <c r="AG60" s="510">
        <v>3895.12</v>
      </c>
      <c r="AH60" s="508"/>
      <c r="AI60" s="508"/>
      <c r="AJ60" s="508"/>
      <c r="AK60" s="508"/>
      <c r="AL60" s="508"/>
      <c r="AM60" s="508"/>
      <c r="AN60" s="508"/>
      <c r="AO60" s="508"/>
      <c r="AP60" s="508"/>
      <c r="AQ60" s="508"/>
      <c r="AR60" s="509"/>
      <c r="AS60" s="504">
        <f t="shared" si="37"/>
        <v>3895.12</v>
      </c>
      <c r="AT60" s="510"/>
      <c r="AU60" s="508"/>
      <c r="AV60" s="508"/>
      <c r="AW60" s="508"/>
      <c r="AX60" s="508"/>
      <c r="AY60" s="508"/>
      <c r="AZ60" s="508"/>
      <c r="BA60" s="508"/>
      <c r="BB60" s="508"/>
      <c r="BC60" s="508"/>
      <c r="BD60" s="508"/>
      <c r="BE60" s="509"/>
      <c r="BF60" s="504">
        <f t="shared" si="38"/>
        <v>0</v>
      </c>
      <c r="BG60" s="510"/>
      <c r="BH60" s="508"/>
      <c r="BI60" s="508"/>
      <c r="BJ60" s="508"/>
      <c r="BK60" s="508"/>
      <c r="BL60" s="508"/>
      <c r="BM60" s="508"/>
      <c r="BN60" s="508"/>
      <c r="BO60" s="508"/>
      <c r="BP60" s="508"/>
      <c r="BQ60" s="508"/>
      <c r="BR60" s="509"/>
      <c r="BS60" s="504">
        <f t="shared" si="39"/>
        <v>0</v>
      </c>
      <c r="BT60" s="510"/>
      <c r="BU60" s="508"/>
      <c r="BV60" s="508"/>
      <c r="BW60" s="508"/>
      <c r="BX60" s="508"/>
      <c r="BY60" s="508"/>
      <c r="BZ60" s="508"/>
      <c r="CA60" s="508"/>
      <c r="CB60" s="508"/>
      <c r="CC60" s="508"/>
      <c r="CD60" s="508"/>
      <c r="CE60" s="509"/>
      <c r="CF60" s="504">
        <f t="shared" si="40"/>
        <v>0</v>
      </c>
      <c r="CG60" s="504"/>
      <c r="CH60" s="504">
        <f t="shared" si="41"/>
        <v>19851.86</v>
      </c>
      <c r="CI60" s="504">
        <f t="shared" si="42"/>
        <v>0</v>
      </c>
      <c r="CJ60" s="504">
        <f t="shared" si="43"/>
        <v>19851.86</v>
      </c>
      <c r="CK60" s="504">
        <f t="shared" si="44"/>
        <v>-0.13999999999941792</v>
      </c>
      <c r="CL60" s="504">
        <v>19851.86</v>
      </c>
      <c r="CM60" s="504">
        <f t="shared" si="45"/>
        <v>0</v>
      </c>
    </row>
    <row r="61" spans="1:91" outlineLevel="1">
      <c r="A61" s="500"/>
      <c r="B61" s="516"/>
      <c r="C61" s="501"/>
      <c r="D61" s="1423">
        <f t="shared" si="46"/>
        <v>302.10999999999979</v>
      </c>
      <c r="E61" s="1432"/>
      <c r="F61" s="1432"/>
      <c r="G61" s="501"/>
      <c r="H61" s="501"/>
      <c r="I61" s="501" t="s">
        <v>331</v>
      </c>
      <c r="J61" s="501"/>
      <c r="K61" s="547"/>
      <c r="L61" s="501"/>
      <c r="M61" s="517"/>
      <c r="N61" s="518"/>
      <c r="O61" s="504"/>
      <c r="P61" s="519"/>
      <c r="Q61" s="506">
        <v>190</v>
      </c>
      <c r="R61" s="506">
        <v>190</v>
      </c>
      <c r="S61" s="504"/>
      <c r="T61" s="507"/>
      <c r="U61" s="508"/>
      <c r="V61" s="508">
        <v>190.12</v>
      </c>
      <c r="W61" s="508"/>
      <c r="X61" s="508"/>
      <c r="Y61" s="508"/>
      <c r="Z61" s="508"/>
      <c r="AA61" s="508"/>
      <c r="AB61" s="508"/>
      <c r="AC61" s="508"/>
      <c r="AD61" s="508"/>
      <c r="AE61" s="509"/>
      <c r="AF61" s="559">
        <f t="shared" si="36"/>
        <v>190.12</v>
      </c>
      <c r="AG61" s="510"/>
      <c r="AH61" s="508"/>
      <c r="AI61" s="508"/>
      <c r="AJ61" s="508"/>
      <c r="AK61" s="508"/>
      <c r="AL61" s="508"/>
      <c r="AM61" s="508"/>
      <c r="AN61" s="508"/>
      <c r="AO61" s="508"/>
      <c r="AP61" s="508"/>
      <c r="AQ61" s="508"/>
      <c r="AR61" s="509"/>
      <c r="AS61" s="504">
        <f t="shared" si="37"/>
        <v>0</v>
      </c>
      <c r="AT61" s="510"/>
      <c r="AU61" s="508"/>
      <c r="AV61" s="508"/>
      <c r="AW61" s="508"/>
      <c r="AX61" s="508"/>
      <c r="AY61" s="508"/>
      <c r="AZ61" s="508"/>
      <c r="BA61" s="508"/>
      <c r="BB61" s="508"/>
      <c r="BC61" s="508"/>
      <c r="BD61" s="508"/>
      <c r="BE61" s="509"/>
      <c r="BF61" s="504">
        <f t="shared" si="38"/>
        <v>0</v>
      </c>
      <c r="BG61" s="510"/>
      <c r="BH61" s="508"/>
      <c r="BI61" s="508"/>
      <c r="BJ61" s="508"/>
      <c r="BK61" s="508"/>
      <c r="BL61" s="508"/>
      <c r="BM61" s="508"/>
      <c r="BN61" s="508"/>
      <c r="BO61" s="508"/>
      <c r="BP61" s="508"/>
      <c r="BQ61" s="508"/>
      <c r="BR61" s="509"/>
      <c r="BS61" s="504">
        <f t="shared" si="39"/>
        <v>0</v>
      </c>
      <c r="BT61" s="510"/>
      <c r="BU61" s="508"/>
      <c r="BV61" s="508"/>
      <c r="BW61" s="508"/>
      <c r="BX61" s="508"/>
      <c r="BY61" s="508"/>
      <c r="BZ61" s="508"/>
      <c r="CA61" s="508"/>
      <c r="CB61" s="508"/>
      <c r="CC61" s="508"/>
      <c r="CD61" s="508"/>
      <c r="CE61" s="509"/>
      <c r="CF61" s="504">
        <f t="shared" si="40"/>
        <v>0</v>
      </c>
      <c r="CG61" s="504"/>
      <c r="CH61" s="504">
        <f t="shared" si="41"/>
        <v>190.12</v>
      </c>
      <c r="CI61" s="504">
        <f t="shared" si="42"/>
        <v>0</v>
      </c>
      <c r="CJ61" s="504">
        <f t="shared" si="43"/>
        <v>190.12</v>
      </c>
      <c r="CK61" s="504">
        <f t="shared" si="44"/>
        <v>0.12000000000000455</v>
      </c>
      <c r="CL61" s="504">
        <v>190.12</v>
      </c>
      <c r="CM61" s="504">
        <f t="shared" si="45"/>
        <v>0</v>
      </c>
    </row>
    <row r="62" spans="1:91" outlineLevel="1">
      <c r="A62" s="500"/>
      <c r="B62" s="516"/>
      <c r="C62" s="501"/>
      <c r="D62" s="1423">
        <f t="shared" si="46"/>
        <v>302.11099999999976</v>
      </c>
      <c r="E62" s="1432"/>
      <c r="F62" s="1432"/>
      <c r="G62" s="501"/>
      <c r="H62" s="501"/>
      <c r="I62" s="501" t="s">
        <v>332</v>
      </c>
      <c r="J62" s="501"/>
      <c r="K62" s="547"/>
      <c r="L62" s="501"/>
      <c r="M62" s="517"/>
      <c r="N62" s="518"/>
      <c r="O62" s="504"/>
      <c r="P62" s="519" t="s">
        <v>314</v>
      </c>
      <c r="Q62" s="506">
        <v>437</v>
      </c>
      <c r="R62" s="506">
        <v>1010</v>
      </c>
      <c r="S62" s="504"/>
      <c r="T62" s="507"/>
      <c r="U62" s="508"/>
      <c r="V62" s="508"/>
      <c r="W62" s="508"/>
      <c r="X62" s="508"/>
      <c r="Y62" s="508"/>
      <c r="Z62" s="508"/>
      <c r="AA62" s="508"/>
      <c r="AB62" s="508"/>
      <c r="AC62" s="508"/>
      <c r="AD62" s="508">
        <f>218.4+218.4</f>
        <v>436.8</v>
      </c>
      <c r="AE62" s="509">
        <f>382.2-218.4+509.6</f>
        <v>673.4</v>
      </c>
      <c r="AF62" s="559">
        <f t="shared" si="36"/>
        <v>1110.2</v>
      </c>
      <c r="AG62" s="510">
        <f>327.6-509.6+109.2</f>
        <v>-72.8</v>
      </c>
      <c r="AH62" s="508">
        <f>81.9-109.2</f>
        <v>-27.299999999999997</v>
      </c>
      <c r="AI62" s="508"/>
      <c r="AJ62" s="508"/>
      <c r="AK62" s="508"/>
      <c r="AL62" s="508"/>
      <c r="AM62" s="508"/>
      <c r="AN62" s="508"/>
      <c r="AO62" s="508"/>
      <c r="AP62" s="508"/>
      <c r="AQ62" s="508"/>
      <c r="AR62" s="509"/>
      <c r="AS62" s="504">
        <f t="shared" si="37"/>
        <v>-100.1</v>
      </c>
      <c r="AT62" s="510"/>
      <c r="AU62" s="508"/>
      <c r="AV62" s="508"/>
      <c r="AW62" s="508"/>
      <c r="AX62" s="508"/>
      <c r="AY62" s="508"/>
      <c r="AZ62" s="508"/>
      <c r="BA62" s="508"/>
      <c r="BB62" s="508"/>
      <c r="BC62" s="508"/>
      <c r="BD62" s="508"/>
      <c r="BE62" s="509"/>
      <c r="BF62" s="504">
        <f t="shared" si="38"/>
        <v>0</v>
      </c>
      <c r="BG62" s="510"/>
      <c r="BH62" s="508"/>
      <c r="BI62" s="508"/>
      <c r="BJ62" s="508"/>
      <c r="BK62" s="508"/>
      <c r="BL62" s="508"/>
      <c r="BM62" s="508"/>
      <c r="BN62" s="508"/>
      <c r="BO62" s="508"/>
      <c r="BP62" s="508"/>
      <c r="BQ62" s="508"/>
      <c r="BR62" s="509"/>
      <c r="BS62" s="504">
        <f t="shared" si="39"/>
        <v>0</v>
      </c>
      <c r="BT62" s="510"/>
      <c r="BU62" s="508"/>
      <c r="BV62" s="508"/>
      <c r="BW62" s="508"/>
      <c r="BX62" s="508"/>
      <c r="BY62" s="508"/>
      <c r="BZ62" s="508"/>
      <c r="CA62" s="508"/>
      <c r="CB62" s="508"/>
      <c r="CC62" s="508"/>
      <c r="CD62" s="508"/>
      <c r="CE62" s="509"/>
      <c r="CF62" s="504">
        <f t="shared" si="40"/>
        <v>0</v>
      </c>
      <c r="CG62" s="504"/>
      <c r="CH62" s="504">
        <f t="shared" si="41"/>
        <v>1010.1000000000001</v>
      </c>
      <c r="CI62" s="504">
        <f t="shared" si="42"/>
        <v>0</v>
      </c>
      <c r="CJ62" s="504">
        <f t="shared" si="43"/>
        <v>1010.1000000000001</v>
      </c>
      <c r="CK62" s="504">
        <f t="shared" si="44"/>
        <v>0.10000000000013642</v>
      </c>
      <c r="CL62" s="504">
        <v>1010.1</v>
      </c>
      <c r="CM62" s="504">
        <f t="shared" si="45"/>
        <v>0</v>
      </c>
    </row>
    <row r="63" spans="1:91" outlineLevel="1">
      <c r="A63" s="500"/>
      <c r="B63" s="516"/>
      <c r="C63" s="501"/>
      <c r="D63" s="1423">
        <f t="shared" si="46"/>
        <v>302.11199999999974</v>
      </c>
      <c r="E63" s="1432"/>
      <c r="F63" s="1432"/>
      <c r="G63" s="501"/>
      <c r="H63" s="501"/>
      <c r="I63" s="501" t="s">
        <v>333</v>
      </c>
      <c r="J63" s="501"/>
      <c r="K63" s="547"/>
      <c r="L63" s="501"/>
      <c r="M63" s="517"/>
      <c r="N63" s="518"/>
      <c r="O63" s="504"/>
      <c r="P63" s="519"/>
      <c r="Q63" s="506"/>
      <c r="R63" s="506">
        <v>176</v>
      </c>
      <c r="S63" s="504"/>
      <c r="T63" s="507"/>
      <c r="U63" s="508"/>
      <c r="V63" s="508"/>
      <c r="W63" s="508"/>
      <c r="X63" s="508"/>
      <c r="Y63" s="508"/>
      <c r="Z63" s="508"/>
      <c r="AA63" s="508"/>
      <c r="AB63" s="508"/>
      <c r="AC63" s="508"/>
      <c r="AD63" s="508"/>
      <c r="AE63" s="509"/>
      <c r="AF63" s="559">
        <f t="shared" si="36"/>
        <v>0</v>
      </c>
      <c r="AG63" s="510"/>
      <c r="AH63" s="508">
        <v>176.25</v>
      </c>
      <c r="AI63" s="508"/>
      <c r="AJ63" s="508"/>
      <c r="AK63" s="508"/>
      <c r="AL63" s="508"/>
      <c r="AM63" s="508"/>
      <c r="AN63" s="508"/>
      <c r="AO63" s="508"/>
      <c r="AP63" s="508"/>
      <c r="AQ63" s="508"/>
      <c r="AR63" s="509"/>
      <c r="AS63" s="504">
        <f t="shared" si="37"/>
        <v>176.25</v>
      </c>
      <c r="AT63" s="510"/>
      <c r="AU63" s="508"/>
      <c r="AV63" s="508"/>
      <c r="AW63" s="508"/>
      <c r="AX63" s="508"/>
      <c r="AY63" s="508"/>
      <c r="AZ63" s="508"/>
      <c r="BA63" s="508"/>
      <c r="BB63" s="508"/>
      <c r="BC63" s="508"/>
      <c r="BD63" s="508"/>
      <c r="BE63" s="509"/>
      <c r="BF63" s="504">
        <f t="shared" si="38"/>
        <v>0</v>
      </c>
      <c r="BG63" s="510"/>
      <c r="BH63" s="508"/>
      <c r="BI63" s="508"/>
      <c r="BJ63" s="508"/>
      <c r="BK63" s="508"/>
      <c r="BL63" s="508"/>
      <c r="BM63" s="508"/>
      <c r="BN63" s="508"/>
      <c r="BO63" s="508"/>
      <c r="BP63" s="508"/>
      <c r="BQ63" s="508"/>
      <c r="BR63" s="509"/>
      <c r="BS63" s="504">
        <f t="shared" si="39"/>
        <v>0</v>
      </c>
      <c r="BT63" s="510"/>
      <c r="BU63" s="508"/>
      <c r="BV63" s="508"/>
      <c r="BW63" s="508"/>
      <c r="BX63" s="508"/>
      <c r="BY63" s="508"/>
      <c r="BZ63" s="508"/>
      <c r="CA63" s="508"/>
      <c r="CB63" s="508"/>
      <c r="CC63" s="508"/>
      <c r="CD63" s="508"/>
      <c r="CE63" s="509"/>
      <c r="CF63" s="504">
        <f t="shared" si="40"/>
        <v>0</v>
      </c>
      <c r="CG63" s="504"/>
      <c r="CH63" s="504">
        <f t="shared" si="41"/>
        <v>176.25</v>
      </c>
      <c r="CI63" s="504">
        <f t="shared" si="42"/>
        <v>0</v>
      </c>
      <c r="CJ63" s="504">
        <f t="shared" si="43"/>
        <v>176.25</v>
      </c>
      <c r="CK63" s="504">
        <f t="shared" si="44"/>
        <v>0.25</v>
      </c>
      <c r="CL63" s="504">
        <v>176.25</v>
      </c>
      <c r="CM63" s="504">
        <f t="shared" si="45"/>
        <v>0</v>
      </c>
    </row>
    <row r="64" spans="1:91" outlineLevel="1">
      <c r="A64" s="500"/>
      <c r="B64" s="516"/>
      <c r="C64" s="501"/>
      <c r="D64" s="1423">
        <f t="shared" si="46"/>
        <v>302.11299999999972</v>
      </c>
      <c r="E64" s="1432"/>
      <c r="F64" s="1432"/>
      <c r="G64" s="501"/>
      <c r="H64" s="501"/>
      <c r="I64" s="501" t="s">
        <v>334</v>
      </c>
      <c r="J64" s="501"/>
      <c r="K64" s="547"/>
      <c r="L64" s="501"/>
      <c r="M64" s="517"/>
      <c r="N64" s="518"/>
      <c r="O64" s="504"/>
      <c r="P64" s="519"/>
      <c r="Q64" s="506"/>
      <c r="R64" s="506">
        <v>325</v>
      </c>
      <c r="S64" s="504"/>
      <c r="T64" s="507"/>
      <c r="U64" s="508"/>
      <c r="V64" s="508"/>
      <c r="W64" s="508"/>
      <c r="X64" s="508"/>
      <c r="Y64" s="508"/>
      <c r="Z64" s="508"/>
      <c r="AA64" s="508"/>
      <c r="AB64" s="508"/>
      <c r="AC64" s="508"/>
      <c r="AD64" s="508"/>
      <c r="AE64" s="509"/>
      <c r="AF64" s="559">
        <f t="shared" si="36"/>
        <v>0</v>
      </c>
      <c r="AG64" s="510"/>
      <c r="AH64" s="508"/>
      <c r="AI64" s="508">
        <v>325</v>
      </c>
      <c r="AJ64" s="508"/>
      <c r="AK64" s="508"/>
      <c r="AL64" s="508"/>
      <c r="AM64" s="508"/>
      <c r="AN64" s="508"/>
      <c r="AO64" s="508"/>
      <c r="AP64" s="508"/>
      <c r="AQ64" s="508"/>
      <c r="AR64" s="509"/>
      <c r="AS64" s="504">
        <f t="shared" si="37"/>
        <v>325</v>
      </c>
      <c r="AT64" s="510"/>
      <c r="AU64" s="508"/>
      <c r="AV64" s="508"/>
      <c r="AW64" s="508"/>
      <c r="AX64" s="508"/>
      <c r="AY64" s="508"/>
      <c r="AZ64" s="508"/>
      <c r="BA64" s="508"/>
      <c r="BB64" s="508"/>
      <c r="BC64" s="508"/>
      <c r="BD64" s="508"/>
      <c r="BE64" s="509"/>
      <c r="BF64" s="504">
        <f t="shared" si="38"/>
        <v>0</v>
      </c>
      <c r="BG64" s="510"/>
      <c r="BH64" s="508"/>
      <c r="BI64" s="508"/>
      <c r="BJ64" s="508"/>
      <c r="BK64" s="508"/>
      <c r="BL64" s="508"/>
      <c r="BM64" s="508"/>
      <c r="BN64" s="508"/>
      <c r="BO64" s="508"/>
      <c r="BP64" s="508"/>
      <c r="BQ64" s="508"/>
      <c r="BR64" s="509"/>
      <c r="BS64" s="504">
        <f t="shared" si="39"/>
        <v>0</v>
      </c>
      <c r="BT64" s="510"/>
      <c r="BU64" s="508"/>
      <c r="BV64" s="508"/>
      <c r="BW64" s="508"/>
      <c r="BX64" s="508"/>
      <c r="BY64" s="508"/>
      <c r="BZ64" s="508"/>
      <c r="CA64" s="508"/>
      <c r="CB64" s="508"/>
      <c r="CC64" s="508"/>
      <c r="CD64" s="508"/>
      <c r="CE64" s="509"/>
      <c r="CF64" s="504">
        <f t="shared" si="40"/>
        <v>0</v>
      </c>
      <c r="CG64" s="504"/>
      <c r="CH64" s="504">
        <f t="shared" si="41"/>
        <v>325</v>
      </c>
      <c r="CI64" s="504">
        <f t="shared" si="42"/>
        <v>0</v>
      </c>
      <c r="CJ64" s="504">
        <f t="shared" si="43"/>
        <v>325</v>
      </c>
      <c r="CK64" s="504">
        <f t="shared" si="44"/>
        <v>0</v>
      </c>
      <c r="CL64" s="504">
        <v>325</v>
      </c>
      <c r="CM64" s="504">
        <f t="shared" si="45"/>
        <v>0</v>
      </c>
    </row>
    <row r="65" spans="1:93" outlineLevel="1">
      <c r="A65" s="500"/>
      <c r="B65" s="516"/>
      <c r="C65" s="501"/>
      <c r="D65" s="1423">
        <f t="shared" si="46"/>
        <v>302.11399999999969</v>
      </c>
      <c r="E65" s="1432"/>
      <c r="F65" s="1432"/>
      <c r="G65" s="501"/>
      <c r="H65" s="501"/>
      <c r="I65" s="501" t="s">
        <v>335</v>
      </c>
      <c r="J65" s="501"/>
      <c r="K65" s="547"/>
      <c r="L65" s="501"/>
      <c r="M65" s="517"/>
      <c r="N65" s="518"/>
      <c r="O65" s="504"/>
      <c r="P65" s="519"/>
      <c r="Q65" s="506"/>
      <c r="R65" s="506">
        <v>8953</v>
      </c>
      <c r="S65" s="504"/>
      <c r="T65" s="507"/>
      <c r="U65" s="508"/>
      <c r="V65" s="508"/>
      <c r="W65" s="508"/>
      <c r="X65" s="508"/>
      <c r="Y65" s="508"/>
      <c r="Z65" s="508"/>
      <c r="AA65" s="508"/>
      <c r="AB65" s="508"/>
      <c r="AC65" s="508"/>
      <c r="AD65" s="508"/>
      <c r="AE65" s="509"/>
      <c r="AF65" s="559">
        <f t="shared" si="36"/>
        <v>0</v>
      </c>
      <c r="AG65" s="510"/>
      <c r="AH65" s="508"/>
      <c r="AI65" s="508">
        <v>8952.77</v>
      </c>
      <c r="AJ65" s="508"/>
      <c r="AK65" s="508"/>
      <c r="AL65" s="508"/>
      <c r="AM65" s="508"/>
      <c r="AN65" s="508"/>
      <c r="AO65" s="508"/>
      <c r="AP65" s="508"/>
      <c r="AQ65" s="508"/>
      <c r="AR65" s="509"/>
      <c r="AS65" s="504">
        <f t="shared" si="37"/>
        <v>8952.77</v>
      </c>
      <c r="AT65" s="510"/>
      <c r="AU65" s="508"/>
      <c r="AV65" s="508"/>
      <c r="AW65" s="508"/>
      <c r="AX65" s="508"/>
      <c r="AY65" s="508"/>
      <c r="AZ65" s="508"/>
      <c r="BA65" s="508"/>
      <c r="BB65" s="508"/>
      <c r="BC65" s="508"/>
      <c r="BD65" s="508"/>
      <c r="BE65" s="509"/>
      <c r="BF65" s="504">
        <f t="shared" si="38"/>
        <v>0</v>
      </c>
      <c r="BG65" s="510"/>
      <c r="BH65" s="508"/>
      <c r="BI65" s="508"/>
      <c r="BJ65" s="508"/>
      <c r="BK65" s="508"/>
      <c r="BL65" s="508"/>
      <c r="BM65" s="508"/>
      <c r="BN65" s="508"/>
      <c r="BO65" s="508"/>
      <c r="BP65" s="508"/>
      <c r="BQ65" s="508"/>
      <c r="BR65" s="509"/>
      <c r="BS65" s="504">
        <f t="shared" si="39"/>
        <v>0</v>
      </c>
      <c r="BT65" s="510"/>
      <c r="BU65" s="508"/>
      <c r="BV65" s="508"/>
      <c r="BW65" s="508"/>
      <c r="BX65" s="508"/>
      <c r="BY65" s="508"/>
      <c r="BZ65" s="508"/>
      <c r="CA65" s="508"/>
      <c r="CB65" s="508"/>
      <c r="CC65" s="508"/>
      <c r="CD65" s="508"/>
      <c r="CE65" s="509"/>
      <c r="CF65" s="504">
        <f t="shared" si="40"/>
        <v>0</v>
      </c>
      <c r="CG65" s="504"/>
      <c r="CH65" s="504">
        <f t="shared" si="41"/>
        <v>8952.77</v>
      </c>
      <c r="CI65" s="504">
        <f t="shared" si="42"/>
        <v>0</v>
      </c>
      <c r="CJ65" s="504">
        <f t="shared" si="43"/>
        <v>8952.77</v>
      </c>
      <c r="CK65" s="504">
        <f t="shared" si="44"/>
        <v>-0.22999999999956344</v>
      </c>
      <c r="CL65" s="504">
        <v>8952.77</v>
      </c>
      <c r="CM65" s="504">
        <f t="shared" si="45"/>
        <v>0</v>
      </c>
    </row>
    <row r="66" spans="1:93" outlineLevel="1">
      <c r="A66" s="500"/>
      <c r="B66" s="516"/>
      <c r="C66" s="501"/>
      <c r="D66" s="1423">
        <f t="shared" si="46"/>
        <v>302.11499999999967</v>
      </c>
      <c r="E66" s="1432"/>
      <c r="F66" s="1432"/>
      <c r="G66" s="501"/>
      <c r="H66" s="501"/>
      <c r="I66" s="501" t="s">
        <v>336</v>
      </c>
      <c r="J66" s="501"/>
      <c r="K66" s="547"/>
      <c r="L66" s="501"/>
      <c r="M66" s="517"/>
      <c r="N66" s="518"/>
      <c r="O66" s="504"/>
      <c r="P66" s="519"/>
      <c r="Q66" s="506"/>
      <c r="R66" s="506">
        <v>2680</v>
      </c>
      <c r="S66" s="504"/>
      <c r="T66" s="507"/>
      <c r="U66" s="508"/>
      <c r="V66" s="508"/>
      <c r="W66" s="508"/>
      <c r="X66" s="508"/>
      <c r="Y66" s="508"/>
      <c r="Z66" s="508"/>
      <c r="AA66" s="508"/>
      <c r="AB66" s="508"/>
      <c r="AC66" s="508"/>
      <c r="AD66" s="508"/>
      <c r="AE66" s="509"/>
      <c r="AF66" s="559">
        <f t="shared" si="36"/>
        <v>0</v>
      </c>
      <c r="AG66" s="510"/>
      <c r="AH66" s="508"/>
      <c r="AI66" s="508">
        <v>2680</v>
      </c>
      <c r="AJ66" s="508"/>
      <c r="AK66" s="508"/>
      <c r="AL66" s="508"/>
      <c r="AM66" s="508"/>
      <c r="AN66" s="508"/>
      <c r="AO66" s="508"/>
      <c r="AP66" s="508"/>
      <c r="AQ66" s="508"/>
      <c r="AR66" s="509"/>
      <c r="AS66" s="504">
        <f t="shared" si="37"/>
        <v>2680</v>
      </c>
      <c r="AT66" s="510"/>
      <c r="AU66" s="508"/>
      <c r="AV66" s="508"/>
      <c r="AW66" s="508"/>
      <c r="AX66" s="508"/>
      <c r="AY66" s="508"/>
      <c r="AZ66" s="508"/>
      <c r="BA66" s="508"/>
      <c r="BB66" s="508"/>
      <c r="BC66" s="508"/>
      <c r="BD66" s="508"/>
      <c r="BE66" s="509"/>
      <c r="BF66" s="504">
        <f t="shared" si="38"/>
        <v>0</v>
      </c>
      <c r="BG66" s="510"/>
      <c r="BH66" s="508"/>
      <c r="BI66" s="508"/>
      <c r="BJ66" s="508"/>
      <c r="BK66" s="508"/>
      <c r="BL66" s="508"/>
      <c r="BM66" s="508"/>
      <c r="BN66" s="508"/>
      <c r="BO66" s="508"/>
      <c r="BP66" s="508"/>
      <c r="BQ66" s="508"/>
      <c r="BR66" s="509"/>
      <c r="BS66" s="504">
        <f t="shared" si="39"/>
        <v>0</v>
      </c>
      <c r="BT66" s="510"/>
      <c r="BU66" s="508"/>
      <c r="BV66" s="508"/>
      <c r="BW66" s="508"/>
      <c r="BX66" s="508"/>
      <c r="BY66" s="508"/>
      <c r="BZ66" s="508"/>
      <c r="CA66" s="508"/>
      <c r="CB66" s="508"/>
      <c r="CC66" s="508"/>
      <c r="CD66" s="508"/>
      <c r="CE66" s="509"/>
      <c r="CF66" s="504">
        <f t="shared" si="40"/>
        <v>0</v>
      </c>
      <c r="CG66" s="504"/>
      <c r="CH66" s="504">
        <f t="shared" si="41"/>
        <v>2680</v>
      </c>
      <c r="CI66" s="504">
        <f t="shared" si="42"/>
        <v>0</v>
      </c>
      <c r="CJ66" s="504">
        <f t="shared" si="43"/>
        <v>2680</v>
      </c>
      <c r="CK66" s="504">
        <f t="shared" si="44"/>
        <v>0</v>
      </c>
      <c r="CL66" s="504">
        <v>2680</v>
      </c>
      <c r="CM66" s="504">
        <f t="shared" si="45"/>
        <v>0</v>
      </c>
    </row>
    <row r="67" spans="1:93" outlineLevel="1">
      <c r="A67" s="500"/>
      <c r="B67" s="516"/>
      <c r="C67" s="588"/>
      <c r="D67" s="588"/>
      <c r="E67" s="525"/>
      <c r="F67" s="501"/>
      <c r="G67" s="501"/>
      <c r="H67" s="501"/>
      <c r="I67" s="501"/>
      <c r="J67" s="547"/>
      <c r="K67" s="547"/>
      <c r="L67" s="501"/>
      <c r="M67" s="502"/>
      <c r="N67" s="503"/>
      <c r="O67" s="504"/>
      <c r="P67" s="505"/>
      <c r="Q67" s="506">
        <v>0</v>
      </c>
      <c r="R67" s="506">
        <v>0</v>
      </c>
      <c r="S67" s="504"/>
      <c r="T67" s="507"/>
      <c r="U67" s="508"/>
      <c r="V67" s="508"/>
      <c r="W67" s="508"/>
      <c r="X67" s="508"/>
      <c r="Y67" s="508"/>
      <c r="Z67" s="508"/>
      <c r="AA67" s="508"/>
      <c r="AB67" s="508"/>
      <c r="AC67" s="508"/>
      <c r="AD67" s="508"/>
      <c r="AE67" s="509"/>
      <c r="AF67" s="559">
        <f t="shared" si="36"/>
        <v>0</v>
      </c>
      <c r="AG67" s="510"/>
      <c r="AH67" s="508"/>
      <c r="AI67" s="508"/>
      <c r="AJ67" s="508"/>
      <c r="AK67" s="508"/>
      <c r="AL67" s="508"/>
      <c r="AM67" s="508"/>
      <c r="AN67" s="508"/>
      <c r="AO67" s="508"/>
      <c r="AP67" s="508"/>
      <c r="AQ67" s="508"/>
      <c r="AR67" s="509"/>
      <c r="AS67" s="504">
        <f t="shared" si="37"/>
        <v>0</v>
      </c>
      <c r="AT67" s="510"/>
      <c r="AU67" s="508"/>
      <c r="AV67" s="508"/>
      <c r="AW67" s="508"/>
      <c r="AX67" s="508"/>
      <c r="AY67" s="508"/>
      <c r="AZ67" s="508"/>
      <c r="BA67" s="508"/>
      <c r="BB67" s="508"/>
      <c r="BC67" s="508"/>
      <c r="BD67" s="508"/>
      <c r="BE67" s="509"/>
      <c r="BF67" s="504">
        <f t="shared" si="38"/>
        <v>0</v>
      </c>
      <c r="BG67" s="510"/>
      <c r="BH67" s="508"/>
      <c r="BI67" s="508"/>
      <c r="BJ67" s="508"/>
      <c r="BK67" s="508"/>
      <c r="BL67" s="508"/>
      <c r="BM67" s="508"/>
      <c r="BN67" s="508"/>
      <c r="BO67" s="508"/>
      <c r="BP67" s="508"/>
      <c r="BQ67" s="508"/>
      <c r="BR67" s="509"/>
      <c r="BS67" s="504">
        <f t="shared" si="39"/>
        <v>0</v>
      </c>
      <c r="BT67" s="510"/>
      <c r="BU67" s="508"/>
      <c r="BV67" s="508"/>
      <c r="BW67" s="508"/>
      <c r="BX67" s="508"/>
      <c r="BY67" s="508"/>
      <c r="BZ67" s="508"/>
      <c r="CA67" s="508"/>
      <c r="CB67" s="508"/>
      <c r="CC67" s="508"/>
      <c r="CD67" s="508"/>
      <c r="CE67" s="509"/>
      <c r="CF67" s="504">
        <f t="shared" si="40"/>
        <v>0</v>
      </c>
      <c r="CG67" s="504"/>
      <c r="CH67" s="504">
        <f t="shared" si="41"/>
        <v>0</v>
      </c>
      <c r="CI67" s="504">
        <f t="shared" si="42"/>
        <v>0</v>
      </c>
      <c r="CJ67" s="504">
        <f t="shared" si="43"/>
        <v>0</v>
      </c>
      <c r="CK67" s="504">
        <f t="shared" si="44"/>
        <v>0</v>
      </c>
      <c r="CL67" s="504">
        <v>0</v>
      </c>
      <c r="CM67" s="504">
        <f t="shared" si="45"/>
        <v>0</v>
      </c>
    </row>
    <row r="68" spans="1:93" outlineLevel="1">
      <c r="A68" s="500"/>
      <c r="B68" s="1423">
        <v>303</v>
      </c>
      <c r="C68" s="1424"/>
      <c r="D68" s="1424"/>
      <c r="E68" s="525"/>
      <c r="F68" s="501"/>
      <c r="G68" s="501" t="s">
        <v>337</v>
      </c>
      <c r="H68" s="501"/>
      <c r="I68" s="501"/>
      <c r="J68" s="501"/>
      <c r="K68" s="501"/>
      <c r="L68" s="501" t="s">
        <v>338</v>
      </c>
      <c r="M68" s="589"/>
      <c r="N68" s="590"/>
      <c r="O68" s="566"/>
      <c r="P68" s="591"/>
      <c r="Q68" s="568">
        <v>0</v>
      </c>
      <c r="R68" s="568">
        <v>0</v>
      </c>
      <c r="S68" s="504"/>
      <c r="T68" s="507"/>
      <c r="U68" s="508"/>
      <c r="V68" s="508"/>
      <c r="W68" s="508"/>
      <c r="X68" s="508"/>
      <c r="Y68" s="508"/>
      <c r="Z68" s="508"/>
      <c r="AA68" s="508"/>
      <c r="AB68" s="508"/>
      <c r="AC68" s="508"/>
      <c r="AD68" s="508"/>
      <c r="AE68" s="509"/>
      <c r="AF68" s="559">
        <f t="shared" si="36"/>
        <v>0</v>
      </c>
      <c r="AG68" s="510"/>
      <c r="AH68" s="508"/>
      <c r="AI68" s="508"/>
      <c r="AJ68" s="508"/>
      <c r="AK68" s="508"/>
      <c r="AL68" s="508"/>
      <c r="AM68" s="508"/>
      <c r="AN68" s="508"/>
      <c r="AO68" s="508"/>
      <c r="AP68" s="508"/>
      <c r="AQ68" s="508"/>
      <c r="AR68" s="509"/>
      <c r="AS68" s="504">
        <f t="shared" si="37"/>
        <v>0</v>
      </c>
      <c r="AT68" s="510"/>
      <c r="AU68" s="508"/>
      <c r="AV68" s="508"/>
      <c r="AW68" s="508"/>
      <c r="AX68" s="508"/>
      <c r="AY68" s="508"/>
      <c r="AZ68" s="508"/>
      <c r="BA68" s="508"/>
      <c r="BB68" s="508"/>
      <c r="BC68" s="508"/>
      <c r="BD68" s="508"/>
      <c r="BE68" s="509"/>
      <c r="BF68" s="504">
        <f t="shared" si="38"/>
        <v>0</v>
      </c>
      <c r="BG68" s="510"/>
      <c r="BH68" s="508"/>
      <c r="BI68" s="508"/>
      <c r="BJ68" s="508"/>
      <c r="BK68" s="508"/>
      <c r="BL68" s="508"/>
      <c r="BM68" s="508"/>
      <c r="BN68" s="508"/>
      <c r="BO68" s="508"/>
      <c r="BP68" s="508"/>
      <c r="BQ68" s="508"/>
      <c r="BR68" s="509"/>
      <c r="BS68" s="504">
        <f t="shared" si="39"/>
        <v>0</v>
      </c>
      <c r="BT68" s="510"/>
      <c r="BU68" s="508"/>
      <c r="BV68" s="508"/>
      <c r="BW68" s="508"/>
      <c r="BX68" s="508"/>
      <c r="BY68" s="508"/>
      <c r="BZ68" s="508"/>
      <c r="CA68" s="508"/>
      <c r="CB68" s="508"/>
      <c r="CC68" s="508"/>
      <c r="CD68" s="508"/>
      <c r="CE68" s="509"/>
      <c r="CF68" s="504">
        <f t="shared" si="40"/>
        <v>0</v>
      </c>
      <c r="CG68" s="504"/>
      <c r="CH68" s="504">
        <f t="shared" si="41"/>
        <v>0</v>
      </c>
      <c r="CI68" s="504">
        <f t="shared" si="42"/>
        <v>0</v>
      </c>
      <c r="CJ68" s="504">
        <f t="shared" si="43"/>
        <v>0</v>
      </c>
      <c r="CK68" s="504">
        <f t="shared" si="44"/>
        <v>0</v>
      </c>
      <c r="CL68" s="504">
        <v>0</v>
      </c>
      <c r="CM68" s="504">
        <f t="shared" si="45"/>
        <v>0</v>
      </c>
    </row>
    <row r="69" spans="1:93" outlineLevel="1">
      <c r="A69" s="500"/>
      <c r="B69" s="516"/>
      <c r="C69" s="526">
        <v>303.01</v>
      </c>
      <c r="D69" s="526"/>
      <c r="E69" s="526"/>
      <c r="F69" s="501"/>
      <c r="G69" s="501"/>
      <c r="H69" s="501" t="s">
        <v>339</v>
      </c>
      <c r="I69" s="501"/>
      <c r="J69" s="501"/>
      <c r="K69" s="501"/>
      <c r="L69" s="501"/>
      <c r="M69" s="517"/>
      <c r="N69" s="518">
        <v>4600006084</v>
      </c>
      <c r="O69" s="504">
        <v>225000</v>
      </c>
      <c r="P69" s="519" t="s">
        <v>310</v>
      </c>
      <c r="Q69" s="506">
        <v>240000</v>
      </c>
      <c r="R69" s="506">
        <v>240000</v>
      </c>
      <c r="S69" s="504"/>
      <c r="T69" s="507"/>
      <c r="U69" s="508"/>
      <c r="V69" s="508"/>
      <c r="W69" s="508"/>
      <c r="X69" s="508"/>
      <c r="Y69" s="508"/>
      <c r="Z69" s="508"/>
      <c r="AA69" s="508"/>
      <c r="AB69" s="508"/>
      <c r="AC69" s="508"/>
      <c r="AD69" s="508"/>
      <c r="AE69" s="509"/>
      <c r="AF69" s="504">
        <f t="shared" ref="AF69:AF100" si="47">SUM(T69:AE69)</f>
        <v>0</v>
      </c>
      <c r="AG69" s="510"/>
      <c r="AH69" s="508"/>
      <c r="AI69" s="508"/>
      <c r="AJ69" s="508"/>
      <c r="AK69" s="508"/>
      <c r="AL69" s="508"/>
      <c r="AM69" s="508"/>
      <c r="AN69" s="508"/>
      <c r="AO69" s="508"/>
      <c r="AP69" s="508"/>
      <c r="AQ69" s="508"/>
      <c r="AR69" s="509"/>
      <c r="AS69" s="504">
        <f t="shared" ref="AS69:AS100" si="48">SUM(AG69:AR69)</f>
        <v>0</v>
      </c>
      <c r="AT69" s="510"/>
      <c r="AU69" s="508"/>
      <c r="AV69" s="508"/>
      <c r="AW69" s="508"/>
      <c r="AX69" s="508"/>
      <c r="AY69" s="508"/>
      <c r="AZ69" s="508"/>
      <c r="BA69" s="549">
        <v>1380.75</v>
      </c>
      <c r="BB69" s="508">
        <v>945</v>
      </c>
      <c r="BC69" s="508"/>
      <c r="BD69" s="508"/>
      <c r="BE69" s="509"/>
      <c r="BF69" s="504">
        <f t="shared" ref="BF69:BF100" si="49">SUM(AT69:BE69)</f>
        <v>2325.75</v>
      </c>
      <c r="BG69" s="548">
        <v>33023.15</v>
      </c>
      <c r="BH69" s="549"/>
      <c r="BI69" s="548">
        <v>112900.64</v>
      </c>
      <c r="BJ69" s="1300">
        <f>+(51295.54)*(25/30)</f>
        <v>42746.283333333333</v>
      </c>
      <c r="BK69" s="659"/>
      <c r="BL69" s="659"/>
      <c r="BM69" s="1298"/>
      <c r="BN69" s="508"/>
      <c r="BO69" s="508"/>
      <c r="BP69" s="508"/>
      <c r="BQ69" s="508"/>
      <c r="BR69" s="509"/>
      <c r="BS69" s="504">
        <f t="shared" ref="BS69:BS100" si="50">SUM(BG69:BR69)</f>
        <v>188670.07333333333</v>
      </c>
      <c r="BT69" s="510"/>
      <c r="BU69" s="508"/>
      <c r="BV69" s="508"/>
      <c r="BW69" s="508"/>
      <c r="BX69" s="508"/>
      <c r="BY69" s="508"/>
      <c r="BZ69" s="508"/>
      <c r="CA69" s="508"/>
      <c r="CB69" s="508"/>
      <c r="CC69" s="508"/>
      <c r="CD69" s="508"/>
      <c r="CE69" s="509"/>
      <c r="CF69" s="504">
        <f t="shared" ref="CF69:CF100" si="51">SUM(BT69:CE69)</f>
        <v>0</v>
      </c>
      <c r="CG69" s="504"/>
      <c r="CH69" s="1353">
        <f t="shared" ref="CH69:CH100" si="52">SUMIF(($S$5:$CG$5),"Actual",(S69:CG69))</f>
        <v>190995.82333333333</v>
      </c>
      <c r="CI69" s="504">
        <f t="shared" ref="CI69:CI100" si="53">SUMIF(($S$5:$CG$5),"Forecast",(S69:CG69))</f>
        <v>0</v>
      </c>
      <c r="CJ69" s="1353">
        <f t="shared" ref="CJ69:CJ100" si="54">+CH69+CI69</f>
        <v>190995.82333333333</v>
      </c>
      <c r="CK69" s="504">
        <f t="shared" ref="CK69:CK100" si="55">+CJ69-R69</f>
        <v>-49004.176666666666</v>
      </c>
      <c r="CL69" s="504">
        <v>340000.15</v>
      </c>
      <c r="CM69" s="504">
        <f t="shared" ref="CM69:CM100" si="56">+CJ69-CL69</f>
        <v>-149004.32666666669</v>
      </c>
    </row>
    <row r="70" spans="1:93" outlineLevel="1">
      <c r="A70" s="500"/>
      <c r="B70" s="516"/>
      <c r="C70" s="526">
        <f t="shared" ref="C70:C77" si="57">+C69+0.01</f>
        <v>303.02</v>
      </c>
      <c r="D70" s="526"/>
      <c r="E70" s="526"/>
      <c r="F70" s="501"/>
      <c r="G70" s="501"/>
      <c r="H70" s="501"/>
      <c r="I70" s="501" t="s">
        <v>340</v>
      </c>
      <c r="J70" s="501"/>
      <c r="K70" s="501"/>
      <c r="L70" s="501"/>
      <c r="M70" s="517"/>
      <c r="N70" s="518">
        <v>6400000687</v>
      </c>
      <c r="O70" s="504">
        <v>5067998</v>
      </c>
      <c r="P70" s="519" t="s">
        <v>310</v>
      </c>
      <c r="Q70" s="506"/>
      <c r="R70" s="506"/>
      <c r="S70" s="504"/>
      <c r="T70" s="507"/>
      <c r="U70" s="508"/>
      <c r="V70" s="508"/>
      <c r="W70" s="508"/>
      <c r="X70" s="508"/>
      <c r="Y70" s="508"/>
      <c r="Z70" s="508"/>
      <c r="AA70" s="508"/>
      <c r="AB70" s="508"/>
      <c r="AC70" s="508"/>
      <c r="AD70" s="508"/>
      <c r="AE70" s="509"/>
      <c r="AF70" s="504">
        <f t="shared" si="47"/>
        <v>0</v>
      </c>
      <c r="AG70" s="510"/>
      <c r="AH70" s="508"/>
      <c r="AI70" s="508"/>
      <c r="AJ70" s="508"/>
      <c r="AK70" s="508"/>
      <c r="AL70" s="508">
        <v>16170.53</v>
      </c>
      <c r="AM70" s="508"/>
      <c r="AN70" s="508">
        <v>9184.26</v>
      </c>
      <c r="AO70" s="508"/>
      <c r="AP70" s="508"/>
      <c r="AQ70" s="508"/>
      <c r="AR70" s="509"/>
      <c r="AS70" s="504">
        <f t="shared" si="48"/>
        <v>25354.79</v>
      </c>
      <c r="AT70" s="510"/>
      <c r="AU70" s="508"/>
      <c r="AV70" s="508"/>
      <c r="AW70" s="508"/>
      <c r="AX70" s="508"/>
      <c r="AY70" s="508"/>
      <c r="AZ70" s="508"/>
      <c r="BA70" s="508"/>
      <c r="BB70" s="508"/>
      <c r="BC70" s="508"/>
      <c r="BD70" s="508"/>
      <c r="BE70" s="509"/>
      <c r="BF70" s="504">
        <f t="shared" si="49"/>
        <v>0</v>
      </c>
      <c r="BG70" s="510"/>
      <c r="BH70" s="508"/>
      <c r="BI70" s="508"/>
      <c r="BJ70" s="508"/>
      <c r="BK70" s="508"/>
      <c r="BL70" s="508"/>
      <c r="BM70" s="508"/>
      <c r="BN70" s="508"/>
      <c r="BO70" s="508"/>
      <c r="BP70" s="508"/>
      <c r="BQ70" s="508"/>
      <c r="BR70" s="509"/>
      <c r="BS70" s="504">
        <f t="shared" si="50"/>
        <v>0</v>
      </c>
      <c r="BT70" s="510"/>
      <c r="BU70" s="508"/>
      <c r="BV70" s="508"/>
      <c r="BW70" s="508"/>
      <c r="BX70" s="508"/>
      <c r="BY70" s="508"/>
      <c r="BZ70" s="508"/>
      <c r="CA70" s="508"/>
      <c r="CB70" s="508"/>
      <c r="CC70" s="508"/>
      <c r="CD70" s="508"/>
      <c r="CE70" s="509"/>
      <c r="CF70" s="504">
        <f t="shared" si="51"/>
        <v>0</v>
      </c>
      <c r="CG70" s="504"/>
      <c r="CH70" s="504">
        <f t="shared" si="52"/>
        <v>25354.79</v>
      </c>
      <c r="CI70" s="504">
        <f t="shared" si="53"/>
        <v>0</v>
      </c>
      <c r="CJ70" s="504">
        <f t="shared" si="54"/>
        <v>25354.79</v>
      </c>
      <c r="CK70" s="504">
        <f t="shared" si="55"/>
        <v>25354.79</v>
      </c>
      <c r="CL70" s="504">
        <v>25354.79</v>
      </c>
      <c r="CM70" s="504">
        <f t="shared" si="56"/>
        <v>0</v>
      </c>
    </row>
    <row r="71" spans="1:93" outlineLevel="1">
      <c r="A71" s="500"/>
      <c r="B71" s="516"/>
      <c r="C71" s="526">
        <f t="shared" si="57"/>
        <v>303.02999999999997</v>
      </c>
      <c r="D71" s="526"/>
      <c r="E71" s="526"/>
      <c r="F71" s="501"/>
      <c r="G71" s="501"/>
      <c r="H71" s="501" t="s">
        <v>341</v>
      </c>
      <c r="I71" s="501"/>
      <c r="J71" s="501"/>
      <c r="K71" s="501"/>
      <c r="L71" s="501"/>
      <c r="M71" s="517"/>
      <c r="N71" s="518"/>
      <c r="O71" s="504"/>
      <c r="P71" s="519"/>
      <c r="Q71" s="506"/>
      <c r="R71" s="506"/>
      <c r="S71" s="504"/>
      <c r="T71" s="507"/>
      <c r="U71" s="508"/>
      <c r="V71" s="508"/>
      <c r="W71" s="508"/>
      <c r="X71" s="508"/>
      <c r="Y71" s="508"/>
      <c r="Z71" s="508"/>
      <c r="AA71" s="508"/>
      <c r="AB71" s="508"/>
      <c r="AC71" s="508"/>
      <c r="AD71" s="508"/>
      <c r="AE71" s="550"/>
      <c r="AF71" s="504">
        <f t="shared" si="47"/>
        <v>0</v>
      </c>
      <c r="AG71" s="510"/>
      <c r="AH71" s="508"/>
      <c r="AI71" s="508"/>
      <c r="AJ71" s="508"/>
      <c r="AK71" s="508"/>
      <c r="AL71" s="508"/>
      <c r="AM71" s="508"/>
      <c r="AN71" s="508"/>
      <c r="AO71" s="508"/>
      <c r="AP71" s="508"/>
      <c r="AQ71" s="508"/>
      <c r="AR71" s="509"/>
      <c r="AS71" s="504">
        <f t="shared" si="48"/>
        <v>0</v>
      </c>
      <c r="AT71" s="548"/>
      <c r="AU71" s="549"/>
      <c r="AV71" s="549"/>
      <c r="AW71" s="549"/>
      <c r="AX71" s="549"/>
      <c r="AY71" s="549"/>
      <c r="AZ71" s="549"/>
      <c r="BA71" s="549"/>
      <c r="BB71" s="508"/>
      <c r="BC71" s="508"/>
      <c r="BD71" s="508"/>
      <c r="BE71" s="509"/>
      <c r="BF71" s="504">
        <f t="shared" si="49"/>
        <v>0</v>
      </c>
      <c r="BG71" s="510"/>
      <c r="BH71" s="508"/>
      <c r="BI71" s="508"/>
      <c r="BJ71" s="508"/>
      <c r="BK71" s="508"/>
      <c r="BL71" s="508"/>
      <c r="BM71" s="508"/>
      <c r="BN71" s="508"/>
      <c r="BO71" s="508"/>
      <c r="BP71" s="508"/>
      <c r="BQ71" s="508"/>
      <c r="BR71" s="509"/>
      <c r="BS71" s="504">
        <f t="shared" si="50"/>
        <v>0</v>
      </c>
      <c r="BT71" s="510"/>
      <c r="BU71" s="508"/>
      <c r="BV71" s="508"/>
      <c r="BW71" s="508"/>
      <c r="BX71" s="508"/>
      <c r="BY71" s="508"/>
      <c r="BZ71" s="508"/>
      <c r="CA71" s="508"/>
      <c r="CB71" s="508"/>
      <c r="CC71" s="508"/>
      <c r="CD71" s="508"/>
      <c r="CE71" s="509"/>
      <c r="CF71" s="504">
        <f t="shared" si="51"/>
        <v>0</v>
      </c>
      <c r="CG71" s="504"/>
      <c r="CH71" s="504">
        <f t="shared" si="52"/>
        <v>0</v>
      </c>
      <c r="CI71" s="559">
        <f t="shared" si="53"/>
        <v>0</v>
      </c>
      <c r="CJ71" s="504">
        <f t="shared" si="54"/>
        <v>0</v>
      </c>
      <c r="CK71" s="504">
        <f t="shared" si="55"/>
        <v>0</v>
      </c>
      <c r="CL71" s="504">
        <v>0</v>
      </c>
      <c r="CM71" s="504">
        <f t="shared" si="56"/>
        <v>0</v>
      </c>
    </row>
    <row r="72" spans="1:93" outlineLevel="1">
      <c r="A72" s="500"/>
      <c r="B72" s="516"/>
      <c r="C72" s="526">
        <f t="shared" si="57"/>
        <v>303.03999999999996</v>
      </c>
      <c r="D72" s="526"/>
      <c r="E72" s="526"/>
      <c r="F72" s="501"/>
      <c r="G72" s="501"/>
      <c r="H72" s="501" t="s">
        <v>332</v>
      </c>
      <c r="I72" s="501"/>
      <c r="J72" s="501"/>
      <c r="K72" s="501"/>
      <c r="L72" s="501"/>
      <c r="M72" s="517"/>
      <c r="N72" s="518"/>
      <c r="O72" s="504"/>
      <c r="P72" s="519"/>
      <c r="Q72" s="506"/>
      <c r="R72" s="506"/>
      <c r="S72" s="504"/>
      <c r="T72" s="507"/>
      <c r="U72" s="508"/>
      <c r="V72" s="508"/>
      <c r="W72" s="508"/>
      <c r="X72" s="508"/>
      <c r="Y72" s="508"/>
      <c r="Z72" s="508"/>
      <c r="AA72" s="508"/>
      <c r="AB72" s="508"/>
      <c r="AC72" s="508"/>
      <c r="AD72" s="508"/>
      <c r="AE72" s="550"/>
      <c r="AF72" s="504">
        <f t="shared" si="47"/>
        <v>0</v>
      </c>
      <c r="AG72" s="510"/>
      <c r="AH72" s="508"/>
      <c r="AI72" s="508"/>
      <c r="AJ72" s="508"/>
      <c r="AK72" s="508">
        <f>210.45+210.45</f>
        <v>420.9</v>
      </c>
      <c r="AL72" s="508">
        <f>18.3-210.45+18.3</f>
        <v>-173.84999999999997</v>
      </c>
      <c r="AM72" s="508">
        <v>-18.3</v>
      </c>
      <c r="AN72" s="508"/>
      <c r="AO72" s="508"/>
      <c r="AP72" s="508">
        <f>24.4+97.6</f>
        <v>122</v>
      </c>
      <c r="AQ72" s="508">
        <v>-97.6</v>
      </c>
      <c r="AR72" s="509">
        <f>6.1+6.1</f>
        <v>12.2</v>
      </c>
      <c r="AS72" s="504">
        <f t="shared" si="48"/>
        <v>265.35000000000002</v>
      </c>
      <c r="AT72" s="548">
        <v>-6.1</v>
      </c>
      <c r="AU72" s="549">
        <f>846.69+1241.07</f>
        <v>2087.7600000000002</v>
      </c>
      <c r="AV72" s="549">
        <f>475.8-1241.07+1981.29</f>
        <v>1216.02</v>
      </c>
      <c r="AW72" s="549">
        <f>1500.6-1981.29+2031.3</f>
        <v>1550.61</v>
      </c>
      <c r="AX72" s="549">
        <f>2223.45-2031.3+1518.9</f>
        <v>1711.05</v>
      </c>
      <c r="AY72" s="549">
        <f>585.6-1518.9+585.6</f>
        <v>-347.70000000000005</v>
      </c>
      <c r="AZ72" s="549">
        <f>-585.6+585.6</f>
        <v>0</v>
      </c>
      <c r="BA72" s="549">
        <f>156.16-585.6+156.16</f>
        <v>-273.28000000000009</v>
      </c>
      <c r="BB72" s="549">
        <v>-156.16</v>
      </c>
      <c r="BC72" s="549"/>
      <c r="BD72" s="549"/>
      <c r="BE72" s="550"/>
      <c r="BF72" s="504">
        <f t="shared" si="49"/>
        <v>5782.2000000000007</v>
      </c>
      <c r="BG72" s="548">
        <f>987.68-987.68</f>
        <v>0</v>
      </c>
      <c r="BH72" s="508"/>
      <c r="BI72" s="508"/>
      <c r="BJ72" s="508"/>
      <c r="BK72" s="508"/>
      <c r="BL72" s="508"/>
      <c r="BM72" s="508"/>
      <c r="BN72" s="508"/>
      <c r="BO72" s="508"/>
      <c r="BP72" s="508"/>
      <c r="BQ72" s="508"/>
      <c r="BR72" s="509"/>
      <c r="BS72" s="504">
        <f t="shared" si="50"/>
        <v>0</v>
      </c>
      <c r="BT72" s="510"/>
      <c r="BU72" s="508"/>
      <c r="BV72" s="508"/>
      <c r="BW72" s="508"/>
      <c r="BX72" s="508"/>
      <c r="BY72" s="508"/>
      <c r="BZ72" s="508"/>
      <c r="CA72" s="508"/>
      <c r="CB72" s="508"/>
      <c r="CC72" s="508"/>
      <c r="CD72" s="508"/>
      <c r="CE72" s="509"/>
      <c r="CF72" s="504">
        <f t="shared" si="51"/>
        <v>0</v>
      </c>
      <c r="CG72" s="504"/>
      <c r="CH72" s="504">
        <f t="shared" si="52"/>
        <v>6047.5500000000011</v>
      </c>
      <c r="CI72" s="556">
        <f t="shared" si="53"/>
        <v>0</v>
      </c>
      <c r="CJ72" s="504">
        <f t="shared" si="54"/>
        <v>6047.5500000000011</v>
      </c>
      <c r="CK72" s="504">
        <f t="shared" si="55"/>
        <v>6047.5500000000011</v>
      </c>
      <c r="CL72" s="504">
        <v>6047.55</v>
      </c>
      <c r="CM72" s="504">
        <f t="shared" si="56"/>
        <v>0</v>
      </c>
    </row>
    <row r="73" spans="1:93" outlineLevel="1">
      <c r="A73" s="500"/>
      <c r="B73" s="516"/>
      <c r="C73" s="526">
        <f t="shared" si="57"/>
        <v>303.04999999999995</v>
      </c>
      <c r="D73" s="526"/>
      <c r="E73" s="526"/>
      <c r="F73" s="501"/>
      <c r="G73" s="501"/>
      <c r="H73" s="501" t="s">
        <v>342</v>
      </c>
      <c r="I73" s="501"/>
      <c r="J73" s="501"/>
      <c r="K73" s="501"/>
      <c r="L73" s="501"/>
      <c r="M73" s="517"/>
      <c r="N73" s="518"/>
      <c r="O73" s="504"/>
      <c r="P73" s="519"/>
      <c r="Q73" s="506"/>
      <c r="R73" s="506"/>
      <c r="S73" s="504"/>
      <c r="T73" s="507"/>
      <c r="U73" s="508"/>
      <c r="V73" s="508"/>
      <c r="W73" s="508"/>
      <c r="X73" s="508"/>
      <c r="Y73" s="508"/>
      <c r="Z73" s="508"/>
      <c r="AA73" s="508"/>
      <c r="AB73" s="508"/>
      <c r="AC73" s="508"/>
      <c r="AD73" s="508"/>
      <c r="AE73" s="550"/>
      <c r="AF73" s="504">
        <f t="shared" si="47"/>
        <v>0</v>
      </c>
      <c r="AG73" s="510"/>
      <c r="AH73" s="508"/>
      <c r="AI73" s="508"/>
      <c r="AJ73" s="508"/>
      <c r="AK73" s="508"/>
      <c r="AL73" s="508"/>
      <c r="AM73" s="508"/>
      <c r="AN73" s="508"/>
      <c r="AO73" s="508"/>
      <c r="AP73" s="508"/>
      <c r="AQ73" s="508"/>
      <c r="AR73" s="509"/>
      <c r="AS73" s="504">
        <f t="shared" si="48"/>
        <v>0</v>
      </c>
      <c r="AT73" s="548"/>
      <c r="AU73" s="549"/>
      <c r="AV73" s="549"/>
      <c r="AW73" s="549"/>
      <c r="AX73" s="549"/>
      <c r="AY73" s="549"/>
      <c r="AZ73" s="549"/>
      <c r="BA73" s="549"/>
      <c r="BB73" s="549"/>
      <c r="BC73" s="549"/>
      <c r="BD73" s="549"/>
      <c r="BE73" s="550"/>
      <c r="BF73" s="504">
        <f t="shared" si="49"/>
        <v>0</v>
      </c>
      <c r="BG73" s="548"/>
      <c r="BH73" s="508"/>
      <c r="BI73" s="508"/>
      <c r="BJ73" s="508"/>
      <c r="BK73" s="508"/>
      <c r="BL73" s="508"/>
      <c r="BM73" s="508"/>
      <c r="BN73" s="508"/>
      <c r="BO73" s="508"/>
      <c r="BP73" s="508"/>
      <c r="BQ73" s="508"/>
      <c r="BR73" s="509"/>
      <c r="BS73" s="504">
        <f t="shared" si="50"/>
        <v>0</v>
      </c>
      <c r="BT73" s="510"/>
      <c r="BU73" s="508"/>
      <c r="BV73" s="508"/>
      <c r="BW73" s="508"/>
      <c r="BX73" s="508"/>
      <c r="BY73" s="508"/>
      <c r="BZ73" s="508"/>
      <c r="CA73" s="508"/>
      <c r="CB73" s="508"/>
      <c r="CC73" s="508"/>
      <c r="CD73" s="508"/>
      <c r="CE73" s="509"/>
      <c r="CF73" s="504">
        <f t="shared" si="51"/>
        <v>0</v>
      </c>
      <c r="CG73" s="504"/>
      <c r="CH73" s="504">
        <f t="shared" si="52"/>
        <v>0</v>
      </c>
      <c r="CI73" s="559">
        <f t="shared" si="53"/>
        <v>0</v>
      </c>
      <c r="CJ73" s="504">
        <f t="shared" si="54"/>
        <v>0</v>
      </c>
      <c r="CK73" s="504">
        <f t="shared" si="55"/>
        <v>0</v>
      </c>
      <c r="CL73" s="504">
        <v>0</v>
      </c>
      <c r="CM73" s="504">
        <f t="shared" si="56"/>
        <v>0</v>
      </c>
    </row>
    <row r="74" spans="1:93" outlineLevel="1">
      <c r="A74" s="500"/>
      <c r="B74" s="516"/>
      <c r="C74" s="526">
        <f t="shared" si="57"/>
        <v>303.05999999999995</v>
      </c>
      <c r="D74" s="526"/>
      <c r="E74" s="526"/>
      <c r="F74" s="501"/>
      <c r="G74" s="501"/>
      <c r="H74" s="501" t="s">
        <v>343</v>
      </c>
      <c r="I74" s="501"/>
      <c r="J74" s="501"/>
      <c r="K74" s="501"/>
      <c r="L74" s="501"/>
      <c r="M74" s="517"/>
      <c r="N74" s="518">
        <v>4600004978</v>
      </c>
      <c r="O74" s="504">
        <v>1402484</v>
      </c>
      <c r="P74" s="519" t="s">
        <v>310</v>
      </c>
      <c r="Q74" s="506"/>
      <c r="R74" s="506"/>
      <c r="S74" s="504"/>
      <c r="T74" s="507"/>
      <c r="U74" s="508"/>
      <c r="V74" s="508"/>
      <c r="W74" s="508"/>
      <c r="X74" s="508"/>
      <c r="Y74" s="508"/>
      <c r="Z74" s="508"/>
      <c r="AA74" s="508"/>
      <c r="AB74" s="508"/>
      <c r="AC74" s="508"/>
      <c r="AD74" s="508"/>
      <c r="AE74" s="550"/>
      <c r="AF74" s="504">
        <f t="shared" si="47"/>
        <v>0</v>
      </c>
      <c r="AG74" s="510"/>
      <c r="AH74" s="508"/>
      <c r="AI74" s="508"/>
      <c r="AJ74" s="508"/>
      <c r="AK74" s="508"/>
      <c r="AL74" s="508"/>
      <c r="AM74" s="508"/>
      <c r="AN74" s="508"/>
      <c r="AO74" s="508"/>
      <c r="AP74" s="508"/>
      <c r="AQ74" s="508"/>
      <c r="AR74" s="509"/>
      <c r="AS74" s="504">
        <f t="shared" si="48"/>
        <v>0</v>
      </c>
      <c r="AT74" s="548"/>
      <c r="AU74" s="549">
        <v>360</v>
      </c>
      <c r="AV74" s="508"/>
      <c r="AW74" s="508"/>
      <c r="AX74" s="508"/>
      <c r="AY74" s="508"/>
      <c r="AZ74" s="508"/>
      <c r="BA74" s="508"/>
      <c r="BB74" s="508"/>
      <c r="BC74" s="508"/>
      <c r="BD74" s="508"/>
      <c r="BE74" s="509"/>
      <c r="BF74" s="504">
        <f t="shared" si="49"/>
        <v>360</v>
      </c>
      <c r="BG74" s="510"/>
      <c r="BH74" s="508"/>
      <c r="BI74" s="508"/>
      <c r="BJ74" s="508"/>
      <c r="BK74" s="508"/>
      <c r="BL74" s="508"/>
      <c r="BM74" s="508"/>
      <c r="BN74" s="508"/>
      <c r="BO74" s="508"/>
      <c r="BP74" s="508"/>
      <c r="BQ74" s="508"/>
      <c r="BR74" s="509"/>
      <c r="BS74" s="504">
        <f t="shared" si="50"/>
        <v>0</v>
      </c>
      <c r="BT74" s="510"/>
      <c r="BU74" s="508"/>
      <c r="BV74" s="508"/>
      <c r="BW74" s="508"/>
      <c r="BX74" s="508"/>
      <c r="BY74" s="508"/>
      <c r="BZ74" s="508"/>
      <c r="CA74" s="508"/>
      <c r="CB74" s="508"/>
      <c r="CC74" s="508"/>
      <c r="CD74" s="508"/>
      <c r="CE74" s="509"/>
      <c r="CF74" s="504">
        <f t="shared" si="51"/>
        <v>0</v>
      </c>
      <c r="CG74" s="504"/>
      <c r="CH74" s="504">
        <f t="shared" si="52"/>
        <v>360</v>
      </c>
      <c r="CI74" s="559">
        <f t="shared" si="53"/>
        <v>0</v>
      </c>
      <c r="CJ74" s="504">
        <f t="shared" si="54"/>
        <v>360</v>
      </c>
      <c r="CK74" s="504">
        <f t="shared" si="55"/>
        <v>360</v>
      </c>
      <c r="CL74" s="504">
        <v>360</v>
      </c>
      <c r="CM74" s="504">
        <f t="shared" si="56"/>
        <v>0</v>
      </c>
    </row>
    <row r="75" spans="1:93" outlineLevel="1">
      <c r="A75" s="500"/>
      <c r="B75" s="516"/>
      <c r="C75" s="526">
        <f t="shared" si="57"/>
        <v>303.06999999999994</v>
      </c>
      <c r="D75" s="526"/>
      <c r="E75" s="526"/>
      <c r="F75" s="501"/>
      <c r="G75" s="501"/>
      <c r="H75" s="501" t="s">
        <v>344</v>
      </c>
      <c r="I75" s="501"/>
      <c r="J75" s="501"/>
      <c r="K75" s="501"/>
      <c r="L75" s="501"/>
      <c r="M75" s="517"/>
      <c r="N75" s="518">
        <v>6400004047</v>
      </c>
      <c r="O75" s="504">
        <v>101400</v>
      </c>
      <c r="P75" s="519" t="s">
        <v>314</v>
      </c>
      <c r="Q75" s="506"/>
      <c r="R75" s="506"/>
      <c r="S75" s="504"/>
      <c r="T75" s="507"/>
      <c r="U75" s="508"/>
      <c r="V75" s="508"/>
      <c r="W75" s="508"/>
      <c r="X75" s="508"/>
      <c r="Y75" s="508"/>
      <c r="Z75" s="508"/>
      <c r="AA75" s="508"/>
      <c r="AB75" s="508"/>
      <c r="AC75" s="508"/>
      <c r="AD75" s="508"/>
      <c r="AE75" s="550"/>
      <c r="AF75" s="504">
        <f t="shared" si="47"/>
        <v>0</v>
      </c>
      <c r="AG75" s="510"/>
      <c r="AH75" s="508"/>
      <c r="AI75" s="508"/>
      <c r="AJ75" s="508"/>
      <c r="AK75" s="508">
        <v>1107.22</v>
      </c>
      <c r="AL75" s="508"/>
      <c r="AM75" s="508"/>
      <c r="AN75" s="508"/>
      <c r="AO75" s="508"/>
      <c r="AP75" s="508"/>
      <c r="AQ75" s="508"/>
      <c r="AR75" s="509"/>
      <c r="AS75" s="504">
        <f t="shared" si="48"/>
        <v>1107.22</v>
      </c>
      <c r="AT75" s="510"/>
      <c r="AU75" s="508"/>
      <c r="AV75" s="508"/>
      <c r="AW75" s="508"/>
      <c r="AX75" s="508"/>
      <c r="AY75" s="508"/>
      <c r="AZ75" s="508"/>
      <c r="BA75" s="508"/>
      <c r="BB75" s="508"/>
      <c r="BC75" s="508"/>
      <c r="BD75" s="508"/>
      <c r="BE75" s="509"/>
      <c r="BF75" s="504">
        <f t="shared" si="49"/>
        <v>0</v>
      </c>
      <c r="BG75" s="510"/>
      <c r="BH75" s="508"/>
      <c r="BI75" s="508"/>
      <c r="BJ75" s="508"/>
      <c r="BK75" s="508"/>
      <c r="BL75" s="508"/>
      <c r="BM75" s="508"/>
      <c r="BN75" s="508"/>
      <c r="BO75" s="508"/>
      <c r="BP75" s="508"/>
      <c r="BQ75" s="508"/>
      <c r="BR75" s="509"/>
      <c r="BS75" s="504">
        <f t="shared" si="50"/>
        <v>0</v>
      </c>
      <c r="BT75" s="510"/>
      <c r="BU75" s="508"/>
      <c r="BV75" s="508"/>
      <c r="BW75" s="508"/>
      <c r="BX75" s="508"/>
      <c r="BY75" s="508"/>
      <c r="BZ75" s="508"/>
      <c r="CA75" s="508"/>
      <c r="CB75" s="508"/>
      <c r="CC75" s="508"/>
      <c r="CD75" s="508"/>
      <c r="CE75" s="509"/>
      <c r="CF75" s="504">
        <f t="shared" si="51"/>
        <v>0</v>
      </c>
      <c r="CG75" s="504"/>
      <c r="CH75" s="504">
        <f t="shared" si="52"/>
        <v>1107.22</v>
      </c>
      <c r="CI75" s="504">
        <f t="shared" si="53"/>
        <v>0</v>
      </c>
      <c r="CJ75" s="504">
        <f t="shared" si="54"/>
        <v>1107.22</v>
      </c>
      <c r="CK75" s="504">
        <f t="shared" si="55"/>
        <v>1107.22</v>
      </c>
      <c r="CL75" s="504">
        <v>1107.22</v>
      </c>
      <c r="CM75" s="559">
        <f t="shared" si="56"/>
        <v>0</v>
      </c>
    </row>
    <row r="76" spans="1:93" outlineLevel="1">
      <c r="A76" s="500"/>
      <c r="B76" s="516"/>
      <c r="C76" s="526">
        <f t="shared" si="57"/>
        <v>303.07999999999993</v>
      </c>
      <c r="D76" s="526"/>
      <c r="E76" s="526"/>
      <c r="F76" s="501"/>
      <c r="G76" s="501"/>
      <c r="H76" s="501" t="s">
        <v>345</v>
      </c>
      <c r="I76" s="501"/>
      <c r="J76" s="501"/>
      <c r="K76" s="501"/>
      <c r="L76" s="501"/>
      <c r="M76" s="517"/>
      <c r="N76" s="518"/>
      <c r="O76" s="504"/>
      <c r="P76" s="519"/>
      <c r="Q76" s="506">
        <v>100000</v>
      </c>
      <c r="R76" s="506">
        <v>100000</v>
      </c>
      <c r="S76" s="504"/>
      <c r="T76" s="507"/>
      <c r="U76" s="508"/>
      <c r="V76" s="508"/>
      <c r="W76" s="508"/>
      <c r="X76" s="508"/>
      <c r="Y76" s="508"/>
      <c r="Z76" s="508"/>
      <c r="AA76" s="508"/>
      <c r="AB76" s="508"/>
      <c r="AC76" s="508"/>
      <c r="AD76" s="508"/>
      <c r="AE76" s="509"/>
      <c r="AF76" s="504">
        <f t="shared" si="47"/>
        <v>0</v>
      </c>
      <c r="AG76" s="510"/>
      <c r="AH76" s="508"/>
      <c r="AI76" s="508"/>
      <c r="AJ76" s="508"/>
      <c r="AK76" s="508"/>
      <c r="AL76" s="508"/>
      <c r="AM76" s="508"/>
      <c r="AN76" s="508"/>
      <c r="AO76" s="508"/>
      <c r="AP76" s="508"/>
      <c r="AQ76" s="508"/>
      <c r="AR76" s="509"/>
      <c r="AS76" s="504">
        <f t="shared" si="48"/>
        <v>0</v>
      </c>
      <c r="AT76" s="510"/>
      <c r="AU76" s="508"/>
      <c r="AV76" s="508"/>
      <c r="AW76" s="508"/>
      <c r="AX76" s="508"/>
      <c r="AY76" s="508"/>
      <c r="AZ76" s="508"/>
      <c r="BA76" s="508"/>
      <c r="BB76" s="508"/>
      <c r="BC76" s="508"/>
      <c r="BD76" s="508"/>
      <c r="BE76" s="509"/>
      <c r="BF76" s="504">
        <f t="shared" si="49"/>
        <v>0</v>
      </c>
      <c r="BG76" s="510"/>
      <c r="BH76" s="508"/>
      <c r="BI76" s="508"/>
      <c r="BJ76" s="508"/>
      <c r="BK76" s="508"/>
      <c r="BL76" s="508"/>
      <c r="BM76" s="508"/>
      <c r="BN76" s="508"/>
      <c r="BO76" s="508"/>
      <c r="BP76" s="508"/>
      <c r="BQ76" s="508"/>
      <c r="BR76" s="509"/>
      <c r="BS76" s="504">
        <f t="shared" si="50"/>
        <v>0</v>
      </c>
      <c r="BT76" s="510"/>
      <c r="BU76" s="508"/>
      <c r="BV76" s="508"/>
      <c r="BW76" s="508"/>
      <c r="BX76" s="508"/>
      <c r="BY76" s="508"/>
      <c r="BZ76" s="508"/>
      <c r="CA76" s="508"/>
      <c r="CB76" s="508"/>
      <c r="CC76" s="508"/>
      <c r="CD76" s="508"/>
      <c r="CE76" s="509"/>
      <c r="CF76" s="504">
        <f t="shared" si="51"/>
        <v>0</v>
      </c>
      <c r="CG76" s="504"/>
      <c r="CH76" s="504">
        <f t="shared" si="52"/>
        <v>0</v>
      </c>
      <c r="CI76" s="559">
        <f t="shared" si="53"/>
        <v>0</v>
      </c>
      <c r="CJ76" s="504">
        <f t="shared" si="54"/>
        <v>0</v>
      </c>
      <c r="CK76" s="504">
        <f t="shared" si="55"/>
        <v>-100000</v>
      </c>
      <c r="CL76" s="504">
        <v>0</v>
      </c>
      <c r="CM76" s="559">
        <f t="shared" si="56"/>
        <v>0</v>
      </c>
    </row>
    <row r="77" spans="1:93" outlineLevel="1">
      <c r="A77" s="500"/>
      <c r="B77" s="551"/>
      <c r="C77" s="526">
        <f t="shared" si="57"/>
        <v>303.08999999999992</v>
      </c>
      <c r="D77" s="593"/>
      <c r="E77" s="593"/>
      <c r="F77" s="501"/>
      <c r="G77" s="501"/>
      <c r="H77" s="501" t="s">
        <v>346</v>
      </c>
      <c r="I77" s="501"/>
      <c r="J77" s="501"/>
      <c r="K77" s="501"/>
      <c r="L77" s="501"/>
      <c r="M77" s="517"/>
      <c r="N77" s="518">
        <v>6400004230</v>
      </c>
      <c r="O77" s="504">
        <v>452000</v>
      </c>
      <c r="P77" s="519" t="s">
        <v>310</v>
      </c>
      <c r="Q77" s="506">
        <v>500000</v>
      </c>
      <c r="R77" s="506">
        <v>500000</v>
      </c>
      <c r="S77" s="504"/>
      <c r="T77" s="507"/>
      <c r="U77" s="508"/>
      <c r="V77" s="508"/>
      <c r="W77" s="508"/>
      <c r="X77" s="508"/>
      <c r="Y77" s="508"/>
      <c r="Z77" s="508"/>
      <c r="AA77" s="508"/>
      <c r="AB77" s="508"/>
      <c r="AC77" s="508"/>
      <c r="AD77" s="508"/>
      <c r="AE77" s="509"/>
      <c r="AF77" s="504">
        <f t="shared" si="47"/>
        <v>0</v>
      </c>
      <c r="AG77" s="510"/>
      <c r="AH77" s="549"/>
      <c r="AI77" s="508"/>
      <c r="AJ77" s="508"/>
      <c r="AK77" s="508"/>
      <c r="AL77" s="549"/>
      <c r="AM77" s="549"/>
      <c r="AN77" s="549">
        <v>19223.5</v>
      </c>
      <c r="AO77" s="549">
        <v>22948.799999999999</v>
      </c>
      <c r="AP77" s="549">
        <v>20979.42</v>
      </c>
      <c r="AQ77" s="549">
        <v>19876.919999999998</v>
      </c>
      <c r="AR77" s="550"/>
      <c r="AS77" s="504">
        <f t="shared" si="48"/>
        <v>83028.639999999999</v>
      </c>
      <c r="AT77" s="548">
        <v>38086.44</v>
      </c>
      <c r="AU77" s="549">
        <v>47877.69</v>
      </c>
      <c r="AV77" s="549">
        <v>-748.44</v>
      </c>
      <c r="AW77" s="549">
        <v>19209.75</v>
      </c>
      <c r="AX77" s="549">
        <v>17115</v>
      </c>
      <c r="AY77" s="549">
        <v>21635.25</v>
      </c>
      <c r="AZ77" s="549">
        <v>19209.75</v>
      </c>
      <c r="BA77" s="549">
        <v>15571.5</v>
      </c>
      <c r="BB77" s="549">
        <v>16453.5</v>
      </c>
      <c r="BC77" s="549"/>
      <c r="BD77" s="549"/>
      <c r="BE77" s="550"/>
      <c r="BF77" s="504">
        <f t="shared" si="49"/>
        <v>194410.44</v>
      </c>
      <c r="BG77" s="548"/>
      <c r="BH77" s="548"/>
      <c r="BI77" s="508"/>
      <c r="BJ77" s="508"/>
      <c r="BK77" s="508"/>
      <c r="BL77" s="508"/>
      <c r="BM77" s="508"/>
      <c r="BN77" s="508"/>
      <c r="BO77" s="508"/>
      <c r="BP77" s="508"/>
      <c r="BQ77" s="508"/>
      <c r="BR77" s="509"/>
      <c r="BS77" s="504">
        <f t="shared" si="50"/>
        <v>0</v>
      </c>
      <c r="BT77" s="510"/>
      <c r="BU77" s="508"/>
      <c r="BV77" s="508"/>
      <c r="BW77" s="508"/>
      <c r="BX77" s="508"/>
      <c r="BY77" s="508"/>
      <c r="BZ77" s="508"/>
      <c r="CA77" s="508"/>
      <c r="CB77" s="508"/>
      <c r="CC77" s="508"/>
      <c r="CD77" s="508"/>
      <c r="CE77" s="509"/>
      <c r="CF77" s="504">
        <f t="shared" si="51"/>
        <v>0</v>
      </c>
      <c r="CG77" s="504"/>
      <c r="CH77" s="504">
        <f t="shared" si="52"/>
        <v>277439.08</v>
      </c>
      <c r="CI77" s="559">
        <f t="shared" si="53"/>
        <v>0</v>
      </c>
      <c r="CJ77" s="504">
        <f t="shared" si="54"/>
        <v>277439.08</v>
      </c>
      <c r="CK77" s="504">
        <f t="shared" si="55"/>
        <v>-222560.91999999998</v>
      </c>
      <c r="CL77" s="504">
        <v>277439.08</v>
      </c>
      <c r="CM77" s="559">
        <f t="shared" si="56"/>
        <v>0</v>
      </c>
      <c r="CN77" s="594">
        <v>468000</v>
      </c>
      <c r="CO77" s="594">
        <f>+CN77-CJ77</f>
        <v>190560.91999999998</v>
      </c>
    </row>
    <row r="78" spans="1:93" s="614" customFormat="1" outlineLevel="1">
      <c r="A78" s="595"/>
      <c r="B78" s="596"/>
      <c r="C78" s="597"/>
      <c r="D78" s="596"/>
      <c r="E78" s="596"/>
      <c r="F78" s="598"/>
      <c r="G78" s="598"/>
      <c r="H78" s="598"/>
      <c r="I78" s="598"/>
      <c r="J78" s="599" t="s">
        <v>311</v>
      </c>
      <c r="K78" s="598"/>
      <c r="L78" s="598"/>
      <c r="M78" s="600"/>
      <c r="N78" s="601"/>
      <c r="O78" s="602"/>
      <c r="P78" s="603"/>
      <c r="Q78" s="604"/>
      <c r="R78" s="604"/>
      <c r="S78" s="602"/>
      <c r="T78" s="605"/>
      <c r="U78" s="606"/>
      <c r="V78" s="606"/>
      <c r="W78" s="606"/>
      <c r="X78" s="606"/>
      <c r="Y78" s="606"/>
      <c r="Z78" s="606"/>
      <c r="AA78" s="606"/>
      <c r="AB78" s="606"/>
      <c r="AC78" s="606"/>
      <c r="AD78" s="606"/>
      <c r="AE78" s="607"/>
      <c r="AF78" s="602">
        <f t="shared" si="47"/>
        <v>0</v>
      </c>
      <c r="AG78" s="608"/>
      <c r="AH78" s="606"/>
      <c r="AI78" s="606"/>
      <c r="AJ78" s="583"/>
      <c r="AK78" s="583"/>
      <c r="AL78" s="583"/>
      <c r="AM78" s="583">
        <v>10000</v>
      </c>
      <c r="AN78" s="579">
        <f>-10000</f>
        <v>-10000</v>
      </c>
      <c r="AO78" s="579">
        <v>20000</v>
      </c>
      <c r="AP78" s="583">
        <f>-20000+20000</f>
        <v>0</v>
      </c>
      <c r="AQ78" s="583">
        <f>-20000+20000</f>
        <v>0</v>
      </c>
      <c r="AR78" s="580">
        <f>-20000+42714</f>
        <v>22714</v>
      </c>
      <c r="AS78" s="602">
        <f t="shared" si="48"/>
        <v>42714</v>
      </c>
      <c r="AT78" s="609">
        <f>-42714+20000</f>
        <v>-22714</v>
      </c>
      <c r="AU78" s="610">
        <f>-20000+20000</f>
        <v>0</v>
      </c>
      <c r="AV78" s="610">
        <f>-20000+22000</f>
        <v>2000</v>
      </c>
      <c r="AW78" s="610">
        <f>-22000+20000</f>
        <v>-2000</v>
      </c>
      <c r="AX78" s="610">
        <f>-20000+20000</f>
        <v>0</v>
      </c>
      <c r="AY78" s="610">
        <f>-20000+20000</f>
        <v>0</v>
      </c>
      <c r="AZ78" s="610">
        <f>-20000+20000</f>
        <v>0</v>
      </c>
      <c r="BA78" s="610">
        <f>-20000+20000</f>
        <v>0</v>
      </c>
      <c r="BB78" s="610">
        <v>-20000</v>
      </c>
      <c r="BC78" s="606"/>
      <c r="BD78" s="606"/>
      <c r="BE78" s="611"/>
      <c r="BF78" s="602">
        <f t="shared" si="49"/>
        <v>-42714</v>
      </c>
      <c r="BG78" s="608"/>
      <c r="BH78" s="606"/>
      <c r="BI78" s="606"/>
      <c r="BJ78" s="606"/>
      <c r="BK78" s="606"/>
      <c r="BL78" s="606"/>
      <c r="BM78" s="606"/>
      <c r="BN78" s="606"/>
      <c r="BO78" s="606"/>
      <c r="BP78" s="606"/>
      <c r="BQ78" s="606"/>
      <c r="BR78" s="611"/>
      <c r="BS78" s="602">
        <f t="shared" si="50"/>
        <v>0</v>
      </c>
      <c r="BT78" s="608"/>
      <c r="BU78" s="606"/>
      <c r="BV78" s="606"/>
      <c r="BW78" s="606"/>
      <c r="BX78" s="606"/>
      <c r="BY78" s="606"/>
      <c r="BZ78" s="606"/>
      <c r="CA78" s="606"/>
      <c r="CB78" s="606"/>
      <c r="CC78" s="606"/>
      <c r="CD78" s="606"/>
      <c r="CE78" s="611"/>
      <c r="CF78" s="602">
        <f t="shared" si="51"/>
        <v>0</v>
      </c>
      <c r="CG78" s="602"/>
      <c r="CH78" s="504">
        <f t="shared" si="52"/>
        <v>0</v>
      </c>
      <c r="CI78" s="612">
        <f t="shared" si="53"/>
        <v>0</v>
      </c>
      <c r="CJ78" s="504">
        <f t="shared" si="54"/>
        <v>0</v>
      </c>
      <c r="CK78" s="602">
        <f t="shared" si="55"/>
        <v>0</v>
      </c>
      <c r="CL78" s="602">
        <v>0</v>
      </c>
      <c r="CM78" s="612">
        <f t="shared" si="56"/>
        <v>0</v>
      </c>
      <c r="CN78" s="613">
        <v>0</v>
      </c>
      <c r="CO78" s="594">
        <f>+CN78-CJ78</f>
        <v>0</v>
      </c>
    </row>
    <row r="79" spans="1:93" outlineLevel="1">
      <c r="A79" s="500"/>
      <c r="B79" s="551"/>
      <c r="C79" s="526">
        <f>+C77+0.01</f>
        <v>303.09999999999991</v>
      </c>
      <c r="D79" s="551"/>
      <c r="E79" s="551"/>
      <c r="F79" s="501"/>
      <c r="G79" s="501"/>
      <c r="H79" s="501" t="s">
        <v>347</v>
      </c>
      <c r="I79" s="501"/>
      <c r="J79" s="501"/>
      <c r="K79" s="501"/>
      <c r="L79" s="501"/>
      <c r="M79" s="517"/>
      <c r="N79" s="518">
        <v>4600005922</v>
      </c>
      <c r="O79" s="504">
        <v>25000</v>
      </c>
      <c r="P79" s="519" t="s">
        <v>310</v>
      </c>
      <c r="Q79" s="506"/>
      <c r="R79" s="506"/>
      <c r="S79" s="504"/>
      <c r="T79" s="507"/>
      <c r="U79" s="508"/>
      <c r="V79" s="508"/>
      <c r="W79" s="508"/>
      <c r="X79" s="508"/>
      <c r="Y79" s="508"/>
      <c r="Z79" s="508"/>
      <c r="AA79" s="508"/>
      <c r="AB79" s="508"/>
      <c r="AC79" s="508"/>
      <c r="AD79" s="508"/>
      <c r="AE79" s="550"/>
      <c r="AF79" s="504">
        <f t="shared" si="47"/>
        <v>0</v>
      </c>
      <c r="AG79" s="510"/>
      <c r="AH79" s="508"/>
      <c r="AI79" s="508"/>
      <c r="AJ79" s="508"/>
      <c r="AK79" s="508"/>
      <c r="AL79" s="508"/>
      <c r="AM79" s="508"/>
      <c r="AN79" s="508"/>
      <c r="AO79" s="508"/>
      <c r="AP79" s="508"/>
      <c r="AQ79" s="508"/>
      <c r="AR79" s="509"/>
      <c r="AS79" s="504">
        <f t="shared" si="48"/>
        <v>0</v>
      </c>
      <c r="AT79" s="548"/>
      <c r="AU79" s="508"/>
      <c r="AV79" s="508"/>
      <c r="AW79" s="508">
        <v>9989.2000000000007</v>
      </c>
      <c r="AX79" s="508">
        <v>4824.6000000000004</v>
      </c>
      <c r="AY79" s="508"/>
      <c r="AZ79" s="508"/>
      <c r="BA79" s="508"/>
      <c r="BB79" s="508"/>
      <c r="BC79" s="508"/>
      <c r="BD79" s="508"/>
      <c r="BE79" s="509"/>
      <c r="BF79" s="504">
        <f t="shared" si="49"/>
        <v>14813.800000000001</v>
      </c>
      <c r="BG79" s="510"/>
      <c r="BH79" s="508"/>
      <c r="BI79" s="508"/>
      <c r="BJ79" s="508"/>
      <c r="BK79" s="508"/>
      <c r="BL79" s="508"/>
      <c r="BM79" s="508"/>
      <c r="BN79" s="508"/>
      <c r="BO79" s="508"/>
      <c r="BP79" s="508"/>
      <c r="BQ79" s="508"/>
      <c r="BR79" s="509"/>
      <c r="BS79" s="504">
        <f t="shared" si="50"/>
        <v>0</v>
      </c>
      <c r="BT79" s="510"/>
      <c r="BU79" s="508"/>
      <c r="BV79" s="508"/>
      <c r="BW79" s="508"/>
      <c r="BX79" s="508"/>
      <c r="BY79" s="508"/>
      <c r="BZ79" s="508"/>
      <c r="CA79" s="508"/>
      <c r="CB79" s="508"/>
      <c r="CC79" s="508"/>
      <c r="CD79" s="508"/>
      <c r="CE79" s="509"/>
      <c r="CF79" s="504">
        <f t="shared" si="51"/>
        <v>0</v>
      </c>
      <c r="CG79" s="504"/>
      <c r="CH79" s="504">
        <f t="shared" si="52"/>
        <v>14813.800000000001</v>
      </c>
      <c r="CI79" s="559">
        <f t="shared" si="53"/>
        <v>0</v>
      </c>
      <c r="CJ79" s="504">
        <f t="shared" si="54"/>
        <v>14813.800000000001</v>
      </c>
      <c r="CK79" s="504">
        <f t="shared" si="55"/>
        <v>14813.800000000001</v>
      </c>
      <c r="CL79" s="504">
        <v>14813.8</v>
      </c>
      <c r="CM79" s="559">
        <f t="shared" si="56"/>
        <v>0</v>
      </c>
    </row>
    <row r="80" spans="1:93" outlineLevel="1">
      <c r="A80" s="500"/>
      <c r="B80" s="551"/>
      <c r="C80" s="526">
        <f t="shared" ref="C80:C98" si="58">+C79+0.01</f>
        <v>303.1099999999999</v>
      </c>
      <c r="D80" s="551"/>
      <c r="E80" s="551"/>
      <c r="F80" s="501"/>
      <c r="G80" s="501"/>
      <c r="H80" s="501" t="s">
        <v>313</v>
      </c>
      <c r="I80" s="501"/>
      <c r="J80" s="501"/>
      <c r="K80" s="501"/>
      <c r="L80" s="501"/>
      <c r="M80" s="517"/>
      <c r="N80" s="518"/>
      <c r="O80" s="504">
        <v>225000</v>
      </c>
      <c r="P80" s="519"/>
      <c r="Q80" s="506">
        <v>500000</v>
      </c>
      <c r="R80" s="506">
        <v>479167</v>
      </c>
      <c r="S80" s="504"/>
      <c r="T80" s="507"/>
      <c r="U80" s="508"/>
      <c r="V80" s="508"/>
      <c r="W80" s="508"/>
      <c r="X80" s="508"/>
      <c r="Y80" s="508"/>
      <c r="Z80" s="508"/>
      <c r="AA80" s="508"/>
      <c r="AB80" s="508"/>
      <c r="AC80" s="508"/>
      <c r="AD80" s="508"/>
      <c r="AE80" s="509"/>
      <c r="AF80" s="504">
        <f t="shared" si="47"/>
        <v>0</v>
      </c>
      <c r="AG80" s="510"/>
      <c r="AH80" s="549"/>
      <c r="AI80" s="508"/>
      <c r="AJ80" s="508">
        <v>3974.57</v>
      </c>
      <c r="AK80" s="549">
        <v>3803.8</v>
      </c>
      <c r="AL80" s="549">
        <v>5821.81</v>
      </c>
      <c r="AM80" s="549">
        <v>7314.84</v>
      </c>
      <c r="AN80" s="549"/>
      <c r="AO80" s="549">
        <f>5793.48+1870</f>
        <v>7663.48</v>
      </c>
      <c r="AP80" s="549"/>
      <c r="AQ80" s="549"/>
      <c r="AR80" s="550">
        <v>7755</v>
      </c>
      <c r="AS80" s="504">
        <f t="shared" si="48"/>
        <v>36333.5</v>
      </c>
      <c r="AT80" s="548">
        <f>5445+15200</f>
        <v>20645</v>
      </c>
      <c r="AU80" s="549">
        <f>3190+412</f>
        <v>3602</v>
      </c>
      <c r="AV80" s="549">
        <f>2530+669.5</f>
        <v>3199.5</v>
      </c>
      <c r="AW80" s="549">
        <f>3685+1030</f>
        <v>4715</v>
      </c>
      <c r="AX80" s="549">
        <f>2970+5871</f>
        <v>8841</v>
      </c>
      <c r="AY80" s="549">
        <v>3300</v>
      </c>
      <c r="AZ80" s="549">
        <v>360.14</v>
      </c>
      <c r="BA80" s="549">
        <v>6050</v>
      </c>
      <c r="BB80" s="549">
        <f>9735+846.24</f>
        <v>10581.24</v>
      </c>
      <c r="BC80" s="549">
        <v>3850</v>
      </c>
      <c r="BD80" s="549">
        <v>7205</v>
      </c>
      <c r="BE80" s="550">
        <v>9350</v>
      </c>
      <c r="BF80" s="504">
        <f t="shared" si="49"/>
        <v>81698.880000000005</v>
      </c>
      <c r="BG80" s="548">
        <v>6210</v>
      </c>
      <c r="BH80" s="549">
        <v>7645</v>
      </c>
      <c r="BI80" s="549">
        <v>9625</v>
      </c>
      <c r="BJ80" s="549"/>
      <c r="BK80" s="659"/>
      <c r="BL80" s="659"/>
      <c r="BM80" s="508"/>
      <c r="BN80" s="508"/>
      <c r="BO80" s="508"/>
      <c r="BP80" s="508"/>
      <c r="BQ80" s="508"/>
      <c r="BR80" s="509"/>
      <c r="BS80" s="504">
        <f t="shared" si="50"/>
        <v>23480</v>
      </c>
      <c r="BT80" s="510"/>
      <c r="BU80" s="508"/>
      <c r="BV80" s="508"/>
      <c r="BW80" s="508"/>
      <c r="BX80" s="508"/>
      <c r="BY80" s="508"/>
      <c r="BZ80" s="508"/>
      <c r="CA80" s="508"/>
      <c r="CB80" s="508"/>
      <c r="CC80" s="508"/>
      <c r="CD80" s="508"/>
      <c r="CE80" s="509"/>
      <c r="CF80" s="504">
        <f t="shared" si="51"/>
        <v>0</v>
      </c>
      <c r="CG80" s="504"/>
      <c r="CH80" s="504">
        <f t="shared" si="52"/>
        <v>141512.38</v>
      </c>
      <c r="CI80" s="556">
        <f t="shared" si="53"/>
        <v>0</v>
      </c>
      <c r="CJ80" s="504">
        <f t="shared" si="54"/>
        <v>141512.38</v>
      </c>
      <c r="CK80" s="504">
        <f t="shared" si="55"/>
        <v>-337654.62</v>
      </c>
      <c r="CL80" s="504">
        <v>158887.78</v>
      </c>
      <c r="CM80" s="504">
        <f t="shared" si="56"/>
        <v>-17375.399999999994</v>
      </c>
    </row>
    <row r="81" spans="1:93" outlineLevel="1">
      <c r="A81" s="500"/>
      <c r="B81" s="551"/>
      <c r="C81" s="526">
        <f t="shared" si="58"/>
        <v>303.11999999999989</v>
      </c>
      <c r="D81" s="551"/>
      <c r="E81" s="551"/>
      <c r="F81" s="501"/>
      <c r="G81" s="501"/>
      <c r="H81" s="501" t="s">
        <v>348</v>
      </c>
      <c r="I81" s="501"/>
      <c r="J81" s="501"/>
      <c r="K81" s="501"/>
      <c r="L81" s="501"/>
      <c r="M81" s="517"/>
      <c r="N81" s="518">
        <v>6400003686</v>
      </c>
      <c r="O81" s="504">
        <v>1000000</v>
      </c>
      <c r="P81" s="519" t="s">
        <v>314</v>
      </c>
      <c r="Q81" s="506"/>
      <c r="R81" s="506"/>
      <c r="S81" s="504"/>
      <c r="T81" s="507"/>
      <c r="U81" s="508"/>
      <c r="V81" s="508"/>
      <c r="W81" s="508"/>
      <c r="X81" s="508"/>
      <c r="Y81" s="508"/>
      <c r="Z81" s="508"/>
      <c r="AA81" s="508"/>
      <c r="AB81" s="508"/>
      <c r="AC81" s="508"/>
      <c r="AD81" s="508"/>
      <c r="AE81" s="550"/>
      <c r="AF81" s="504">
        <f t="shared" si="47"/>
        <v>0</v>
      </c>
      <c r="AG81" s="510"/>
      <c r="AH81" s="508"/>
      <c r="AI81" s="508"/>
      <c r="AJ81" s="508"/>
      <c r="AK81" s="508">
        <v>139.88</v>
      </c>
      <c r="AL81" s="508"/>
      <c r="AM81" s="508"/>
      <c r="AN81" s="508"/>
      <c r="AO81" s="508"/>
      <c r="AP81" s="508"/>
      <c r="AQ81" s="508"/>
      <c r="AR81" s="509"/>
      <c r="AS81" s="504">
        <f t="shared" si="48"/>
        <v>139.88</v>
      </c>
      <c r="AT81" s="548"/>
      <c r="AU81" s="508"/>
      <c r="AV81" s="508"/>
      <c r="AW81" s="508"/>
      <c r="AX81" s="508"/>
      <c r="AY81" s="508"/>
      <c r="AZ81" s="508"/>
      <c r="BA81" s="508"/>
      <c r="BB81" s="508"/>
      <c r="BC81" s="508"/>
      <c r="BD81" s="508"/>
      <c r="BE81" s="509">
        <v>468.19</v>
      </c>
      <c r="BF81" s="504">
        <f t="shared" si="49"/>
        <v>468.19</v>
      </c>
      <c r="BG81" s="510">
        <f>468.19-468.19</f>
        <v>0</v>
      </c>
      <c r="BH81" s="508"/>
      <c r="BI81" s="508"/>
      <c r="BJ81" s="508"/>
      <c r="BK81" s="508"/>
      <c r="BL81" s="508"/>
      <c r="BM81" s="508"/>
      <c r="BN81" s="508"/>
      <c r="BO81" s="508"/>
      <c r="BP81" s="508"/>
      <c r="BQ81" s="508"/>
      <c r="BR81" s="509"/>
      <c r="BS81" s="504">
        <f t="shared" si="50"/>
        <v>0</v>
      </c>
      <c r="BT81" s="510"/>
      <c r="BU81" s="508"/>
      <c r="BV81" s="508"/>
      <c r="BW81" s="508"/>
      <c r="BX81" s="508"/>
      <c r="BY81" s="508"/>
      <c r="BZ81" s="508"/>
      <c r="CA81" s="508"/>
      <c r="CB81" s="508"/>
      <c r="CC81" s="508"/>
      <c r="CD81" s="508"/>
      <c r="CE81" s="509"/>
      <c r="CF81" s="504">
        <f t="shared" si="51"/>
        <v>0</v>
      </c>
      <c r="CG81" s="504"/>
      <c r="CH81" s="504">
        <f t="shared" si="52"/>
        <v>608.06999999999994</v>
      </c>
      <c r="CI81" s="559">
        <f t="shared" si="53"/>
        <v>0</v>
      </c>
      <c r="CJ81" s="504">
        <f t="shared" si="54"/>
        <v>608.06999999999994</v>
      </c>
      <c r="CK81" s="504">
        <f t="shared" si="55"/>
        <v>608.06999999999994</v>
      </c>
      <c r="CL81" s="504">
        <v>608.07000000000005</v>
      </c>
      <c r="CM81" s="504">
        <f t="shared" si="56"/>
        <v>0</v>
      </c>
    </row>
    <row r="82" spans="1:93" outlineLevel="1">
      <c r="A82" s="500"/>
      <c r="B82" s="551"/>
      <c r="C82" s="526">
        <f t="shared" si="58"/>
        <v>303.12999999999988</v>
      </c>
      <c r="D82" s="551"/>
      <c r="E82" s="551"/>
      <c r="F82" s="501"/>
      <c r="G82" s="501"/>
      <c r="H82" s="501" t="s">
        <v>349</v>
      </c>
      <c r="I82" s="501"/>
      <c r="J82" s="501"/>
      <c r="K82" s="501"/>
      <c r="L82" s="501"/>
      <c r="M82" s="517"/>
      <c r="N82" s="518"/>
      <c r="O82" s="504"/>
      <c r="P82" s="519"/>
      <c r="Q82" s="506"/>
      <c r="R82" s="506"/>
      <c r="S82" s="504"/>
      <c r="T82" s="507"/>
      <c r="U82" s="508"/>
      <c r="V82" s="508"/>
      <c r="W82" s="508"/>
      <c r="X82" s="508"/>
      <c r="Y82" s="508"/>
      <c r="Z82" s="508"/>
      <c r="AA82" s="508"/>
      <c r="AB82" s="508"/>
      <c r="AC82" s="508"/>
      <c r="AD82" s="508"/>
      <c r="AE82" s="550"/>
      <c r="AF82" s="504">
        <f t="shared" si="47"/>
        <v>0</v>
      </c>
      <c r="AG82" s="510"/>
      <c r="AH82" s="508"/>
      <c r="AI82" s="508"/>
      <c r="AJ82" s="508"/>
      <c r="AK82" s="508"/>
      <c r="AL82" s="508"/>
      <c r="AM82" s="508"/>
      <c r="AN82" s="508"/>
      <c r="AO82" s="508"/>
      <c r="AP82" s="508"/>
      <c r="AQ82" s="508"/>
      <c r="AR82" s="509"/>
      <c r="AS82" s="504">
        <f t="shared" si="48"/>
        <v>0</v>
      </c>
      <c r="AT82" s="548"/>
      <c r="AU82" s="508"/>
      <c r="AV82" s="508"/>
      <c r="AW82" s="508">
        <v>28374.37</v>
      </c>
      <c r="AX82" s="508"/>
      <c r="AY82" s="508"/>
      <c r="AZ82" s="508"/>
      <c r="BA82" s="508"/>
      <c r="BB82" s="508"/>
      <c r="BC82" s="549">
        <v>22085.78</v>
      </c>
      <c r="BD82" s="508"/>
      <c r="BE82" s="509"/>
      <c r="BF82" s="504">
        <f t="shared" si="49"/>
        <v>50460.149999999994</v>
      </c>
      <c r="BG82" s="510"/>
      <c r="BH82" s="508"/>
      <c r="BI82" s="508"/>
      <c r="BJ82" s="508"/>
      <c r="BK82" s="508"/>
      <c r="BL82" s="508"/>
      <c r="BM82" s="508"/>
      <c r="BN82" s="508"/>
      <c r="BO82" s="508"/>
      <c r="BP82" s="508"/>
      <c r="BQ82" s="508"/>
      <c r="BR82" s="509"/>
      <c r="BS82" s="504">
        <f t="shared" si="50"/>
        <v>0</v>
      </c>
      <c r="BT82" s="510"/>
      <c r="BU82" s="508"/>
      <c r="BV82" s="508"/>
      <c r="BW82" s="508"/>
      <c r="BX82" s="508"/>
      <c r="BY82" s="508"/>
      <c r="BZ82" s="508"/>
      <c r="CA82" s="508"/>
      <c r="CB82" s="508"/>
      <c r="CC82" s="508"/>
      <c r="CD82" s="508"/>
      <c r="CE82" s="509"/>
      <c r="CF82" s="504">
        <f t="shared" si="51"/>
        <v>0</v>
      </c>
      <c r="CG82" s="504"/>
      <c r="CH82" s="504">
        <f t="shared" si="52"/>
        <v>50460.149999999994</v>
      </c>
      <c r="CI82" s="559">
        <f t="shared" si="53"/>
        <v>0</v>
      </c>
      <c r="CJ82" s="504">
        <f t="shared" si="54"/>
        <v>50460.149999999994</v>
      </c>
      <c r="CK82" s="504">
        <f t="shared" si="55"/>
        <v>50460.149999999994</v>
      </c>
      <c r="CL82" s="504">
        <v>50460.15</v>
      </c>
      <c r="CM82" s="504">
        <f t="shared" si="56"/>
        <v>0</v>
      </c>
    </row>
    <row r="83" spans="1:93" outlineLevel="1">
      <c r="A83" s="500"/>
      <c r="B83" s="551"/>
      <c r="C83" s="526">
        <f t="shared" si="58"/>
        <v>303.13999999999987</v>
      </c>
      <c r="D83" s="551"/>
      <c r="E83" s="551"/>
      <c r="F83" s="501"/>
      <c r="G83" s="501"/>
      <c r="H83" s="501" t="s">
        <v>350</v>
      </c>
      <c r="I83" s="501"/>
      <c r="J83" s="501"/>
      <c r="K83" s="501"/>
      <c r="L83" s="501"/>
      <c r="M83" s="517"/>
      <c r="N83" s="518">
        <v>6400002843</v>
      </c>
      <c r="O83" s="504">
        <v>417500</v>
      </c>
      <c r="P83" s="519" t="s">
        <v>314</v>
      </c>
      <c r="Q83" s="506"/>
      <c r="R83" s="506"/>
      <c r="S83" s="504"/>
      <c r="T83" s="507"/>
      <c r="U83" s="508"/>
      <c r="V83" s="508"/>
      <c r="W83" s="508"/>
      <c r="X83" s="508"/>
      <c r="Y83" s="508"/>
      <c r="Z83" s="508"/>
      <c r="AA83" s="508"/>
      <c r="AB83" s="508"/>
      <c r="AC83" s="508"/>
      <c r="AD83" s="508"/>
      <c r="AE83" s="550"/>
      <c r="AF83" s="504">
        <f t="shared" si="47"/>
        <v>0</v>
      </c>
      <c r="AG83" s="510"/>
      <c r="AH83" s="508"/>
      <c r="AI83" s="508"/>
      <c r="AJ83" s="508">
        <v>2389.5</v>
      </c>
      <c r="AK83" s="508">
        <v>1500</v>
      </c>
      <c r="AL83" s="508"/>
      <c r="AM83" s="508"/>
      <c r="AN83" s="508"/>
      <c r="AO83" s="508"/>
      <c r="AP83" s="508"/>
      <c r="AQ83" s="508"/>
      <c r="AR83" s="509"/>
      <c r="AS83" s="504">
        <f t="shared" si="48"/>
        <v>3889.5</v>
      </c>
      <c r="AT83" s="548"/>
      <c r="AU83" s="508"/>
      <c r="AV83" s="508"/>
      <c r="AW83" s="508"/>
      <c r="AX83" s="508"/>
      <c r="AY83" s="508"/>
      <c r="AZ83" s="508"/>
      <c r="BA83" s="508"/>
      <c r="BB83" s="508"/>
      <c r="BC83" s="508"/>
      <c r="BD83" s="508"/>
      <c r="BE83" s="509"/>
      <c r="BF83" s="504">
        <f t="shared" si="49"/>
        <v>0</v>
      </c>
      <c r="BG83" s="510"/>
      <c r="BH83" s="508"/>
      <c r="BI83" s="508"/>
      <c r="BJ83" s="508"/>
      <c r="BK83" s="508"/>
      <c r="BL83" s="508"/>
      <c r="BM83" s="508"/>
      <c r="BN83" s="508"/>
      <c r="BO83" s="508"/>
      <c r="BP83" s="508"/>
      <c r="BQ83" s="508"/>
      <c r="BR83" s="509"/>
      <c r="BS83" s="504">
        <f t="shared" si="50"/>
        <v>0</v>
      </c>
      <c r="BT83" s="510"/>
      <c r="BU83" s="508"/>
      <c r="BV83" s="508"/>
      <c r="BW83" s="508"/>
      <c r="BX83" s="508"/>
      <c r="BY83" s="508"/>
      <c r="BZ83" s="508"/>
      <c r="CA83" s="508"/>
      <c r="CB83" s="508"/>
      <c r="CC83" s="508"/>
      <c r="CD83" s="508"/>
      <c r="CE83" s="509"/>
      <c r="CF83" s="504">
        <f t="shared" si="51"/>
        <v>0</v>
      </c>
      <c r="CG83" s="504"/>
      <c r="CH83" s="504">
        <f t="shared" si="52"/>
        <v>3889.5</v>
      </c>
      <c r="CI83" s="559">
        <f t="shared" si="53"/>
        <v>0</v>
      </c>
      <c r="CJ83" s="504">
        <f t="shared" si="54"/>
        <v>3889.5</v>
      </c>
      <c r="CK83" s="504">
        <f t="shared" si="55"/>
        <v>3889.5</v>
      </c>
      <c r="CL83" s="504">
        <v>3889.5</v>
      </c>
      <c r="CM83" s="504">
        <f t="shared" si="56"/>
        <v>0</v>
      </c>
    </row>
    <row r="84" spans="1:93" outlineLevel="1">
      <c r="A84" s="500"/>
      <c r="B84" s="551"/>
      <c r="C84" s="526">
        <f t="shared" si="58"/>
        <v>303.14999999999986</v>
      </c>
      <c r="D84" s="551"/>
      <c r="E84" s="551"/>
      <c r="F84" s="501"/>
      <c r="G84" s="501"/>
      <c r="H84" s="501" t="s">
        <v>351</v>
      </c>
      <c r="I84" s="501"/>
      <c r="J84" s="501"/>
      <c r="K84" s="501"/>
      <c r="L84" s="501"/>
      <c r="M84" s="517"/>
      <c r="N84" s="518">
        <v>6400001837</v>
      </c>
      <c r="O84" s="504">
        <v>300000</v>
      </c>
      <c r="P84" s="519" t="s">
        <v>310</v>
      </c>
      <c r="Q84" s="506"/>
      <c r="R84" s="506"/>
      <c r="S84" s="504"/>
      <c r="T84" s="507"/>
      <c r="U84" s="508"/>
      <c r="V84" s="508"/>
      <c r="W84" s="508"/>
      <c r="X84" s="508"/>
      <c r="Y84" s="508"/>
      <c r="Z84" s="508"/>
      <c r="AA84" s="508"/>
      <c r="AB84" s="508"/>
      <c r="AC84" s="508"/>
      <c r="AD84" s="508"/>
      <c r="AE84" s="550"/>
      <c r="AF84" s="504">
        <f t="shared" si="47"/>
        <v>0</v>
      </c>
      <c r="AG84" s="510"/>
      <c r="AH84" s="508"/>
      <c r="AI84" s="508"/>
      <c r="AJ84" s="508"/>
      <c r="AK84" s="508"/>
      <c r="AL84" s="508"/>
      <c r="AM84" s="508"/>
      <c r="AN84" s="508"/>
      <c r="AO84" s="508"/>
      <c r="AP84" s="508"/>
      <c r="AQ84" s="508"/>
      <c r="AR84" s="509"/>
      <c r="AS84" s="504">
        <f t="shared" si="48"/>
        <v>0</v>
      </c>
      <c r="AT84" s="548"/>
      <c r="AU84" s="508"/>
      <c r="AV84" s="508"/>
      <c r="AW84" s="508">
        <v>594</v>
      </c>
      <c r="AX84" s="508"/>
      <c r="AY84" s="508"/>
      <c r="AZ84" s="508"/>
      <c r="BA84" s="508"/>
      <c r="BB84" s="508"/>
      <c r="BC84" s="508"/>
      <c r="BD84" s="508"/>
      <c r="BE84" s="509"/>
      <c r="BF84" s="504">
        <f t="shared" si="49"/>
        <v>594</v>
      </c>
      <c r="BG84" s="510"/>
      <c r="BH84" s="508"/>
      <c r="BI84" s="508"/>
      <c r="BJ84" s="508"/>
      <c r="BK84" s="508"/>
      <c r="BL84" s="508"/>
      <c r="BM84" s="508"/>
      <c r="BN84" s="508"/>
      <c r="BO84" s="508"/>
      <c r="BP84" s="508"/>
      <c r="BQ84" s="508"/>
      <c r="BR84" s="509"/>
      <c r="BS84" s="504">
        <f t="shared" si="50"/>
        <v>0</v>
      </c>
      <c r="BT84" s="510"/>
      <c r="BU84" s="508"/>
      <c r="BV84" s="508"/>
      <c r="BW84" s="508"/>
      <c r="BX84" s="508"/>
      <c r="BY84" s="508"/>
      <c r="BZ84" s="508"/>
      <c r="CA84" s="508"/>
      <c r="CB84" s="508"/>
      <c r="CC84" s="508"/>
      <c r="CD84" s="508"/>
      <c r="CE84" s="509"/>
      <c r="CF84" s="504">
        <f t="shared" si="51"/>
        <v>0</v>
      </c>
      <c r="CG84" s="504"/>
      <c r="CH84" s="504">
        <f t="shared" si="52"/>
        <v>594</v>
      </c>
      <c r="CI84" s="559">
        <f t="shared" si="53"/>
        <v>0</v>
      </c>
      <c r="CJ84" s="504">
        <f t="shared" si="54"/>
        <v>594</v>
      </c>
      <c r="CK84" s="504">
        <f t="shared" si="55"/>
        <v>594</v>
      </c>
      <c r="CL84" s="504">
        <v>594</v>
      </c>
      <c r="CM84" s="504">
        <f t="shared" si="56"/>
        <v>0</v>
      </c>
    </row>
    <row r="85" spans="1:93" outlineLevel="1">
      <c r="A85" s="500"/>
      <c r="B85" s="551"/>
      <c r="C85" s="526">
        <f t="shared" si="58"/>
        <v>303.15999999999985</v>
      </c>
      <c r="D85" s="551"/>
      <c r="E85" s="551"/>
      <c r="F85" s="501"/>
      <c r="G85" s="501"/>
      <c r="H85" s="501" t="s">
        <v>352</v>
      </c>
      <c r="I85" s="501"/>
      <c r="J85" s="501"/>
      <c r="K85" s="501"/>
      <c r="L85" s="501"/>
      <c r="M85" s="517"/>
      <c r="N85" s="518">
        <v>6400001762</v>
      </c>
      <c r="O85" s="504">
        <v>80000</v>
      </c>
      <c r="P85" s="519" t="s">
        <v>310</v>
      </c>
      <c r="Q85" s="506"/>
      <c r="R85" s="506"/>
      <c r="S85" s="504"/>
      <c r="T85" s="507"/>
      <c r="U85" s="508"/>
      <c r="V85" s="508"/>
      <c r="W85" s="508"/>
      <c r="X85" s="508"/>
      <c r="Y85" s="508"/>
      <c r="Z85" s="508"/>
      <c r="AA85" s="508"/>
      <c r="AB85" s="508"/>
      <c r="AC85" s="508"/>
      <c r="AD85" s="508"/>
      <c r="AE85" s="550"/>
      <c r="AF85" s="504">
        <f t="shared" si="47"/>
        <v>0</v>
      </c>
      <c r="AG85" s="510"/>
      <c r="AH85" s="508"/>
      <c r="AI85" s="508"/>
      <c r="AJ85" s="508"/>
      <c r="AK85" s="508"/>
      <c r="AL85" s="508"/>
      <c r="AM85" s="508"/>
      <c r="AN85" s="508"/>
      <c r="AO85" s="508"/>
      <c r="AP85" s="508"/>
      <c r="AQ85" s="508"/>
      <c r="AR85" s="509"/>
      <c r="AS85" s="504">
        <f t="shared" si="48"/>
        <v>0</v>
      </c>
      <c r="AT85" s="548"/>
      <c r="AU85" s="508">
        <v>9882.1</v>
      </c>
      <c r="AV85" s="508"/>
      <c r="AW85" s="508"/>
      <c r="AX85" s="508"/>
      <c r="AY85" s="508"/>
      <c r="AZ85" s="508"/>
      <c r="BA85" s="508"/>
      <c r="BB85" s="508"/>
      <c r="BC85" s="508"/>
      <c r="BD85" s="508">
        <v>7667.5</v>
      </c>
      <c r="BE85" s="509"/>
      <c r="BF85" s="504">
        <f t="shared" si="49"/>
        <v>17549.599999999999</v>
      </c>
      <c r="BG85" s="510"/>
      <c r="BH85" s="508"/>
      <c r="BI85" s="508"/>
      <c r="BJ85" s="1300">
        <f>+(2578.95)*(25/30)</f>
        <v>2149.125</v>
      </c>
      <c r="BK85" s="508"/>
      <c r="BL85" s="508"/>
      <c r="BM85" s="508"/>
      <c r="BN85" s="508"/>
      <c r="BO85" s="508"/>
      <c r="BP85" s="508"/>
      <c r="BQ85" s="508"/>
      <c r="BR85" s="509"/>
      <c r="BS85" s="504">
        <f t="shared" si="50"/>
        <v>2149.125</v>
      </c>
      <c r="BT85" s="510"/>
      <c r="BU85" s="508"/>
      <c r="BV85" s="508"/>
      <c r="BW85" s="508"/>
      <c r="BX85" s="508"/>
      <c r="BY85" s="508"/>
      <c r="BZ85" s="508"/>
      <c r="CA85" s="508"/>
      <c r="CB85" s="508"/>
      <c r="CC85" s="508"/>
      <c r="CD85" s="508"/>
      <c r="CE85" s="509"/>
      <c r="CF85" s="504">
        <f t="shared" si="51"/>
        <v>0</v>
      </c>
      <c r="CG85" s="504"/>
      <c r="CH85" s="504">
        <f t="shared" si="52"/>
        <v>19698.724999999999</v>
      </c>
      <c r="CI85" s="559">
        <f t="shared" si="53"/>
        <v>0</v>
      </c>
      <c r="CJ85" s="504">
        <f t="shared" si="54"/>
        <v>19698.724999999999</v>
      </c>
      <c r="CK85" s="504">
        <f t="shared" si="55"/>
        <v>19698.724999999999</v>
      </c>
      <c r="CL85" s="504">
        <v>20128.55</v>
      </c>
      <c r="CM85" s="504">
        <f t="shared" si="56"/>
        <v>-429.82500000000073</v>
      </c>
    </row>
    <row r="86" spans="1:93" outlineLevel="1">
      <c r="A86" s="500"/>
      <c r="B86" s="551"/>
      <c r="C86" s="526">
        <f t="shared" si="58"/>
        <v>303.16999999999985</v>
      </c>
      <c r="D86" s="551"/>
      <c r="E86" s="551"/>
      <c r="F86" s="501"/>
      <c r="G86" s="501"/>
      <c r="H86" s="501" t="s">
        <v>353</v>
      </c>
      <c r="I86" s="501"/>
      <c r="J86" s="501"/>
      <c r="K86" s="501"/>
      <c r="L86" s="501"/>
      <c r="M86" s="517"/>
      <c r="N86" s="518">
        <v>6400002256</v>
      </c>
      <c r="O86" s="504">
        <v>4250898</v>
      </c>
      <c r="P86" s="519" t="s">
        <v>310</v>
      </c>
      <c r="Q86" s="506"/>
      <c r="R86" s="506">
        <v>1620508</v>
      </c>
      <c r="S86" s="504"/>
      <c r="T86" s="507"/>
      <c r="U86" s="508"/>
      <c r="V86" s="508"/>
      <c r="W86" s="508"/>
      <c r="X86" s="508"/>
      <c r="Y86" s="508"/>
      <c r="Z86" s="508"/>
      <c r="AA86" s="508"/>
      <c r="AB86" s="508"/>
      <c r="AC86" s="508"/>
      <c r="AD86" s="508"/>
      <c r="AE86" s="550"/>
      <c r="AF86" s="504">
        <f t="shared" si="47"/>
        <v>0</v>
      </c>
      <c r="AG86" s="510"/>
      <c r="AH86" s="508"/>
      <c r="AI86" s="508"/>
      <c r="AJ86" s="549">
        <f>109180.4-55042.62</f>
        <v>54137.779999999992</v>
      </c>
      <c r="AK86" s="549">
        <f>127381.69-68991.78</f>
        <v>58389.91</v>
      </c>
      <c r="AL86" s="549">
        <v>0</v>
      </c>
      <c r="AM86" s="549">
        <f>415187.44-88619.43-168472.83</f>
        <v>158095.18000000002</v>
      </c>
      <c r="AN86" s="549">
        <v>70481.09</v>
      </c>
      <c r="AO86" s="549">
        <v>84204.9</v>
      </c>
      <c r="AP86" s="549">
        <v>31914.2</v>
      </c>
      <c r="AQ86" s="549">
        <v>23860.63</v>
      </c>
      <c r="AR86" s="550"/>
      <c r="AS86" s="504">
        <f t="shared" si="48"/>
        <v>481083.69</v>
      </c>
      <c r="AT86" s="548">
        <v>87373.43</v>
      </c>
      <c r="AU86" s="549">
        <v>52305.93</v>
      </c>
      <c r="AV86" s="549">
        <v>64376.62</v>
      </c>
      <c r="AW86" s="549">
        <v>115140.41</v>
      </c>
      <c r="AX86" s="549">
        <v>67155.03</v>
      </c>
      <c r="AY86" s="549">
        <v>126825.14</v>
      </c>
      <c r="AZ86" s="549">
        <v>34616.33</v>
      </c>
      <c r="BA86" s="549">
        <v>31010.02</v>
      </c>
      <c r="BB86" s="549"/>
      <c r="BC86" s="549">
        <v>42075.18</v>
      </c>
      <c r="BD86" s="549">
        <v>19056.849999999999</v>
      </c>
      <c r="BE86" s="550">
        <v>7968.72</v>
      </c>
      <c r="BF86" s="504">
        <f t="shared" si="49"/>
        <v>647903.66</v>
      </c>
      <c r="BG86" s="548">
        <v>41731.39</v>
      </c>
      <c r="BH86" s="549">
        <v>1835.77</v>
      </c>
      <c r="BI86" s="549">
        <v>7248.81</v>
      </c>
      <c r="BJ86" s="1300">
        <f>+(10461.75)*(25/30)</f>
        <v>8718.125</v>
      </c>
      <c r="BK86" s="508"/>
      <c r="BL86" s="508"/>
      <c r="BM86" s="508"/>
      <c r="BN86" s="508"/>
      <c r="BO86" s="508"/>
      <c r="BP86" s="508"/>
      <c r="BQ86" s="508"/>
      <c r="BR86" s="509"/>
      <c r="BS86" s="504">
        <f t="shared" si="50"/>
        <v>59534.094999999994</v>
      </c>
      <c r="BT86" s="510"/>
      <c r="BU86" s="508"/>
      <c r="BV86" s="508"/>
      <c r="BW86" s="508"/>
      <c r="BX86" s="508"/>
      <c r="BY86" s="508"/>
      <c r="BZ86" s="508"/>
      <c r="CA86" s="508"/>
      <c r="CB86" s="508"/>
      <c r="CC86" s="508"/>
      <c r="CD86" s="508"/>
      <c r="CE86" s="509"/>
      <c r="CF86" s="504">
        <f t="shared" si="51"/>
        <v>0</v>
      </c>
      <c r="CG86" s="504"/>
      <c r="CH86" s="504">
        <f t="shared" si="52"/>
        <v>1188521.4450000001</v>
      </c>
      <c r="CI86" s="556">
        <f t="shared" si="53"/>
        <v>0</v>
      </c>
      <c r="CJ86" s="504">
        <f t="shared" si="54"/>
        <v>1188521.4450000001</v>
      </c>
      <c r="CK86" s="504">
        <f t="shared" si="55"/>
        <v>-431986.55499999993</v>
      </c>
      <c r="CL86" s="504">
        <v>1190265.07</v>
      </c>
      <c r="CM86" s="504">
        <f t="shared" si="56"/>
        <v>-1743.625</v>
      </c>
      <c r="CN86" s="594">
        <f>4250898-CJ41</f>
        <v>1509781.7400000002</v>
      </c>
      <c r="CO86" s="594">
        <f>+CN86-CJ86</f>
        <v>321260.29500000016</v>
      </c>
    </row>
    <row r="87" spans="1:93" s="614" customFormat="1" outlineLevel="1">
      <c r="A87" s="595"/>
      <c r="B87" s="596"/>
      <c r="C87" s="526">
        <f t="shared" si="58"/>
        <v>303.17999999999984</v>
      </c>
      <c r="D87" s="596"/>
      <c r="E87" s="596"/>
      <c r="F87" s="598"/>
      <c r="G87" s="598"/>
      <c r="H87" s="598"/>
      <c r="I87" s="598"/>
      <c r="J87" s="599" t="s">
        <v>311</v>
      </c>
      <c r="K87" s="598"/>
      <c r="L87" s="598"/>
      <c r="M87" s="600"/>
      <c r="N87" s="601"/>
      <c r="O87" s="602"/>
      <c r="P87" s="603"/>
      <c r="Q87" s="604"/>
      <c r="R87" s="604"/>
      <c r="S87" s="602"/>
      <c r="T87" s="605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7"/>
      <c r="AF87" s="602">
        <f t="shared" si="47"/>
        <v>0</v>
      </c>
      <c r="AG87" s="608"/>
      <c r="AH87" s="606"/>
      <c r="AI87" s="606">
        <v>270400</v>
      </c>
      <c r="AJ87" s="549">
        <f>-270400+150000</f>
        <v>-120400</v>
      </c>
      <c r="AK87" s="549">
        <f>-150000+130000</f>
        <v>-20000</v>
      </c>
      <c r="AL87" s="583">
        <f>-130000+163188+150000</f>
        <v>183188</v>
      </c>
      <c r="AM87" s="583">
        <f>-163188-150000+252000+110000</f>
        <v>48812</v>
      </c>
      <c r="AN87" s="579">
        <f>-252000-110000+60000</f>
        <v>-302000</v>
      </c>
      <c r="AO87" s="583">
        <f>-60000+60000</f>
        <v>0</v>
      </c>
      <c r="AP87" s="583">
        <f>-60000+50000</f>
        <v>-10000</v>
      </c>
      <c r="AQ87" s="583">
        <f>-50000+25000</f>
        <v>-25000</v>
      </c>
      <c r="AR87" s="580">
        <f>-25000+83491</f>
        <v>58491</v>
      </c>
      <c r="AS87" s="602">
        <f t="shared" si="48"/>
        <v>83491</v>
      </c>
      <c r="AT87" s="609">
        <f>-83491+25000</f>
        <v>-58491</v>
      </c>
      <c r="AU87" s="610">
        <f>-25000+25000</f>
        <v>0</v>
      </c>
      <c r="AV87" s="610">
        <f>-25000+50000</f>
        <v>25000</v>
      </c>
      <c r="AW87" s="610">
        <f>-50000+50000</f>
        <v>0</v>
      </c>
      <c r="AX87" s="610">
        <f>-50000+50000</f>
        <v>0</v>
      </c>
      <c r="AY87" s="610">
        <f>-50000+50000</f>
        <v>0</v>
      </c>
      <c r="AZ87" s="610">
        <f>-50000+50000</f>
        <v>0</v>
      </c>
      <c r="BA87" s="610">
        <f>-50000+50000</f>
        <v>0</v>
      </c>
      <c r="BB87" s="610">
        <f>-50000+100000</f>
        <v>50000</v>
      </c>
      <c r="BC87" s="610">
        <f>-100000+50000</f>
        <v>-50000</v>
      </c>
      <c r="BD87" s="610">
        <v>-50000</v>
      </c>
      <c r="BE87" s="611"/>
      <c r="BF87" s="602">
        <f t="shared" si="49"/>
        <v>-83491</v>
      </c>
      <c r="BG87" s="608"/>
      <c r="BH87" s="606"/>
      <c r="BI87" s="606"/>
      <c r="BJ87" s="606"/>
      <c r="BK87" s="606"/>
      <c r="BL87" s="606"/>
      <c r="BM87" s="606"/>
      <c r="BN87" s="606"/>
      <c r="BO87" s="606"/>
      <c r="BP87" s="606"/>
      <c r="BQ87" s="606"/>
      <c r="BR87" s="611"/>
      <c r="BS87" s="602">
        <f t="shared" si="50"/>
        <v>0</v>
      </c>
      <c r="BT87" s="608"/>
      <c r="BU87" s="606"/>
      <c r="BV87" s="606"/>
      <c r="BW87" s="606"/>
      <c r="BX87" s="606"/>
      <c r="BY87" s="606"/>
      <c r="BZ87" s="606"/>
      <c r="CA87" s="606"/>
      <c r="CB87" s="606"/>
      <c r="CC87" s="606"/>
      <c r="CD87" s="606"/>
      <c r="CE87" s="611"/>
      <c r="CF87" s="602">
        <f t="shared" si="51"/>
        <v>0</v>
      </c>
      <c r="CG87" s="602"/>
      <c r="CH87" s="504">
        <f t="shared" si="52"/>
        <v>0</v>
      </c>
      <c r="CI87" s="612">
        <f t="shared" si="53"/>
        <v>0</v>
      </c>
      <c r="CJ87" s="504">
        <f t="shared" si="54"/>
        <v>0</v>
      </c>
      <c r="CK87" s="602">
        <f t="shared" si="55"/>
        <v>0</v>
      </c>
      <c r="CL87" s="602">
        <v>0</v>
      </c>
      <c r="CM87" s="602">
        <f t="shared" si="56"/>
        <v>0</v>
      </c>
      <c r="CN87" s="615">
        <v>0</v>
      </c>
      <c r="CO87" s="594">
        <f>+CN87-CJ87</f>
        <v>0</v>
      </c>
    </row>
    <row r="88" spans="1:93" outlineLevel="1">
      <c r="A88" s="500"/>
      <c r="B88" s="551"/>
      <c r="C88" s="526">
        <f t="shared" si="58"/>
        <v>303.18999999999983</v>
      </c>
      <c r="D88" s="551"/>
      <c r="E88" s="551"/>
      <c r="F88" s="501"/>
      <c r="G88" s="501"/>
      <c r="H88" s="501" t="s">
        <v>354</v>
      </c>
      <c r="I88" s="501"/>
      <c r="J88" s="501"/>
      <c r="K88" s="501"/>
      <c r="L88" s="501"/>
      <c r="M88" s="517"/>
      <c r="N88" s="518">
        <v>4600002765</v>
      </c>
      <c r="O88" s="504">
        <v>2699000</v>
      </c>
      <c r="P88" s="519" t="s">
        <v>310</v>
      </c>
      <c r="Q88" s="506"/>
      <c r="R88" s="506"/>
      <c r="S88" s="504"/>
      <c r="T88" s="507"/>
      <c r="U88" s="508"/>
      <c r="V88" s="508"/>
      <c r="W88" s="508"/>
      <c r="X88" s="508"/>
      <c r="Y88" s="508"/>
      <c r="Z88" s="508"/>
      <c r="AA88" s="508"/>
      <c r="AB88" s="508"/>
      <c r="AC88" s="508"/>
      <c r="AD88" s="508"/>
      <c r="AE88" s="550"/>
      <c r="AF88" s="504">
        <f t="shared" si="47"/>
        <v>0</v>
      </c>
      <c r="AG88" s="510"/>
      <c r="AH88" s="508"/>
      <c r="AI88" s="508"/>
      <c r="AJ88" s="508"/>
      <c r="AK88" s="508"/>
      <c r="AL88" s="508"/>
      <c r="AM88" s="508"/>
      <c r="AN88" s="508"/>
      <c r="AO88" s="508"/>
      <c r="AP88" s="508"/>
      <c r="AQ88" s="508"/>
      <c r="AR88" s="509"/>
      <c r="AS88" s="504">
        <f t="shared" si="48"/>
        <v>0</v>
      </c>
      <c r="AT88" s="510"/>
      <c r="AU88" s="508"/>
      <c r="AV88" s="508"/>
      <c r="AW88" s="508">
        <v>2007.8</v>
      </c>
      <c r="AX88" s="508"/>
      <c r="AY88" s="508"/>
      <c r="AZ88" s="508"/>
      <c r="BA88" s="508"/>
      <c r="BB88" s="508"/>
      <c r="BC88" s="508"/>
      <c r="BD88" s="508"/>
      <c r="BE88" s="509"/>
      <c r="BF88" s="504">
        <f t="shared" si="49"/>
        <v>2007.8</v>
      </c>
      <c r="BG88" s="510"/>
      <c r="BH88" s="508"/>
      <c r="BI88" s="508"/>
      <c r="BJ88" s="508"/>
      <c r="BK88" s="508"/>
      <c r="BL88" s="508"/>
      <c r="BM88" s="508"/>
      <c r="BN88" s="508"/>
      <c r="BO88" s="508"/>
      <c r="BP88" s="508"/>
      <c r="BQ88" s="508"/>
      <c r="BR88" s="509"/>
      <c r="BS88" s="504">
        <f t="shared" si="50"/>
        <v>0</v>
      </c>
      <c r="BT88" s="510"/>
      <c r="BU88" s="508"/>
      <c r="BV88" s="508"/>
      <c r="BW88" s="508"/>
      <c r="BX88" s="508"/>
      <c r="BY88" s="508"/>
      <c r="BZ88" s="508"/>
      <c r="CA88" s="508"/>
      <c r="CB88" s="508"/>
      <c r="CC88" s="508"/>
      <c r="CD88" s="508"/>
      <c r="CE88" s="509"/>
      <c r="CF88" s="504">
        <f t="shared" si="51"/>
        <v>0</v>
      </c>
      <c r="CG88" s="504"/>
      <c r="CH88" s="504">
        <f t="shared" si="52"/>
        <v>2007.8</v>
      </c>
      <c r="CI88" s="559">
        <f t="shared" si="53"/>
        <v>0</v>
      </c>
      <c r="CJ88" s="504">
        <f t="shared" si="54"/>
        <v>2007.8</v>
      </c>
      <c r="CK88" s="504">
        <f t="shared" si="55"/>
        <v>2007.8</v>
      </c>
      <c r="CL88" s="504">
        <v>2007.8</v>
      </c>
      <c r="CM88" s="504">
        <f t="shared" si="56"/>
        <v>0</v>
      </c>
    </row>
    <row r="89" spans="1:93" outlineLevel="1">
      <c r="A89" s="500"/>
      <c r="B89" s="551"/>
      <c r="C89" s="526">
        <f t="shared" si="58"/>
        <v>303.19999999999982</v>
      </c>
      <c r="D89" s="551"/>
      <c r="E89" s="551"/>
      <c r="F89" s="501"/>
      <c r="G89" s="501"/>
      <c r="H89" s="501" t="s">
        <v>355</v>
      </c>
      <c r="I89" s="501"/>
      <c r="J89" s="501"/>
      <c r="K89" s="501"/>
      <c r="L89" s="501"/>
      <c r="M89" s="517"/>
      <c r="N89" s="518">
        <v>4600005832</v>
      </c>
      <c r="O89" s="504">
        <v>20000</v>
      </c>
      <c r="P89" s="519" t="s">
        <v>310</v>
      </c>
      <c r="Q89" s="506"/>
      <c r="R89" s="506"/>
      <c r="S89" s="504"/>
      <c r="T89" s="507"/>
      <c r="U89" s="508"/>
      <c r="V89" s="508"/>
      <c r="W89" s="508"/>
      <c r="X89" s="508"/>
      <c r="Y89" s="508"/>
      <c r="Z89" s="508"/>
      <c r="AA89" s="508"/>
      <c r="AB89" s="508"/>
      <c r="AC89" s="508"/>
      <c r="AD89" s="508"/>
      <c r="AE89" s="550"/>
      <c r="AF89" s="504">
        <f t="shared" si="47"/>
        <v>0</v>
      </c>
      <c r="AG89" s="510"/>
      <c r="AH89" s="508"/>
      <c r="AI89" s="508"/>
      <c r="AJ89" s="508"/>
      <c r="AK89" s="508"/>
      <c r="AL89" s="508"/>
      <c r="AM89" s="508"/>
      <c r="AN89" s="508"/>
      <c r="AO89" s="508"/>
      <c r="AP89" s="508"/>
      <c r="AQ89" s="508"/>
      <c r="AR89" s="509"/>
      <c r="AS89" s="504">
        <f t="shared" si="48"/>
        <v>0</v>
      </c>
      <c r="AT89" s="510"/>
      <c r="AU89" s="508"/>
      <c r="AV89" s="508"/>
      <c r="AW89" s="508"/>
      <c r="AX89" s="508"/>
      <c r="AY89" s="508"/>
      <c r="AZ89" s="508">
        <v>10472.629999999999</v>
      </c>
      <c r="BA89" s="508"/>
      <c r="BB89" s="508"/>
      <c r="BC89" s="508"/>
      <c r="BD89" s="508"/>
      <c r="BE89" s="509"/>
      <c r="BF89" s="504">
        <f t="shared" si="49"/>
        <v>10472.629999999999</v>
      </c>
      <c r="BG89" s="510"/>
      <c r="BH89" s="508"/>
      <c r="BI89" s="508"/>
      <c r="BJ89" s="508"/>
      <c r="BK89" s="508"/>
      <c r="BL89" s="508"/>
      <c r="BM89" s="508"/>
      <c r="BN89" s="508"/>
      <c r="BO89" s="508"/>
      <c r="BP89" s="508"/>
      <c r="BQ89" s="508"/>
      <c r="BR89" s="509"/>
      <c r="BS89" s="504">
        <f t="shared" si="50"/>
        <v>0</v>
      </c>
      <c r="BT89" s="510"/>
      <c r="BU89" s="508"/>
      <c r="BV89" s="508"/>
      <c r="BW89" s="508"/>
      <c r="BX89" s="508"/>
      <c r="BY89" s="508"/>
      <c r="BZ89" s="508"/>
      <c r="CA89" s="508"/>
      <c r="CB89" s="508"/>
      <c r="CC89" s="508"/>
      <c r="CD89" s="508"/>
      <c r="CE89" s="509"/>
      <c r="CF89" s="504">
        <f t="shared" si="51"/>
        <v>0</v>
      </c>
      <c r="CG89" s="504"/>
      <c r="CH89" s="504">
        <f t="shared" si="52"/>
        <v>10472.629999999999</v>
      </c>
      <c r="CI89" s="559">
        <f t="shared" si="53"/>
        <v>0</v>
      </c>
      <c r="CJ89" s="504">
        <f t="shared" si="54"/>
        <v>10472.629999999999</v>
      </c>
      <c r="CK89" s="504">
        <f t="shared" si="55"/>
        <v>10472.629999999999</v>
      </c>
      <c r="CL89" s="504">
        <v>10472.629999999999</v>
      </c>
      <c r="CM89" s="504">
        <f t="shared" si="56"/>
        <v>0</v>
      </c>
    </row>
    <row r="90" spans="1:93" outlineLevel="1">
      <c r="A90" s="500"/>
      <c r="B90" s="551"/>
      <c r="C90" s="526">
        <f t="shared" si="58"/>
        <v>303.20999999999981</v>
      </c>
      <c r="D90" s="551"/>
      <c r="E90" s="551"/>
      <c r="F90" s="501"/>
      <c r="G90" s="501"/>
      <c r="H90" s="501" t="s">
        <v>356</v>
      </c>
      <c r="I90" s="501"/>
      <c r="J90" s="501"/>
      <c r="K90" s="501"/>
      <c r="L90" s="501"/>
      <c r="M90" s="517"/>
      <c r="N90" s="518">
        <v>4600005348</v>
      </c>
      <c r="O90" s="504">
        <v>923286</v>
      </c>
      <c r="P90" s="519" t="s">
        <v>310</v>
      </c>
      <c r="Q90" s="506"/>
      <c r="R90" s="506"/>
      <c r="S90" s="504"/>
      <c r="T90" s="507"/>
      <c r="U90" s="508"/>
      <c r="V90" s="508"/>
      <c r="W90" s="508"/>
      <c r="X90" s="508"/>
      <c r="Y90" s="508"/>
      <c r="Z90" s="508"/>
      <c r="AA90" s="508"/>
      <c r="AB90" s="508"/>
      <c r="AC90" s="508"/>
      <c r="AD90" s="508"/>
      <c r="AE90" s="550"/>
      <c r="AF90" s="504">
        <f t="shared" si="47"/>
        <v>0</v>
      </c>
      <c r="AG90" s="510"/>
      <c r="AH90" s="508"/>
      <c r="AI90" s="508"/>
      <c r="AJ90" s="508"/>
      <c r="AK90" s="508"/>
      <c r="AL90" s="508"/>
      <c r="AM90" s="508"/>
      <c r="AN90" s="508">
        <v>126.12</v>
      </c>
      <c r="AO90" s="508"/>
      <c r="AP90" s="508">
        <v>126.12</v>
      </c>
      <c r="AQ90" s="508"/>
      <c r="AR90" s="509"/>
      <c r="AS90" s="504">
        <f t="shared" si="48"/>
        <v>252.24</v>
      </c>
      <c r="AT90" s="510"/>
      <c r="AU90" s="508"/>
      <c r="AV90" s="508"/>
      <c r="AW90" s="508"/>
      <c r="AX90" s="508"/>
      <c r="AY90" s="508"/>
      <c r="AZ90" s="508"/>
      <c r="BA90" s="508"/>
      <c r="BB90" s="508"/>
      <c r="BC90" s="508"/>
      <c r="BD90" s="508"/>
      <c r="BE90" s="509"/>
      <c r="BF90" s="504">
        <f t="shared" si="49"/>
        <v>0</v>
      </c>
      <c r="BG90" s="510"/>
      <c r="BH90" s="508"/>
      <c r="BI90" s="508"/>
      <c r="BJ90" s="508"/>
      <c r="BK90" s="508"/>
      <c r="BL90" s="508"/>
      <c r="BM90" s="508"/>
      <c r="BN90" s="508"/>
      <c r="BO90" s="508"/>
      <c r="BP90" s="508"/>
      <c r="BQ90" s="508"/>
      <c r="BR90" s="509"/>
      <c r="BS90" s="504">
        <f t="shared" si="50"/>
        <v>0</v>
      </c>
      <c r="BT90" s="510"/>
      <c r="BU90" s="508"/>
      <c r="BV90" s="508"/>
      <c r="BW90" s="508"/>
      <c r="BX90" s="508"/>
      <c r="BY90" s="508"/>
      <c r="BZ90" s="508"/>
      <c r="CA90" s="508"/>
      <c r="CB90" s="508"/>
      <c r="CC90" s="508"/>
      <c r="CD90" s="508"/>
      <c r="CE90" s="509"/>
      <c r="CF90" s="504">
        <f t="shared" si="51"/>
        <v>0</v>
      </c>
      <c r="CG90" s="504"/>
      <c r="CH90" s="504">
        <f t="shared" si="52"/>
        <v>252.24</v>
      </c>
      <c r="CI90" s="559">
        <f t="shared" si="53"/>
        <v>0</v>
      </c>
      <c r="CJ90" s="504">
        <f t="shared" si="54"/>
        <v>252.24</v>
      </c>
      <c r="CK90" s="504">
        <f t="shared" si="55"/>
        <v>252.24</v>
      </c>
      <c r="CL90" s="504">
        <v>252.24</v>
      </c>
      <c r="CM90" s="504">
        <f t="shared" si="56"/>
        <v>0</v>
      </c>
    </row>
    <row r="91" spans="1:93" outlineLevel="1">
      <c r="A91" s="500"/>
      <c r="B91" s="551"/>
      <c r="C91" s="526">
        <f t="shared" si="58"/>
        <v>303.2199999999998</v>
      </c>
      <c r="D91" s="551"/>
      <c r="E91" s="551"/>
      <c r="F91" s="501"/>
      <c r="G91" s="501"/>
      <c r="H91" s="501" t="s">
        <v>357</v>
      </c>
      <c r="I91" s="501"/>
      <c r="J91" s="501"/>
      <c r="K91" s="501"/>
      <c r="L91" s="501"/>
      <c r="M91" s="517"/>
      <c r="N91" s="518">
        <v>4600001697</v>
      </c>
      <c r="O91" s="504">
        <v>1287500</v>
      </c>
      <c r="P91" s="519" t="s">
        <v>310</v>
      </c>
      <c r="Q91" s="506"/>
      <c r="R91" s="506"/>
      <c r="S91" s="504"/>
      <c r="T91" s="507"/>
      <c r="U91" s="508"/>
      <c r="V91" s="508"/>
      <c r="W91" s="508"/>
      <c r="X91" s="508"/>
      <c r="Y91" s="508"/>
      <c r="Z91" s="508"/>
      <c r="AA91" s="508"/>
      <c r="AB91" s="508"/>
      <c r="AC91" s="508"/>
      <c r="AD91" s="508"/>
      <c r="AE91" s="550"/>
      <c r="AF91" s="504">
        <f t="shared" si="47"/>
        <v>0</v>
      </c>
      <c r="AG91" s="510"/>
      <c r="AH91" s="508"/>
      <c r="AI91" s="508"/>
      <c r="AJ91" s="508"/>
      <c r="AK91" s="508"/>
      <c r="AL91" s="508"/>
      <c r="AM91" s="508"/>
      <c r="AN91" s="508"/>
      <c r="AO91" s="508"/>
      <c r="AP91" s="508"/>
      <c r="AQ91" s="508"/>
      <c r="AR91" s="509"/>
      <c r="AS91" s="504">
        <f t="shared" si="48"/>
        <v>0</v>
      </c>
      <c r="AT91" s="510"/>
      <c r="AU91" s="508">
        <v>103</v>
      </c>
      <c r="AV91" s="508"/>
      <c r="AW91" s="508"/>
      <c r="AX91" s="508"/>
      <c r="AY91" s="508"/>
      <c r="AZ91" s="508"/>
      <c r="BA91" s="508"/>
      <c r="BB91" s="508"/>
      <c r="BC91" s="508"/>
      <c r="BD91" s="508"/>
      <c r="BE91" s="509"/>
      <c r="BF91" s="504">
        <f t="shared" si="49"/>
        <v>103</v>
      </c>
      <c r="BG91" s="510"/>
      <c r="BH91" s="508"/>
      <c r="BI91" s="508"/>
      <c r="BJ91" s="508"/>
      <c r="BK91" s="508"/>
      <c r="BL91" s="508"/>
      <c r="BM91" s="508"/>
      <c r="BN91" s="508"/>
      <c r="BO91" s="508"/>
      <c r="BP91" s="508"/>
      <c r="BQ91" s="508"/>
      <c r="BR91" s="509"/>
      <c r="BS91" s="504">
        <f t="shared" si="50"/>
        <v>0</v>
      </c>
      <c r="BT91" s="510"/>
      <c r="BU91" s="508"/>
      <c r="BV91" s="508"/>
      <c r="BW91" s="508"/>
      <c r="BX91" s="508"/>
      <c r="BY91" s="508"/>
      <c r="BZ91" s="508"/>
      <c r="CA91" s="508"/>
      <c r="CB91" s="508"/>
      <c r="CC91" s="508"/>
      <c r="CD91" s="508"/>
      <c r="CE91" s="509"/>
      <c r="CF91" s="504">
        <f t="shared" si="51"/>
        <v>0</v>
      </c>
      <c r="CG91" s="504"/>
      <c r="CH91" s="504">
        <f t="shared" si="52"/>
        <v>103</v>
      </c>
      <c r="CI91" s="559">
        <f t="shared" si="53"/>
        <v>0</v>
      </c>
      <c r="CJ91" s="504">
        <f t="shared" si="54"/>
        <v>103</v>
      </c>
      <c r="CK91" s="504">
        <f t="shared" si="55"/>
        <v>103</v>
      </c>
      <c r="CL91" s="504">
        <v>103</v>
      </c>
      <c r="CM91" s="504">
        <f t="shared" si="56"/>
        <v>0</v>
      </c>
    </row>
    <row r="92" spans="1:93" outlineLevel="1">
      <c r="A92" s="500"/>
      <c r="B92" s="551"/>
      <c r="C92" s="526">
        <f t="shared" si="58"/>
        <v>303.22999999999979</v>
      </c>
      <c r="D92" s="551"/>
      <c r="E92" s="551"/>
      <c r="F92" s="501"/>
      <c r="G92" s="501"/>
      <c r="H92" s="501" t="s">
        <v>358</v>
      </c>
      <c r="I92" s="501"/>
      <c r="J92" s="501"/>
      <c r="K92" s="501"/>
      <c r="L92" s="501"/>
      <c r="M92" s="517"/>
      <c r="N92" s="518">
        <v>4600001697</v>
      </c>
      <c r="O92" s="504">
        <v>1287500</v>
      </c>
      <c r="P92" s="519" t="s">
        <v>310</v>
      </c>
      <c r="Q92" s="506"/>
      <c r="R92" s="506"/>
      <c r="S92" s="504"/>
      <c r="T92" s="507"/>
      <c r="U92" s="508"/>
      <c r="V92" s="508"/>
      <c r="W92" s="508"/>
      <c r="X92" s="508"/>
      <c r="Y92" s="508"/>
      <c r="Z92" s="508"/>
      <c r="AA92" s="508"/>
      <c r="AB92" s="508"/>
      <c r="AC92" s="508"/>
      <c r="AD92" s="508"/>
      <c r="AE92" s="550"/>
      <c r="AF92" s="504">
        <f t="shared" si="47"/>
        <v>0</v>
      </c>
      <c r="AG92" s="510"/>
      <c r="AH92" s="508"/>
      <c r="AI92" s="508"/>
      <c r="AJ92" s="508"/>
      <c r="AK92" s="508"/>
      <c r="AL92" s="508"/>
      <c r="AM92" s="508"/>
      <c r="AN92" s="508"/>
      <c r="AO92" s="508"/>
      <c r="AP92" s="508"/>
      <c r="AQ92" s="508"/>
      <c r="AR92" s="509"/>
      <c r="AS92" s="504">
        <f t="shared" si="48"/>
        <v>0</v>
      </c>
      <c r="AT92" s="510"/>
      <c r="AU92" s="508"/>
      <c r="AV92" s="508"/>
      <c r="AW92" s="508"/>
      <c r="AX92" s="508"/>
      <c r="AY92" s="508"/>
      <c r="AZ92" s="508"/>
      <c r="BA92" s="508"/>
      <c r="BB92" s="508"/>
      <c r="BC92" s="508"/>
      <c r="BD92" s="508"/>
      <c r="BE92" s="509"/>
      <c r="BF92" s="504">
        <f t="shared" si="49"/>
        <v>0</v>
      </c>
      <c r="BG92" s="510"/>
      <c r="BH92" s="508"/>
      <c r="BI92" s="508"/>
      <c r="BJ92" s="508"/>
      <c r="BK92" s="659"/>
      <c r="BL92" s="508"/>
      <c r="BM92" s="508"/>
      <c r="BN92" s="508"/>
      <c r="BO92" s="508"/>
      <c r="BP92" s="508"/>
      <c r="BQ92" s="508"/>
      <c r="BR92" s="509"/>
      <c r="BS92" s="504">
        <f t="shared" si="50"/>
        <v>0</v>
      </c>
      <c r="BT92" s="510"/>
      <c r="BU92" s="508"/>
      <c r="BV92" s="508"/>
      <c r="BW92" s="508"/>
      <c r="BX92" s="508"/>
      <c r="BY92" s="508"/>
      <c r="BZ92" s="508"/>
      <c r="CA92" s="508"/>
      <c r="CB92" s="508"/>
      <c r="CC92" s="508"/>
      <c r="CD92" s="508"/>
      <c r="CE92" s="509"/>
      <c r="CF92" s="504">
        <f t="shared" si="51"/>
        <v>0</v>
      </c>
      <c r="CG92" s="504"/>
      <c r="CH92" s="504">
        <f t="shared" si="52"/>
        <v>0</v>
      </c>
      <c r="CI92" s="559">
        <f t="shared" si="53"/>
        <v>0</v>
      </c>
      <c r="CJ92" s="504">
        <f t="shared" si="54"/>
        <v>0</v>
      </c>
      <c r="CK92" s="504">
        <f t="shared" si="55"/>
        <v>0</v>
      </c>
      <c r="CL92" s="504">
        <v>0</v>
      </c>
      <c r="CM92" s="504">
        <f t="shared" si="56"/>
        <v>0</v>
      </c>
    </row>
    <row r="93" spans="1:93" outlineLevel="1">
      <c r="A93" s="500"/>
      <c r="B93" s="551"/>
      <c r="C93" s="526">
        <f t="shared" si="58"/>
        <v>303.23999999999978</v>
      </c>
      <c r="D93" s="551"/>
      <c r="E93" s="551"/>
      <c r="F93" s="501"/>
      <c r="G93" s="501"/>
      <c r="H93" s="501" t="s">
        <v>359</v>
      </c>
      <c r="I93" s="501"/>
      <c r="J93" s="501"/>
      <c r="K93" s="501"/>
      <c r="L93" s="501"/>
      <c r="M93" s="517"/>
      <c r="N93" s="518">
        <v>6400003906</v>
      </c>
      <c r="O93" s="504">
        <v>385250</v>
      </c>
      <c r="P93" s="519" t="s">
        <v>314</v>
      </c>
      <c r="Q93" s="506"/>
      <c r="R93" s="506"/>
      <c r="S93" s="504"/>
      <c r="T93" s="507"/>
      <c r="U93" s="508"/>
      <c r="V93" s="508"/>
      <c r="W93" s="508"/>
      <c r="X93" s="508"/>
      <c r="Y93" s="508"/>
      <c r="Z93" s="508"/>
      <c r="AA93" s="508"/>
      <c r="AB93" s="508"/>
      <c r="AC93" s="508"/>
      <c r="AD93" s="508"/>
      <c r="AE93" s="550"/>
      <c r="AF93" s="504">
        <f t="shared" si="47"/>
        <v>0</v>
      </c>
      <c r="AG93" s="510"/>
      <c r="AH93" s="508"/>
      <c r="AI93" s="508"/>
      <c r="AJ93" s="508">
        <v>5306.69</v>
      </c>
      <c r="AK93" s="508">
        <v>3374.64</v>
      </c>
      <c r="AL93" s="508"/>
      <c r="AM93" s="508"/>
      <c r="AN93" s="508"/>
      <c r="AO93" s="508"/>
      <c r="AP93" s="508"/>
      <c r="AQ93" s="508"/>
      <c r="AR93" s="509"/>
      <c r="AS93" s="504">
        <f t="shared" si="48"/>
        <v>8681.33</v>
      </c>
      <c r="AT93" s="510"/>
      <c r="AU93" s="508"/>
      <c r="AV93" s="508"/>
      <c r="AW93" s="508"/>
      <c r="AX93" s="508"/>
      <c r="AY93" s="508"/>
      <c r="AZ93" s="508"/>
      <c r="BA93" s="508"/>
      <c r="BB93" s="508"/>
      <c r="BC93" s="508"/>
      <c r="BD93" s="508"/>
      <c r="BE93" s="509"/>
      <c r="BF93" s="504">
        <f t="shared" si="49"/>
        <v>0</v>
      </c>
      <c r="BG93" s="510"/>
      <c r="BH93" s="508"/>
      <c r="BI93" s="508"/>
      <c r="BJ93" s="508"/>
      <c r="BK93" s="508"/>
      <c r="BL93" s="508"/>
      <c r="BM93" s="508"/>
      <c r="BN93" s="508"/>
      <c r="BO93" s="508"/>
      <c r="BP93" s="508"/>
      <c r="BQ93" s="508"/>
      <c r="BR93" s="509"/>
      <c r="BS93" s="504">
        <f t="shared" si="50"/>
        <v>0</v>
      </c>
      <c r="BT93" s="510"/>
      <c r="BU93" s="508"/>
      <c r="BV93" s="508"/>
      <c r="BW93" s="508"/>
      <c r="BX93" s="508"/>
      <c r="BY93" s="508"/>
      <c r="BZ93" s="508"/>
      <c r="CA93" s="508"/>
      <c r="CB93" s="508"/>
      <c r="CC93" s="508"/>
      <c r="CD93" s="508"/>
      <c r="CE93" s="509"/>
      <c r="CF93" s="504">
        <f t="shared" si="51"/>
        <v>0</v>
      </c>
      <c r="CG93" s="504"/>
      <c r="CH93" s="504">
        <f t="shared" si="52"/>
        <v>8681.33</v>
      </c>
      <c r="CI93" s="559">
        <f t="shared" si="53"/>
        <v>0</v>
      </c>
      <c r="CJ93" s="504">
        <f t="shared" si="54"/>
        <v>8681.33</v>
      </c>
      <c r="CK93" s="504">
        <f t="shared" si="55"/>
        <v>8681.33</v>
      </c>
      <c r="CL93" s="504">
        <v>8681.33</v>
      </c>
      <c r="CM93" s="504">
        <f t="shared" si="56"/>
        <v>0</v>
      </c>
    </row>
    <row r="94" spans="1:93" outlineLevel="1">
      <c r="A94" s="500"/>
      <c r="B94" s="551"/>
      <c r="C94" s="526">
        <f t="shared" si="58"/>
        <v>303.24999999999977</v>
      </c>
      <c r="D94" s="551"/>
      <c r="E94" s="551"/>
      <c r="F94" s="501"/>
      <c r="G94" s="501"/>
      <c r="H94" s="501" t="s">
        <v>360</v>
      </c>
      <c r="I94" s="501"/>
      <c r="J94" s="501"/>
      <c r="K94" s="501"/>
      <c r="L94" s="501"/>
      <c r="M94" s="517"/>
      <c r="N94" s="518">
        <v>6400001495</v>
      </c>
      <c r="O94" s="504">
        <v>70000</v>
      </c>
      <c r="P94" s="519" t="s">
        <v>314</v>
      </c>
      <c r="Q94" s="506"/>
      <c r="R94" s="506"/>
      <c r="S94" s="504"/>
      <c r="T94" s="507"/>
      <c r="U94" s="508"/>
      <c r="V94" s="508"/>
      <c r="W94" s="508"/>
      <c r="X94" s="508"/>
      <c r="Y94" s="508"/>
      <c r="Z94" s="508"/>
      <c r="AA94" s="508"/>
      <c r="AB94" s="508"/>
      <c r="AC94" s="508"/>
      <c r="AD94" s="508"/>
      <c r="AE94" s="550"/>
      <c r="AF94" s="504">
        <f t="shared" si="47"/>
        <v>0</v>
      </c>
      <c r="AG94" s="510"/>
      <c r="AH94" s="508"/>
      <c r="AI94" s="508"/>
      <c r="AJ94" s="508">
        <v>3877</v>
      </c>
      <c r="AK94" s="508"/>
      <c r="AL94" s="508"/>
      <c r="AM94" s="508"/>
      <c r="AN94" s="508"/>
      <c r="AO94" s="508"/>
      <c r="AP94" s="508"/>
      <c r="AQ94" s="508"/>
      <c r="AR94" s="509"/>
      <c r="AS94" s="504">
        <f t="shared" si="48"/>
        <v>3877</v>
      </c>
      <c r="AT94" s="510"/>
      <c r="AU94" s="508">
        <v>1925.5</v>
      </c>
      <c r="AV94" s="549">
        <v>-1925.5</v>
      </c>
      <c r="AW94" s="508"/>
      <c r="AX94" s="508"/>
      <c r="AY94" s="508"/>
      <c r="AZ94" s="508"/>
      <c r="BA94" s="508"/>
      <c r="BB94" s="508"/>
      <c r="BC94" s="508"/>
      <c r="BD94" s="508"/>
      <c r="BE94" s="509"/>
      <c r="BF94" s="504">
        <f t="shared" si="49"/>
        <v>0</v>
      </c>
      <c r="BG94" s="510"/>
      <c r="BH94" s="508"/>
      <c r="BI94" s="508"/>
      <c r="BJ94" s="508"/>
      <c r="BK94" s="508"/>
      <c r="BL94" s="508"/>
      <c r="BM94" s="508"/>
      <c r="BN94" s="508"/>
      <c r="BO94" s="508"/>
      <c r="BP94" s="508"/>
      <c r="BQ94" s="508"/>
      <c r="BR94" s="509"/>
      <c r="BS94" s="504">
        <f t="shared" si="50"/>
        <v>0</v>
      </c>
      <c r="BT94" s="510"/>
      <c r="BU94" s="508"/>
      <c r="BV94" s="508"/>
      <c r="BW94" s="508"/>
      <c r="BX94" s="508"/>
      <c r="BY94" s="508"/>
      <c r="BZ94" s="508"/>
      <c r="CA94" s="508"/>
      <c r="CB94" s="508"/>
      <c r="CC94" s="508"/>
      <c r="CD94" s="508"/>
      <c r="CE94" s="509"/>
      <c r="CF94" s="504">
        <f t="shared" si="51"/>
        <v>0</v>
      </c>
      <c r="CG94" s="504"/>
      <c r="CH94" s="504">
        <f t="shared" si="52"/>
        <v>3877</v>
      </c>
      <c r="CI94" s="559">
        <f t="shared" si="53"/>
        <v>0</v>
      </c>
      <c r="CJ94" s="504">
        <f t="shared" si="54"/>
        <v>3877</v>
      </c>
      <c r="CK94" s="504">
        <f t="shared" si="55"/>
        <v>3877</v>
      </c>
      <c r="CL94" s="504">
        <v>3877</v>
      </c>
      <c r="CM94" s="559">
        <f t="shared" si="56"/>
        <v>0</v>
      </c>
    </row>
    <row r="95" spans="1:93" outlineLevel="1">
      <c r="A95" s="500"/>
      <c r="B95" s="551"/>
      <c r="C95" s="526">
        <f t="shared" si="58"/>
        <v>303.25999999999976</v>
      </c>
      <c r="D95" s="551"/>
      <c r="E95" s="551"/>
      <c r="F95" s="501"/>
      <c r="G95" s="501"/>
      <c r="H95" s="501" t="s">
        <v>361</v>
      </c>
      <c r="I95" s="501"/>
      <c r="J95" s="501"/>
      <c r="K95" s="501"/>
      <c r="L95" s="501"/>
      <c r="M95" s="517"/>
      <c r="N95" s="518">
        <v>6400001495</v>
      </c>
      <c r="O95" s="504">
        <v>70000</v>
      </c>
      <c r="P95" s="519" t="s">
        <v>314</v>
      </c>
      <c r="Q95" s="506"/>
      <c r="R95" s="506"/>
      <c r="S95" s="504"/>
      <c r="T95" s="507"/>
      <c r="U95" s="508"/>
      <c r="V95" s="508"/>
      <c r="W95" s="508"/>
      <c r="X95" s="508"/>
      <c r="Y95" s="508"/>
      <c r="Z95" s="508"/>
      <c r="AA95" s="508"/>
      <c r="AB95" s="508"/>
      <c r="AC95" s="508"/>
      <c r="AD95" s="508"/>
      <c r="AE95" s="550"/>
      <c r="AF95" s="504">
        <f t="shared" si="47"/>
        <v>0</v>
      </c>
      <c r="AG95" s="510"/>
      <c r="AH95" s="508"/>
      <c r="AI95" s="508"/>
      <c r="AJ95" s="508"/>
      <c r="AK95" s="508"/>
      <c r="AL95" s="508"/>
      <c r="AM95" s="508"/>
      <c r="AN95" s="508"/>
      <c r="AO95" s="508"/>
      <c r="AP95" s="508"/>
      <c r="AQ95" s="508"/>
      <c r="AR95" s="509"/>
      <c r="AS95" s="504">
        <f t="shared" si="48"/>
        <v>0</v>
      </c>
      <c r="AT95" s="510"/>
      <c r="AU95" s="508">
        <v>1925.5</v>
      </c>
      <c r="AV95" s="549">
        <v>-1925.5</v>
      </c>
      <c r="AW95" s="508"/>
      <c r="AX95" s="508"/>
      <c r="AY95" s="508"/>
      <c r="AZ95" s="508"/>
      <c r="BA95" s="508"/>
      <c r="BB95" s="508"/>
      <c r="BC95" s="508"/>
      <c r="BD95" s="508"/>
      <c r="BE95" s="509"/>
      <c r="BF95" s="504">
        <f t="shared" si="49"/>
        <v>0</v>
      </c>
      <c r="BG95" s="510"/>
      <c r="BH95" s="508"/>
      <c r="BI95" s="508"/>
      <c r="BJ95" s="508"/>
      <c r="BK95" s="659"/>
      <c r="BL95" s="508"/>
      <c r="BM95" s="508"/>
      <c r="BN95" s="508"/>
      <c r="BO95" s="508"/>
      <c r="BP95" s="508"/>
      <c r="BQ95" s="508"/>
      <c r="BR95" s="509"/>
      <c r="BS95" s="504">
        <f t="shared" si="50"/>
        <v>0</v>
      </c>
      <c r="BT95" s="510"/>
      <c r="BU95" s="508"/>
      <c r="BV95" s="508"/>
      <c r="BW95" s="508"/>
      <c r="BX95" s="508"/>
      <c r="BY95" s="508"/>
      <c r="BZ95" s="508"/>
      <c r="CA95" s="508"/>
      <c r="CB95" s="508"/>
      <c r="CC95" s="508"/>
      <c r="CD95" s="508"/>
      <c r="CE95" s="509"/>
      <c r="CF95" s="504">
        <f t="shared" si="51"/>
        <v>0</v>
      </c>
      <c r="CG95" s="504"/>
      <c r="CH95" s="504">
        <f t="shared" si="52"/>
        <v>0</v>
      </c>
      <c r="CI95" s="559">
        <f t="shared" si="53"/>
        <v>0</v>
      </c>
      <c r="CJ95" s="504">
        <f t="shared" si="54"/>
        <v>0</v>
      </c>
      <c r="CK95" s="504">
        <f t="shared" si="55"/>
        <v>0</v>
      </c>
      <c r="CL95" s="504">
        <v>0</v>
      </c>
      <c r="CM95" s="559">
        <f t="shared" si="56"/>
        <v>0</v>
      </c>
    </row>
    <row r="96" spans="1:93" outlineLevel="1">
      <c r="A96" s="500"/>
      <c r="B96" s="551"/>
      <c r="C96" s="526">
        <f t="shared" si="58"/>
        <v>303.26999999999975</v>
      </c>
      <c r="D96" s="551"/>
      <c r="E96" s="551"/>
      <c r="F96" s="501"/>
      <c r="G96" s="501"/>
      <c r="H96" s="501" t="s">
        <v>315</v>
      </c>
      <c r="I96" s="501"/>
      <c r="J96" s="501"/>
      <c r="K96" s="501"/>
      <c r="L96" s="501"/>
      <c r="M96" s="517"/>
      <c r="N96" s="518"/>
      <c r="O96" s="504"/>
      <c r="P96" s="519"/>
      <c r="Q96" s="506">
        <v>300000</v>
      </c>
      <c r="R96" s="506">
        <v>0</v>
      </c>
      <c r="S96" s="504"/>
      <c r="T96" s="507"/>
      <c r="U96" s="508"/>
      <c r="V96" s="508"/>
      <c r="W96" s="508"/>
      <c r="X96" s="508"/>
      <c r="Y96" s="508"/>
      <c r="Z96" s="508"/>
      <c r="AA96" s="508"/>
      <c r="AB96" s="508"/>
      <c r="AC96" s="508"/>
      <c r="AD96" s="508"/>
      <c r="AE96" s="509"/>
      <c r="AF96" s="504">
        <f t="shared" si="47"/>
        <v>0</v>
      </c>
      <c r="AG96" s="510"/>
      <c r="AH96" s="549"/>
      <c r="AI96" s="508"/>
      <c r="AJ96" s="508"/>
      <c r="AK96" s="508"/>
      <c r="AL96" s="508"/>
      <c r="AM96" s="508"/>
      <c r="AN96" s="508"/>
      <c r="AO96" s="508"/>
      <c r="AP96" s="508"/>
      <c r="AQ96" s="508"/>
      <c r="AR96" s="509"/>
      <c r="AS96" s="504">
        <f t="shared" si="48"/>
        <v>0</v>
      </c>
      <c r="AT96" s="510"/>
      <c r="AU96" s="508"/>
      <c r="AV96" s="508"/>
      <c r="AW96" s="508"/>
      <c r="AX96" s="508"/>
      <c r="AY96" s="508"/>
      <c r="AZ96" s="508"/>
      <c r="BA96" s="508"/>
      <c r="BB96" s="508"/>
      <c r="BC96" s="508"/>
      <c r="BD96" s="508"/>
      <c r="BE96" s="509"/>
      <c r="BF96" s="504">
        <f t="shared" si="49"/>
        <v>0</v>
      </c>
      <c r="BG96" s="510"/>
      <c r="BH96" s="508"/>
      <c r="BI96" s="508"/>
      <c r="BJ96" s="508"/>
      <c r="BK96" s="508"/>
      <c r="BL96" s="508"/>
      <c r="BM96" s="508"/>
      <c r="BN96" s="508"/>
      <c r="BO96" s="508"/>
      <c r="BP96" s="508"/>
      <c r="BQ96" s="508"/>
      <c r="BR96" s="509"/>
      <c r="BS96" s="504">
        <f t="shared" si="50"/>
        <v>0</v>
      </c>
      <c r="BT96" s="510"/>
      <c r="BU96" s="508"/>
      <c r="BV96" s="508"/>
      <c r="BW96" s="508"/>
      <c r="BX96" s="508"/>
      <c r="BY96" s="508"/>
      <c r="BZ96" s="508"/>
      <c r="CA96" s="508"/>
      <c r="CB96" s="508"/>
      <c r="CC96" s="508"/>
      <c r="CD96" s="508"/>
      <c r="CE96" s="509"/>
      <c r="CF96" s="504">
        <f t="shared" si="51"/>
        <v>0</v>
      </c>
      <c r="CG96" s="504"/>
      <c r="CH96" s="559">
        <f t="shared" si="52"/>
        <v>0</v>
      </c>
      <c r="CI96" s="559">
        <f t="shared" si="53"/>
        <v>0</v>
      </c>
      <c r="CJ96" s="504">
        <f t="shared" si="54"/>
        <v>0</v>
      </c>
      <c r="CK96" s="504">
        <f t="shared" si="55"/>
        <v>0</v>
      </c>
      <c r="CL96" s="504">
        <v>0</v>
      </c>
      <c r="CM96" s="559">
        <f t="shared" si="56"/>
        <v>0</v>
      </c>
    </row>
    <row r="97" spans="1:93" outlineLevel="1">
      <c r="A97" s="500"/>
      <c r="B97" s="551"/>
      <c r="C97" s="526">
        <f t="shared" si="58"/>
        <v>303.27999999999975</v>
      </c>
      <c r="D97" s="551"/>
      <c r="E97" s="551"/>
      <c r="F97" s="501"/>
      <c r="G97" s="501"/>
      <c r="H97" s="501" t="s">
        <v>362</v>
      </c>
      <c r="I97" s="501"/>
      <c r="J97" s="501"/>
      <c r="K97" s="501"/>
      <c r="L97" s="501"/>
      <c r="M97" s="517"/>
      <c r="N97" s="518">
        <v>6400004278</v>
      </c>
      <c r="O97" s="504">
        <v>50000</v>
      </c>
      <c r="P97" s="519" t="s">
        <v>310</v>
      </c>
      <c r="Q97" s="506">
        <v>1000000</v>
      </c>
      <c r="R97" s="506">
        <v>925000</v>
      </c>
      <c r="S97" s="504"/>
      <c r="T97" s="507"/>
      <c r="U97" s="508"/>
      <c r="V97" s="508"/>
      <c r="W97" s="508"/>
      <c r="X97" s="508"/>
      <c r="Y97" s="508"/>
      <c r="Z97" s="508"/>
      <c r="AA97" s="508"/>
      <c r="AB97" s="508"/>
      <c r="AC97" s="508"/>
      <c r="AD97" s="508"/>
      <c r="AE97" s="509"/>
      <c r="AF97" s="504">
        <f t="shared" si="47"/>
        <v>0</v>
      </c>
      <c r="AG97" s="510"/>
      <c r="AH97" s="508"/>
      <c r="AI97" s="508"/>
      <c r="AJ97" s="508"/>
      <c r="AK97" s="508"/>
      <c r="AL97" s="508"/>
      <c r="AM97" s="508"/>
      <c r="AN97" s="549"/>
      <c r="AO97" s="549"/>
      <c r="AP97" s="549"/>
      <c r="AQ97" s="549"/>
      <c r="AR97" s="550">
        <v>330</v>
      </c>
      <c r="AS97" s="504">
        <f t="shared" si="48"/>
        <v>330</v>
      </c>
      <c r="AT97" s="548">
        <v>2342</v>
      </c>
      <c r="AU97" s="508">
        <v>310</v>
      </c>
      <c r="AV97" s="549"/>
      <c r="AW97" s="549"/>
      <c r="AX97" s="508"/>
      <c r="AY97" s="549"/>
      <c r="AZ97" s="549"/>
      <c r="BA97" s="549"/>
      <c r="BB97" s="549"/>
      <c r="BC97" s="549"/>
      <c r="BD97" s="549"/>
      <c r="BE97" s="509"/>
      <c r="BF97" s="504">
        <f t="shared" si="49"/>
        <v>2652</v>
      </c>
      <c r="BG97" s="548"/>
      <c r="BH97" s="548"/>
      <c r="BI97" s="508"/>
      <c r="BJ97" s="508"/>
      <c r="BK97" s="508"/>
      <c r="BL97" s="508"/>
      <c r="BM97" s="508"/>
      <c r="BN97" s="508"/>
      <c r="BO97" s="508"/>
      <c r="BP97" s="508"/>
      <c r="BQ97" s="508"/>
      <c r="BR97" s="509"/>
      <c r="BS97" s="504">
        <f t="shared" si="50"/>
        <v>0</v>
      </c>
      <c r="BT97" s="510"/>
      <c r="BU97" s="508"/>
      <c r="BV97" s="508"/>
      <c r="BW97" s="508"/>
      <c r="BX97" s="508"/>
      <c r="BY97" s="508"/>
      <c r="BZ97" s="508"/>
      <c r="CA97" s="508"/>
      <c r="CB97" s="508"/>
      <c r="CC97" s="508"/>
      <c r="CD97" s="508"/>
      <c r="CE97" s="509"/>
      <c r="CF97" s="504">
        <f t="shared" si="51"/>
        <v>0</v>
      </c>
      <c r="CG97" s="504"/>
      <c r="CH97" s="559">
        <f t="shared" si="52"/>
        <v>2982</v>
      </c>
      <c r="CI97" s="556">
        <f t="shared" si="53"/>
        <v>0</v>
      </c>
      <c r="CJ97" s="504">
        <f t="shared" si="54"/>
        <v>2982</v>
      </c>
      <c r="CK97" s="504">
        <f t="shared" si="55"/>
        <v>-922018</v>
      </c>
      <c r="CL97" s="504">
        <v>2982</v>
      </c>
      <c r="CM97" s="559">
        <f t="shared" si="56"/>
        <v>0</v>
      </c>
    </row>
    <row r="98" spans="1:93" outlineLevel="1">
      <c r="A98" s="500"/>
      <c r="B98" s="551"/>
      <c r="C98" s="526">
        <f t="shared" si="58"/>
        <v>303.28999999999974</v>
      </c>
      <c r="D98" s="551"/>
      <c r="E98" s="551"/>
      <c r="F98" s="501"/>
      <c r="G98" s="501"/>
      <c r="H98" s="501" t="s">
        <v>363</v>
      </c>
      <c r="I98" s="501"/>
      <c r="J98" s="501"/>
      <c r="K98" s="501"/>
      <c r="L98" s="501"/>
      <c r="M98" s="517"/>
      <c r="N98" s="518">
        <v>4600002102</v>
      </c>
      <c r="O98" s="504">
        <v>65000000</v>
      </c>
      <c r="P98" s="519" t="s">
        <v>314</v>
      </c>
      <c r="Q98" s="506"/>
      <c r="R98" s="506"/>
      <c r="S98" s="504"/>
      <c r="T98" s="507"/>
      <c r="U98" s="508"/>
      <c r="V98" s="508"/>
      <c r="W98" s="508"/>
      <c r="X98" s="508"/>
      <c r="Y98" s="508"/>
      <c r="Z98" s="508"/>
      <c r="AA98" s="508"/>
      <c r="AB98" s="508"/>
      <c r="AC98" s="508"/>
      <c r="AD98" s="508"/>
      <c r="AE98" s="509"/>
      <c r="AF98" s="504">
        <f t="shared" si="47"/>
        <v>0</v>
      </c>
      <c r="AG98" s="510"/>
      <c r="AH98" s="508"/>
      <c r="AI98" s="508"/>
      <c r="AJ98" s="508"/>
      <c r="AK98" s="508"/>
      <c r="AL98" s="508"/>
      <c r="AM98" s="508"/>
      <c r="AN98" s="508">
        <v>502.87</v>
      </c>
      <c r="AO98" s="549">
        <v>442.52</v>
      </c>
      <c r="AP98" s="549">
        <v>61512.9</v>
      </c>
      <c r="AQ98" s="508"/>
      <c r="AR98" s="509"/>
      <c r="AS98" s="504">
        <f t="shared" si="48"/>
        <v>62458.29</v>
      </c>
      <c r="AT98" s="510"/>
      <c r="AU98" s="508"/>
      <c r="AV98" s="508">
        <v>341.94</v>
      </c>
      <c r="AW98" s="508">
        <v>9600.75</v>
      </c>
      <c r="AX98" s="508"/>
      <c r="AY98" s="549"/>
      <c r="AZ98" s="549"/>
      <c r="BA98" s="549"/>
      <c r="BB98" s="549">
        <v>14587.12</v>
      </c>
      <c r="BC98" s="549"/>
      <c r="BD98" s="549"/>
      <c r="BE98" s="509"/>
      <c r="BF98" s="504">
        <f t="shared" si="49"/>
        <v>24529.81</v>
      </c>
      <c r="BG98" s="548"/>
      <c r="BH98" s="508"/>
      <c r="BI98" s="508"/>
      <c r="BJ98" s="508"/>
      <c r="BK98" s="508"/>
      <c r="BL98" s="508"/>
      <c r="BM98" s="508"/>
      <c r="BN98" s="508"/>
      <c r="BO98" s="508"/>
      <c r="BP98" s="508"/>
      <c r="BQ98" s="508"/>
      <c r="BR98" s="509"/>
      <c r="BS98" s="504">
        <f t="shared" si="50"/>
        <v>0</v>
      </c>
      <c r="BT98" s="510"/>
      <c r="BU98" s="508"/>
      <c r="BV98" s="508"/>
      <c r="BW98" s="508"/>
      <c r="BX98" s="508"/>
      <c r="BY98" s="508"/>
      <c r="BZ98" s="508"/>
      <c r="CA98" s="508"/>
      <c r="CB98" s="508"/>
      <c r="CC98" s="508"/>
      <c r="CD98" s="508"/>
      <c r="CE98" s="509"/>
      <c r="CF98" s="504">
        <f t="shared" si="51"/>
        <v>0</v>
      </c>
      <c r="CG98" s="504"/>
      <c r="CH98" s="559">
        <f t="shared" si="52"/>
        <v>86988.1</v>
      </c>
      <c r="CI98" s="559">
        <f t="shared" si="53"/>
        <v>0</v>
      </c>
      <c r="CJ98" s="504">
        <f t="shared" si="54"/>
        <v>86988.1</v>
      </c>
      <c r="CK98" s="504">
        <f t="shared" si="55"/>
        <v>86988.1</v>
      </c>
      <c r="CL98" s="504">
        <v>86988.1</v>
      </c>
      <c r="CM98" s="559">
        <f t="shared" si="56"/>
        <v>0</v>
      </c>
    </row>
    <row r="99" spans="1:93" outlineLevel="1">
      <c r="A99" s="500"/>
      <c r="B99" s="551"/>
      <c r="C99" s="526"/>
      <c r="D99" s="551"/>
      <c r="E99" s="551"/>
      <c r="F99" s="501"/>
      <c r="G99" s="501"/>
      <c r="H99" s="501"/>
      <c r="I99" s="501"/>
      <c r="J99" s="599" t="s">
        <v>311</v>
      </c>
      <c r="K99" s="501"/>
      <c r="L99" s="501"/>
      <c r="M99" s="517"/>
      <c r="N99" s="518"/>
      <c r="O99" s="504"/>
      <c r="P99" s="519"/>
      <c r="Q99" s="506"/>
      <c r="R99" s="506"/>
      <c r="S99" s="504"/>
      <c r="T99" s="507"/>
      <c r="U99" s="508"/>
      <c r="V99" s="508"/>
      <c r="W99" s="508"/>
      <c r="X99" s="508"/>
      <c r="Y99" s="508"/>
      <c r="Z99" s="508"/>
      <c r="AA99" s="508"/>
      <c r="AB99" s="508"/>
      <c r="AC99" s="508"/>
      <c r="AD99" s="508"/>
      <c r="AE99" s="509"/>
      <c r="AF99" s="504">
        <f t="shared" si="47"/>
        <v>0</v>
      </c>
      <c r="AG99" s="510"/>
      <c r="AH99" s="508"/>
      <c r="AI99" s="508"/>
      <c r="AJ99" s="508"/>
      <c r="AK99" s="508"/>
      <c r="AL99" s="508"/>
      <c r="AM99" s="508">
        <v>22541.89</v>
      </c>
      <c r="AN99" s="508">
        <f>-22541.89+48508.34+2973.53</f>
        <v>28939.979999999996</v>
      </c>
      <c r="AO99" s="508">
        <f>-48508.34-2973.53+3930.77+58069.77</f>
        <v>10518.669999999998</v>
      </c>
      <c r="AP99" s="549">
        <f>-58069.17-3930.77</f>
        <v>-61999.939999999995</v>
      </c>
      <c r="AQ99" s="549"/>
      <c r="AR99" s="550">
        <f>-0.5+2447.22</f>
        <v>2446.7199999999998</v>
      </c>
      <c r="AS99" s="504">
        <f t="shared" si="48"/>
        <v>2447.3199999999983</v>
      </c>
      <c r="AT99" s="510">
        <f>-2447.22+2444.36</f>
        <v>-2.8599999999996726</v>
      </c>
      <c r="AU99" s="508">
        <f>-2444.36+7649.02</f>
        <v>5204.66</v>
      </c>
      <c r="AV99" s="549">
        <f>-7649.02+9658.5</f>
        <v>2009.4799999999996</v>
      </c>
      <c r="AW99" s="549">
        <v>-9658.5</v>
      </c>
      <c r="AX99" s="508"/>
      <c r="AY99" s="508"/>
      <c r="AZ99" s="508"/>
      <c r="BA99" s="549">
        <v>1335.6</v>
      </c>
      <c r="BB99" s="508">
        <v>-1335.6</v>
      </c>
      <c r="BC99" s="508"/>
      <c r="BD99" s="508"/>
      <c r="BE99" s="509"/>
      <c r="BF99" s="504">
        <f t="shared" si="49"/>
        <v>-2447.2200000000003</v>
      </c>
      <c r="BG99" s="510"/>
      <c r="BH99" s="508"/>
      <c r="BI99" s="508"/>
      <c r="BJ99" s="508"/>
      <c r="BK99" s="508"/>
      <c r="BL99" s="508"/>
      <c r="BM99" s="508"/>
      <c r="BN99" s="508"/>
      <c r="BO99" s="508"/>
      <c r="BP99" s="508"/>
      <c r="BQ99" s="508"/>
      <c r="BR99" s="509"/>
      <c r="BS99" s="504">
        <f t="shared" si="50"/>
        <v>0</v>
      </c>
      <c r="BT99" s="510"/>
      <c r="BU99" s="508"/>
      <c r="BV99" s="508"/>
      <c r="BW99" s="508"/>
      <c r="BX99" s="508"/>
      <c r="BY99" s="508"/>
      <c r="BZ99" s="508"/>
      <c r="CA99" s="508"/>
      <c r="CB99" s="508"/>
      <c r="CC99" s="508"/>
      <c r="CD99" s="508"/>
      <c r="CE99" s="509"/>
      <c r="CF99" s="504">
        <f t="shared" si="51"/>
        <v>0</v>
      </c>
      <c r="CG99" s="504"/>
      <c r="CH99" s="559">
        <f t="shared" si="52"/>
        <v>9.9999999998544808E-2</v>
      </c>
      <c r="CI99" s="559">
        <f t="shared" si="53"/>
        <v>0</v>
      </c>
      <c r="CJ99" s="504">
        <f t="shared" si="54"/>
        <v>9.9999999998544808E-2</v>
      </c>
      <c r="CK99" s="504">
        <f t="shared" si="55"/>
        <v>9.9999999998544808E-2</v>
      </c>
      <c r="CL99" s="504">
        <v>9.9999999998544808E-2</v>
      </c>
      <c r="CM99" s="559">
        <f t="shared" si="56"/>
        <v>0</v>
      </c>
    </row>
    <row r="100" spans="1:93" outlineLevel="1">
      <c r="A100" s="500"/>
      <c r="B100" s="551"/>
      <c r="C100" s="526">
        <f>+C98+0.01</f>
        <v>303.29999999999973</v>
      </c>
      <c r="D100" s="551"/>
      <c r="E100" s="551"/>
      <c r="F100" s="501"/>
      <c r="G100" s="501"/>
      <c r="H100" s="501" t="s">
        <v>364</v>
      </c>
      <c r="I100" s="501"/>
      <c r="J100" s="501"/>
      <c r="K100" s="501"/>
      <c r="L100" s="501"/>
      <c r="M100" s="517"/>
      <c r="N100" s="518">
        <v>6400002823</v>
      </c>
      <c r="O100" s="504">
        <v>460671</v>
      </c>
      <c r="P100" s="519" t="s">
        <v>310</v>
      </c>
      <c r="Q100" s="506"/>
      <c r="R100" s="506"/>
      <c r="S100" s="504"/>
      <c r="T100" s="507"/>
      <c r="U100" s="508"/>
      <c r="V100" s="508"/>
      <c r="W100" s="508"/>
      <c r="X100" s="508"/>
      <c r="Y100" s="508"/>
      <c r="Z100" s="508"/>
      <c r="AA100" s="508"/>
      <c r="AB100" s="508"/>
      <c r="AC100" s="508"/>
      <c r="AD100" s="508"/>
      <c r="AE100" s="550"/>
      <c r="AF100" s="504">
        <f t="shared" si="47"/>
        <v>0</v>
      </c>
      <c r="AG100" s="510"/>
      <c r="AH100" s="508"/>
      <c r="AI100" s="508"/>
      <c r="AJ100" s="508"/>
      <c r="AK100" s="508"/>
      <c r="AL100" s="508"/>
      <c r="AM100" s="508"/>
      <c r="AN100" s="508"/>
      <c r="AO100" s="508"/>
      <c r="AP100" s="508">
        <v>2550</v>
      </c>
      <c r="AQ100" s="508"/>
      <c r="AR100" s="509">
        <v>842</v>
      </c>
      <c r="AS100" s="504">
        <f t="shared" si="48"/>
        <v>3392</v>
      </c>
      <c r="AT100" s="510"/>
      <c r="AU100" s="508">
        <v>5957.5</v>
      </c>
      <c r="AV100" s="508">
        <v>42389.39</v>
      </c>
      <c r="AW100" s="549">
        <f>88351.62+11431.6</f>
        <v>99783.22</v>
      </c>
      <c r="AX100" s="508"/>
      <c r="AY100" s="508"/>
      <c r="AZ100" s="508"/>
      <c r="BA100" s="508"/>
      <c r="BB100" s="508"/>
      <c r="BC100" s="508"/>
      <c r="BD100" s="508"/>
      <c r="BE100" s="509"/>
      <c r="BF100" s="504">
        <f t="shared" si="49"/>
        <v>148130.10999999999</v>
      </c>
      <c r="BG100" s="510"/>
      <c r="BH100" s="508"/>
      <c r="BI100" s="508"/>
      <c r="BJ100" s="508"/>
      <c r="BK100" s="508"/>
      <c r="BL100" s="508"/>
      <c r="BM100" s="508"/>
      <c r="BN100" s="508"/>
      <c r="BO100" s="508"/>
      <c r="BP100" s="508"/>
      <c r="BQ100" s="508"/>
      <c r="BR100" s="509"/>
      <c r="BS100" s="504">
        <f t="shared" si="50"/>
        <v>0</v>
      </c>
      <c r="BT100" s="510"/>
      <c r="BU100" s="508"/>
      <c r="BV100" s="508"/>
      <c r="BW100" s="508"/>
      <c r="BX100" s="508"/>
      <c r="BY100" s="508"/>
      <c r="BZ100" s="508"/>
      <c r="CA100" s="508"/>
      <c r="CB100" s="508"/>
      <c r="CC100" s="508"/>
      <c r="CD100" s="508"/>
      <c r="CE100" s="509"/>
      <c r="CF100" s="504">
        <f t="shared" si="51"/>
        <v>0</v>
      </c>
      <c r="CG100" s="504"/>
      <c r="CH100" s="559">
        <f t="shared" si="52"/>
        <v>151522.10999999999</v>
      </c>
      <c r="CI100" s="559">
        <f t="shared" si="53"/>
        <v>0</v>
      </c>
      <c r="CJ100" s="504">
        <f t="shared" si="54"/>
        <v>151522.10999999999</v>
      </c>
      <c r="CK100" s="504">
        <f t="shared" si="55"/>
        <v>151522.10999999999</v>
      </c>
      <c r="CL100" s="504">
        <v>151522.10999999999</v>
      </c>
      <c r="CM100" s="559">
        <f t="shared" si="56"/>
        <v>0</v>
      </c>
    </row>
    <row r="101" spans="1:93" outlineLevel="1">
      <c r="A101" s="500"/>
      <c r="B101" s="551"/>
      <c r="C101" s="526">
        <f>+C100+0.01</f>
        <v>303.30999999999972</v>
      </c>
      <c r="D101" s="551"/>
      <c r="E101" s="551"/>
      <c r="F101" s="501"/>
      <c r="G101" s="501"/>
      <c r="H101" s="501" t="s">
        <v>365</v>
      </c>
      <c r="I101" s="501"/>
      <c r="J101" s="501"/>
      <c r="K101" s="501"/>
      <c r="L101" s="501"/>
      <c r="M101" s="517"/>
      <c r="N101" s="518" t="s">
        <v>366</v>
      </c>
      <c r="O101" s="504">
        <v>400</v>
      </c>
      <c r="P101" s="519" t="s">
        <v>367</v>
      </c>
      <c r="Q101" s="506"/>
      <c r="R101" s="506"/>
      <c r="S101" s="504"/>
      <c r="T101" s="507"/>
      <c r="U101" s="508"/>
      <c r="V101" s="508"/>
      <c r="W101" s="508"/>
      <c r="X101" s="508"/>
      <c r="Y101" s="508"/>
      <c r="Z101" s="508"/>
      <c r="AA101" s="508"/>
      <c r="AB101" s="508"/>
      <c r="AC101" s="508"/>
      <c r="AD101" s="508"/>
      <c r="AE101" s="550"/>
      <c r="AF101" s="504">
        <f t="shared" ref="AF101:AF113" si="59">SUM(T101:AE101)</f>
        <v>0</v>
      </c>
      <c r="AG101" s="510"/>
      <c r="AH101" s="508"/>
      <c r="AI101" s="508"/>
      <c r="AJ101" s="508"/>
      <c r="AK101" s="508"/>
      <c r="AL101" s="508"/>
      <c r="AM101" s="508"/>
      <c r="AN101" s="508"/>
      <c r="AO101" s="508"/>
      <c r="AP101" s="508"/>
      <c r="AQ101" s="508"/>
      <c r="AR101" s="509"/>
      <c r="AS101" s="504">
        <f t="shared" ref="AS101:AS113" si="60">SUM(AG101:AR101)</f>
        <v>0</v>
      </c>
      <c r="AT101" s="510"/>
      <c r="AU101" s="508"/>
      <c r="AV101" s="508"/>
      <c r="AW101" s="549">
        <v>400</v>
      </c>
      <c r="AX101" s="508"/>
      <c r="AY101" s="508">
        <v>2400.75</v>
      </c>
      <c r="AZ101" s="508">
        <f>-1501.11+500</f>
        <v>-1001.1099999999999</v>
      </c>
      <c r="BA101" s="508"/>
      <c r="BB101" s="508"/>
      <c r="BC101" s="508"/>
      <c r="BD101" s="508"/>
      <c r="BE101" s="509"/>
      <c r="BF101" s="504">
        <f t="shared" ref="BF101:BF113" si="61">SUM(AT101:BE101)</f>
        <v>1799.64</v>
      </c>
      <c r="BG101" s="510"/>
      <c r="BH101" s="508"/>
      <c r="BI101" s="508"/>
      <c r="BJ101" s="508"/>
      <c r="BK101" s="508"/>
      <c r="BL101" s="508"/>
      <c r="BM101" s="508"/>
      <c r="BN101" s="508"/>
      <c r="BO101" s="508"/>
      <c r="BP101" s="508"/>
      <c r="BQ101" s="508"/>
      <c r="BR101" s="509"/>
      <c r="BS101" s="504">
        <f t="shared" ref="BS101:BS113" si="62">SUM(BG101:BR101)</f>
        <v>0</v>
      </c>
      <c r="BT101" s="510"/>
      <c r="BU101" s="508"/>
      <c r="BV101" s="508"/>
      <c r="BW101" s="508"/>
      <c r="BX101" s="508"/>
      <c r="BY101" s="508"/>
      <c r="BZ101" s="508"/>
      <c r="CA101" s="508"/>
      <c r="CB101" s="508"/>
      <c r="CC101" s="508"/>
      <c r="CD101" s="508"/>
      <c r="CE101" s="509"/>
      <c r="CF101" s="504">
        <f t="shared" ref="CF101:CF113" si="63">SUM(BT101:CE101)</f>
        <v>0</v>
      </c>
      <c r="CG101" s="504"/>
      <c r="CH101" s="559">
        <f t="shared" ref="CH101:CH113" si="64">SUMIF(($S$5:$CG$5),"Actual",(S101:CG101))</f>
        <v>1799.64</v>
      </c>
      <c r="CI101" s="559">
        <f t="shared" ref="CI101:CI113" si="65">SUMIF(($S$5:$CG$5),"Forecast",(S101:CG101))</f>
        <v>0</v>
      </c>
      <c r="CJ101" s="504">
        <f t="shared" ref="CJ101:CJ113" si="66">+CH101+CI101</f>
        <v>1799.64</v>
      </c>
      <c r="CK101" s="504">
        <f t="shared" ref="CK101:CK112" si="67">+CJ101-R101</f>
        <v>1799.64</v>
      </c>
      <c r="CL101" s="504">
        <v>1799.64</v>
      </c>
      <c r="CM101" s="559">
        <f t="shared" ref="CM101:CM113" si="68">+CJ101-CL101</f>
        <v>0</v>
      </c>
    </row>
    <row r="102" spans="1:93" outlineLevel="1">
      <c r="A102" s="500"/>
      <c r="B102" s="551"/>
      <c r="C102" s="526">
        <f>+C101+0.01</f>
        <v>303.31999999999971</v>
      </c>
      <c r="D102" s="551"/>
      <c r="E102" s="551"/>
      <c r="F102" s="501"/>
      <c r="G102" s="501"/>
      <c r="H102" s="501" t="s">
        <v>335</v>
      </c>
      <c r="I102" s="501"/>
      <c r="J102" s="501"/>
      <c r="K102" s="501"/>
      <c r="L102" s="501"/>
      <c r="M102" s="517"/>
      <c r="N102" s="518">
        <v>6400002523</v>
      </c>
      <c r="O102" s="504">
        <v>1450000</v>
      </c>
      <c r="P102" s="519" t="s">
        <v>314</v>
      </c>
      <c r="Q102" s="506"/>
      <c r="R102" s="506"/>
      <c r="S102" s="504"/>
      <c r="T102" s="507"/>
      <c r="U102" s="508"/>
      <c r="V102" s="508"/>
      <c r="W102" s="508"/>
      <c r="X102" s="508"/>
      <c r="Y102" s="508"/>
      <c r="Z102" s="508"/>
      <c r="AA102" s="508"/>
      <c r="AB102" s="508"/>
      <c r="AC102" s="508"/>
      <c r="AD102" s="508"/>
      <c r="AE102" s="550"/>
      <c r="AF102" s="504">
        <f t="shared" si="59"/>
        <v>0</v>
      </c>
      <c r="AG102" s="510"/>
      <c r="AH102" s="508"/>
      <c r="AI102" s="508"/>
      <c r="AJ102" s="508">
        <v>27749.88</v>
      </c>
      <c r="AK102" s="508"/>
      <c r="AL102" s="508">
        <v>6716.39</v>
      </c>
      <c r="AM102" s="508">
        <v>3877.94</v>
      </c>
      <c r="AN102" s="508">
        <v>8009.2</v>
      </c>
      <c r="AO102" s="508"/>
      <c r="AP102" s="508"/>
      <c r="AQ102" s="508"/>
      <c r="AR102" s="509"/>
      <c r="AS102" s="504">
        <f t="shared" si="60"/>
        <v>46353.41</v>
      </c>
      <c r="AT102" s="510"/>
      <c r="AU102" s="508"/>
      <c r="AV102" s="508"/>
      <c r="AW102" s="508"/>
      <c r="AX102" s="508"/>
      <c r="AY102" s="508"/>
      <c r="AZ102" s="508"/>
      <c r="BA102" s="508"/>
      <c r="BB102" s="508"/>
      <c r="BC102" s="508"/>
      <c r="BD102" s="508"/>
      <c r="BE102" s="509"/>
      <c r="BF102" s="504">
        <f t="shared" si="61"/>
        <v>0</v>
      </c>
      <c r="BG102" s="510"/>
      <c r="BH102" s="508"/>
      <c r="BI102" s="508"/>
      <c r="BJ102" s="508"/>
      <c r="BK102" s="508"/>
      <c r="BL102" s="508"/>
      <c r="BM102" s="508"/>
      <c r="BN102" s="508"/>
      <c r="BO102" s="508"/>
      <c r="BP102" s="508"/>
      <c r="BQ102" s="508"/>
      <c r="BR102" s="509"/>
      <c r="BS102" s="504">
        <f t="shared" si="62"/>
        <v>0</v>
      </c>
      <c r="BT102" s="510"/>
      <c r="BU102" s="508"/>
      <c r="BV102" s="508"/>
      <c r="BW102" s="508"/>
      <c r="BX102" s="508"/>
      <c r="BY102" s="508"/>
      <c r="BZ102" s="508"/>
      <c r="CA102" s="508"/>
      <c r="CB102" s="508"/>
      <c r="CC102" s="508"/>
      <c r="CD102" s="508"/>
      <c r="CE102" s="509"/>
      <c r="CF102" s="504">
        <f t="shared" si="63"/>
        <v>0</v>
      </c>
      <c r="CG102" s="504"/>
      <c r="CH102" s="504">
        <f t="shared" si="64"/>
        <v>46353.41</v>
      </c>
      <c r="CI102" s="559">
        <f t="shared" si="65"/>
        <v>0</v>
      </c>
      <c r="CJ102" s="504">
        <f t="shared" si="66"/>
        <v>46353.41</v>
      </c>
      <c r="CK102" s="504">
        <f t="shared" si="67"/>
        <v>46353.41</v>
      </c>
      <c r="CL102" s="504">
        <v>46353.41</v>
      </c>
      <c r="CM102" s="504">
        <f t="shared" si="68"/>
        <v>0</v>
      </c>
    </row>
    <row r="103" spans="1:93" outlineLevel="1">
      <c r="A103" s="500"/>
      <c r="B103" s="551"/>
      <c r="C103" s="526">
        <f>+C102+0.01</f>
        <v>303.3299999999997</v>
      </c>
      <c r="D103" s="551"/>
      <c r="E103" s="551"/>
      <c r="F103" s="501"/>
      <c r="G103" s="501"/>
      <c r="H103" s="501" t="s">
        <v>368</v>
      </c>
      <c r="I103" s="501"/>
      <c r="J103" s="501"/>
      <c r="K103" s="501"/>
      <c r="L103" s="501"/>
      <c r="M103" s="517"/>
      <c r="N103" s="518"/>
      <c r="O103" s="504"/>
      <c r="P103" s="519"/>
      <c r="Q103" s="506"/>
      <c r="R103" s="506"/>
      <c r="S103" s="504"/>
      <c r="T103" s="507"/>
      <c r="U103" s="508"/>
      <c r="V103" s="508"/>
      <c r="W103" s="508"/>
      <c r="X103" s="508"/>
      <c r="Y103" s="508"/>
      <c r="Z103" s="508"/>
      <c r="AA103" s="508"/>
      <c r="AB103" s="508"/>
      <c r="AC103" s="508"/>
      <c r="AD103" s="508"/>
      <c r="AE103" s="550"/>
      <c r="AF103" s="504">
        <f t="shared" si="59"/>
        <v>0</v>
      </c>
      <c r="AG103" s="510"/>
      <c r="AH103" s="508"/>
      <c r="AI103" s="508"/>
      <c r="AJ103" s="508"/>
      <c r="AK103" s="508"/>
      <c r="AL103" s="508"/>
      <c r="AM103" s="508"/>
      <c r="AN103" s="508"/>
      <c r="AO103" s="508"/>
      <c r="AP103" s="508"/>
      <c r="AQ103" s="508"/>
      <c r="AR103" s="509"/>
      <c r="AS103" s="504">
        <f t="shared" si="60"/>
        <v>0</v>
      </c>
      <c r="AT103" s="510"/>
      <c r="AU103" s="508"/>
      <c r="AV103" s="508"/>
      <c r="AW103" s="508"/>
      <c r="AX103" s="508"/>
      <c r="AY103" s="508"/>
      <c r="AZ103" s="508"/>
      <c r="BA103" s="508"/>
      <c r="BB103" s="508"/>
      <c r="BC103" s="508"/>
      <c r="BD103" s="508"/>
      <c r="BE103" s="509"/>
      <c r="BF103" s="504">
        <f t="shared" si="61"/>
        <v>0</v>
      </c>
      <c r="BG103" s="510">
        <v>680</v>
      </c>
      <c r="BH103" s="508"/>
      <c r="BI103" s="508"/>
      <c r="BJ103" s="508"/>
      <c r="BK103" s="508"/>
      <c r="BL103" s="508"/>
      <c r="BM103" s="508"/>
      <c r="BN103" s="508"/>
      <c r="BO103" s="508"/>
      <c r="BP103" s="508"/>
      <c r="BQ103" s="508"/>
      <c r="BR103" s="509"/>
      <c r="BS103" s="504">
        <f t="shared" si="62"/>
        <v>680</v>
      </c>
      <c r="BT103" s="510"/>
      <c r="BU103" s="508"/>
      <c r="BV103" s="508"/>
      <c r="BW103" s="508"/>
      <c r="BX103" s="508"/>
      <c r="BY103" s="508"/>
      <c r="BZ103" s="508"/>
      <c r="CA103" s="508"/>
      <c r="CB103" s="508"/>
      <c r="CC103" s="508"/>
      <c r="CD103" s="508"/>
      <c r="CE103" s="509"/>
      <c r="CF103" s="504">
        <f t="shared" si="63"/>
        <v>0</v>
      </c>
      <c r="CG103" s="504"/>
      <c r="CH103" s="504">
        <f t="shared" si="64"/>
        <v>680</v>
      </c>
      <c r="CI103" s="559">
        <f t="shared" si="65"/>
        <v>0</v>
      </c>
      <c r="CJ103" s="504">
        <f t="shared" si="66"/>
        <v>680</v>
      </c>
      <c r="CK103" s="504">
        <f t="shared" si="67"/>
        <v>680</v>
      </c>
      <c r="CL103" s="504">
        <v>680</v>
      </c>
      <c r="CM103" s="504">
        <f t="shared" si="68"/>
        <v>0</v>
      </c>
    </row>
    <row r="104" spans="1:93" outlineLevel="1">
      <c r="A104" s="500"/>
      <c r="B104" s="551"/>
      <c r="C104" s="526">
        <f>+C103+0.01</f>
        <v>303.33999999999969</v>
      </c>
      <c r="D104" s="551"/>
      <c r="E104" s="551"/>
      <c r="F104" s="501"/>
      <c r="G104" s="501"/>
      <c r="H104" s="501" t="s">
        <v>369</v>
      </c>
      <c r="I104" s="501"/>
      <c r="J104" s="501"/>
      <c r="K104" s="501"/>
      <c r="L104" s="501"/>
      <c r="M104" s="517"/>
      <c r="N104" s="518">
        <v>4600005167</v>
      </c>
      <c r="O104" s="504">
        <v>11636100</v>
      </c>
      <c r="P104" s="519" t="s">
        <v>314</v>
      </c>
      <c r="Q104" s="506"/>
      <c r="R104" s="506">
        <v>737</v>
      </c>
      <c r="S104" s="504"/>
      <c r="T104" s="507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508"/>
      <c r="AE104" s="550"/>
      <c r="AF104" s="504">
        <f t="shared" si="59"/>
        <v>0</v>
      </c>
      <c r="AG104" s="510">
        <v>1866</v>
      </c>
      <c r="AH104" s="508">
        <v>397</v>
      </c>
      <c r="AI104" s="508"/>
      <c r="AJ104" s="508"/>
      <c r="AK104" s="508"/>
      <c r="AL104" s="508">
        <v>5932.75</v>
      </c>
      <c r="AM104" s="508"/>
      <c r="AN104" s="549">
        <v>1753.5</v>
      </c>
      <c r="AO104" s="549"/>
      <c r="AP104" s="549">
        <v>36939.4</v>
      </c>
      <c r="AQ104" s="549"/>
      <c r="AR104" s="550">
        <v>1391.6</v>
      </c>
      <c r="AS104" s="504">
        <f t="shared" si="60"/>
        <v>48280.25</v>
      </c>
      <c r="AT104" s="548">
        <v>8411.75</v>
      </c>
      <c r="AU104" s="549">
        <v>7614.5</v>
      </c>
      <c r="AV104" s="549"/>
      <c r="AW104" s="549">
        <v>20166.150000000001</v>
      </c>
      <c r="AX104" s="508"/>
      <c r="AY104" s="549">
        <f>3719.8+1444</f>
        <v>5163.8</v>
      </c>
      <c r="AZ104" s="508"/>
      <c r="BA104" s="549">
        <v>3359.25</v>
      </c>
      <c r="BB104" s="508"/>
      <c r="BC104" s="549">
        <v>3496</v>
      </c>
      <c r="BD104" s="549"/>
      <c r="BE104" s="550">
        <v>1707.45</v>
      </c>
      <c r="BF104" s="504">
        <f t="shared" si="61"/>
        <v>49918.9</v>
      </c>
      <c r="BG104" s="510">
        <v>1828.25</v>
      </c>
      <c r="BH104" s="508">
        <v>2690.25</v>
      </c>
      <c r="BI104" s="508">
        <f>2027.25+1664.25</f>
        <v>3691.5</v>
      </c>
      <c r="BJ104" s="1299">
        <f>+(2641)*(25/30)</f>
        <v>2200.8333333333335</v>
      </c>
      <c r="BK104" s="659"/>
      <c r="BL104" s="508"/>
      <c r="BM104" s="508"/>
      <c r="BN104" s="508"/>
      <c r="BO104" s="508"/>
      <c r="BP104" s="508"/>
      <c r="BQ104" s="508"/>
      <c r="BR104" s="509"/>
      <c r="BS104" s="504">
        <f t="shared" si="62"/>
        <v>10410.833333333334</v>
      </c>
      <c r="BT104" s="510"/>
      <c r="BU104" s="508"/>
      <c r="BV104" s="508"/>
      <c r="BW104" s="508"/>
      <c r="BX104" s="508"/>
      <c r="BY104" s="508"/>
      <c r="BZ104" s="508"/>
      <c r="CA104" s="508"/>
      <c r="CB104" s="508"/>
      <c r="CC104" s="508"/>
      <c r="CD104" s="508"/>
      <c r="CE104" s="509"/>
      <c r="CF104" s="504">
        <f t="shared" si="63"/>
        <v>0</v>
      </c>
      <c r="CG104" s="504"/>
      <c r="CH104" s="504">
        <f t="shared" si="64"/>
        <v>108609.98333333332</v>
      </c>
      <c r="CI104" s="559">
        <f t="shared" si="65"/>
        <v>0</v>
      </c>
      <c r="CJ104" s="504">
        <f t="shared" si="66"/>
        <v>108609.98333333332</v>
      </c>
      <c r="CK104" s="504">
        <f t="shared" si="67"/>
        <v>107872.98333333332</v>
      </c>
      <c r="CL104" s="504">
        <v>109050.15</v>
      </c>
      <c r="CM104" s="504">
        <f t="shared" si="68"/>
        <v>-440.16666666667152</v>
      </c>
      <c r="CN104" s="1302">
        <v>100000</v>
      </c>
      <c r="CO104" s="570">
        <f>+CN104-CJ104</f>
        <v>-8609.9833333333227</v>
      </c>
    </row>
    <row r="105" spans="1:93" outlineLevel="1">
      <c r="A105" s="500"/>
      <c r="B105" s="551"/>
      <c r="C105" s="551"/>
      <c r="D105" s="551"/>
      <c r="E105" s="551"/>
      <c r="F105" s="501"/>
      <c r="G105" s="501"/>
      <c r="H105" s="501"/>
      <c r="I105" s="501"/>
      <c r="J105" s="501"/>
      <c r="K105" s="501"/>
      <c r="L105" s="501"/>
      <c r="M105" s="517"/>
      <c r="N105" s="518"/>
      <c r="O105" s="504"/>
      <c r="P105" s="519"/>
      <c r="Q105" s="506">
        <v>0</v>
      </c>
      <c r="R105" s="506">
        <v>0</v>
      </c>
      <c r="S105" s="504"/>
      <c r="T105" s="507"/>
      <c r="U105" s="508"/>
      <c r="V105" s="508"/>
      <c r="W105" s="508"/>
      <c r="X105" s="508"/>
      <c r="Y105" s="508"/>
      <c r="Z105" s="508"/>
      <c r="AA105" s="508"/>
      <c r="AB105" s="508"/>
      <c r="AC105" s="508"/>
      <c r="AD105" s="508"/>
      <c r="AE105" s="509"/>
      <c r="AF105" s="504">
        <f t="shared" si="59"/>
        <v>0</v>
      </c>
      <c r="AG105" s="510"/>
      <c r="AH105" s="508"/>
      <c r="AI105" s="508"/>
      <c r="AJ105" s="508"/>
      <c r="AK105" s="508"/>
      <c r="AL105" s="508"/>
      <c r="AM105" s="508"/>
      <c r="AN105" s="508"/>
      <c r="AO105" s="508"/>
      <c r="AP105" s="508"/>
      <c r="AQ105" s="508"/>
      <c r="AR105" s="509"/>
      <c r="AS105" s="504">
        <f t="shared" si="60"/>
        <v>0</v>
      </c>
      <c r="AT105" s="510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9"/>
      <c r="BF105" s="504">
        <f t="shared" si="61"/>
        <v>0</v>
      </c>
      <c r="BG105" s="510"/>
      <c r="BH105" s="508"/>
      <c r="BI105" s="508"/>
      <c r="BJ105" s="508"/>
      <c r="BK105" s="508"/>
      <c r="BL105" s="508"/>
      <c r="BM105" s="508"/>
      <c r="BN105" s="508"/>
      <c r="BO105" s="508"/>
      <c r="BP105" s="508"/>
      <c r="BQ105" s="508"/>
      <c r="BR105" s="509"/>
      <c r="BS105" s="504">
        <f t="shared" si="62"/>
        <v>0</v>
      </c>
      <c r="BT105" s="510"/>
      <c r="BU105" s="508"/>
      <c r="BV105" s="508"/>
      <c r="BW105" s="508"/>
      <c r="BX105" s="508"/>
      <c r="BY105" s="508"/>
      <c r="BZ105" s="508"/>
      <c r="CA105" s="508"/>
      <c r="CB105" s="508"/>
      <c r="CC105" s="508"/>
      <c r="CD105" s="508"/>
      <c r="CE105" s="509"/>
      <c r="CF105" s="504">
        <f t="shared" si="63"/>
        <v>0</v>
      </c>
      <c r="CG105" s="504"/>
      <c r="CH105" s="504">
        <f t="shared" si="64"/>
        <v>0</v>
      </c>
      <c r="CI105" s="504">
        <f t="shared" si="65"/>
        <v>0</v>
      </c>
      <c r="CJ105" s="504">
        <f t="shared" si="66"/>
        <v>0</v>
      </c>
      <c r="CK105" s="504">
        <f t="shared" si="67"/>
        <v>0</v>
      </c>
      <c r="CL105" s="504">
        <v>0</v>
      </c>
      <c r="CM105" s="504">
        <f t="shared" si="68"/>
        <v>0</v>
      </c>
    </row>
    <row r="106" spans="1:93" outlineLevel="1">
      <c r="A106" s="500"/>
      <c r="B106" s="516">
        <v>304</v>
      </c>
      <c r="C106" s="516"/>
      <c r="D106" s="516"/>
      <c r="E106" s="516"/>
      <c r="F106" s="501"/>
      <c r="G106" s="501" t="s">
        <v>370</v>
      </c>
      <c r="H106" s="501"/>
      <c r="I106" s="501"/>
      <c r="J106" s="501"/>
      <c r="K106" s="501"/>
      <c r="L106" s="501"/>
      <c r="M106" s="517"/>
      <c r="N106" s="518"/>
      <c r="O106" s="504"/>
      <c r="P106" s="519"/>
      <c r="Q106" s="506">
        <v>0</v>
      </c>
      <c r="R106" s="506">
        <v>0</v>
      </c>
      <c r="S106" s="504"/>
      <c r="T106" s="507"/>
      <c r="U106" s="508"/>
      <c r="V106" s="508"/>
      <c r="W106" s="508"/>
      <c r="X106" s="508"/>
      <c r="Y106" s="508"/>
      <c r="Z106" s="508"/>
      <c r="AA106" s="508"/>
      <c r="AB106" s="508"/>
      <c r="AC106" s="508"/>
      <c r="AD106" s="508"/>
      <c r="AE106" s="509"/>
      <c r="AF106" s="504">
        <f t="shared" si="59"/>
        <v>0</v>
      </c>
      <c r="AG106" s="510"/>
      <c r="AH106" s="508"/>
      <c r="AI106" s="508"/>
      <c r="AJ106" s="508"/>
      <c r="AK106" s="508"/>
      <c r="AL106" s="508"/>
      <c r="AM106" s="508"/>
      <c r="AN106" s="508"/>
      <c r="AO106" s="508"/>
      <c r="AP106" s="508"/>
      <c r="AQ106" s="508"/>
      <c r="AR106" s="509"/>
      <c r="AS106" s="504">
        <f t="shared" si="60"/>
        <v>0</v>
      </c>
      <c r="AT106" s="510"/>
      <c r="AU106" s="508"/>
      <c r="AV106" s="508"/>
      <c r="AW106" s="508"/>
      <c r="AX106" s="508"/>
      <c r="AY106" s="508"/>
      <c r="AZ106" s="508"/>
      <c r="BA106" s="508"/>
      <c r="BB106" s="508"/>
      <c r="BC106" s="508"/>
      <c r="BD106" s="508"/>
      <c r="BE106" s="509"/>
      <c r="BF106" s="504">
        <f t="shared" si="61"/>
        <v>0</v>
      </c>
      <c r="BG106" s="510"/>
      <c r="BH106" s="508"/>
      <c r="BI106" s="508"/>
      <c r="BJ106" s="508"/>
      <c r="BK106" s="508"/>
      <c r="BL106" s="508"/>
      <c r="BM106" s="508"/>
      <c r="BN106" s="508"/>
      <c r="BO106" s="508"/>
      <c r="BP106" s="508"/>
      <c r="BQ106" s="508"/>
      <c r="BR106" s="509"/>
      <c r="BS106" s="504">
        <f t="shared" si="62"/>
        <v>0</v>
      </c>
      <c r="BT106" s="510"/>
      <c r="BU106" s="508"/>
      <c r="BV106" s="508"/>
      <c r="BW106" s="508"/>
      <c r="BX106" s="508"/>
      <c r="BY106" s="508"/>
      <c r="BZ106" s="508"/>
      <c r="CA106" s="508"/>
      <c r="CB106" s="508"/>
      <c r="CC106" s="508"/>
      <c r="CD106" s="508"/>
      <c r="CE106" s="509"/>
      <c r="CF106" s="504">
        <f t="shared" si="63"/>
        <v>0</v>
      </c>
      <c r="CG106" s="504"/>
      <c r="CH106" s="504">
        <f t="shared" si="64"/>
        <v>0</v>
      </c>
      <c r="CI106" s="504">
        <f t="shared" si="65"/>
        <v>0</v>
      </c>
      <c r="CJ106" s="504">
        <f t="shared" si="66"/>
        <v>0</v>
      </c>
      <c r="CK106" s="504">
        <f t="shared" si="67"/>
        <v>0</v>
      </c>
      <c r="CL106" s="504">
        <v>0</v>
      </c>
      <c r="CM106" s="504">
        <f t="shared" si="68"/>
        <v>0</v>
      </c>
    </row>
    <row r="107" spans="1:93" outlineLevel="1">
      <c r="A107" s="500"/>
      <c r="B107" s="526"/>
      <c r="C107" s="516">
        <v>304.01</v>
      </c>
      <c r="D107" s="588"/>
      <c r="E107" s="588"/>
      <c r="F107" s="525"/>
      <c r="G107" s="501"/>
      <c r="H107" s="501" t="s">
        <v>371</v>
      </c>
      <c r="I107" s="501"/>
      <c r="J107" s="547"/>
      <c r="K107" s="547"/>
      <c r="L107" s="501"/>
      <c r="M107" s="502"/>
      <c r="N107" s="503"/>
      <c r="O107" s="504"/>
      <c r="P107" s="505"/>
      <c r="Q107" s="506">
        <v>0</v>
      </c>
      <c r="R107" s="506">
        <v>0</v>
      </c>
      <c r="S107" s="504"/>
      <c r="T107" s="507"/>
      <c r="U107" s="508"/>
      <c r="V107" s="508"/>
      <c r="W107" s="508"/>
      <c r="X107" s="508"/>
      <c r="Y107" s="508"/>
      <c r="Z107" s="508"/>
      <c r="AA107" s="508"/>
      <c r="AB107" s="508"/>
      <c r="AC107" s="508"/>
      <c r="AD107" s="508"/>
      <c r="AE107" s="509"/>
      <c r="AF107" s="504">
        <f t="shared" si="59"/>
        <v>0</v>
      </c>
      <c r="AG107" s="510"/>
      <c r="AH107" s="508"/>
      <c r="AI107" s="508"/>
      <c r="AJ107" s="508"/>
      <c r="AK107" s="508"/>
      <c r="AL107" s="508"/>
      <c r="AM107" s="508"/>
      <c r="AN107" s="508"/>
      <c r="AO107" s="508"/>
      <c r="AP107" s="508"/>
      <c r="AQ107" s="508"/>
      <c r="AR107" s="509"/>
      <c r="AS107" s="504">
        <f t="shared" si="60"/>
        <v>0</v>
      </c>
      <c r="AT107" s="510"/>
      <c r="AU107" s="508"/>
      <c r="AV107" s="508"/>
      <c r="AW107" s="508"/>
      <c r="AX107" s="508"/>
      <c r="AY107" s="508"/>
      <c r="AZ107" s="508"/>
      <c r="BA107" s="508"/>
      <c r="BB107" s="508"/>
      <c r="BC107" s="508"/>
      <c r="BD107" s="508"/>
      <c r="BE107" s="509"/>
      <c r="BF107" s="504">
        <f t="shared" si="61"/>
        <v>0</v>
      </c>
      <c r="BG107" s="510"/>
      <c r="BH107" s="508"/>
      <c r="BI107" s="508"/>
      <c r="BJ107" s="508"/>
      <c r="BK107" s="508"/>
      <c r="BL107" s="508"/>
      <c r="BM107" s="508"/>
      <c r="BN107" s="508"/>
      <c r="BO107" s="508"/>
      <c r="BP107" s="508"/>
      <c r="BQ107" s="508"/>
      <c r="BR107" s="509"/>
      <c r="BS107" s="504">
        <f t="shared" si="62"/>
        <v>0</v>
      </c>
      <c r="BT107" s="510"/>
      <c r="BU107" s="508"/>
      <c r="BV107" s="508"/>
      <c r="BW107" s="508"/>
      <c r="BX107" s="508"/>
      <c r="BY107" s="508"/>
      <c r="BZ107" s="508"/>
      <c r="CA107" s="508"/>
      <c r="CB107" s="508"/>
      <c r="CC107" s="508"/>
      <c r="CD107" s="508"/>
      <c r="CE107" s="509"/>
      <c r="CF107" s="504">
        <f t="shared" si="63"/>
        <v>0</v>
      </c>
      <c r="CG107" s="504"/>
      <c r="CH107" s="504">
        <f t="shared" si="64"/>
        <v>0</v>
      </c>
      <c r="CI107" s="504">
        <f t="shared" si="65"/>
        <v>0</v>
      </c>
      <c r="CJ107" s="504">
        <f t="shared" si="66"/>
        <v>0</v>
      </c>
      <c r="CK107" s="504">
        <f t="shared" si="67"/>
        <v>0</v>
      </c>
      <c r="CL107" s="504">
        <v>0</v>
      </c>
      <c r="CM107" s="504">
        <f t="shared" si="68"/>
        <v>0</v>
      </c>
    </row>
    <row r="108" spans="1:93" outlineLevel="1">
      <c r="A108" s="500"/>
      <c r="B108" s="526"/>
      <c r="C108" s="516">
        <f>+C107+0.01</f>
        <v>304.02</v>
      </c>
      <c r="D108" s="588"/>
      <c r="E108" s="588"/>
      <c r="F108" s="525"/>
      <c r="G108" s="501"/>
      <c r="H108" s="501" t="s">
        <v>372</v>
      </c>
      <c r="I108" s="501"/>
      <c r="J108" s="547"/>
      <c r="K108" s="547"/>
      <c r="L108" s="501"/>
      <c r="M108" s="502"/>
      <c r="N108" s="503"/>
      <c r="O108" s="504"/>
      <c r="P108" s="505"/>
      <c r="Q108" s="506">
        <v>581</v>
      </c>
      <c r="R108" s="506">
        <v>633</v>
      </c>
      <c r="S108" s="504"/>
      <c r="T108" s="507"/>
      <c r="U108" s="508">
        <v>13.32</v>
      </c>
      <c r="V108" s="508"/>
      <c r="W108" s="508">
        <v>3.89</v>
      </c>
      <c r="X108" s="508">
        <v>5.15</v>
      </c>
      <c r="Y108" s="508"/>
      <c r="Z108" s="508">
        <v>32.35</v>
      </c>
      <c r="AA108" s="508">
        <v>8.59</v>
      </c>
      <c r="AB108" s="508">
        <v>41.33</v>
      </c>
      <c r="AC108" s="508">
        <v>48.85</v>
      </c>
      <c r="AD108" s="508">
        <f>303.63+123.52</f>
        <v>427.15</v>
      </c>
      <c r="AE108" s="509">
        <v>13.64</v>
      </c>
      <c r="AF108" s="504">
        <f t="shared" si="59"/>
        <v>594.27</v>
      </c>
      <c r="AG108" s="510"/>
      <c r="AH108" s="508">
        <v>15.77</v>
      </c>
      <c r="AI108" s="508">
        <v>22.58</v>
      </c>
      <c r="AJ108" s="508">
        <v>6.16</v>
      </c>
      <c r="AK108" s="508"/>
      <c r="AL108" s="508">
        <v>-262.58</v>
      </c>
      <c r="AM108" s="508"/>
      <c r="AN108" s="508">
        <v>-27.35</v>
      </c>
      <c r="AO108" s="508"/>
      <c r="AP108" s="508"/>
      <c r="AQ108" s="508"/>
      <c r="AR108" s="509"/>
      <c r="AS108" s="504">
        <f t="shared" si="60"/>
        <v>-245.42</v>
      </c>
      <c r="AT108" s="510"/>
      <c r="AU108" s="508"/>
      <c r="AV108" s="508"/>
      <c r="AW108" s="508"/>
      <c r="AX108" s="508"/>
      <c r="AY108" s="508"/>
      <c r="AZ108" s="508"/>
      <c r="BA108" s="508"/>
      <c r="BB108" s="508"/>
      <c r="BC108" s="508"/>
      <c r="BD108" s="508"/>
      <c r="BE108" s="509"/>
      <c r="BF108" s="504">
        <f t="shared" si="61"/>
        <v>0</v>
      </c>
      <c r="BG108" s="510"/>
      <c r="BH108" s="508">
        <v>1286.08</v>
      </c>
      <c r="BI108" s="508">
        <v>2101.5100000000002</v>
      </c>
      <c r="BJ108" s="1299">
        <f>+(1795.03)*(25/30)</f>
        <v>1495.8583333333333</v>
      </c>
      <c r="BK108" s="508"/>
      <c r="BL108" s="508"/>
      <c r="BM108" s="508"/>
      <c r="BN108" s="508"/>
      <c r="BO108" s="508"/>
      <c r="BP108" s="508"/>
      <c r="BQ108" s="508"/>
      <c r="BR108" s="509"/>
      <c r="BS108" s="504">
        <f t="shared" si="62"/>
        <v>4883.4483333333337</v>
      </c>
      <c r="BT108" s="510"/>
      <c r="BU108" s="508"/>
      <c r="BV108" s="508"/>
      <c r="BW108" s="508"/>
      <c r="BX108" s="508"/>
      <c r="BY108" s="508"/>
      <c r="BZ108" s="508"/>
      <c r="CA108" s="508"/>
      <c r="CB108" s="508"/>
      <c r="CC108" s="508"/>
      <c r="CD108" s="508"/>
      <c r="CE108" s="509"/>
      <c r="CF108" s="504">
        <f t="shared" si="63"/>
        <v>0</v>
      </c>
      <c r="CG108" s="504"/>
      <c r="CH108" s="504">
        <f t="shared" si="64"/>
        <v>5232.2983333333332</v>
      </c>
      <c r="CI108" s="504">
        <f t="shared" si="65"/>
        <v>0</v>
      </c>
      <c r="CJ108" s="504">
        <f t="shared" si="66"/>
        <v>5232.2983333333332</v>
      </c>
      <c r="CK108" s="504">
        <f t="shared" si="67"/>
        <v>4599.2983333333332</v>
      </c>
      <c r="CL108" s="504">
        <v>5531.47</v>
      </c>
      <c r="CM108" s="504">
        <f t="shared" si="68"/>
        <v>-299.17166666666708</v>
      </c>
    </row>
    <row r="109" spans="1:93" outlineLevel="1">
      <c r="A109" s="500"/>
      <c r="B109" s="526"/>
      <c r="C109" s="516">
        <f>+C108+0.01</f>
        <v>304.02999999999997</v>
      </c>
      <c r="D109" s="588"/>
      <c r="E109" s="588"/>
      <c r="F109" s="525"/>
      <c r="G109" s="501"/>
      <c r="H109" s="501" t="s">
        <v>373</v>
      </c>
      <c r="I109" s="501"/>
      <c r="J109" s="547"/>
      <c r="K109" s="547"/>
      <c r="L109" s="501"/>
      <c r="M109" s="502"/>
      <c r="N109" s="503"/>
      <c r="O109" s="504"/>
      <c r="P109" s="505"/>
      <c r="Q109" s="506">
        <v>888</v>
      </c>
      <c r="R109" s="506">
        <v>1224</v>
      </c>
      <c r="S109" s="504"/>
      <c r="T109" s="507">
        <v>2.27</v>
      </c>
      <c r="U109" s="508">
        <v>0.16</v>
      </c>
      <c r="V109" s="508">
        <v>4.3099999999999996</v>
      </c>
      <c r="W109" s="508">
        <v>0.06</v>
      </c>
      <c r="X109" s="508">
        <v>176.44</v>
      </c>
      <c r="Y109" s="508">
        <v>123.32</v>
      </c>
      <c r="Z109" s="508">
        <v>126.75</v>
      </c>
      <c r="AA109" s="508">
        <v>239.41</v>
      </c>
      <c r="AB109" s="508">
        <v>170.77</v>
      </c>
      <c r="AC109" s="508">
        <v>-74.709999999999994</v>
      </c>
      <c r="AD109" s="508">
        <v>118.87</v>
      </c>
      <c r="AE109" s="509">
        <v>156.57</v>
      </c>
      <c r="AF109" s="504">
        <f t="shared" si="59"/>
        <v>1044.22</v>
      </c>
      <c r="AG109" s="510">
        <v>-115.75</v>
      </c>
      <c r="AH109" s="508">
        <f>257.72</f>
        <v>257.72000000000003</v>
      </c>
      <c r="AI109" s="508">
        <v>38.08</v>
      </c>
      <c r="AJ109" s="508">
        <f>9.93+140.12</f>
        <v>150.05000000000001</v>
      </c>
      <c r="AK109" s="508">
        <v>120.09</v>
      </c>
      <c r="AL109" s="508">
        <v>44.63</v>
      </c>
      <c r="AM109" s="508">
        <v>160.49</v>
      </c>
      <c r="AN109" s="508">
        <v>35.78</v>
      </c>
      <c r="AO109" s="508">
        <v>642.22</v>
      </c>
      <c r="AP109" s="508">
        <v>55</v>
      </c>
      <c r="AQ109" s="508">
        <v>959.65</v>
      </c>
      <c r="AR109" s="550">
        <v>236.09</v>
      </c>
      <c r="AS109" s="504">
        <f t="shared" si="60"/>
        <v>2584.0500000000002</v>
      </c>
      <c r="AT109" s="548">
        <v>133.77000000000001</v>
      </c>
      <c r="AU109" s="549">
        <v>1117.1400000000001</v>
      </c>
      <c r="AV109" s="549">
        <v>492.26</v>
      </c>
      <c r="AW109" s="549">
        <v>849.93</v>
      </c>
      <c r="AX109" s="549">
        <v>423.77</v>
      </c>
      <c r="AY109" s="549">
        <v>29.48</v>
      </c>
      <c r="AZ109" s="549">
        <v>1388.43</v>
      </c>
      <c r="BA109" s="549">
        <v>297.02999999999997</v>
      </c>
      <c r="BB109" s="549">
        <v>408.91</v>
      </c>
      <c r="BC109" s="549">
        <f>81.96+208.24</f>
        <v>290.2</v>
      </c>
      <c r="BD109" s="549">
        <v>3683.58</v>
      </c>
      <c r="BE109" s="550">
        <v>3892.24</v>
      </c>
      <c r="BF109" s="504">
        <f t="shared" si="61"/>
        <v>13006.74</v>
      </c>
      <c r="BG109" s="548">
        <v>2531.9699999999998</v>
      </c>
      <c r="BH109" s="549">
        <v>150.97999999999999</v>
      </c>
      <c r="BI109" s="508">
        <v>4888.0600000000004</v>
      </c>
      <c r="BJ109" s="1299">
        <f>+(507.38)*(25/30)</f>
        <v>422.81666666666666</v>
      </c>
      <c r="BK109" s="659"/>
      <c r="BL109" s="508"/>
      <c r="BM109" s="508"/>
      <c r="BN109" s="508"/>
      <c r="BO109" s="508"/>
      <c r="BP109" s="508"/>
      <c r="BQ109" s="508"/>
      <c r="BR109" s="509"/>
      <c r="BS109" s="504">
        <f t="shared" si="62"/>
        <v>7993.8266666666668</v>
      </c>
      <c r="BT109" s="510"/>
      <c r="BU109" s="508"/>
      <c r="BV109" s="508"/>
      <c r="BW109" s="508"/>
      <c r="BX109" s="508"/>
      <c r="BY109" s="508"/>
      <c r="BZ109" s="508"/>
      <c r="CA109" s="508"/>
      <c r="CB109" s="508"/>
      <c r="CC109" s="508"/>
      <c r="CD109" s="508"/>
      <c r="CE109" s="509"/>
      <c r="CF109" s="504">
        <f t="shared" si="63"/>
        <v>0</v>
      </c>
      <c r="CG109" s="504"/>
      <c r="CH109" s="504">
        <f t="shared" si="64"/>
        <v>24628.83666666667</v>
      </c>
      <c r="CI109" s="504">
        <f t="shared" si="65"/>
        <v>0</v>
      </c>
      <c r="CJ109" s="504">
        <f t="shared" si="66"/>
        <v>24628.83666666667</v>
      </c>
      <c r="CK109" s="504">
        <f t="shared" si="67"/>
        <v>23404.83666666667</v>
      </c>
      <c r="CL109" s="504">
        <v>24713.400000000005</v>
      </c>
      <c r="CM109" s="504">
        <f t="shared" si="68"/>
        <v>-84.563333333335322</v>
      </c>
    </row>
    <row r="110" spans="1:93" outlineLevel="1">
      <c r="A110" s="500"/>
      <c r="B110" s="526"/>
      <c r="C110" s="516">
        <f>+C109+0.01</f>
        <v>304.03999999999996</v>
      </c>
      <c r="D110" s="588"/>
      <c r="E110" s="588"/>
      <c r="F110" s="525"/>
      <c r="G110" s="501"/>
      <c r="H110" s="501" t="s">
        <v>374</v>
      </c>
      <c r="I110" s="501"/>
      <c r="J110" s="547"/>
      <c r="K110" s="547"/>
      <c r="L110" s="501"/>
      <c r="M110" s="502"/>
      <c r="N110" s="503"/>
      <c r="O110" s="504"/>
      <c r="P110" s="505"/>
      <c r="Q110" s="506">
        <v>2796</v>
      </c>
      <c r="R110" s="506">
        <v>3292</v>
      </c>
      <c r="S110" s="504"/>
      <c r="T110" s="507">
        <v>394.21</v>
      </c>
      <c r="U110" s="508">
        <v>653.26</v>
      </c>
      <c r="V110" s="508">
        <v>-98</v>
      </c>
      <c r="W110" s="508">
        <v>8.89</v>
      </c>
      <c r="X110" s="508">
        <v>-3.32</v>
      </c>
      <c r="Y110" s="508">
        <v>0.19</v>
      </c>
      <c r="Z110" s="508"/>
      <c r="AA110" s="508"/>
      <c r="AB110" s="508"/>
      <c r="AC110" s="508"/>
      <c r="AD110" s="508">
        <v>1842.61</v>
      </c>
      <c r="AE110" s="509">
        <v>466.18</v>
      </c>
      <c r="AF110" s="504">
        <f t="shared" si="59"/>
        <v>3264.02</v>
      </c>
      <c r="AG110" s="510">
        <v>0.63</v>
      </c>
      <c r="AH110" s="508">
        <v>2.37</v>
      </c>
      <c r="AI110" s="508">
        <v>25.28</v>
      </c>
      <c r="AJ110" s="508"/>
      <c r="AK110" s="508">
        <v>7.79</v>
      </c>
      <c r="AL110" s="508">
        <v>24.98</v>
      </c>
      <c r="AM110" s="508">
        <v>4.2</v>
      </c>
      <c r="AN110" s="508">
        <v>2.0299999999999998</v>
      </c>
      <c r="AO110" s="508">
        <v>54.14</v>
      </c>
      <c r="AP110" s="508">
        <v>23.99</v>
      </c>
      <c r="AQ110" s="508">
        <v>1.05</v>
      </c>
      <c r="AR110" s="550">
        <v>17.96</v>
      </c>
      <c r="AS110" s="504">
        <f t="shared" si="60"/>
        <v>164.42000000000002</v>
      </c>
      <c r="AT110" s="548"/>
      <c r="AU110" s="549">
        <v>24.77</v>
      </c>
      <c r="AV110" s="549">
        <v>6.74</v>
      </c>
      <c r="AW110" s="549">
        <v>9.1999999999999993</v>
      </c>
      <c r="AX110" s="549">
        <v>3.14</v>
      </c>
      <c r="AY110" s="549"/>
      <c r="AZ110" s="549">
        <v>2.2599999999999998</v>
      </c>
      <c r="BA110" s="549">
        <v>353.38</v>
      </c>
      <c r="BB110" s="549">
        <v>3.68</v>
      </c>
      <c r="BC110" s="549"/>
      <c r="BD110" s="549">
        <v>1.98</v>
      </c>
      <c r="BE110" s="550">
        <v>6.87</v>
      </c>
      <c r="BF110" s="504">
        <f t="shared" si="61"/>
        <v>412.02000000000004</v>
      </c>
      <c r="BG110" s="548"/>
      <c r="BH110" s="549">
        <v>1.18</v>
      </c>
      <c r="BI110" s="549">
        <v>40.32</v>
      </c>
      <c r="BJ110" s="508"/>
      <c r="BK110" s="659"/>
      <c r="BL110" s="508"/>
      <c r="BM110" s="508"/>
      <c r="BN110" s="508"/>
      <c r="BO110" s="508"/>
      <c r="BP110" s="508"/>
      <c r="BQ110" s="508"/>
      <c r="BR110" s="509"/>
      <c r="BS110" s="504">
        <f t="shared" si="62"/>
        <v>41.5</v>
      </c>
      <c r="BT110" s="510"/>
      <c r="BU110" s="508"/>
      <c r="BV110" s="508"/>
      <c r="BW110" s="508"/>
      <c r="BX110" s="508"/>
      <c r="BY110" s="508"/>
      <c r="BZ110" s="508"/>
      <c r="CA110" s="508"/>
      <c r="CB110" s="508"/>
      <c r="CC110" s="508"/>
      <c r="CD110" s="508"/>
      <c r="CE110" s="509"/>
      <c r="CF110" s="504">
        <f t="shared" si="63"/>
        <v>0</v>
      </c>
      <c r="CG110" s="504"/>
      <c r="CH110" s="504">
        <f t="shared" si="64"/>
        <v>3881.9599999999996</v>
      </c>
      <c r="CI110" s="504">
        <f t="shared" si="65"/>
        <v>0</v>
      </c>
      <c r="CJ110" s="504">
        <f t="shared" si="66"/>
        <v>3881.9599999999996</v>
      </c>
      <c r="CK110" s="504">
        <f t="shared" si="67"/>
        <v>589.95999999999958</v>
      </c>
      <c r="CL110" s="504">
        <v>3881.9599999999996</v>
      </c>
      <c r="CM110" s="504">
        <f t="shared" si="68"/>
        <v>0</v>
      </c>
    </row>
    <row r="111" spans="1:93" outlineLevel="1">
      <c r="A111" s="500"/>
      <c r="B111" s="516"/>
      <c r="C111" s="516"/>
      <c r="D111" s="516"/>
      <c r="E111" s="516"/>
      <c r="F111" s="501"/>
      <c r="G111" s="501"/>
      <c r="H111" s="501"/>
      <c r="I111" s="501"/>
      <c r="J111" s="501"/>
      <c r="K111" s="501"/>
      <c r="L111" s="501"/>
      <c r="M111" s="517"/>
      <c r="N111" s="518"/>
      <c r="O111" s="504"/>
      <c r="P111" s="519"/>
      <c r="Q111" s="506">
        <v>0</v>
      </c>
      <c r="R111" s="506">
        <v>0</v>
      </c>
      <c r="S111" s="504"/>
      <c r="T111" s="507"/>
      <c r="U111" s="508"/>
      <c r="V111" s="508"/>
      <c r="W111" s="508"/>
      <c r="X111" s="508"/>
      <c r="Y111" s="508"/>
      <c r="Z111" s="508"/>
      <c r="AA111" s="508"/>
      <c r="AB111" s="508"/>
      <c r="AC111" s="508"/>
      <c r="AD111" s="508"/>
      <c r="AE111" s="509"/>
      <c r="AF111" s="504">
        <f t="shared" si="59"/>
        <v>0</v>
      </c>
      <c r="AG111" s="510"/>
      <c r="AH111" s="508"/>
      <c r="AI111" s="508"/>
      <c r="AJ111" s="508"/>
      <c r="AK111" s="508"/>
      <c r="AL111" s="508"/>
      <c r="AM111" s="508"/>
      <c r="AN111" s="508"/>
      <c r="AO111" s="508"/>
      <c r="AP111" s="508"/>
      <c r="AQ111" s="508"/>
      <c r="AR111" s="509"/>
      <c r="AS111" s="504">
        <f t="shared" si="60"/>
        <v>0</v>
      </c>
      <c r="AT111" s="510"/>
      <c r="AU111" s="508"/>
      <c r="AV111" s="508"/>
      <c r="AW111" s="508"/>
      <c r="AX111" s="508"/>
      <c r="AY111" s="508"/>
      <c r="AZ111" s="508"/>
      <c r="BA111" s="508"/>
      <c r="BB111" s="508"/>
      <c r="BC111" s="508"/>
      <c r="BD111" s="508"/>
      <c r="BE111" s="509"/>
      <c r="BF111" s="504">
        <f t="shared" si="61"/>
        <v>0</v>
      </c>
      <c r="BG111" s="510"/>
      <c r="BH111" s="508"/>
      <c r="BI111" s="508"/>
      <c r="BJ111" s="508"/>
      <c r="BK111" s="508"/>
      <c r="BL111" s="508"/>
      <c r="BM111" s="508"/>
      <c r="BN111" s="508"/>
      <c r="BO111" s="508"/>
      <c r="BP111" s="508"/>
      <c r="BQ111" s="508"/>
      <c r="BR111" s="509"/>
      <c r="BS111" s="504">
        <f t="shared" si="62"/>
        <v>0</v>
      </c>
      <c r="BT111" s="510"/>
      <c r="BU111" s="508"/>
      <c r="BV111" s="508"/>
      <c r="BW111" s="508"/>
      <c r="BX111" s="508"/>
      <c r="BY111" s="508"/>
      <c r="BZ111" s="508"/>
      <c r="CA111" s="508"/>
      <c r="CB111" s="508"/>
      <c r="CC111" s="508"/>
      <c r="CD111" s="508"/>
      <c r="CE111" s="509"/>
      <c r="CF111" s="504">
        <f t="shared" si="63"/>
        <v>0</v>
      </c>
      <c r="CG111" s="504"/>
      <c r="CH111" s="504">
        <f t="shared" si="64"/>
        <v>0</v>
      </c>
      <c r="CI111" s="504">
        <f t="shared" si="65"/>
        <v>0</v>
      </c>
      <c r="CJ111" s="504">
        <f t="shared" si="66"/>
        <v>0</v>
      </c>
      <c r="CK111" s="504">
        <f t="shared" si="67"/>
        <v>0</v>
      </c>
      <c r="CL111" s="504">
        <v>0</v>
      </c>
      <c r="CM111" s="504">
        <f t="shared" si="68"/>
        <v>0</v>
      </c>
    </row>
    <row r="112" spans="1:93" outlineLevel="1">
      <c r="A112" s="500"/>
      <c r="B112" s="1423">
        <v>370</v>
      </c>
      <c r="C112" s="1424"/>
      <c r="D112" s="1424"/>
      <c r="E112" s="525"/>
      <c r="F112" s="501"/>
      <c r="G112" s="616" t="s">
        <v>375</v>
      </c>
      <c r="H112" s="616"/>
      <c r="I112" s="616"/>
      <c r="J112" s="501"/>
      <c r="K112" s="501"/>
      <c r="L112" s="501"/>
      <c r="M112" s="517"/>
      <c r="N112" s="518"/>
      <c r="O112" s="504"/>
      <c r="P112" s="519"/>
      <c r="Q112" s="506"/>
      <c r="R112" s="506"/>
      <c r="S112" s="504"/>
      <c r="T112" s="507"/>
      <c r="U112" s="508"/>
      <c r="V112" s="508"/>
      <c r="W112" s="508"/>
      <c r="X112" s="508"/>
      <c r="Y112" s="508"/>
      <c r="Z112" s="508"/>
      <c r="AA112" s="508"/>
      <c r="AB112" s="508"/>
      <c r="AC112" s="508"/>
      <c r="AD112" s="508"/>
      <c r="AE112" s="509"/>
      <c r="AF112" s="504">
        <f t="shared" si="59"/>
        <v>0</v>
      </c>
      <c r="AG112" s="510"/>
      <c r="AH112" s="508"/>
      <c r="AI112" s="508"/>
      <c r="AJ112" s="508"/>
      <c r="AK112" s="508"/>
      <c r="AL112" s="508"/>
      <c r="AM112" s="508"/>
      <c r="AN112" s="508"/>
      <c r="AO112" s="508"/>
      <c r="AP112" s="508"/>
      <c r="AQ112" s="508"/>
      <c r="AR112" s="509"/>
      <c r="AS112" s="504">
        <f t="shared" si="60"/>
        <v>0</v>
      </c>
      <c r="AT112" s="510"/>
      <c r="AU112" s="508"/>
      <c r="AV112" s="508"/>
      <c r="AW112" s="508"/>
      <c r="AX112" s="508"/>
      <c r="AY112" s="508"/>
      <c r="AZ112" s="508"/>
      <c r="BA112" s="508"/>
      <c r="BB112" s="508"/>
      <c r="BC112" s="508"/>
      <c r="BD112" s="508"/>
      <c r="BE112" s="509"/>
      <c r="BF112" s="504">
        <f t="shared" si="61"/>
        <v>0</v>
      </c>
      <c r="BG112" s="510"/>
      <c r="BH112" s="508"/>
      <c r="BI112" s="508"/>
      <c r="BJ112" s="508"/>
      <c r="BK112" s="508"/>
      <c r="BL112" s="508"/>
      <c r="BM112" s="508"/>
      <c r="BN112" s="508"/>
      <c r="BO112" s="508"/>
      <c r="BP112" s="508"/>
      <c r="BQ112" s="508"/>
      <c r="BR112" s="509"/>
      <c r="BS112" s="504">
        <f t="shared" si="62"/>
        <v>0</v>
      </c>
      <c r="BT112" s="510"/>
      <c r="BU112" s="508"/>
      <c r="BV112" s="508"/>
      <c r="BW112" s="508"/>
      <c r="BX112" s="508"/>
      <c r="BY112" s="508"/>
      <c r="BZ112" s="508"/>
      <c r="CA112" s="508"/>
      <c r="CB112" s="508"/>
      <c r="CC112" s="508"/>
      <c r="CD112" s="508"/>
      <c r="CE112" s="509"/>
      <c r="CF112" s="504">
        <f t="shared" si="63"/>
        <v>0</v>
      </c>
      <c r="CG112" s="504"/>
      <c r="CH112" s="504">
        <f t="shared" si="64"/>
        <v>0</v>
      </c>
      <c r="CI112" s="504">
        <f t="shared" si="65"/>
        <v>0</v>
      </c>
      <c r="CJ112" s="504">
        <f t="shared" si="66"/>
        <v>0</v>
      </c>
      <c r="CK112" s="504">
        <f t="shared" si="67"/>
        <v>0</v>
      </c>
      <c r="CL112" s="504">
        <v>0</v>
      </c>
      <c r="CM112" s="504">
        <f t="shared" si="68"/>
        <v>0</v>
      </c>
    </row>
    <row r="113" spans="1:100">
      <c r="A113" s="500"/>
      <c r="B113" s="526"/>
      <c r="C113" s="516"/>
      <c r="D113" s="525"/>
      <c r="E113" s="525"/>
      <c r="F113" s="525"/>
      <c r="G113" s="501"/>
      <c r="H113" s="501"/>
      <c r="I113" s="501"/>
      <c r="J113" s="501"/>
      <c r="K113" s="501"/>
      <c r="L113" s="501"/>
      <c r="M113" s="517"/>
      <c r="N113" s="518"/>
      <c r="O113" s="504"/>
      <c r="P113" s="519"/>
      <c r="Q113" s="506">
        <v>0</v>
      </c>
      <c r="R113" s="506">
        <v>0</v>
      </c>
      <c r="S113" s="504"/>
      <c r="T113" s="507"/>
      <c r="U113" s="508"/>
      <c r="V113" s="508"/>
      <c r="W113" s="508"/>
      <c r="X113" s="508"/>
      <c r="Y113" s="508"/>
      <c r="Z113" s="508"/>
      <c r="AA113" s="508"/>
      <c r="AB113" s="508"/>
      <c r="AC113" s="508"/>
      <c r="AD113" s="508"/>
      <c r="AE113" s="509"/>
      <c r="AF113" s="504">
        <f t="shared" si="59"/>
        <v>0</v>
      </c>
      <c r="AG113" s="510"/>
      <c r="AH113" s="508"/>
      <c r="AI113" s="508"/>
      <c r="AJ113" s="508"/>
      <c r="AK113" s="508"/>
      <c r="AL113" s="508"/>
      <c r="AM113" s="508"/>
      <c r="AN113" s="508"/>
      <c r="AO113" s="508"/>
      <c r="AP113" s="508"/>
      <c r="AQ113" s="508"/>
      <c r="AR113" s="509"/>
      <c r="AS113" s="504">
        <f t="shared" si="60"/>
        <v>0</v>
      </c>
      <c r="AT113" s="510"/>
      <c r="AU113" s="508"/>
      <c r="AV113" s="508"/>
      <c r="AW113" s="508"/>
      <c r="AX113" s="508"/>
      <c r="AY113" s="508"/>
      <c r="AZ113" s="508"/>
      <c r="BA113" s="508"/>
      <c r="BB113" s="508"/>
      <c r="BC113" s="508"/>
      <c r="BD113" s="508"/>
      <c r="BE113" s="509"/>
      <c r="BF113" s="504">
        <f t="shared" si="61"/>
        <v>0</v>
      </c>
      <c r="BG113" s="510"/>
      <c r="BH113" s="508"/>
      <c r="BI113" s="508"/>
      <c r="BJ113" s="508"/>
      <c r="BK113" s="508"/>
      <c r="BL113" s="508"/>
      <c r="BM113" s="508"/>
      <c r="BN113" s="508"/>
      <c r="BO113" s="508"/>
      <c r="BP113" s="508"/>
      <c r="BQ113" s="508"/>
      <c r="BR113" s="509"/>
      <c r="BS113" s="504">
        <f t="shared" si="62"/>
        <v>0</v>
      </c>
      <c r="BT113" s="510"/>
      <c r="BU113" s="508"/>
      <c r="BV113" s="508"/>
      <c r="BW113" s="508"/>
      <c r="BX113" s="508"/>
      <c r="BY113" s="508"/>
      <c r="BZ113" s="508"/>
      <c r="CA113" s="508"/>
      <c r="CB113" s="508"/>
      <c r="CC113" s="508"/>
      <c r="CD113" s="508"/>
      <c r="CE113" s="509"/>
      <c r="CF113" s="504">
        <f t="shared" si="63"/>
        <v>0</v>
      </c>
      <c r="CG113" s="504"/>
      <c r="CH113" s="504">
        <f t="shared" si="64"/>
        <v>0</v>
      </c>
      <c r="CI113" s="504">
        <f t="shared" si="65"/>
        <v>0</v>
      </c>
      <c r="CJ113" s="504">
        <f t="shared" si="66"/>
        <v>0</v>
      </c>
      <c r="CK113" s="504">
        <f>+CJ113-Q113</f>
        <v>0</v>
      </c>
      <c r="CL113" s="504">
        <v>0</v>
      </c>
      <c r="CM113" s="504">
        <f t="shared" si="68"/>
        <v>0</v>
      </c>
    </row>
    <row r="114" spans="1:100">
      <c r="A114" s="481" t="s">
        <v>376</v>
      </c>
      <c r="B114" s="1430">
        <v>400</v>
      </c>
      <c r="C114" s="1431"/>
      <c r="D114" s="1431"/>
      <c r="E114" s="1432"/>
      <c r="F114" s="527"/>
      <c r="G114" s="482" t="s">
        <v>377</v>
      </c>
      <c r="H114" s="482"/>
      <c r="I114" s="482"/>
      <c r="J114" s="482"/>
      <c r="K114" s="482"/>
      <c r="L114" s="482" t="s">
        <v>378</v>
      </c>
      <c r="M114" s="617"/>
      <c r="N114" s="618"/>
      <c r="O114" s="619"/>
      <c r="P114" s="620"/>
      <c r="Q114" s="528">
        <f t="shared" ref="Q114:AV114" si="69">SUBTOTAL(9,Q115:Q229)</f>
        <v>33155692.58001966</v>
      </c>
      <c r="R114" s="528">
        <f t="shared" si="69"/>
        <v>37331238</v>
      </c>
      <c r="S114" s="529">
        <f t="shared" si="69"/>
        <v>0</v>
      </c>
      <c r="T114" s="530">
        <f t="shared" si="69"/>
        <v>0</v>
      </c>
      <c r="U114" s="531">
        <f t="shared" si="69"/>
        <v>0</v>
      </c>
      <c r="V114" s="531">
        <f t="shared" si="69"/>
        <v>0</v>
      </c>
      <c r="W114" s="531">
        <f t="shared" si="69"/>
        <v>0</v>
      </c>
      <c r="X114" s="531">
        <f t="shared" si="69"/>
        <v>0</v>
      </c>
      <c r="Y114" s="531">
        <f t="shared" si="69"/>
        <v>0</v>
      </c>
      <c r="Z114" s="531">
        <f t="shared" si="69"/>
        <v>0</v>
      </c>
      <c r="AA114" s="531">
        <f t="shared" si="69"/>
        <v>0</v>
      </c>
      <c r="AB114" s="531">
        <f t="shared" si="69"/>
        <v>0</v>
      </c>
      <c r="AC114" s="531">
        <f t="shared" si="69"/>
        <v>73612.5</v>
      </c>
      <c r="AD114" s="531">
        <f t="shared" si="69"/>
        <v>12412.5</v>
      </c>
      <c r="AE114" s="532">
        <f t="shared" si="69"/>
        <v>401975.93</v>
      </c>
      <c r="AF114" s="529">
        <f t="shared" si="69"/>
        <v>488000.93</v>
      </c>
      <c r="AG114" s="533">
        <f t="shared" si="69"/>
        <v>-2631.0100000000093</v>
      </c>
      <c r="AH114" s="531">
        <f t="shared" si="69"/>
        <v>0</v>
      </c>
      <c r="AI114" s="531">
        <f t="shared" si="69"/>
        <v>0</v>
      </c>
      <c r="AJ114" s="531">
        <f t="shared" si="69"/>
        <v>876169</v>
      </c>
      <c r="AK114" s="531">
        <f t="shared" si="69"/>
        <v>1720772.91</v>
      </c>
      <c r="AL114" s="531">
        <f t="shared" si="69"/>
        <v>947664.87000000011</v>
      </c>
      <c r="AM114" s="531">
        <f t="shared" si="69"/>
        <v>1530786.9</v>
      </c>
      <c r="AN114" s="531">
        <f t="shared" si="69"/>
        <v>1628565.28</v>
      </c>
      <c r="AO114" s="531">
        <f t="shared" si="69"/>
        <v>1379774.9</v>
      </c>
      <c r="AP114" s="531">
        <f t="shared" si="69"/>
        <v>1811137.95</v>
      </c>
      <c r="AQ114" s="531">
        <f t="shared" si="69"/>
        <v>2749345.1599999997</v>
      </c>
      <c r="AR114" s="532">
        <f t="shared" si="69"/>
        <v>3455447.32</v>
      </c>
      <c r="AS114" s="529">
        <f t="shared" si="69"/>
        <v>16097033.279999999</v>
      </c>
      <c r="AT114" s="533">
        <f t="shared" si="69"/>
        <v>1742149.55</v>
      </c>
      <c r="AU114" s="531">
        <f t="shared" si="69"/>
        <v>4561089.74</v>
      </c>
      <c r="AV114" s="531">
        <f t="shared" si="69"/>
        <v>1720976.9620000001</v>
      </c>
      <c r="AW114" s="531">
        <f t="shared" ref="AW114:CB114" si="70">SUBTOTAL(9,AW115:AW229)</f>
        <v>1268609.33</v>
      </c>
      <c r="AX114" s="531">
        <f t="shared" si="70"/>
        <v>1655894.4539999999</v>
      </c>
      <c r="AY114" s="531">
        <f t="shared" si="70"/>
        <v>2706580.48</v>
      </c>
      <c r="AZ114" s="531">
        <f t="shared" si="70"/>
        <v>2812004.8519000001</v>
      </c>
      <c r="BA114" s="531">
        <f t="shared" si="70"/>
        <v>1296941.068</v>
      </c>
      <c r="BB114" s="531">
        <f t="shared" si="70"/>
        <v>2354062.9800000004</v>
      </c>
      <c r="BC114" s="531">
        <f t="shared" si="70"/>
        <v>1943531.75</v>
      </c>
      <c r="BD114" s="531">
        <f t="shared" si="70"/>
        <v>1039334.5900000001</v>
      </c>
      <c r="BE114" s="532">
        <f t="shared" si="70"/>
        <v>1097607.2</v>
      </c>
      <c r="BF114" s="529">
        <f t="shared" si="70"/>
        <v>24198782.955899999</v>
      </c>
      <c r="BG114" s="533">
        <f t="shared" si="70"/>
        <v>415096.20999999996</v>
      </c>
      <c r="BH114" s="531">
        <f t="shared" si="70"/>
        <v>5244.0999999999476</v>
      </c>
      <c r="BI114" s="531">
        <f t="shared" si="70"/>
        <v>469333.49000000005</v>
      </c>
      <c r="BJ114" s="531">
        <f t="shared" si="70"/>
        <v>18659.02500000002</v>
      </c>
      <c r="BK114" s="531">
        <f t="shared" si="70"/>
        <v>0</v>
      </c>
      <c r="BL114" s="531">
        <f t="shared" si="70"/>
        <v>0</v>
      </c>
      <c r="BM114" s="531">
        <f t="shared" si="70"/>
        <v>0</v>
      </c>
      <c r="BN114" s="531">
        <f t="shared" si="70"/>
        <v>0</v>
      </c>
      <c r="BO114" s="531">
        <f t="shared" si="70"/>
        <v>0</v>
      </c>
      <c r="BP114" s="531">
        <f t="shared" si="70"/>
        <v>0</v>
      </c>
      <c r="BQ114" s="531">
        <f t="shared" si="70"/>
        <v>0</v>
      </c>
      <c r="BR114" s="532">
        <f t="shared" si="70"/>
        <v>0</v>
      </c>
      <c r="BS114" s="529">
        <f t="shared" si="70"/>
        <v>908332.82499999995</v>
      </c>
      <c r="BT114" s="533">
        <f t="shared" si="70"/>
        <v>0</v>
      </c>
      <c r="BU114" s="531">
        <f t="shared" si="70"/>
        <v>0</v>
      </c>
      <c r="BV114" s="531">
        <f t="shared" si="70"/>
        <v>0</v>
      </c>
      <c r="BW114" s="531">
        <f t="shared" si="70"/>
        <v>0</v>
      </c>
      <c r="BX114" s="531">
        <f t="shared" si="70"/>
        <v>0</v>
      </c>
      <c r="BY114" s="531">
        <f t="shared" si="70"/>
        <v>0</v>
      </c>
      <c r="BZ114" s="531">
        <f t="shared" si="70"/>
        <v>0</v>
      </c>
      <c r="CA114" s="531">
        <f t="shared" si="70"/>
        <v>0</v>
      </c>
      <c r="CB114" s="531">
        <f t="shared" si="70"/>
        <v>0</v>
      </c>
      <c r="CC114" s="531">
        <f t="shared" ref="CC114:CM114" si="71">SUBTOTAL(9,CC115:CC229)</f>
        <v>0</v>
      </c>
      <c r="CD114" s="531">
        <f t="shared" si="71"/>
        <v>0</v>
      </c>
      <c r="CE114" s="532">
        <f t="shared" si="71"/>
        <v>0</v>
      </c>
      <c r="CF114" s="529">
        <f t="shared" si="71"/>
        <v>0</v>
      </c>
      <c r="CG114" s="529">
        <f t="shared" si="71"/>
        <v>0</v>
      </c>
      <c r="CH114" s="529">
        <f t="shared" si="71"/>
        <v>41692149.990900002</v>
      </c>
      <c r="CI114" s="529">
        <f t="shared" si="71"/>
        <v>0</v>
      </c>
      <c r="CJ114" s="529">
        <f t="shared" si="71"/>
        <v>41692149.990900002</v>
      </c>
      <c r="CK114" s="529">
        <f t="shared" si="71"/>
        <v>4360911.9908999931</v>
      </c>
      <c r="CL114" s="529">
        <f t="shared" si="71"/>
        <v>41986221.795900002</v>
      </c>
      <c r="CM114" s="529">
        <f t="shared" si="71"/>
        <v>-294071.80500000232</v>
      </c>
    </row>
    <row r="115" spans="1:100" outlineLevel="1">
      <c r="A115" s="500"/>
      <c r="B115" s="1423">
        <v>401</v>
      </c>
      <c r="C115" s="1424"/>
      <c r="D115" s="1424"/>
      <c r="E115" s="501"/>
      <c r="F115" s="501"/>
      <c r="G115" s="501" t="s">
        <v>379</v>
      </c>
      <c r="H115" s="501"/>
      <c r="I115" s="501"/>
      <c r="J115" s="501"/>
      <c r="K115" s="501"/>
      <c r="L115" s="501"/>
      <c r="M115" s="517"/>
      <c r="N115" s="518"/>
      <c r="O115" s="504"/>
      <c r="P115" s="519"/>
      <c r="Q115" s="506">
        <v>0</v>
      </c>
      <c r="R115" s="506">
        <v>0</v>
      </c>
      <c r="S115" s="504"/>
      <c r="T115" s="507"/>
      <c r="U115" s="508"/>
      <c r="V115" s="508"/>
      <c r="W115" s="508"/>
      <c r="X115" s="508"/>
      <c r="Y115" s="508"/>
      <c r="Z115" s="508"/>
      <c r="AA115" s="508"/>
      <c r="AB115" s="508"/>
      <c r="AC115" s="508"/>
      <c r="AD115" s="508"/>
      <c r="AE115" s="509"/>
      <c r="AF115" s="504">
        <f>SUM(T115:AE115)</f>
        <v>0</v>
      </c>
      <c r="AG115" s="510"/>
      <c r="AH115" s="508"/>
      <c r="AI115" s="508"/>
      <c r="AJ115" s="508"/>
      <c r="AK115" s="508"/>
      <c r="AL115" s="508"/>
      <c r="AM115" s="508"/>
      <c r="AN115" s="508"/>
      <c r="AO115" s="508"/>
      <c r="AP115" s="508"/>
      <c r="AQ115" s="508"/>
      <c r="AR115" s="509"/>
      <c r="AS115" s="504">
        <f>SUM(AG115:AR115)</f>
        <v>0</v>
      </c>
      <c r="AT115" s="510"/>
      <c r="AU115" s="508"/>
      <c r="AV115" s="508"/>
      <c r="AW115" s="508"/>
      <c r="AX115" s="508"/>
      <c r="AY115" s="508"/>
      <c r="AZ115" s="508"/>
      <c r="BA115" s="508"/>
      <c r="BB115" s="508"/>
      <c r="BC115" s="508"/>
      <c r="BD115" s="508"/>
      <c r="BE115" s="509"/>
      <c r="BF115" s="504">
        <f>SUM(AT115:BE115)</f>
        <v>0</v>
      </c>
      <c r="BG115" s="510"/>
      <c r="BH115" s="508"/>
      <c r="BI115" s="508"/>
      <c r="BJ115" s="508"/>
      <c r="BK115" s="508"/>
      <c r="BL115" s="508"/>
      <c r="BM115" s="508"/>
      <c r="BN115" s="508"/>
      <c r="BO115" s="508"/>
      <c r="BP115" s="508"/>
      <c r="BQ115" s="508"/>
      <c r="BR115" s="509"/>
      <c r="BS115" s="504">
        <f>SUM(BG115:BR115)</f>
        <v>0</v>
      </c>
      <c r="BT115" s="510"/>
      <c r="BU115" s="508"/>
      <c r="BV115" s="508"/>
      <c r="BW115" s="508"/>
      <c r="BX115" s="508"/>
      <c r="BY115" s="508"/>
      <c r="BZ115" s="508"/>
      <c r="CA115" s="508"/>
      <c r="CB115" s="508"/>
      <c r="CC115" s="508"/>
      <c r="CD115" s="508"/>
      <c r="CE115" s="509"/>
      <c r="CF115" s="504">
        <f>SUM(BT115:CE115)</f>
        <v>0</v>
      </c>
      <c r="CG115" s="504"/>
      <c r="CH115" s="504">
        <f>SUMIF(($S$5:$CG$5),"Actual",(S115:CG115))</f>
        <v>0</v>
      </c>
      <c r="CI115" s="504">
        <f>SUMIF(($S$5:$CG$5),"Forecast",(S115:CG115))</f>
        <v>0</v>
      </c>
      <c r="CJ115" s="504">
        <f>+CH115+CI115</f>
        <v>0</v>
      </c>
      <c r="CK115" s="504">
        <f>+CJ115-R115</f>
        <v>0</v>
      </c>
      <c r="CL115" s="504">
        <f>+CK115-S115</f>
        <v>0</v>
      </c>
      <c r="CM115" s="504">
        <f>+CJ115-CL115</f>
        <v>0</v>
      </c>
    </row>
    <row r="116" spans="1:100" outlineLevel="1">
      <c r="A116" s="500"/>
      <c r="B116" s="501"/>
      <c r="C116" s="1423">
        <v>401.01</v>
      </c>
      <c r="D116" s="1424"/>
      <c r="E116" s="1424"/>
      <c r="F116" s="501"/>
      <c r="G116" s="501"/>
      <c r="H116" s="501" t="s">
        <v>380</v>
      </c>
      <c r="I116" s="501"/>
      <c r="J116" s="501"/>
      <c r="K116" s="501"/>
      <c r="L116" s="501"/>
      <c r="M116" s="517"/>
      <c r="N116" s="518">
        <v>6400003511</v>
      </c>
      <c r="O116" s="504">
        <v>510125</v>
      </c>
      <c r="P116" s="519" t="s">
        <v>381</v>
      </c>
      <c r="Q116" s="506">
        <v>531375</v>
      </c>
      <c r="R116" s="506">
        <v>485370</v>
      </c>
      <c r="S116" s="504"/>
      <c r="T116" s="507"/>
      <c r="U116" s="508"/>
      <c r="V116" s="508"/>
      <c r="W116" s="508"/>
      <c r="X116" s="508"/>
      <c r="Y116" s="508"/>
      <c r="Z116" s="508"/>
      <c r="AA116" s="508"/>
      <c r="AB116" s="508"/>
      <c r="AC116" s="508">
        <v>73612.5</v>
      </c>
      <c r="AD116" s="508">
        <v>12412.5</v>
      </c>
      <c r="AE116" s="550">
        <f>240628.93+161347</f>
        <v>401975.93</v>
      </c>
      <c r="AF116" s="504">
        <f>SUM(T116:AE116)</f>
        <v>488000.93</v>
      </c>
      <c r="AG116" s="510">
        <f>158715.99-161347</f>
        <v>-2631.0100000000093</v>
      </c>
      <c r="AH116" s="508"/>
      <c r="AI116" s="508"/>
      <c r="AJ116" s="508"/>
      <c r="AK116" s="508"/>
      <c r="AL116" s="508"/>
      <c r="AM116" s="508"/>
      <c r="AN116" s="508"/>
      <c r="AO116" s="508"/>
      <c r="AP116" s="508"/>
      <c r="AQ116" s="508"/>
      <c r="AR116" s="509"/>
      <c r="AS116" s="504">
        <f>SUM(AG116:AR116)</f>
        <v>-2631.0100000000093</v>
      </c>
      <c r="AT116" s="510"/>
      <c r="AU116" s="508"/>
      <c r="AV116" s="508"/>
      <c r="AW116" s="508"/>
      <c r="AX116" s="508"/>
      <c r="AY116" s="508"/>
      <c r="AZ116" s="508"/>
      <c r="BA116" s="508"/>
      <c r="BB116" s="508"/>
      <c r="BC116" s="508"/>
      <c r="BD116" s="508"/>
      <c r="BE116" s="509"/>
      <c r="BF116" s="504">
        <f>SUM(AT116:BE116)</f>
        <v>0</v>
      </c>
      <c r="BG116" s="510"/>
      <c r="BH116" s="508"/>
      <c r="BI116" s="508"/>
      <c r="BJ116" s="508"/>
      <c r="BK116" s="508"/>
      <c r="BL116" s="508"/>
      <c r="BM116" s="508"/>
      <c r="BN116" s="508"/>
      <c r="BO116" s="508"/>
      <c r="BP116" s="508"/>
      <c r="BQ116" s="508"/>
      <c r="BR116" s="509"/>
      <c r="BS116" s="504">
        <f>SUM(BG116:BR116)</f>
        <v>0</v>
      </c>
      <c r="BT116" s="510"/>
      <c r="BU116" s="508"/>
      <c r="BV116" s="508"/>
      <c r="BW116" s="508"/>
      <c r="BX116" s="508"/>
      <c r="BY116" s="508"/>
      <c r="BZ116" s="508"/>
      <c r="CA116" s="508"/>
      <c r="CB116" s="508"/>
      <c r="CC116" s="508"/>
      <c r="CD116" s="508"/>
      <c r="CE116" s="509"/>
      <c r="CF116" s="504">
        <f>SUM(BT116:CE116)</f>
        <v>0</v>
      </c>
      <c r="CG116" s="504"/>
      <c r="CH116" s="504">
        <f>SUMIF(($S$5:$CG$5),"Actual",(S116:CG116))</f>
        <v>485369.92</v>
      </c>
      <c r="CI116" s="504">
        <f>SUMIF(($S$5:$CG$5),"Forecast",(S116:CG116))</f>
        <v>0</v>
      </c>
      <c r="CJ116" s="504">
        <f>+CH116+CI116</f>
        <v>485369.92</v>
      </c>
      <c r="CK116" s="504">
        <f>+CJ116-R116</f>
        <v>-8.0000000016298145E-2</v>
      </c>
      <c r="CL116" s="504">
        <v>485369.92</v>
      </c>
      <c r="CM116" s="504">
        <f>+CJ116-CL116</f>
        <v>0</v>
      </c>
    </row>
    <row r="117" spans="1:100" outlineLevel="1">
      <c r="A117" s="500"/>
      <c r="B117" s="501"/>
      <c r="C117" s="501"/>
      <c r="D117" s="501"/>
      <c r="E117" s="501"/>
      <c r="F117" s="501"/>
      <c r="G117" s="501"/>
      <c r="H117" s="501"/>
      <c r="I117" s="501"/>
      <c r="J117" s="501"/>
      <c r="K117" s="501"/>
      <c r="L117" s="501"/>
      <c r="M117" s="517"/>
      <c r="N117" s="518"/>
      <c r="O117" s="504"/>
      <c r="P117" s="519"/>
      <c r="Q117" s="506">
        <v>0</v>
      </c>
      <c r="R117" s="506">
        <v>0</v>
      </c>
      <c r="S117" s="504"/>
      <c r="T117" s="507"/>
      <c r="U117" s="508"/>
      <c r="V117" s="508"/>
      <c r="W117" s="508"/>
      <c r="X117" s="508"/>
      <c r="Y117" s="508"/>
      <c r="Z117" s="508"/>
      <c r="AA117" s="508"/>
      <c r="AB117" s="508"/>
      <c r="AC117" s="508"/>
      <c r="AD117" s="508"/>
      <c r="AE117" s="509"/>
      <c r="AF117" s="504">
        <f>SUM(T117:AE117)</f>
        <v>0</v>
      </c>
      <c r="AG117" s="510"/>
      <c r="AH117" s="508"/>
      <c r="AI117" s="508"/>
      <c r="AJ117" s="508"/>
      <c r="AK117" s="508"/>
      <c r="AL117" s="508"/>
      <c r="AM117" s="508"/>
      <c r="AN117" s="508"/>
      <c r="AO117" s="508"/>
      <c r="AP117" s="508"/>
      <c r="AQ117" s="508"/>
      <c r="AR117" s="509"/>
      <c r="AS117" s="504">
        <f>SUM(AG117:AR117)</f>
        <v>0</v>
      </c>
      <c r="AT117" s="510"/>
      <c r="AU117" s="508"/>
      <c r="AV117" s="508"/>
      <c r="AW117" s="508"/>
      <c r="AX117" s="508"/>
      <c r="AY117" s="508"/>
      <c r="AZ117" s="508"/>
      <c r="BA117" s="508"/>
      <c r="BB117" s="508"/>
      <c r="BC117" s="508"/>
      <c r="BD117" s="508"/>
      <c r="BE117" s="509"/>
      <c r="BF117" s="504">
        <f>SUM(AT117:BE117)</f>
        <v>0</v>
      </c>
      <c r="BG117" s="510"/>
      <c r="BH117" s="508"/>
      <c r="BI117" s="508"/>
      <c r="BJ117" s="508"/>
      <c r="BK117" s="508"/>
      <c r="BL117" s="508"/>
      <c r="BM117" s="508"/>
      <c r="BN117" s="508"/>
      <c r="BO117" s="508"/>
      <c r="BP117" s="508"/>
      <c r="BQ117" s="508"/>
      <c r="BR117" s="509"/>
      <c r="BS117" s="504">
        <f>SUM(BG117:BR117)</f>
        <v>0</v>
      </c>
      <c r="BT117" s="510"/>
      <c r="BU117" s="508"/>
      <c r="BV117" s="508"/>
      <c r="BW117" s="508"/>
      <c r="BX117" s="508"/>
      <c r="BY117" s="508"/>
      <c r="BZ117" s="508"/>
      <c r="CA117" s="508"/>
      <c r="CB117" s="508"/>
      <c r="CC117" s="508"/>
      <c r="CD117" s="508"/>
      <c r="CE117" s="509"/>
      <c r="CF117" s="504">
        <f>SUM(BT117:CE117)</f>
        <v>0</v>
      </c>
      <c r="CG117" s="504"/>
      <c r="CH117" s="504">
        <f>SUMIF(($S$5:$CG$5),"Actual",(S117:CG117))</f>
        <v>0</v>
      </c>
      <c r="CI117" s="504">
        <f>SUMIF(($S$5:$CG$5),"Forecast",(S117:CG117))</f>
        <v>0</v>
      </c>
      <c r="CJ117" s="504">
        <f>+CH117+CI117</f>
        <v>0</v>
      </c>
      <c r="CK117" s="504">
        <f>+CJ117-R117</f>
        <v>0</v>
      </c>
      <c r="CL117" s="504">
        <f>+CK117-S117</f>
        <v>0</v>
      </c>
      <c r="CM117" s="504">
        <f>+CJ117-CL117</f>
        <v>0</v>
      </c>
    </row>
    <row r="118" spans="1:100" s="546" customFormat="1">
      <c r="A118" s="534"/>
      <c r="B118" s="1442">
        <v>402</v>
      </c>
      <c r="C118" s="1443"/>
      <c r="D118" s="1443"/>
      <c r="E118" s="621"/>
      <c r="F118" s="536"/>
      <c r="G118" s="536" t="s">
        <v>382</v>
      </c>
      <c r="H118" s="536"/>
      <c r="I118" s="536"/>
      <c r="J118" s="536"/>
      <c r="K118" s="536"/>
      <c r="L118" s="536"/>
      <c r="M118" s="622"/>
      <c r="N118" s="623">
        <v>6400003979</v>
      </c>
      <c r="O118" s="539">
        <v>30300000</v>
      </c>
      <c r="P118" s="624" t="s">
        <v>310</v>
      </c>
      <c r="Q118" s="541">
        <f t="shared" ref="Q118:AV118" si="72">SUBTOTAL(9,Q119:Q183)</f>
        <v>25953596</v>
      </c>
      <c r="R118" s="541">
        <f t="shared" si="72"/>
        <v>30300000</v>
      </c>
      <c r="S118" s="539">
        <f t="shared" si="72"/>
        <v>0</v>
      </c>
      <c r="T118" s="542">
        <f t="shared" si="72"/>
        <v>0</v>
      </c>
      <c r="U118" s="543">
        <f t="shared" si="72"/>
        <v>0</v>
      </c>
      <c r="V118" s="543">
        <f t="shared" si="72"/>
        <v>0</v>
      </c>
      <c r="W118" s="543">
        <f t="shared" si="72"/>
        <v>0</v>
      </c>
      <c r="X118" s="543">
        <f t="shared" si="72"/>
        <v>0</v>
      </c>
      <c r="Y118" s="543">
        <f t="shared" si="72"/>
        <v>0</v>
      </c>
      <c r="Z118" s="543">
        <f t="shared" si="72"/>
        <v>0</v>
      </c>
      <c r="AA118" s="543">
        <f t="shared" si="72"/>
        <v>0</v>
      </c>
      <c r="AB118" s="543">
        <f t="shared" si="72"/>
        <v>0</v>
      </c>
      <c r="AC118" s="543">
        <f t="shared" si="72"/>
        <v>0</v>
      </c>
      <c r="AD118" s="543">
        <f t="shared" si="72"/>
        <v>0</v>
      </c>
      <c r="AE118" s="544">
        <f t="shared" si="72"/>
        <v>0</v>
      </c>
      <c r="AF118" s="539">
        <f t="shared" si="72"/>
        <v>0</v>
      </c>
      <c r="AG118" s="545">
        <f t="shared" si="72"/>
        <v>0</v>
      </c>
      <c r="AH118" s="543">
        <f t="shared" si="72"/>
        <v>0</v>
      </c>
      <c r="AI118" s="543">
        <f t="shared" si="72"/>
        <v>0</v>
      </c>
      <c r="AJ118" s="543">
        <f t="shared" si="72"/>
        <v>874753</v>
      </c>
      <c r="AK118" s="543">
        <f t="shared" si="72"/>
        <v>1637337.5</v>
      </c>
      <c r="AL118" s="543">
        <f t="shared" si="72"/>
        <v>828317.40000000014</v>
      </c>
      <c r="AM118" s="543">
        <f t="shared" si="72"/>
        <v>1442875.9</v>
      </c>
      <c r="AN118" s="543">
        <f t="shared" si="72"/>
        <v>1503635.2</v>
      </c>
      <c r="AO118" s="543">
        <f t="shared" si="72"/>
        <v>1131807.25</v>
      </c>
      <c r="AP118" s="543">
        <f t="shared" si="72"/>
        <v>1810447.95</v>
      </c>
      <c r="AQ118" s="543">
        <f t="shared" si="72"/>
        <v>2593353.33</v>
      </c>
      <c r="AR118" s="544">
        <f t="shared" si="72"/>
        <v>3226282.17</v>
      </c>
      <c r="AS118" s="539">
        <f t="shared" si="72"/>
        <v>15048809.699999999</v>
      </c>
      <c r="AT118" s="545">
        <f t="shared" si="72"/>
        <v>1561798.5</v>
      </c>
      <c r="AU118" s="543">
        <f t="shared" si="72"/>
        <v>4347873.09</v>
      </c>
      <c r="AV118" s="543">
        <f t="shared" si="72"/>
        <v>1454199</v>
      </c>
      <c r="AW118" s="543">
        <f t="shared" ref="AW118:CB118" si="73">SUBTOTAL(9,AW119:AW183)</f>
        <v>981280.64999999991</v>
      </c>
      <c r="AX118" s="543">
        <f t="shared" si="73"/>
        <v>1570012</v>
      </c>
      <c r="AY118" s="543">
        <f t="shared" si="73"/>
        <v>2579366.5</v>
      </c>
      <c r="AZ118" s="543">
        <f t="shared" si="73"/>
        <v>2357798.9500000002</v>
      </c>
      <c r="BA118" s="543">
        <f t="shared" si="73"/>
        <v>1085752.7</v>
      </c>
      <c r="BB118" s="543">
        <f t="shared" si="73"/>
        <v>2270973.6000000006</v>
      </c>
      <c r="BC118" s="543">
        <f t="shared" si="73"/>
        <v>1572877.76</v>
      </c>
      <c r="BD118" s="543">
        <f t="shared" si="73"/>
        <v>911768.55</v>
      </c>
      <c r="BE118" s="544">
        <f t="shared" si="73"/>
        <v>1004514.75</v>
      </c>
      <c r="BF118" s="539">
        <f t="shared" si="73"/>
        <v>21698216.050000001</v>
      </c>
      <c r="BG118" s="545">
        <f t="shared" si="73"/>
        <v>378386.85</v>
      </c>
      <c r="BH118" s="543">
        <f t="shared" si="73"/>
        <v>-77015.300000000047</v>
      </c>
      <c r="BI118" s="543">
        <f t="shared" si="73"/>
        <v>304097</v>
      </c>
      <c r="BJ118" s="543">
        <f t="shared" si="73"/>
        <v>0.30833333334885538</v>
      </c>
      <c r="BK118" s="543">
        <f t="shared" si="73"/>
        <v>0</v>
      </c>
      <c r="BL118" s="543">
        <f t="shared" si="73"/>
        <v>0</v>
      </c>
      <c r="BM118" s="543">
        <f t="shared" si="73"/>
        <v>0</v>
      </c>
      <c r="BN118" s="543">
        <f t="shared" si="73"/>
        <v>0</v>
      </c>
      <c r="BO118" s="543">
        <f t="shared" si="73"/>
        <v>0</v>
      </c>
      <c r="BP118" s="543">
        <f t="shared" si="73"/>
        <v>0</v>
      </c>
      <c r="BQ118" s="543">
        <f t="shared" si="73"/>
        <v>0</v>
      </c>
      <c r="BR118" s="544">
        <f t="shared" si="73"/>
        <v>0</v>
      </c>
      <c r="BS118" s="539">
        <f t="shared" si="73"/>
        <v>605468.85833333316</v>
      </c>
      <c r="BT118" s="545">
        <f t="shared" si="73"/>
        <v>0</v>
      </c>
      <c r="BU118" s="543">
        <f t="shared" si="73"/>
        <v>0</v>
      </c>
      <c r="BV118" s="543">
        <f t="shared" si="73"/>
        <v>0</v>
      </c>
      <c r="BW118" s="543">
        <f t="shared" si="73"/>
        <v>0</v>
      </c>
      <c r="BX118" s="543">
        <f t="shared" si="73"/>
        <v>0</v>
      </c>
      <c r="BY118" s="543">
        <f t="shared" si="73"/>
        <v>0</v>
      </c>
      <c r="BZ118" s="543">
        <f t="shared" si="73"/>
        <v>0</v>
      </c>
      <c r="CA118" s="543">
        <f t="shared" si="73"/>
        <v>0</v>
      </c>
      <c r="CB118" s="543">
        <f t="shared" si="73"/>
        <v>0</v>
      </c>
      <c r="CC118" s="543">
        <f t="shared" ref="CC118:CM118" si="74">SUBTOTAL(9,CC119:CC183)</f>
        <v>0</v>
      </c>
      <c r="CD118" s="543">
        <f t="shared" si="74"/>
        <v>0</v>
      </c>
      <c r="CE118" s="544">
        <f t="shared" si="74"/>
        <v>0</v>
      </c>
      <c r="CF118" s="539">
        <f t="shared" si="74"/>
        <v>0</v>
      </c>
      <c r="CG118" s="539">
        <f t="shared" si="74"/>
        <v>0</v>
      </c>
      <c r="CH118" s="539">
        <f t="shared" si="74"/>
        <v>37352494.608333327</v>
      </c>
      <c r="CI118" s="539">
        <f t="shared" si="74"/>
        <v>0</v>
      </c>
      <c r="CJ118" s="539">
        <f t="shared" si="74"/>
        <v>37352494.608333327</v>
      </c>
      <c r="CK118" s="539">
        <f t="shared" si="74"/>
        <v>7052494.6083333269</v>
      </c>
      <c r="CL118" s="539">
        <f t="shared" si="74"/>
        <v>37352494.669999994</v>
      </c>
      <c r="CM118" s="539">
        <f t="shared" si="74"/>
        <v>-6.1666668945690617E-2</v>
      </c>
    </row>
    <row r="119" spans="1:100" outlineLevel="2">
      <c r="A119" s="500"/>
      <c r="B119" s="526"/>
      <c r="C119" s="1423">
        <v>402.01</v>
      </c>
      <c r="D119" s="1423"/>
      <c r="E119" s="1423"/>
      <c r="F119" s="501"/>
      <c r="G119" s="501"/>
      <c r="H119" s="501" t="s">
        <v>383</v>
      </c>
      <c r="I119" s="501"/>
      <c r="J119" s="501"/>
      <c r="K119" s="501"/>
      <c r="L119" s="501"/>
      <c r="M119" s="517"/>
      <c r="N119" s="518">
        <v>6400003979</v>
      </c>
      <c r="O119" s="504">
        <v>38705006</v>
      </c>
      <c r="P119" s="519" t="s">
        <v>310</v>
      </c>
      <c r="Q119" s="506">
        <v>1937000</v>
      </c>
      <c r="R119" s="506">
        <v>30300000</v>
      </c>
      <c r="S119" s="504"/>
      <c r="T119" s="507"/>
      <c r="U119" s="508"/>
      <c r="V119" s="508"/>
      <c r="W119" s="508"/>
      <c r="X119" s="508"/>
      <c r="Y119" s="508"/>
      <c r="Z119" s="508"/>
      <c r="AA119" s="508"/>
      <c r="AB119" s="508"/>
      <c r="AC119" s="508"/>
      <c r="AD119" s="508"/>
      <c r="AE119" s="509"/>
      <c r="AF119" s="504">
        <f t="shared" ref="AF119:AF150" si="75">SUM(T119:AE119)</f>
        <v>0</v>
      </c>
      <c r="AG119" s="510"/>
      <c r="AH119" s="508"/>
      <c r="AI119" s="508"/>
      <c r="AJ119" s="549">
        <f>132705</f>
        <v>132705</v>
      </c>
      <c r="AK119" s="549">
        <f>783049.5</f>
        <v>783049.5</v>
      </c>
      <c r="AL119" s="549">
        <f>1472594.87-AL226</f>
        <v>1355353.4000000001</v>
      </c>
      <c r="AM119" s="549">
        <f>1069300.9-AM226-AM127</f>
        <v>816309.89999999991</v>
      </c>
      <c r="AN119" s="549">
        <v>1406366.2</v>
      </c>
      <c r="AO119" s="549">
        <f>1628054.9+1379315-AO226</f>
        <v>2759862.25</v>
      </c>
      <c r="AP119" s="549">
        <v>-6899.05</v>
      </c>
      <c r="AQ119" s="549">
        <f>1820852.4-AQ226-AQ128</f>
        <v>1789611.3299999998</v>
      </c>
      <c r="AR119" s="550">
        <f>2736710.9-AR226</f>
        <v>2508396.17</v>
      </c>
      <c r="AS119" s="504">
        <f t="shared" ref="AS119:AS150" si="76">SUM(AG119:AR119)</f>
        <v>11544754.699999999</v>
      </c>
      <c r="AT119" s="548">
        <f>1983755.5-AT131</f>
        <v>1955894.5</v>
      </c>
      <c r="AU119" s="549">
        <f>2413024.09-AU127-AU129-AU130-AU131-AU134</f>
        <v>2104961.09</v>
      </c>
      <c r="AV119" s="549">
        <v>3225341</v>
      </c>
      <c r="AW119" s="549">
        <f>1578089.65-AW129-AW130-AW135</f>
        <v>1336389.6499999999</v>
      </c>
      <c r="AX119" s="549">
        <f>1036847-AX135</f>
        <v>1034622</v>
      </c>
      <c r="AY119" s="549">
        <f>1495032.5-AY135-AY136-AY137</f>
        <v>975250.5</v>
      </c>
      <c r="AZ119" s="549">
        <f>2494432.95-AZ138</f>
        <v>2401371.9500000002</v>
      </c>
      <c r="BA119" s="549">
        <v>2562724</v>
      </c>
      <c r="BB119" s="549">
        <f>1778152.61-BB140-BB141-BB142</f>
        <v>1691324.61</v>
      </c>
      <c r="BC119" s="549">
        <f>2171874.45-BC141-BC143-BC144-BC145-BC147-BC148-BC149</f>
        <v>1919578.4500000002</v>
      </c>
      <c r="BD119" s="549">
        <f>1604920.55-BD146-BD151-BD152-BD153-BD154-BD155-BD156-BD157-BD158</f>
        <v>1372285.55</v>
      </c>
      <c r="BE119" s="550">
        <f>961701.75-SUM(BE161:BE179)</f>
        <v>702696.75</v>
      </c>
      <c r="BF119" s="504">
        <f t="shared" ref="BF119:BF150" si="77">SUM(AT119:BE119)</f>
        <v>21282440.050000001</v>
      </c>
      <c r="BG119" s="548">
        <f>367430.85-BG180</f>
        <v>84427.849999999977</v>
      </c>
      <c r="BH119" s="549">
        <f>964560.7-BH181+600000</f>
        <v>1108194.7</v>
      </c>
      <c r="BI119" s="549">
        <v>304097</v>
      </c>
      <c r="BJ119" s="549">
        <f>+(551718.97)*(25/30)</f>
        <v>459765.80833333335</v>
      </c>
      <c r="BK119" s="592"/>
      <c r="BL119" s="508"/>
      <c r="BM119" s="508"/>
      <c r="BN119" s="508"/>
      <c r="BO119" s="508"/>
      <c r="BP119" s="508"/>
      <c r="BQ119" s="508"/>
      <c r="BR119" s="509"/>
      <c r="BS119" s="504">
        <f t="shared" ref="BS119:BS150" si="78">SUM(BG119:BR119)</f>
        <v>1956485.3583333332</v>
      </c>
      <c r="BT119" s="510"/>
      <c r="BU119" s="508"/>
      <c r="BV119" s="508"/>
      <c r="BW119" s="508"/>
      <c r="BX119" s="508"/>
      <c r="BY119" s="508"/>
      <c r="BZ119" s="508"/>
      <c r="CA119" s="508"/>
      <c r="CB119" s="508"/>
      <c r="CC119" s="508"/>
      <c r="CD119" s="508"/>
      <c r="CE119" s="509"/>
      <c r="CF119" s="504">
        <f t="shared" ref="CF119:CF150" si="79">SUM(BT119:CE119)</f>
        <v>0</v>
      </c>
      <c r="CG119" s="504"/>
      <c r="CH119" s="504">
        <f t="shared" ref="CH119:CH150" si="80">SUMIF(($S$5:$CG$5),"Actual",(S119:CG119))</f>
        <v>34783680.108333327</v>
      </c>
      <c r="CI119" s="504">
        <f t="shared" ref="CI119:CI150" si="81">SUMIF(($S$5:$CG$5),"Forecast",(S119:CG119))</f>
        <v>0</v>
      </c>
      <c r="CJ119" s="559">
        <f t="shared" ref="CJ119:CJ150" si="82">+CH119+CI119</f>
        <v>34783680.108333327</v>
      </c>
      <c r="CK119" s="504">
        <f t="shared" ref="CK119:CK150" si="83">+CJ119-R119</f>
        <v>4483680.1083333269</v>
      </c>
      <c r="CL119" s="504">
        <v>34875633.269999996</v>
      </c>
      <c r="CM119" s="504">
        <f t="shared" ref="CM119:CM150" si="84">+CJ119-CL119</f>
        <v>-91953.161666668952</v>
      </c>
      <c r="CN119" s="594">
        <v>30300000</v>
      </c>
      <c r="CO119" s="594">
        <f>30300000-CJ119</f>
        <v>-4483680.1083333269</v>
      </c>
      <c r="CP119" s="439">
        <v>9983773.7100000009</v>
      </c>
      <c r="CV119" s="570">
        <v>1412590.7851483342</v>
      </c>
    </row>
    <row r="120" spans="1:100" s="586" customFormat="1" outlineLevel="2">
      <c r="A120" s="571"/>
      <c r="B120" s="573"/>
      <c r="C120" s="1441"/>
      <c r="D120" s="1441"/>
      <c r="E120" s="1441"/>
      <c r="F120" s="573"/>
      <c r="G120" s="573"/>
      <c r="H120" s="573"/>
      <c r="I120" s="573"/>
      <c r="J120" s="573" t="s">
        <v>384</v>
      </c>
      <c r="K120" s="573"/>
      <c r="L120" s="573"/>
      <c r="M120" s="574"/>
      <c r="N120" s="575"/>
      <c r="O120" s="575"/>
      <c r="P120" s="576"/>
      <c r="Q120" s="577"/>
      <c r="R120" s="577"/>
      <c r="S120" s="575"/>
      <c r="T120" s="578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84"/>
      <c r="AF120" s="575">
        <f t="shared" si="75"/>
        <v>0</v>
      </c>
      <c r="AG120" s="585"/>
      <c r="AH120" s="579"/>
      <c r="AI120" s="579"/>
      <c r="AJ120" s="549">
        <f>742048</f>
        <v>742048</v>
      </c>
      <c r="AK120" s="549">
        <f>-742048+1596336</f>
        <v>854288</v>
      </c>
      <c r="AL120" s="579">
        <f>-1596336+1069300</f>
        <v>-527036</v>
      </c>
      <c r="AM120" s="583">
        <f>-1069300+1530786</f>
        <v>461486</v>
      </c>
      <c r="AN120" s="583">
        <f>-1530786+1628055</f>
        <v>97269</v>
      </c>
      <c r="AO120" s="583">
        <f>-1628055</f>
        <v>-1628055</v>
      </c>
      <c r="AP120" s="579">
        <v>1817347</v>
      </c>
      <c r="AQ120" s="583">
        <f>-1817347+2744316</f>
        <v>926969</v>
      </c>
      <c r="AR120" s="580">
        <f>-2744316+2164106</f>
        <v>-580210</v>
      </c>
      <c r="AS120" s="575">
        <f t="shared" si="76"/>
        <v>2164106</v>
      </c>
      <c r="AT120" s="582">
        <f>-2164106+1404540</f>
        <v>-759566</v>
      </c>
      <c r="AU120" s="583">
        <f>-1404540+3489819</f>
        <v>2085279</v>
      </c>
      <c r="AV120" s="583">
        <f>-3489819+1718677</f>
        <v>-1771142</v>
      </c>
      <c r="AW120" s="583">
        <f>-1718677+1121868</f>
        <v>-596809</v>
      </c>
      <c r="AX120" s="579">
        <f>-1121868+1619677</f>
        <v>497809</v>
      </c>
      <c r="AY120" s="583">
        <f>-1619677+2699358</f>
        <v>1079681</v>
      </c>
      <c r="AZ120" s="579">
        <f>-2699358+2562724</f>
        <v>-136634</v>
      </c>
      <c r="BA120" s="583">
        <f>-2562724+1860437</f>
        <v>-702287</v>
      </c>
      <c r="BB120" s="583">
        <f>-1860437+2353257.99</f>
        <v>492820.99000000022</v>
      </c>
      <c r="BC120" s="583">
        <f>-2353257.99+1730877</f>
        <v>-622380.99000000022</v>
      </c>
      <c r="BD120" s="583">
        <f>-1730877+1037725</f>
        <v>-693152</v>
      </c>
      <c r="BE120" s="580">
        <f>-1037725+1080538</f>
        <v>42813</v>
      </c>
      <c r="BF120" s="575">
        <f t="shared" si="77"/>
        <v>-1083568</v>
      </c>
      <c r="BG120" s="582">
        <f>-1080538+1041576</f>
        <v>-38962</v>
      </c>
      <c r="BH120" s="583">
        <v>-1041576</v>
      </c>
      <c r="BI120" s="579"/>
      <c r="BJ120" s="583">
        <f>-(327816)*(25/30)</f>
        <v>-273180</v>
      </c>
      <c r="BK120" s="579"/>
      <c r="BL120" s="579"/>
      <c r="BM120" s="579"/>
      <c r="BN120" s="579"/>
      <c r="BO120" s="579"/>
      <c r="BP120" s="579"/>
      <c r="BQ120" s="579"/>
      <c r="BR120" s="584"/>
      <c r="BS120" s="575">
        <f t="shared" si="78"/>
        <v>-1353718</v>
      </c>
      <c r="BT120" s="585"/>
      <c r="BU120" s="579"/>
      <c r="BV120" s="579"/>
      <c r="BW120" s="579"/>
      <c r="BX120" s="579"/>
      <c r="BY120" s="579"/>
      <c r="BZ120" s="579"/>
      <c r="CA120" s="579"/>
      <c r="CB120" s="579"/>
      <c r="CC120" s="579"/>
      <c r="CD120" s="579"/>
      <c r="CE120" s="584"/>
      <c r="CF120" s="575">
        <f t="shared" si="79"/>
        <v>0</v>
      </c>
      <c r="CG120" s="575"/>
      <c r="CH120" s="575">
        <f t="shared" si="80"/>
        <v>-273180</v>
      </c>
      <c r="CI120" s="575">
        <f t="shared" si="81"/>
        <v>0</v>
      </c>
      <c r="CJ120" s="575">
        <f t="shared" si="82"/>
        <v>-273180</v>
      </c>
      <c r="CK120" s="504">
        <f t="shared" si="83"/>
        <v>-273180</v>
      </c>
      <c r="CL120" s="504">
        <v>-327816</v>
      </c>
      <c r="CM120" s="504">
        <f t="shared" si="84"/>
        <v>54636</v>
      </c>
      <c r="CN120" s="613">
        <v>0</v>
      </c>
      <c r="CO120" s="613">
        <f>+CN120-CJ120</f>
        <v>273180</v>
      </c>
    </row>
    <row r="121" spans="1:100" s="586" customFormat="1" outlineLevel="2">
      <c r="A121" s="571"/>
      <c r="B121" s="573"/>
      <c r="C121" s="1441"/>
      <c r="D121" s="1441"/>
      <c r="E121" s="1441"/>
      <c r="F121" s="573"/>
      <c r="G121" s="573"/>
      <c r="H121" s="573"/>
      <c r="I121" s="573"/>
      <c r="J121" s="573" t="s">
        <v>385</v>
      </c>
      <c r="K121" s="573"/>
      <c r="L121" s="573"/>
      <c r="M121" s="574"/>
      <c r="N121" s="575"/>
      <c r="O121" s="575"/>
      <c r="P121" s="576"/>
      <c r="Q121" s="577"/>
      <c r="R121" s="577"/>
      <c r="S121" s="575"/>
      <c r="T121" s="578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84"/>
      <c r="AF121" s="575">
        <f t="shared" si="75"/>
        <v>0</v>
      </c>
      <c r="AG121" s="585"/>
      <c r="AH121" s="579"/>
      <c r="AI121" s="579"/>
      <c r="AJ121" s="549"/>
      <c r="AK121" s="549"/>
      <c r="AL121" s="579"/>
      <c r="AM121" s="583"/>
      <c r="AN121" s="583"/>
      <c r="AO121" s="583"/>
      <c r="AP121" s="579"/>
      <c r="AQ121" s="583"/>
      <c r="AR121" s="580">
        <f>1298096</f>
        <v>1298096</v>
      </c>
      <c r="AS121" s="575">
        <f t="shared" si="76"/>
        <v>1298096</v>
      </c>
      <c r="AT121" s="582">
        <f>-1298096+1635705</f>
        <v>337609</v>
      </c>
      <c r="AU121" s="583">
        <f>-1635705+1635705-1635705+1485275</f>
        <v>-150430</v>
      </c>
      <c r="AV121" s="579">
        <f>-1485275+1485275</f>
        <v>0</v>
      </c>
      <c r="AW121" s="583">
        <f>-1485275+1485275</f>
        <v>0</v>
      </c>
      <c r="AX121" s="579">
        <f>-1485275+1520631</f>
        <v>35356</v>
      </c>
      <c r="AY121" s="583">
        <f>-1520631+1525284</f>
        <v>4653</v>
      </c>
      <c r="AZ121" s="579">
        <f>-1525284+1525284</f>
        <v>0</v>
      </c>
      <c r="BA121" s="583">
        <f>-1525284+750599.7</f>
        <v>-774684.3</v>
      </c>
      <c r="BB121" s="583">
        <f>-750599.7+750599.7</f>
        <v>0</v>
      </c>
      <c r="BC121" s="579">
        <f>-750599.7+773984</f>
        <v>23384.300000000047</v>
      </c>
      <c r="BD121" s="583">
        <f>-773984+773984</f>
        <v>0</v>
      </c>
      <c r="BE121" s="580">
        <f>-773984+773984</f>
        <v>0</v>
      </c>
      <c r="BF121" s="575">
        <f t="shared" si="77"/>
        <v>-524112</v>
      </c>
      <c r="BG121" s="582">
        <f>-773984+823902</f>
        <v>49918</v>
      </c>
      <c r="BH121" s="583">
        <f>-823902+223902</f>
        <v>-600000</v>
      </c>
      <c r="BI121" s="583">
        <f>-223902+223902</f>
        <v>0</v>
      </c>
      <c r="BJ121" s="583">
        <f>-223902.6*(25/30)</f>
        <v>-186585.5</v>
      </c>
      <c r="BK121" s="579"/>
      <c r="BL121" s="579"/>
      <c r="BM121" s="579"/>
      <c r="BN121" s="579"/>
      <c r="BO121" s="579"/>
      <c r="BP121" s="579"/>
      <c r="BQ121" s="579"/>
      <c r="BR121" s="584"/>
      <c r="BS121" s="575">
        <f t="shared" si="78"/>
        <v>-736667.5</v>
      </c>
      <c r="BT121" s="585"/>
      <c r="BU121" s="579"/>
      <c r="BV121" s="579"/>
      <c r="BW121" s="579"/>
      <c r="BX121" s="579"/>
      <c r="BY121" s="579"/>
      <c r="BZ121" s="579"/>
      <c r="CA121" s="579"/>
      <c r="CB121" s="579"/>
      <c r="CC121" s="579"/>
      <c r="CD121" s="579"/>
      <c r="CE121" s="584"/>
      <c r="CF121" s="575">
        <f t="shared" si="79"/>
        <v>0</v>
      </c>
      <c r="CG121" s="575"/>
      <c r="CH121" s="575">
        <f t="shared" si="80"/>
        <v>37316.5</v>
      </c>
      <c r="CI121" s="575">
        <f t="shared" si="81"/>
        <v>0</v>
      </c>
      <c r="CJ121" s="575">
        <f t="shared" si="82"/>
        <v>37316.5</v>
      </c>
      <c r="CK121" s="504">
        <f t="shared" si="83"/>
        <v>37316.5</v>
      </c>
      <c r="CL121" s="504">
        <v>-0.60000000000582077</v>
      </c>
      <c r="CM121" s="504">
        <f t="shared" si="84"/>
        <v>37317.100000000006</v>
      </c>
      <c r="CN121" s="613">
        <v>0</v>
      </c>
      <c r="CO121" s="613">
        <f>+CN121-CJ121</f>
        <v>-37316.5</v>
      </c>
    </row>
    <row r="122" spans="1:100" outlineLevel="2">
      <c r="A122" s="500"/>
      <c r="B122" s="526"/>
      <c r="C122" s="1423">
        <f>+C119+0.01</f>
        <v>402.02</v>
      </c>
      <c r="D122" s="1423"/>
      <c r="E122" s="1423"/>
      <c r="F122" s="501"/>
      <c r="G122" s="501"/>
      <c r="H122" s="501" t="s">
        <v>386</v>
      </c>
      <c r="I122" s="501"/>
      <c r="J122" s="501"/>
      <c r="K122" s="501"/>
      <c r="L122" s="501"/>
      <c r="M122" s="517"/>
      <c r="N122" s="518"/>
      <c r="O122" s="504"/>
      <c r="P122" s="519"/>
      <c r="Q122" s="506">
        <v>1600000</v>
      </c>
      <c r="R122" s="506">
        <v>0</v>
      </c>
      <c r="S122" s="504"/>
      <c r="T122" s="507"/>
      <c r="U122" s="508"/>
      <c r="V122" s="508"/>
      <c r="W122" s="508"/>
      <c r="X122" s="508"/>
      <c r="Y122" s="508"/>
      <c r="Z122" s="508"/>
      <c r="AA122" s="508"/>
      <c r="AB122" s="508"/>
      <c r="AC122" s="508"/>
      <c r="AD122" s="508"/>
      <c r="AE122" s="509"/>
      <c r="AF122" s="504">
        <f t="shared" si="75"/>
        <v>0</v>
      </c>
      <c r="AG122" s="510"/>
      <c r="AH122" s="508"/>
      <c r="AI122" s="508"/>
      <c r="AJ122" s="508"/>
      <c r="AK122" s="508"/>
      <c r="AL122" s="508"/>
      <c r="AM122" s="508"/>
      <c r="AN122" s="549"/>
      <c r="AO122" s="508"/>
      <c r="AP122" s="508"/>
      <c r="AQ122" s="508"/>
      <c r="AR122" s="509"/>
      <c r="AS122" s="504">
        <f t="shared" si="76"/>
        <v>0</v>
      </c>
      <c r="AT122" s="510"/>
      <c r="AU122" s="508"/>
      <c r="AV122" s="508"/>
      <c r="AW122" s="508"/>
      <c r="AX122" s="508"/>
      <c r="AY122" s="508"/>
      <c r="AZ122" s="508"/>
      <c r="BA122" s="508"/>
      <c r="BB122" s="549"/>
      <c r="BC122" s="508"/>
      <c r="BD122" s="508"/>
      <c r="BE122" s="509"/>
      <c r="BF122" s="504">
        <f t="shared" si="77"/>
        <v>0</v>
      </c>
      <c r="BG122" s="510"/>
      <c r="BH122" s="508"/>
      <c r="BI122" s="508"/>
      <c r="BJ122" s="508"/>
      <c r="BK122" s="508"/>
      <c r="BL122" s="508"/>
      <c r="BM122" s="508"/>
      <c r="BN122" s="508"/>
      <c r="BO122" s="508"/>
      <c r="BP122" s="508"/>
      <c r="BQ122" s="508"/>
      <c r="BR122" s="509"/>
      <c r="BS122" s="504">
        <f t="shared" si="78"/>
        <v>0</v>
      </c>
      <c r="BT122" s="510"/>
      <c r="BU122" s="508"/>
      <c r="BV122" s="508"/>
      <c r="BW122" s="508"/>
      <c r="BX122" s="508"/>
      <c r="BY122" s="508"/>
      <c r="BZ122" s="508"/>
      <c r="CA122" s="508"/>
      <c r="CB122" s="508"/>
      <c r="CC122" s="508"/>
      <c r="CD122" s="508"/>
      <c r="CE122" s="509"/>
      <c r="CF122" s="504">
        <f t="shared" si="79"/>
        <v>0</v>
      </c>
      <c r="CG122" s="504"/>
      <c r="CH122" s="504">
        <f t="shared" si="80"/>
        <v>0</v>
      </c>
      <c r="CI122" s="504">
        <f t="shared" si="81"/>
        <v>0</v>
      </c>
      <c r="CJ122" s="504">
        <f t="shared" si="82"/>
        <v>0</v>
      </c>
      <c r="CK122" s="504">
        <f t="shared" si="83"/>
        <v>0</v>
      </c>
      <c r="CL122" s="504">
        <v>0</v>
      </c>
      <c r="CM122" s="504">
        <f t="shared" si="84"/>
        <v>0</v>
      </c>
    </row>
    <row r="123" spans="1:100" outlineLevel="2">
      <c r="A123" s="500"/>
      <c r="B123" s="526"/>
      <c r="C123" s="1423">
        <f t="shared" ref="C123:C154" si="85">+C122+0.01</f>
        <v>402.03</v>
      </c>
      <c r="D123" s="1423"/>
      <c r="E123" s="1423"/>
      <c r="F123" s="501"/>
      <c r="G123" s="501"/>
      <c r="H123" s="501" t="s">
        <v>387</v>
      </c>
      <c r="I123" s="501"/>
      <c r="J123" s="501"/>
      <c r="K123" s="501"/>
      <c r="L123" s="501"/>
      <c r="M123" s="517"/>
      <c r="N123" s="518"/>
      <c r="O123" s="504"/>
      <c r="P123" s="519"/>
      <c r="Q123" s="506">
        <v>2180298</v>
      </c>
      <c r="R123" s="506">
        <v>0</v>
      </c>
      <c r="S123" s="504"/>
      <c r="T123" s="507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9"/>
      <c r="AF123" s="504">
        <f t="shared" si="75"/>
        <v>0</v>
      </c>
      <c r="AG123" s="510"/>
      <c r="AH123" s="508"/>
      <c r="AI123" s="508"/>
      <c r="AJ123" s="508"/>
      <c r="AK123" s="508"/>
      <c r="AL123" s="508"/>
      <c r="AM123" s="508"/>
      <c r="AN123" s="549"/>
      <c r="AO123" s="508"/>
      <c r="AP123" s="508"/>
      <c r="AQ123" s="508"/>
      <c r="AR123" s="509"/>
      <c r="AS123" s="504">
        <f t="shared" si="76"/>
        <v>0</v>
      </c>
      <c r="AT123" s="510"/>
      <c r="AU123" s="508"/>
      <c r="AV123" s="508"/>
      <c r="AW123" s="508"/>
      <c r="AX123" s="508"/>
      <c r="AY123" s="508"/>
      <c r="AZ123" s="508"/>
      <c r="BA123" s="508"/>
      <c r="BB123" s="549"/>
      <c r="BC123" s="508"/>
      <c r="BD123" s="508"/>
      <c r="BE123" s="509"/>
      <c r="BF123" s="504">
        <f t="shared" si="77"/>
        <v>0</v>
      </c>
      <c r="BG123" s="510"/>
      <c r="BH123" s="508"/>
      <c r="BI123" s="508"/>
      <c r="BJ123" s="508"/>
      <c r="BK123" s="508"/>
      <c r="BL123" s="508"/>
      <c r="BM123" s="508"/>
      <c r="BN123" s="508"/>
      <c r="BO123" s="508"/>
      <c r="BP123" s="508"/>
      <c r="BQ123" s="508"/>
      <c r="BR123" s="509"/>
      <c r="BS123" s="504">
        <f t="shared" si="78"/>
        <v>0</v>
      </c>
      <c r="BT123" s="510"/>
      <c r="BU123" s="508"/>
      <c r="BV123" s="508"/>
      <c r="BW123" s="508"/>
      <c r="BX123" s="508"/>
      <c r="BY123" s="508"/>
      <c r="BZ123" s="508"/>
      <c r="CA123" s="508"/>
      <c r="CB123" s="508"/>
      <c r="CC123" s="508"/>
      <c r="CD123" s="508"/>
      <c r="CE123" s="509"/>
      <c r="CF123" s="504">
        <f t="shared" si="79"/>
        <v>0</v>
      </c>
      <c r="CG123" s="504"/>
      <c r="CH123" s="504">
        <f t="shared" si="80"/>
        <v>0</v>
      </c>
      <c r="CI123" s="504">
        <f t="shared" si="81"/>
        <v>0</v>
      </c>
      <c r="CJ123" s="504">
        <f t="shared" si="82"/>
        <v>0</v>
      </c>
      <c r="CK123" s="504">
        <f t="shared" si="83"/>
        <v>0</v>
      </c>
      <c r="CL123" s="504">
        <v>0</v>
      </c>
      <c r="CM123" s="504">
        <f t="shared" si="84"/>
        <v>0</v>
      </c>
    </row>
    <row r="124" spans="1:100" outlineLevel="2">
      <c r="A124" s="500"/>
      <c r="B124" s="526"/>
      <c r="C124" s="1423">
        <f t="shared" si="85"/>
        <v>402.03999999999996</v>
      </c>
      <c r="D124" s="1423"/>
      <c r="E124" s="1423"/>
      <c r="F124" s="501"/>
      <c r="G124" s="501"/>
      <c r="H124" s="501" t="s">
        <v>388</v>
      </c>
      <c r="I124" s="501"/>
      <c r="J124" s="501"/>
      <c r="K124" s="501"/>
      <c r="L124" s="501"/>
      <c r="M124" s="517"/>
      <c r="N124" s="518"/>
      <c r="O124" s="504"/>
      <c r="P124" s="519"/>
      <c r="Q124" s="506">
        <v>2550000</v>
      </c>
      <c r="R124" s="506">
        <v>0</v>
      </c>
      <c r="S124" s="504"/>
      <c r="T124" s="507"/>
      <c r="U124" s="508"/>
      <c r="V124" s="508"/>
      <c r="W124" s="508"/>
      <c r="X124" s="508"/>
      <c r="Y124" s="508"/>
      <c r="Z124" s="508"/>
      <c r="AA124" s="508"/>
      <c r="AB124" s="508"/>
      <c r="AC124" s="508"/>
      <c r="AD124" s="508"/>
      <c r="AE124" s="509"/>
      <c r="AF124" s="504">
        <f t="shared" si="75"/>
        <v>0</v>
      </c>
      <c r="AG124" s="548"/>
      <c r="AH124" s="549"/>
      <c r="AI124" s="549"/>
      <c r="AJ124" s="549"/>
      <c r="AK124" s="549"/>
      <c r="AL124" s="549"/>
      <c r="AM124" s="549"/>
      <c r="AN124" s="549"/>
      <c r="AO124" s="549"/>
      <c r="AP124" s="549"/>
      <c r="AQ124" s="549"/>
      <c r="AR124" s="550"/>
      <c r="AS124" s="559">
        <f t="shared" si="76"/>
        <v>0</v>
      </c>
      <c r="AT124" s="510"/>
      <c r="AU124" s="508"/>
      <c r="AV124" s="508"/>
      <c r="AW124" s="508"/>
      <c r="AX124" s="508"/>
      <c r="AY124" s="508"/>
      <c r="AZ124" s="508"/>
      <c r="BA124" s="508"/>
      <c r="BB124" s="549"/>
      <c r="BC124" s="508"/>
      <c r="BD124" s="508"/>
      <c r="BE124" s="509"/>
      <c r="BF124" s="504">
        <f t="shared" si="77"/>
        <v>0</v>
      </c>
      <c r="BG124" s="510"/>
      <c r="BH124" s="508"/>
      <c r="BI124" s="508"/>
      <c r="BJ124" s="508"/>
      <c r="BK124" s="508"/>
      <c r="BL124" s="508"/>
      <c r="BM124" s="508"/>
      <c r="BN124" s="508"/>
      <c r="BO124" s="508"/>
      <c r="BP124" s="508"/>
      <c r="BQ124" s="508"/>
      <c r="BR124" s="509"/>
      <c r="BS124" s="504">
        <f t="shared" si="78"/>
        <v>0</v>
      </c>
      <c r="BT124" s="510"/>
      <c r="BU124" s="508"/>
      <c r="BV124" s="508"/>
      <c r="BW124" s="508"/>
      <c r="BX124" s="508"/>
      <c r="BY124" s="508"/>
      <c r="BZ124" s="508"/>
      <c r="CA124" s="508"/>
      <c r="CB124" s="508"/>
      <c r="CC124" s="508"/>
      <c r="CD124" s="508"/>
      <c r="CE124" s="509"/>
      <c r="CF124" s="504">
        <f t="shared" si="79"/>
        <v>0</v>
      </c>
      <c r="CG124" s="504"/>
      <c r="CH124" s="504">
        <f t="shared" si="80"/>
        <v>0</v>
      </c>
      <c r="CI124" s="504">
        <f t="shared" si="81"/>
        <v>0</v>
      </c>
      <c r="CJ124" s="504">
        <f t="shared" si="82"/>
        <v>0</v>
      </c>
      <c r="CK124" s="504">
        <f t="shared" si="83"/>
        <v>0</v>
      </c>
      <c r="CL124" s="504">
        <v>0</v>
      </c>
      <c r="CM124" s="504">
        <f t="shared" si="84"/>
        <v>0</v>
      </c>
    </row>
    <row r="125" spans="1:100" outlineLevel="2">
      <c r="A125" s="500"/>
      <c r="B125" s="526"/>
      <c r="C125" s="1423">
        <f t="shared" si="85"/>
        <v>402.04999999999995</v>
      </c>
      <c r="D125" s="1423"/>
      <c r="E125" s="1423"/>
      <c r="F125" s="501"/>
      <c r="G125" s="501"/>
      <c r="H125" s="501" t="s">
        <v>389</v>
      </c>
      <c r="I125" s="501"/>
      <c r="J125" s="501"/>
      <c r="K125" s="501"/>
      <c r="L125" s="501"/>
      <c r="M125" s="517"/>
      <c r="N125" s="518"/>
      <c r="O125" s="504"/>
      <c r="P125" s="519"/>
      <c r="Q125" s="506">
        <v>17686298</v>
      </c>
      <c r="R125" s="506">
        <v>0</v>
      </c>
      <c r="S125" s="504"/>
      <c r="T125" s="507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508"/>
      <c r="AE125" s="509"/>
      <c r="AF125" s="504">
        <f t="shared" si="75"/>
        <v>0</v>
      </c>
      <c r="AG125" s="548"/>
      <c r="AH125" s="549"/>
      <c r="AI125" s="549"/>
      <c r="AJ125" s="549"/>
      <c r="AK125" s="549"/>
      <c r="AL125" s="549"/>
      <c r="AM125" s="549"/>
      <c r="AN125" s="549"/>
      <c r="AO125" s="549"/>
      <c r="AP125" s="549"/>
      <c r="AQ125" s="549"/>
      <c r="AR125" s="550"/>
      <c r="AS125" s="559">
        <f t="shared" si="76"/>
        <v>0</v>
      </c>
      <c r="AT125" s="510"/>
      <c r="AU125" s="508"/>
      <c r="AV125" s="508"/>
      <c r="AW125" s="508"/>
      <c r="AX125" s="508"/>
      <c r="AY125" s="508"/>
      <c r="AZ125" s="508"/>
      <c r="BA125" s="508"/>
      <c r="BB125" s="549"/>
      <c r="BC125" s="508"/>
      <c r="BD125" s="508"/>
      <c r="BE125" s="509"/>
      <c r="BF125" s="504">
        <f t="shared" si="77"/>
        <v>0</v>
      </c>
      <c r="BG125" s="510"/>
      <c r="BH125" s="508"/>
      <c r="BI125" s="508"/>
      <c r="BJ125" s="508"/>
      <c r="BK125" s="508"/>
      <c r="BL125" s="508"/>
      <c r="BM125" s="508"/>
      <c r="BN125" s="508"/>
      <c r="BO125" s="508"/>
      <c r="BP125" s="508"/>
      <c r="BQ125" s="508"/>
      <c r="BR125" s="509"/>
      <c r="BS125" s="504">
        <f t="shared" si="78"/>
        <v>0</v>
      </c>
      <c r="BT125" s="510"/>
      <c r="BU125" s="508"/>
      <c r="BV125" s="508"/>
      <c r="BW125" s="508"/>
      <c r="BX125" s="508"/>
      <c r="BY125" s="508"/>
      <c r="BZ125" s="508"/>
      <c r="CA125" s="508"/>
      <c r="CB125" s="508"/>
      <c r="CC125" s="508"/>
      <c r="CD125" s="508"/>
      <c r="CE125" s="509"/>
      <c r="CF125" s="504">
        <f t="shared" si="79"/>
        <v>0</v>
      </c>
      <c r="CG125" s="504"/>
      <c r="CH125" s="504">
        <f t="shared" si="80"/>
        <v>0</v>
      </c>
      <c r="CI125" s="504">
        <f t="shared" si="81"/>
        <v>0</v>
      </c>
      <c r="CJ125" s="504">
        <f t="shared" si="82"/>
        <v>0</v>
      </c>
      <c r="CK125" s="504">
        <f t="shared" si="83"/>
        <v>0</v>
      </c>
      <c r="CL125" s="504">
        <v>0</v>
      </c>
      <c r="CM125" s="504">
        <f t="shared" si="84"/>
        <v>0</v>
      </c>
    </row>
    <row r="126" spans="1:100" outlineLevel="2">
      <c r="A126" s="500"/>
      <c r="B126" s="526"/>
      <c r="C126" s="1423">
        <f t="shared" si="85"/>
        <v>402.05999999999995</v>
      </c>
      <c r="D126" s="1423"/>
      <c r="E126" s="1423"/>
      <c r="F126" s="501"/>
      <c r="G126" s="501"/>
      <c r="H126" s="501" t="s">
        <v>390</v>
      </c>
      <c r="I126" s="501"/>
      <c r="J126" s="501"/>
      <c r="K126" s="501"/>
      <c r="L126" s="501"/>
      <c r="M126" s="517"/>
      <c r="N126" s="518"/>
      <c r="O126" s="504"/>
      <c r="P126" s="519"/>
      <c r="Q126" s="506"/>
      <c r="R126" s="506"/>
      <c r="S126" s="504"/>
      <c r="T126" s="507"/>
      <c r="U126" s="508"/>
      <c r="V126" s="508"/>
      <c r="W126" s="508"/>
      <c r="X126" s="508"/>
      <c r="Y126" s="508"/>
      <c r="Z126" s="508"/>
      <c r="AA126" s="508"/>
      <c r="AB126" s="508"/>
      <c r="AC126" s="508"/>
      <c r="AD126" s="508"/>
      <c r="AE126" s="509"/>
      <c r="AF126" s="504">
        <f t="shared" si="75"/>
        <v>0</v>
      </c>
      <c r="AG126" s="548"/>
      <c r="AH126" s="549"/>
      <c r="AI126" s="549"/>
      <c r="AJ126" s="549"/>
      <c r="AK126" s="549"/>
      <c r="AL126" s="549"/>
      <c r="AM126" s="549"/>
      <c r="AN126" s="549"/>
      <c r="AO126" s="549"/>
      <c r="AP126" s="549"/>
      <c r="AQ126" s="549"/>
      <c r="AR126" s="550"/>
      <c r="AS126" s="559">
        <f t="shared" si="76"/>
        <v>0</v>
      </c>
      <c r="AT126" s="510"/>
      <c r="AU126" s="508"/>
      <c r="AV126" s="508"/>
      <c r="AW126" s="508"/>
      <c r="AX126" s="508"/>
      <c r="AY126" s="508"/>
      <c r="AZ126" s="508"/>
      <c r="BA126" s="508"/>
      <c r="BB126" s="549"/>
      <c r="BC126" s="508"/>
      <c r="BD126" s="508"/>
      <c r="BE126" s="509"/>
      <c r="BF126" s="504">
        <f t="shared" si="77"/>
        <v>0</v>
      </c>
      <c r="BG126" s="510"/>
      <c r="BH126" s="508"/>
      <c r="BI126" s="508"/>
      <c r="BJ126" s="508"/>
      <c r="BK126" s="508"/>
      <c r="BL126" s="508"/>
      <c r="BM126" s="508"/>
      <c r="BN126" s="508"/>
      <c r="BO126" s="508"/>
      <c r="BP126" s="508"/>
      <c r="BQ126" s="508"/>
      <c r="BR126" s="509"/>
      <c r="BS126" s="504">
        <f t="shared" si="78"/>
        <v>0</v>
      </c>
      <c r="BT126" s="510"/>
      <c r="BU126" s="508"/>
      <c r="BV126" s="508"/>
      <c r="BW126" s="508"/>
      <c r="BX126" s="508"/>
      <c r="BY126" s="508"/>
      <c r="BZ126" s="508"/>
      <c r="CA126" s="508"/>
      <c r="CB126" s="508"/>
      <c r="CC126" s="508"/>
      <c r="CD126" s="508"/>
      <c r="CE126" s="509"/>
      <c r="CF126" s="504">
        <f t="shared" si="79"/>
        <v>0</v>
      </c>
      <c r="CG126" s="504"/>
      <c r="CH126" s="504">
        <f t="shared" si="80"/>
        <v>0</v>
      </c>
      <c r="CI126" s="504">
        <f t="shared" si="81"/>
        <v>0</v>
      </c>
      <c r="CJ126" s="559">
        <f t="shared" si="82"/>
        <v>0</v>
      </c>
      <c r="CK126" s="504">
        <f t="shared" si="83"/>
        <v>0</v>
      </c>
      <c r="CL126" s="504">
        <v>0</v>
      </c>
      <c r="CM126" s="504">
        <f t="shared" si="84"/>
        <v>0</v>
      </c>
    </row>
    <row r="127" spans="1:100" outlineLevel="2">
      <c r="A127" s="500"/>
      <c r="B127" s="526"/>
      <c r="C127" s="1423">
        <f t="shared" si="85"/>
        <v>402.06999999999994</v>
      </c>
      <c r="D127" s="1423"/>
      <c r="E127" s="1423"/>
      <c r="F127" s="501"/>
      <c r="G127" s="501"/>
      <c r="H127" s="536" t="s">
        <v>391</v>
      </c>
      <c r="I127" s="501"/>
      <c r="J127" s="501"/>
      <c r="K127" s="501"/>
      <c r="L127" s="501"/>
      <c r="M127" s="517"/>
      <c r="N127" s="518"/>
      <c r="O127" s="504"/>
      <c r="P127" s="519"/>
      <c r="Q127" s="506"/>
      <c r="R127" s="506"/>
      <c r="S127" s="504"/>
      <c r="T127" s="507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9"/>
      <c r="AF127" s="504">
        <f t="shared" si="75"/>
        <v>0</v>
      </c>
      <c r="AG127" s="548"/>
      <c r="AH127" s="549"/>
      <c r="AI127" s="549"/>
      <c r="AJ127" s="549"/>
      <c r="AK127" s="549"/>
      <c r="AL127" s="549"/>
      <c r="AM127" s="549">
        <v>165080</v>
      </c>
      <c r="AN127" s="549"/>
      <c r="AO127" s="549"/>
      <c r="AP127" s="549"/>
      <c r="AQ127" s="549"/>
      <c r="AR127" s="550"/>
      <c r="AS127" s="559">
        <f t="shared" si="76"/>
        <v>165080</v>
      </c>
      <c r="AT127" s="510"/>
      <c r="AU127" s="508">
        <v>-7552</v>
      </c>
      <c r="AV127" s="508"/>
      <c r="AW127" s="508"/>
      <c r="AX127" s="508"/>
      <c r="AY127" s="508"/>
      <c r="AZ127" s="508"/>
      <c r="BA127" s="508"/>
      <c r="BB127" s="549"/>
      <c r="BC127" s="508"/>
      <c r="BD127" s="508"/>
      <c r="BE127" s="509"/>
      <c r="BF127" s="504">
        <f t="shared" si="77"/>
        <v>-7552</v>
      </c>
      <c r="BG127" s="510"/>
      <c r="BH127" s="508"/>
      <c r="BI127" s="508"/>
      <c r="BJ127" s="508"/>
      <c r="BK127" s="508"/>
      <c r="BL127" s="508"/>
      <c r="BM127" s="508"/>
      <c r="BN127" s="508"/>
      <c r="BO127" s="508"/>
      <c r="BP127" s="508"/>
      <c r="BQ127" s="508"/>
      <c r="BR127" s="509"/>
      <c r="BS127" s="504">
        <f t="shared" si="78"/>
        <v>0</v>
      </c>
      <c r="BT127" s="510"/>
      <c r="BU127" s="508"/>
      <c r="BV127" s="508"/>
      <c r="BW127" s="508"/>
      <c r="BX127" s="508"/>
      <c r="BY127" s="508"/>
      <c r="BZ127" s="508"/>
      <c r="CA127" s="508"/>
      <c r="CB127" s="508"/>
      <c r="CC127" s="508"/>
      <c r="CD127" s="508"/>
      <c r="CE127" s="509"/>
      <c r="CF127" s="504">
        <f t="shared" si="79"/>
        <v>0</v>
      </c>
      <c r="CG127" s="504"/>
      <c r="CH127" s="504">
        <f t="shared" si="80"/>
        <v>157528</v>
      </c>
      <c r="CI127" s="504">
        <f t="shared" si="81"/>
        <v>0</v>
      </c>
      <c r="CJ127" s="559">
        <f t="shared" si="82"/>
        <v>157528</v>
      </c>
      <c r="CK127" s="504">
        <f t="shared" si="83"/>
        <v>157528</v>
      </c>
      <c r="CL127" s="504">
        <v>157528</v>
      </c>
      <c r="CM127" s="504">
        <f t="shared" si="84"/>
        <v>0</v>
      </c>
    </row>
    <row r="128" spans="1:100" outlineLevel="2">
      <c r="A128" s="500"/>
      <c r="B128" s="526"/>
      <c r="C128" s="1423">
        <f t="shared" si="85"/>
        <v>402.07999999999993</v>
      </c>
      <c r="D128" s="1423"/>
      <c r="E128" s="1423"/>
      <c r="F128" s="501"/>
      <c r="G128" s="501"/>
      <c r="H128" s="536" t="s">
        <v>392</v>
      </c>
      <c r="I128" s="501"/>
      <c r="J128" s="501"/>
      <c r="K128" s="501"/>
      <c r="L128" s="501"/>
      <c r="M128" s="517"/>
      <c r="N128" s="625"/>
      <c r="O128" s="625"/>
      <c r="P128" s="626"/>
      <c r="Q128" s="506"/>
      <c r="R128" s="506"/>
      <c r="S128" s="504"/>
      <c r="T128" s="507"/>
      <c r="U128" s="508"/>
      <c r="V128" s="508"/>
      <c r="W128" s="508"/>
      <c r="X128" s="508"/>
      <c r="Y128" s="508"/>
      <c r="Z128" s="508"/>
      <c r="AA128" s="508"/>
      <c r="AB128" s="508"/>
      <c r="AC128" s="508"/>
      <c r="AD128" s="508"/>
      <c r="AE128" s="509"/>
      <c r="AF128" s="504">
        <f t="shared" si="75"/>
        <v>0</v>
      </c>
      <c r="AG128" s="548"/>
      <c r="AH128" s="549"/>
      <c r="AI128" s="549"/>
      <c r="AJ128" s="549"/>
      <c r="AK128" s="549"/>
      <c r="AL128" s="549"/>
      <c r="AM128" s="549"/>
      <c r="AN128" s="549"/>
      <c r="AO128" s="549"/>
      <c r="AP128" s="549"/>
      <c r="AQ128" s="549">
        <f>4125+21861-146213-3000</f>
        <v>-123227</v>
      </c>
      <c r="AR128" s="550"/>
      <c r="AS128" s="559">
        <f t="shared" si="76"/>
        <v>-123227</v>
      </c>
      <c r="AT128" s="510"/>
      <c r="AU128" s="508"/>
      <c r="AV128" s="508"/>
      <c r="AW128" s="508"/>
      <c r="AX128" s="508"/>
      <c r="AY128" s="508"/>
      <c r="AZ128" s="508"/>
      <c r="BA128" s="508"/>
      <c r="BB128" s="549"/>
      <c r="BC128" s="508"/>
      <c r="BD128" s="508"/>
      <c r="BE128" s="509"/>
      <c r="BF128" s="504">
        <f t="shared" si="77"/>
        <v>0</v>
      </c>
      <c r="BG128" s="510"/>
      <c r="BH128" s="508"/>
      <c r="BI128" s="508"/>
      <c r="BJ128" s="508"/>
      <c r="BK128" s="508"/>
      <c r="BL128" s="508"/>
      <c r="BM128" s="508"/>
      <c r="BN128" s="508"/>
      <c r="BO128" s="508"/>
      <c r="BP128" s="508"/>
      <c r="BQ128" s="508"/>
      <c r="BR128" s="509"/>
      <c r="BS128" s="504">
        <f t="shared" si="78"/>
        <v>0</v>
      </c>
      <c r="BT128" s="510"/>
      <c r="BU128" s="508"/>
      <c r="BV128" s="508"/>
      <c r="BW128" s="508"/>
      <c r="BX128" s="508"/>
      <c r="BY128" s="508"/>
      <c r="BZ128" s="508"/>
      <c r="CA128" s="508"/>
      <c r="CB128" s="508"/>
      <c r="CC128" s="508"/>
      <c r="CD128" s="508"/>
      <c r="CE128" s="509"/>
      <c r="CF128" s="504">
        <f t="shared" si="79"/>
        <v>0</v>
      </c>
      <c r="CG128" s="504"/>
      <c r="CH128" s="504">
        <f t="shared" si="80"/>
        <v>-123227</v>
      </c>
      <c r="CI128" s="504">
        <f t="shared" si="81"/>
        <v>0</v>
      </c>
      <c r="CJ128" s="559">
        <f t="shared" si="82"/>
        <v>-123227</v>
      </c>
      <c r="CK128" s="504">
        <f t="shared" si="83"/>
        <v>-123227</v>
      </c>
      <c r="CL128" s="504">
        <v>-123227</v>
      </c>
      <c r="CM128" s="504">
        <f t="shared" si="84"/>
        <v>0</v>
      </c>
    </row>
    <row r="129" spans="1:91" outlineLevel="2">
      <c r="A129" s="500"/>
      <c r="B129" s="526"/>
      <c r="C129" s="1423">
        <f t="shared" si="85"/>
        <v>402.08999999999992</v>
      </c>
      <c r="D129" s="1423"/>
      <c r="E129" s="1423"/>
      <c r="F129" s="501"/>
      <c r="G129" s="501"/>
      <c r="H129" s="536" t="s">
        <v>393</v>
      </c>
      <c r="I129" s="501"/>
      <c r="J129" s="501"/>
      <c r="K129" s="501"/>
      <c r="L129" s="501"/>
      <c r="M129" s="517"/>
      <c r="N129" s="625"/>
      <c r="O129" s="625"/>
      <c r="P129" s="626"/>
      <c r="Q129" s="506"/>
      <c r="R129" s="506"/>
      <c r="S129" s="504"/>
      <c r="T129" s="507"/>
      <c r="U129" s="508"/>
      <c r="V129" s="508"/>
      <c r="W129" s="508"/>
      <c r="X129" s="508"/>
      <c r="Y129" s="508"/>
      <c r="Z129" s="508"/>
      <c r="AA129" s="508"/>
      <c r="AB129" s="508"/>
      <c r="AC129" s="508"/>
      <c r="AD129" s="508"/>
      <c r="AE129" s="509"/>
      <c r="AF129" s="504">
        <f t="shared" si="75"/>
        <v>0</v>
      </c>
      <c r="AG129" s="548"/>
      <c r="AH129" s="549"/>
      <c r="AI129" s="549"/>
      <c r="AJ129" s="549"/>
      <c r="AK129" s="549"/>
      <c r="AL129" s="549"/>
      <c r="AM129" s="549"/>
      <c r="AN129" s="549"/>
      <c r="AO129" s="549"/>
      <c r="AP129" s="549"/>
      <c r="AQ129" s="549"/>
      <c r="AR129" s="550"/>
      <c r="AS129" s="559">
        <f t="shared" si="76"/>
        <v>0</v>
      </c>
      <c r="AT129" s="548"/>
      <c r="AU129" s="549">
        <f>10690+46236</f>
        <v>56926</v>
      </c>
      <c r="AV129" s="549"/>
      <c r="AW129" s="549">
        <v>26597</v>
      </c>
      <c r="AX129" s="549"/>
      <c r="AY129" s="549"/>
      <c r="AZ129" s="549"/>
      <c r="BA129" s="549"/>
      <c r="BB129" s="549"/>
      <c r="BC129" s="508"/>
      <c r="BD129" s="508"/>
      <c r="BE129" s="509"/>
      <c r="BF129" s="504">
        <f t="shared" si="77"/>
        <v>83523</v>
      </c>
      <c r="BG129" s="510"/>
      <c r="BH129" s="508"/>
      <c r="BI129" s="508"/>
      <c r="BJ129" s="508"/>
      <c r="BK129" s="508"/>
      <c r="BL129" s="508"/>
      <c r="BM129" s="508"/>
      <c r="BN129" s="508"/>
      <c r="BO129" s="508"/>
      <c r="BP129" s="508"/>
      <c r="BQ129" s="508"/>
      <c r="BR129" s="509"/>
      <c r="BS129" s="504">
        <f t="shared" si="78"/>
        <v>0</v>
      </c>
      <c r="BT129" s="510"/>
      <c r="BU129" s="508"/>
      <c r="BV129" s="508"/>
      <c r="BW129" s="508"/>
      <c r="BX129" s="508"/>
      <c r="BY129" s="508"/>
      <c r="BZ129" s="508"/>
      <c r="CA129" s="508"/>
      <c r="CB129" s="508"/>
      <c r="CC129" s="508"/>
      <c r="CD129" s="508"/>
      <c r="CE129" s="509"/>
      <c r="CF129" s="504">
        <f t="shared" si="79"/>
        <v>0</v>
      </c>
      <c r="CG129" s="504"/>
      <c r="CH129" s="504">
        <f t="shared" si="80"/>
        <v>83523</v>
      </c>
      <c r="CI129" s="559">
        <f t="shared" si="81"/>
        <v>0</v>
      </c>
      <c r="CJ129" s="559">
        <f t="shared" si="82"/>
        <v>83523</v>
      </c>
      <c r="CK129" s="504">
        <f t="shared" si="83"/>
        <v>83523</v>
      </c>
      <c r="CL129" s="504">
        <v>83523</v>
      </c>
      <c r="CM129" s="504">
        <f t="shared" si="84"/>
        <v>0</v>
      </c>
    </row>
    <row r="130" spans="1:91" outlineLevel="2">
      <c r="A130" s="500"/>
      <c r="B130" s="526"/>
      <c r="C130" s="1423">
        <f t="shared" si="85"/>
        <v>402.09999999999991</v>
      </c>
      <c r="D130" s="1423"/>
      <c r="E130" s="1423"/>
      <c r="F130" s="501"/>
      <c r="G130" s="501"/>
      <c r="H130" s="627" t="s">
        <v>394</v>
      </c>
      <c r="I130" s="552"/>
      <c r="J130" s="552"/>
      <c r="K130" s="552"/>
      <c r="L130" s="552"/>
      <c r="M130" s="517"/>
      <c r="N130" s="625"/>
      <c r="O130" s="625"/>
      <c r="P130" s="626"/>
      <c r="Q130" s="506"/>
      <c r="R130" s="506"/>
      <c r="S130" s="504"/>
      <c r="T130" s="507"/>
      <c r="U130" s="508"/>
      <c r="V130" s="508"/>
      <c r="W130" s="508"/>
      <c r="X130" s="508"/>
      <c r="Y130" s="508"/>
      <c r="Z130" s="508"/>
      <c r="AA130" s="508"/>
      <c r="AB130" s="508"/>
      <c r="AC130" s="508"/>
      <c r="AD130" s="508"/>
      <c r="AE130" s="509"/>
      <c r="AF130" s="504">
        <f t="shared" si="75"/>
        <v>0</v>
      </c>
      <c r="AG130" s="548"/>
      <c r="AH130" s="549"/>
      <c r="AI130" s="549"/>
      <c r="AJ130" s="549"/>
      <c r="AK130" s="549"/>
      <c r="AL130" s="549"/>
      <c r="AM130" s="549"/>
      <c r="AN130" s="549"/>
      <c r="AO130" s="549"/>
      <c r="AP130" s="549"/>
      <c r="AQ130" s="549"/>
      <c r="AR130" s="550"/>
      <c r="AS130" s="559">
        <f t="shared" si="76"/>
        <v>0</v>
      </c>
      <c r="AT130" s="510"/>
      <c r="AU130" s="508">
        <f>11573+9029+53864+16030-3750+59605+11083</f>
        <v>157434</v>
      </c>
      <c r="AV130" s="508"/>
      <c r="AW130" s="549">
        <f>18728+11255</f>
        <v>29983</v>
      </c>
      <c r="AX130" s="508"/>
      <c r="AY130" s="508"/>
      <c r="AZ130" s="508"/>
      <c r="BA130" s="508"/>
      <c r="BB130" s="549"/>
      <c r="BC130" s="508"/>
      <c r="BD130" s="508"/>
      <c r="BE130" s="509"/>
      <c r="BF130" s="504">
        <f t="shared" si="77"/>
        <v>187417</v>
      </c>
      <c r="BG130" s="548"/>
      <c r="BH130" s="508"/>
      <c r="BI130" s="510"/>
      <c r="BJ130" s="508"/>
      <c r="BK130" s="508"/>
      <c r="BL130" s="508"/>
      <c r="BM130" s="508"/>
      <c r="BN130" s="508"/>
      <c r="BO130" s="508"/>
      <c r="BP130" s="508"/>
      <c r="BQ130" s="508"/>
      <c r="BR130" s="509"/>
      <c r="BS130" s="504">
        <f t="shared" si="78"/>
        <v>0</v>
      </c>
      <c r="BT130" s="510"/>
      <c r="BU130" s="508"/>
      <c r="BV130" s="508"/>
      <c r="BW130" s="508"/>
      <c r="BX130" s="508"/>
      <c r="BY130" s="508"/>
      <c r="BZ130" s="508"/>
      <c r="CA130" s="508"/>
      <c r="CB130" s="508"/>
      <c r="CC130" s="508"/>
      <c r="CD130" s="508"/>
      <c r="CE130" s="509"/>
      <c r="CF130" s="504">
        <f t="shared" si="79"/>
        <v>0</v>
      </c>
      <c r="CG130" s="504"/>
      <c r="CH130" s="504">
        <f t="shared" si="80"/>
        <v>187417</v>
      </c>
      <c r="CI130" s="504">
        <f t="shared" si="81"/>
        <v>0</v>
      </c>
      <c r="CJ130" s="559">
        <f t="shared" si="82"/>
        <v>187417</v>
      </c>
      <c r="CK130" s="504">
        <f t="shared" si="83"/>
        <v>187417</v>
      </c>
      <c r="CL130" s="504">
        <v>187417</v>
      </c>
      <c r="CM130" s="504">
        <f t="shared" si="84"/>
        <v>0</v>
      </c>
    </row>
    <row r="131" spans="1:91" outlineLevel="2">
      <c r="A131" s="500"/>
      <c r="B131" s="526"/>
      <c r="C131" s="1423">
        <f t="shared" si="85"/>
        <v>402.1099999999999</v>
      </c>
      <c r="D131" s="1423"/>
      <c r="E131" s="1423"/>
      <c r="F131" s="501"/>
      <c r="G131" s="501"/>
      <c r="H131" s="627" t="s">
        <v>395</v>
      </c>
      <c r="I131" s="552"/>
      <c r="J131" s="552"/>
      <c r="K131" s="552"/>
      <c r="L131" s="552"/>
      <c r="M131" s="517"/>
      <c r="N131" s="625"/>
      <c r="O131" s="625"/>
      <c r="P131" s="626"/>
      <c r="Q131" s="506"/>
      <c r="R131" s="506"/>
      <c r="S131" s="504"/>
      <c r="T131" s="507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508"/>
      <c r="AE131" s="509"/>
      <c r="AF131" s="504">
        <f t="shared" si="75"/>
        <v>0</v>
      </c>
      <c r="AG131" s="548"/>
      <c r="AH131" s="549"/>
      <c r="AI131" s="549"/>
      <c r="AJ131" s="549"/>
      <c r="AK131" s="549"/>
      <c r="AL131" s="549"/>
      <c r="AM131" s="549"/>
      <c r="AN131" s="549"/>
      <c r="AO131" s="549"/>
      <c r="AP131" s="549"/>
      <c r="AQ131" s="549"/>
      <c r="AR131" s="550"/>
      <c r="AS131" s="559">
        <f t="shared" si="76"/>
        <v>0</v>
      </c>
      <c r="AT131" s="510">
        <f>4561+4111+19189</f>
        <v>27861</v>
      </c>
      <c r="AU131" s="549">
        <v>24743</v>
      </c>
      <c r="AV131" s="508"/>
      <c r="AW131" s="508"/>
      <c r="AX131" s="508"/>
      <c r="AY131" s="508"/>
      <c r="AZ131" s="549"/>
      <c r="BA131" s="508"/>
      <c r="BB131" s="549"/>
      <c r="BC131" s="508"/>
      <c r="BD131" s="508"/>
      <c r="BE131" s="509"/>
      <c r="BF131" s="504">
        <f t="shared" si="77"/>
        <v>52604</v>
      </c>
      <c r="BG131" s="548"/>
      <c r="BH131" s="508"/>
      <c r="BI131" s="510"/>
      <c r="BJ131" s="508"/>
      <c r="BK131" s="508"/>
      <c r="BL131" s="508"/>
      <c r="BM131" s="508"/>
      <c r="BN131" s="508"/>
      <c r="BO131" s="508"/>
      <c r="BP131" s="508"/>
      <c r="BQ131" s="508"/>
      <c r="BR131" s="509"/>
      <c r="BS131" s="504">
        <f t="shared" si="78"/>
        <v>0</v>
      </c>
      <c r="BT131" s="510"/>
      <c r="BU131" s="508"/>
      <c r="BV131" s="508"/>
      <c r="BW131" s="508"/>
      <c r="BX131" s="508"/>
      <c r="BY131" s="508"/>
      <c r="BZ131" s="508"/>
      <c r="CA131" s="508"/>
      <c r="CB131" s="508"/>
      <c r="CC131" s="508"/>
      <c r="CD131" s="508"/>
      <c r="CE131" s="509"/>
      <c r="CF131" s="504">
        <f t="shared" si="79"/>
        <v>0</v>
      </c>
      <c r="CG131" s="504"/>
      <c r="CH131" s="504">
        <f t="shared" si="80"/>
        <v>52604</v>
      </c>
      <c r="CI131" s="559">
        <f t="shared" si="81"/>
        <v>0</v>
      </c>
      <c r="CJ131" s="559">
        <f t="shared" si="82"/>
        <v>52604</v>
      </c>
      <c r="CK131" s="504">
        <f t="shared" si="83"/>
        <v>52604</v>
      </c>
      <c r="CL131" s="504">
        <v>52604</v>
      </c>
      <c r="CM131" s="504">
        <f t="shared" si="84"/>
        <v>0</v>
      </c>
    </row>
    <row r="132" spans="1:91" outlineLevel="2">
      <c r="A132" s="500"/>
      <c r="B132" s="526"/>
      <c r="C132" s="1423">
        <f t="shared" si="85"/>
        <v>402.11999999999989</v>
      </c>
      <c r="D132" s="1423"/>
      <c r="E132" s="1423"/>
      <c r="F132" s="501"/>
      <c r="G132" s="501"/>
      <c r="H132" s="552" t="s">
        <v>396</v>
      </c>
      <c r="I132" s="552"/>
      <c r="J132" s="552"/>
      <c r="K132" s="552"/>
      <c r="L132" s="552"/>
      <c r="M132" s="517"/>
      <c r="N132" s="625"/>
      <c r="O132" s="625"/>
      <c r="P132" s="626"/>
      <c r="Q132" s="506"/>
      <c r="R132" s="506"/>
      <c r="S132" s="504"/>
      <c r="T132" s="507"/>
      <c r="U132" s="508"/>
      <c r="V132" s="508"/>
      <c r="W132" s="508"/>
      <c r="X132" s="508"/>
      <c r="Y132" s="508"/>
      <c r="Z132" s="508"/>
      <c r="AA132" s="508"/>
      <c r="AB132" s="508"/>
      <c r="AC132" s="508"/>
      <c r="AD132" s="508"/>
      <c r="AE132" s="509"/>
      <c r="AF132" s="504">
        <f t="shared" si="75"/>
        <v>0</v>
      </c>
      <c r="AG132" s="548"/>
      <c r="AH132" s="549"/>
      <c r="AI132" s="549"/>
      <c r="AJ132" s="549"/>
      <c r="AK132" s="549"/>
      <c r="AL132" s="549"/>
      <c r="AM132" s="549"/>
      <c r="AN132" s="549"/>
      <c r="AO132" s="549"/>
      <c r="AP132" s="549"/>
      <c r="AQ132" s="549"/>
      <c r="AR132" s="550"/>
      <c r="AS132" s="559">
        <f t="shared" si="76"/>
        <v>0</v>
      </c>
      <c r="AT132" s="510"/>
      <c r="AU132" s="508"/>
      <c r="AV132" s="549"/>
      <c r="AW132" s="508"/>
      <c r="AX132" s="549"/>
      <c r="AY132" s="549"/>
      <c r="AZ132" s="549"/>
      <c r="BA132" s="549"/>
      <c r="BB132" s="549"/>
      <c r="BC132" s="549"/>
      <c r="BD132" s="549"/>
      <c r="BE132" s="549"/>
      <c r="BF132" s="504">
        <f t="shared" si="77"/>
        <v>0</v>
      </c>
      <c r="BG132" s="548"/>
      <c r="BH132" s="508"/>
      <c r="BI132" s="548"/>
      <c r="BJ132" s="508"/>
      <c r="BK132" s="508"/>
      <c r="BL132" s="508"/>
      <c r="BM132" s="508"/>
      <c r="BN132" s="508"/>
      <c r="BO132" s="508"/>
      <c r="BP132" s="508"/>
      <c r="BQ132" s="508"/>
      <c r="BR132" s="509"/>
      <c r="BS132" s="504">
        <f t="shared" si="78"/>
        <v>0</v>
      </c>
      <c r="BT132" s="510"/>
      <c r="BU132" s="508"/>
      <c r="BV132" s="508"/>
      <c r="BW132" s="508"/>
      <c r="BX132" s="508"/>
      <c r="BY132" s="508"/>
      <c r="BZ132" s="508"/>
      <c r="CA132" s="508"/>
      <c r="CB132" s="508"/>
      <c r="CC132" s="508"/>
      <c r="CD132" s="508"/>
      <c r="CE132" s="509"/>
      <c r="CF132" s="504">
        <f t="shared" si="79"/>
        <v>0</v>
      </c>
      <c r="CG132" s="504"/>
      <c r="CH132" s="504">
        <f t="shared" si="80"/>
        <v>0</v>
      </c>
      <c r="CI132" s="559">
        <f t="shared" si="81"/>
        <v>0</v>
      </c>
      <c r="CJ132" s="628">
        <f t="shared" si="82"/>
        <v>0</v>
      </c>
      <c r="CK132" s="504">
        <f t="shared" si="83"/>
        <v>0</v>
      </c>
      <c r="CL132" s="504">
        <v>0</v>
      </c>
      <c r="CM132" s="504">
        <f t="shared" si="84"/>
        <v>0</v>
      </c>
    </row>
    <row r="133" spans="1:91" outlineLevel="2">
      <c r="A133" s="500"/>
      <c r="B133" s="526"/>
      <c r="C133" s="1423">
        <f t="shared" si="85"/>
        <v>402.12999999999988</v>
      </c>
      <c r="D133" s="1423"/>
      <c r="E133" s="1423"/>
      <c r="F133" s="501"/>
      <c r="G133" s="501"/>
      <c r="H133" s="552" t="s">
        <v>397</v>
      </c>
      <c r="I133" s="552"/>
      <c r="J133" s="552"/>
      <c r="K133" s="552"/>
      <c r="L133" s="552"/>
      <c r="M133" s="517"/>
      <c r="N133" s="625"/>
      <c r="O133" s="625"/>
      <c r="P133" s="626"/>
      <c r="Q133" s="506"/>
      <c r="R133" s="506"/>
      <c r="S133" s="504"/>
      <c r="T133" s="507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9"/>
      <c r="AF133" s="504">
        <f t="shared" si="75"/>
        <v>0</v>
      </c>
      <c r="AG133" s="548"/>
      <c r="AH133" s="549"/>
      <c r="AI133" s="549"/>
      <c r="AJ133" s="549"/>
      <c r="AK133" s="549"/>
      <c r="AL133" s="549"/>
      <c r="AM133" s="549"/>
      <c r="AN133" s="549"/>
      <c r="AO133" s="549"/>
      <c r="AP133" s="549"/>
      <c r="AQ133" s="549"/>
      <c r="AR133" s="550"/>
      <c r="AS133" s="559">
        <f t="shared" si="76"/>
        <v>0</v>
      </c>
      <c r="AT133" s="510"/>
      <c r="AU133" s="508"/>
      <c r="AV133" s="549"/>
      <c r="AW133" s="508"/>
      <c r="AX133" s="549"/>
      <c r="AY133" s="549"/>
      <c r="AZ133" s="549"/>
      <c r="BA133" s="549"/>
      <c r="BB133" s="549"/>
      <c r="BC133" s="549"/>
      <c r="BD133" s="549"/>
      <c r="BE133" s="550"/>
      <c r="BF133" s="504">
        <f t="shared" si="77"/>
        <v>0</v>
      </c>
      <c r="BG133" s="548"/>
      <c r="BH133" s="508"/>
      <c r="BI133" s="548"/>
      <c r="BJ133" s="508"/>
      <c r="BK133" s="508"/>
      <c r="BL133" s="508"/>
      <c r="BM133" s="508"/>
      <c r="BN133" s="508"/>
      <c r="BO133" s="508"/>
      <c r="BP133" s="508"/>
      <c r="BQ133" s="508"/>
      <c r="BR133" s="509"/>
      <c r="BS133" s="504">
        <f t="shared" si="78"/>
        <v>0</v>
      </c>
      <c r="BT133" s="510"/>
      <c r="BU133" s="508"/>
      <c r="BV133" s="508"/>
      <c r="BW133" s="508"/>
      <c r="BX133" s="508"/>
      <c r="BY133" s="508"/>
      <c r="BZ133" s="508"/>
      <c r="CA133" s="508"/>
      <c r="CB133" s="508"/>
      <c r="CC133" s="508"/>
      <c r="CD133" s="508"/>
      <c r="CE133" s="509"/>
      <c r="CF133" s="504">
        <f t="shared" si="79"/>
        <v>0</v>
      </c>
      <c r="CG133" s="504"/>
      <c r="CH133" s="504">
        <f t="shared" si="80"/>
        <v>0</v>
      </c>
      <c r="CI133" s="559">
        <f t="shared" si="81"/>
        <v>0</v>
      </c>
      <c r="CJ133" s="628">
        <f t="shared" si="82"/>
        <v>0</v>
      </c>
      <c r="CK133" s="504">
        <f t="shared" si="83"/>
        <v>0</v>
      </c>
      <c r="CL133" s="504">
        <v>0</v>
      </c>
      <c r="CM133" s="504">
        <f t="shared" si="84"/>
        <v>0</v>
      </c>
    </row>
    <row r="134" spans="1:91" outlineLevel="2">
      <c r="A134" s="500"/>
      <c r="B134" s="526"/>
      <c r="C134" s="1423">
        <f t="shared" si="85"/>
        <v>402.13999999999987</v>
      </c>
      <c r="D134" s="1423"/>
      <c r="E134" s="1423"/>
      <c r="F134" s="501"/>
      <c r="G134" s="501"/>
      <c r="H134" s="627" t="s">
        <v>398</v>
      </c>
      <c r="I134" s="552"/>
      <c r="J134" s="552"/>
      <c r="K134" s="552"/>
      <c r="L134" s="552"/>
      <c r="M134" s="517"/>
      <c r="N134" s="625"/>
      <c r="O134" s="625"/>
      <c r="P134" s="626"/>
      <c r="Q134" s="506"/>
      <c r="R134" s="506"/>
      <c r="S134" s="504"/>
      <c r="T134" s="507"/>
      <c r="U134" s="508"/>
      <c r="V134" s="508"/>
      <c r="W134" s="508"/>
      <c r="X134" s="508"/>
      <c r="Y134" s="508"/>
      <c r="Z134" s="508"/>
      <c r="AA134" s="508"/>
      <c r="AB134" s="508"/>
      <c r="AC134" s="508"/>
      <c r="AD134" s="508"/>
      <c r="AE134" s="509"/>
      <c r="AF134" s="504">
        <f t="shared" si="75"/>
        <v>0</v>
      </c>
      <c r="AG134" s="548"/>
      <c r="AH134" s="549"/>
      <c r="AI134" s="549"/>
      <c r="AJ134" s="549"/>
      <c r="AK134" s="549"/>
      <c r="AL134" s="549"/>
      <c r="AM134" s="549"/>
      <c r="AN134" s="549"/>
      <c r="AO134" s="549"/>
      <c r="AP134" s="549"/>
      <c r="AQ134" s="549"/>
      <c r="AR134" s="550"/>
      <c r="AS134" s="559">
        <f t="shared" si="76"/>
        <v>0</v>
      </c>
      <c r="AT134" s="510"/>
      <c r="AU134" s="508">
        <f>61565+3257+11690</f>
        <v>76512</v>
      </c>
      <c r="AV134" s="508"/>
      <c r="AW134" s="508"/>
      <c r="AX134" s="508"/>
      <c r="AY134" s="508"/>
      <c r="AZ134" s="549"/>
      <c r="BA134" s="508"/>
      <c r="BB134" s="549"/>
      <c r="BC134" s="508"/>
      <c r="BD134" s="508"/>
      <c r="BE134" s="509"/>
      <c r="BF134" s="504">
        <f t="shared" si="77"/>
        <v>76512</v>
      </c>
      <c r="BG134" s="548"/>
      <c r="BH134" s="508"/>
      <c r="BI134" s="510"/>
      <c r="BJ134" s="508"/>
      <c r="BK134" s="508"/>
      <c r="BL134" s="508"/>
      <c r="BM134" s="508"/>
      <c r="BN134" s="508"/>
      <c r="BO134" s="508"/>
      <c r="BP134" s="508"/>
      <c r="BQ134" s="508"/>
      <c r="BR134" s="509"/>
      <c r="BS134" s="504">
        <f t="shared" si="78"/>
        <v>0</v>
      </c>
      <c r="BT134" s="510"/>
      <c r="BU134" s="508"/>
      <c r="BV134" s="508"/>
      <c r="BW134" s="508"/>
      <c r="BX134" s="508"/>
      <c r="BY134" s="508"/>
      <c r="BZ134" s="508"/>
      <c r="CA134" s="508"/>
      <c r="CB134" s="508"/>
      <c r="CC134" s="508"/>
      <c r="CD134" s="508"/>
      <c r="CE134" s="509"/>
      <c r="CF134" s="504">
        <f t="shared" si="79"/>
        <v>0</v>
      </c>
      <c r="CG134" s="504"/>
      <c r="CH134" s="504">
        <f t="shared" si="80"/>
        <v>76512</v>
      </c>
      <c r="CI134" s="559">
        <f t="shared" si="81"/>
        <v>0</v>
      </c>
      <c r="CJ134" s="559">
        <f t="shared" si="82"/>
        <v>76512</v>
      </c>
      <c r="CK134" s="504">
        <f t="shared" si="83"/>
        <v>76512</v>
      </c>
      <c r="CL134" s="504">
        <v>76512</v>
      </c>
      <c r="CM134" s="504">
        <f t="shared" si="84"/>
        <v>0</v>
      </c>
    </row>
    <row r="135" spans="1:91" outlineLevel="2">
      <c r="A135" s="500"/>
      <c r="B135" s="526"/>
      <c r="C135" s="1423">
        <f t="shared" si="85"/>
        <v>402.14999999999986</v>
      </c>
      <c r="D135" s="1423"/>
      <c r="E135" s="1423"/>
      <c r="F135" s="501"/>
      <c r="G135" s="501"/>
      <c r="H135" s="627" t="s">
        <v>399</v>
      </c>
      <c r="I135" s="552"/>
      <c r="J135" s="552"/>
      <c r="K135" s="552"/>
      <c r="L135" s="552"/>
      <c r="M135" s="517"/>
      <c r="N135" s="625"/>
      <c r="O135" s="625"/>
      <c r="P135" s="626"/>
      <c r="Q135" s="506"/>
      <c r="R135" s="506"/>
      <c r="S135" s="504"/>
      <c r="T135" s="507"/>
      <c r="U135" s="508"/>
      <c r="V135" s="508"/>
      <c r="W135" s="508"/>
      <c r="X135" s="508"/>
      <c r="Y135" s="508"/>
      <c r="Z135" s="508"/>
      <c r="AA135" s="508"/>
      <c r="AB135" s="508"/>
      <c r="AC135" s="508"/>
      <c r="AD135" s="508"/>
      <c r="AE135" s="509"/>
      <c r="AF135" s="504">
        <f t="shared" si="75"/>
        <v>0</v>
      </c>
      <c r="AG135" s="548"/>
      <c r="AH135" s="549"/>
      <c r="AI135" s="549"/>
      <c r="AJ135" s="549"/>
      <c r="AK135" s="549"/>
      <c r="AL135" s="549"/>
      <c r="AM135" s="549"/>
      <c r="AN135" s="549"/>
      <c r="AO135" s="549"/>
      <c r="AP135" s="549"/>
      <c r="AQ135" s="549"/>
      <c r="AR135" s="550"/>
      <c r="AS135" s="559">
        <f t="shared" si="76"/>
        <v>0</v>
      </c>
      <c r="AT135" s="510"/>
      <c r="AU135" s="508"/>
      <c r="AV135" s="508"/>
      <c r="AW135" s="508">
        <f>8419+163700+11619+1382</f>
        <v>185120</v>
      </c>
      <c r="AX135" s="508">
        <v>2225</v>
      </c>
      <c r="AY135" s="508">
        <f>3298+14665+1420</f>
        <v>19383</v>
      </c>
      <c r="AZ135" s="508"/>
      <c r="BA135" s="508"/>
      <c r="BB135" s="549"/>
      <c r="BC135" s="508"/>
      <c r="BD135" s="508"/>
      <c r="BE135" s="509"/>
      <c r="BF135" s="504">
        <f t="shared" si="77"/>
        <v>206728</v>
      </c>
      <c r="BG135" s="510"/>
      <c r="BH135" s="508"/>
      <c r="BI135" s="510"/>
      <c r="BJ135" s="508"/>
      <c r="BK135" s="508"/>
      <c r="BL135" s="508"/>
      <c r="BM135" s="508"/>
      <c r="BN135" s="508"/>
      <c r="BO135" s="508"/>
      <c r="BP135" s="508"/>
      <c r="BQ135" s="508"/>
      <c r="BR135" s="509"/>
      <c r="BS135" s="504">
        <f t="shared" si="78"/>
        <v>0</v>
      </c>
      <c r="BT135" s="510"/>
      <c r="BU135" s="508"/>
      <c r="BV135" s="508"/>
      <c r="BW135" s="508"/>
      <c r="BX135" s="508"/>
      <c r="BY135" s="508"/>
      <c r="BZ135" s="508"/>
      <c r="CA135" s="508"/>
      <c r="CB135" s="508"/>
      <c r="CC135" s="508"/>
      <c r="CD135" s="508"/>
      <c r="CE135" s="509"/>
      <c r="CF135" s="504">
        <f t="shared" si="79"/>
        <v>0</v>
      </c>
      <c r="CG135" s="504"/>
      <c r="CH135" s="504">
        <f t="shared" si="80"/>
        <v>206728</v>
      </c>
      <c r="CI135" s="559">
        <f t="shared" si="81"/>
        <v>0</v>
      </c>
      <c r="CJ135" s="559">
        <f t="shared" si="82"/>
        <v>206728</v>
      </c>
      <c r="CK135" s="504">
        <f t="shared" si="83"/>
        <v>206728</v>
      </c>
      <c r="CL135" s="504">
        <v>206728</v>
      </c>
      <c r="CM135" s="504">
        <f t="shared" si="84"/>
        <v>0</v>
      </c>
    </row>
    <row r="136" spans="1:91" s="443" customFormat="1" ht="24" customHeight="1" outlineLevel="2">
      <c r="A136" s="629"/>
      <c r="B136" s="630"/>
      <c r="C136" s="1440">
        <f t="shared" si="85"/>
        <v>402.15999999999985</v>
      </c>
      <c r="D136" s="1440"/>
      <c r="E136" s="1440"/>
      <c r="F136" s="631"/>
      <c r="G136" s="631"/>
      <c r="H136" s="1433" t="s">
        <v>400</v>
      </c>
      <c r="I136" s="1434"/>
      <c r="J136" s="1434"/>
      <c r="K136" s="1434"/>
      <c r="L136" s="1434"/>
      <c r="M136" s="632"/>
      <c r="N136" s="633"/>
      <c r="O136" s="633"/>
      <c r="P136" s="634"/>
      <c r="Q136" s="635"/>
      <c r="R136" s="635"/>
      <c r="S136" s="636"/>
      <c r="T136" s="637"/>
      <c r="U136" s="638"/>
      <c r="V136" s="638"/>
      <c r="W136" s="638"/>
      <c r="X136" s="638"/>
      <c r="Y136" s="638"/>
      <c r="Z136" s="638"/>
      <c r="AA136" s="638"/>
      <c r="AB136" s="638"/>
      <c r="AC136" s="638"/>
      <c r="AD136" s="638"/>
      <c r="AE136" s="639"/>
      <c r="AF136" s="636">
        <f t="shared" si="75"/>
        <v>0</v>
      </c>
      <c r="AG136" s="640"/>
      <c r="AH136" s="641"/>
      <c r="AI136" s="641"/>
      <c r="AJ136" s="641"/>
      <c r="AK136" s="641"/>
      <c r="AL136" s="641"/>
      <c r="AM136" s="641"/>
      <c r="AN136" s="641"/>
      <c r="AO136" s="641"/>
      <c r="AP136" s="641"/>
      <c r="AQ136" s="641"/>
      <c r="AR136" s="642"/>
      <c r="AS136" s="643">
        <f t="shared" si="76"/>
        <v>0</v>
      </c>
      <c r="AT136" s="644"/>
      <c r="AU136" s="638"/>
      <c r="AV136" s="638"/>
      <c r="AW136" s="638"/>
      <c r="AX136" s="638"/>
      <c r="AY136" s="638">
        <f>44202+15639+122712+6050</f>
        <v>188603</v>
      </c>
      <c r="AZ136" s="638"/>
      <c r="BA136" s="638"/>
      <c r="BB136" s="641"/>
      <c r="BC136" s="638"/>
      <c r="BD136" s="638"/>
      <c r="BE136" s="639"/>
      <c r="BF136" s="636">
        <f t="shared" si="77"/>
        <v>188603</v>
      </c>
      <c r="BG136" s="644"/>
      <c r="BH136" s="638"/>
      <c r="BI136" s="638"/>
      <c r="BJ136" s="638"/>
      <c r="BK136" s="638"/>
      <c r="BL136" s="638"/>
      <c r="BM136" s="638"/>
      <c r="BN136" s="638"/>
      <c r="BO136" s="638"/>
      <c r="BP136" s="638"/>
      <c r="BQ136" s="638"/>
      <c r="BR136" s="639"/>
      <c r="BS136" s="636">
        <f t="shared" si="78"/>
        <v>0</v>
      </c>
      <c r="BT136" s="644"/>
      <c r="BU136" s="638"/>
      <c r="BV136" s="638"/>
      <c r="BW136" s="638"/>
      <c r="BX136" s="638"/>
      <c r="BY136" s="638"/>
      <c r="BZ136" s="638"/>
      <c r="CA136" s="638"/>
      <c r="CB136" s="638"/>
      <c r="CC136" s="638"/>
      <c r="CD136" s="638"/>
      <c r="CE136" s="639"/>
      <c r="CF136" s="636">
        <f t="shared" si="79"/>
        <v>0</v>
      </c>
      <c r="CG136" s="636"/>
      <c r="CH136" s="636">
        <f t="shared" si="80"/>
        <v>188603</v>
      </c>
      <c r="CI136" s="643">
        <f t="shared" si="81"/>
        <v>0</v>
      </c>
      <c r="CJ136" s="643">
        <f t="shared" si="82"/>
        <v>188603</v>
      </c>
      <c r="CK136" s="636">
        <f t="shared" si="83"/>
        <v>188603</v>
      </c>
      <c r="CL136" s="636">
        <v>188603</v>
      </c>
      <c r="CM136" s="636">
        <f t="shared" si="84"/>
        <v>0</v>
      </c>
    </row>
    <row r="137" spans="1:91" s="443" customFormat="1" ht="24" customHeight="1" outlineLevel="2">
      <c r="A137" s="629"/>
      <c r="B137" s="630"/>
      <c r="C137" s="1440">
        <f t="shared" si="85"/>
        <v>402.16999999999985</v>
      </c>
      <c r="D137" s="1440"/>
      <c r="E137" s="1440"/>
      <c r="F137" s="631"/>
      <c r="G137" s="631"/>
      <c r="H137" s="1433" t="s">
        <v>401</v>
      </c>
      <c r="I137" s="1434"/>
      <c r="J137" s="1434"/>
      <c r="K137" s="1434"/>
      <c r="L137" s="1434"/>
      <c r="M137" s="632"/>
      <c r="N137" s="633"/>
      <c r="O137" s="633"/>
      <c r="P137" s="634"/>
      <c r="Q137" s="635"/>
      <c r="R137" s="635"/>
      <c r="S137" s="636"/>
      <c r="T137" s="637"/>
      <c r="U137" s="638"/>
      <c r="V137" s="638"/>
      <c r="W137" s="638"/>
      <c r="X137" s="638"/>
      <c r="Y137" s="638"/>
      <c r="Z137" s="638"/>
      <c r="AA137" s="638"/>
      <c r="AB137" s="638"/>
      <c r="AC137" s="638"/>
      <c r="AD137" s="638"/>
      <c r="AE137" s="639"/>
      <c r="AF137" s="636">
        <f t="shared" si="75"/>
        <v>0</v>
      </c>
      <c r="AG137" s="640"/>
      <c r="AH137" s="641"/>
      <c r="AI137" s="641"/>
      <c r="AJ137" s="641"/>
      <c r="AK137" s="641"/>
      <c r="AL137" s="641"/>
      <c r="AM137" s="641"/>
      <c r="AN137" s="641"/>
      <c r="AO137" s="641"/>
      <c r="AP137" s="641"/>
      <c r="AQ137" s="641"/>
      <c r="AR137" s="642"/>
      <c r="AS137" s="643">
        <f t="shared" si="76"/>
        <v>0</v>
      </c>
      <c r="AT137" s="644"/>
      <c r="AU137" s="638"/>
      <c r="AV137" s="638"/>
      <c r="AW137" s="638"/>
      <c r="AX137" s="638"/>
      <c r="AY137" s="638">
        <f>166045+145751</f>
        <v>311796</v>
      </c>
      <c r="AZ137" s="638"/>
      <c r="BA137" s="638"/>
      <c r="BB137" s="641"/>
      <c r="BC137" s="638"/>
      <c r="BD137" s="638"/>
      <c r="BE137" s="639"/>
      <c r="BF137" s="636">
        <f t="shared" si="77"/>
        <v>311796</v>
      </c>
      <c r="BG137" s="644"/>
      <c r="BH137" s="638"/>
      <c r="BI137" s="638"/>
      <c r="BJ137" s="638"/>
      <c r="BK137" s="638"/>
      <c r="BL137" s="638"/>
      <c r="BM137" s="638"/>
      <c r="BN137" s="638"/>
      <c r="BO137" s="638"/>
      <c r="BP137" s="638"/>
      <c r="BQ137" s="638"/>
      <c r="BR137" s="639"/>
      <c r="BS137" s="636">
        <f t="shared" si="78"/>
        <v>0</v>
      </c>
      <c r="BT137" s="644"/>
      <c r="BU137" s="638"/>
      <c r="BV137" s="638"/>
      <c r="BW137" s="638"/>
      <c r="BX137" s="638"/>
      <c r="BY137" s="638"/>
      <c r="BZ137" s="638"/>
      <c r="CA137" s="638"/>
      <c r="CB137" s="638"/>
      <c r="CC137" s="638"/>
      <c r="CD137" s="638"/>
      <c r="CE137" s="639"/>
      <c r="CF137" s="636">
        <f t="shared" si="79"/>
        <v>0</v>
      </c>
      <c r="CG137" s="636"/>
      <c r="CH137" s="636">
        <f t="shared" si="80"/>
        <v>311796</v>
      </c>
      <c r="CI137" s="636">
        <f t="shared" si="81"/>
        <v>0</v>
      </c>
      <c r="CJ137" s="643">
        <f t="shared" si="82"/>
        <v>311796</v>
      </c>
      <c r="CK137" s="636">
        <f t="shared" si="83"/>
        <v>311796</v>
      </c>
      <c r="CL137" s="636">
        <v>311796</v>
      </c>
      <c r="CM137" s="636">
        <f t="shared" si="84"/>
        <v>0</v>
      </c>
    </row>
    <row r="138" spans="1:91" outlineLevel="2">
      <c r="A138" s="500"/>
      <c r="B138" s="526"/>
      <c r="C138" s="1423">
        <f t="shared" si="85"/>
        <v>402.17999999999984</v>
      </c>
      <c r="D138" s="1423"/>
      <c r="E138" s="1423"/>
      <c r="F138" s="631"/>
      <c r="G138" s="631"/>
      <c r="H138" s="1433" t="s">
        <v>402</v>
      </c>
      <c r="I138" s="1434"/>
      <c r="J138" s="1434"/>
      <c r="K138" s="1434"/>
      <c r="L138" s="1434"/>
      <c r="M138" s="632"/>
      <c r="N138" s="633"/>
      <c r="O138" s="633"/>
      <c r="P138" s="634"/>
      <c r="Q138" s="635"/>
      <c r="R138" s="635"/>
      <c r="S138" s="636"/>
      <c r="T138" s="637"/>
      <c r="U138" s="638"/>
      <c r="V138" s="638"/>
      <c r="W138" s="638"/>
      <c r="X138" s="638"/>
      <c r="Y138" s="638"/>
      <c r="Z138" s="638"/>
      <c r="AA138" s="638"/>
      <c r="AB138" s="638"/>
      <c r="AC138" s="638"/>
      <c r="AD138" s="638"/>
      <c r="AE138" s="639"/>
      <c r="AF138" s="636">
        <f t="shared" si="75"/>
        <v>0</v>
      </c>
      <c r="AG138" s="640"/>
      <c r="AH138" s="641"/>
      <c r="AI138" s="641"/>
      <c r="AJ138" s="641"/>
      <c r="AK138" s="641"/>
      <c r="AL138" s="641"/>
      <c r="AM138" s="641"/>
      <c r="AN138" s="641"/>
      <c r="AO138" s="641"/>
      <c r="AP138" s="641"/>
      <c r="AQ138" s="641"/>
      <c r="AR138" s="642"/>
      <c r="AS138" s="643">
        <f t="shared" si="76"/>
        <v>0</v>
      </c>
      <c r="AT138" s="644"/>
      <c r="AU138" s="638"/>
      <c r="AV138" s="638"/>
      <c r="AW138" s="638"/>
      <c r="AX138" s="638"/>
      <c r="AY138" s="638"/>
      <c r="AZ138" s="638">
        <v>93061</v>
      </c>
      <c r="BA138" s="638"/>
      <c r="BB138" s="641"/>
      <c r="BC138" s="638"/>
      <c r="BD138" s="638"/>
      <c r="BE138" s="639"/>
      <c r="BF138" s="636">
        <f t="shared" si="77"/>
        <v>93061</v>
      </c>
      <c r="BG138" s="644"/>
      <c r="BH138" s="638"/>
      <c r="BI138" s="638"/>
      <c r="BJ138" s="638"/>
      <c r="BK138" s="638"/>
      <c r="BL138" s="638"/>
      <c r="BM138" s="638"/>
      <c r="BN138" s="638"/>
      <c r="BO138" s="638"/>
      <c r="BP138" s="638"/>
      <c r="BQ138" s="638"/>
      <c r="BR138" s="639"/>
      <c r="BS138" s="636">
        <f t="shared" si="78"/>
        <v>0</v>
      </c>
      <c r="BT138" s="644"/>
      <c r="BU138" s="638"/>
      <c r="BV138" s="638"/>
      <c r="BW138" s="638"/>
      <c r="BX138" s="638"/>
      <c r="BY138" s="638"/>
      <c r="BZ138" s="638"/>
      <c r="CA138" s="638"/>
      <c r="CB138" s="638"/>
      <c r="CC138" s="638"/>
      <c r="CD138" s="638"/>
      <c r="CE138" s="639"/>
      <c r="CF138" s="636">
        <f t="shared" si="79"/>
        <v>0</v>
      </c>
      <c r="CG138" s="636"/>
      <c r="CH138" s="636">
        <f t="shared" si="80"/>
        <v>93061</v>
      </c>
      <c r="CI138" s="636">
        <f t="shared" si="81"/>
        <v>0</v>
      </c>
      <c r="CJ138" s="643">
        <f t="shared" si="82"/>
        <v>93061</v>
      </c>
      <c r="CK138" s="636">
        <f t="shared" si="83"/>
        <v>93061</v>
      </c>
      <c r="CL138" s="636">
        <v>93061</v>
      </c>
      <c r="CM138" s="636">
        <f t="shared" si="84"/>
        <v>0</v>
      </c>
    </row>
    <row r="139" spans="1:91" outlineLevel="2">
      <c r="A139" s="500"/>
      <c r="B139" s="526"/>
      <c r="C139" s="1423">
        <f t="shared" si="85"/>
        <v>402.18999999999983</v>
      </c>
      <c r="D139" s="1423"/>
      <c r="E139" s="1423"/>
      <c r="F139" s="631"/>
      <c r="G139" s="631"/>
      <c r="H139" s="1433" t="s">
        <v>403</v>
      </c>
      <c r="I139" s="1433"/>
      <c r="J139" s="1433"/>
      <c r="K139" s="1433"/>
      <c r="L139" s="1433"/>
      <c r="M139" s="632"/>
      <c r="N139" s="633"/>
      <c r="O139" s="633"/>
      <c r="P139" s="634"/>
      <c r="Q139" s="635"/>
      <c r="R139" s="635"/>
      <c r="S139" s="636"/>
      <c r="T139" s="637"/>
      <c r="U139" s="638"/>
      <c r="V139" s="638"/>
      <c r="W139" s="638"/>
      <c r="X139" s="638"/>
      <c r="Y139" s="638"/>
      <c r="Z139" s="638"/>
      <c r="AA139" s="638"/>
      <c r="AB139" s="638"/>
      <c r="AC139" s="638"/>
      <c r="AD139" s="638"/>
      <c r="AE139" s="639"/>
      <c r="AF139" s="636">
        <f t="shared" si="75"/>
        <v>0</v>
      </c>
      <c r="AG139" s="640"/>
      <c r="AH139" s="641"/>
      <c r="AI139" s="641"/>
      <c r="AJ139" s="641"/>
      <c r="AK139" s="641"/>
      <c r="AL139" s="641"/>
      <c r="AM139" s="641"/>
      <c r="AN139" s="641"/>
      <c r="AO139" s="641"/>
      <c r="AP139" s="641"/>
      <c r="AQ139" s="641"/>
      <c r="AR139" s="642"/>
      <c r="AS139" s="643">
        <f t="shared" si="76"/>
        <v>0</v>
      </c>
      <c r="AT139" s="644"/>
      <c r="AU139" s="638"/>
      <c r="AV139" s="638"/>
      <c r="AW139" s="638"/>
      <c r="AX139" s="638"/>
      <c r="AY139" s="638"/>
      <c r="AZ139" s="638"/>
      <c r="BA139" s="638"/>
      <c r="BB139" s="641"/>
      <c r="BC139" s="638"/>
      <c r="BD139" s="638"/>
      <c r="BE139" s="639"/>
      <c r="BF139" s="636">
        <f t="shared" si="77"/>
        <v>0</v>
      </c>
      <c r="BG139" s="644"/>
      <c r="BH139" s="638"/>
      <c r="BI139" s="638"/>
      <c r="BJ139" s="638"/>
      <c r="BK139" s="638"/>
      <c r="BL139" s="638"/>
      <c r="BM139" s="638"/>
      <c r="BN139" s="638"/>
      <c r="BO139" s="638"/>
      <c r="BP139" s="638"/>
      <c r="BQ139" s="638"/>
      <c r="BR139" s="639"/>
      <c r="BS139" s="636">
        <f t="shared" si="78"/>
        <v>0</v>
      </c>
      <c r="BT139" s="644"/>
      <c r="BU139" s="638"/>
      <c r="BV139" s="638"/>
      <c r="BW139" s="638"/>
      <c r="BX139" s="638"/>
      <c r="BY139" s="638"/>
      <c r="BZ139" s="638"/>
      <c r="CA139" s="638"/>
      <c r="CB139" s="638"/>
      <c r="CC139" s="638"/>
      <c r="CD139" s="638"/>
      <c r="CE139" s="639"/>
      <c r="CF139" s="636">
        <f t="shared" si="79"/>
        <v>0</v>
      </c>
      <c r="CG139" s="636"/>
      <c r="CH139" s="636">
        <f t="shared" si="80"/>
        <v>0</v>
      </c>
      <c r="CI139" s="636">
        <f t="shared" si="81"/>
        <v>0</v>
      </c>
      <c r="CJ139" s="643">
        <f t="shared" si="82"/>
        <v>0</v>
      </c>
      <c r="CK139" s="636">
        <f t="shared" si="83"/>
        <v>0</v>
      </c>
      <c r="CL139" s="636">
        <v>0</v>
      </c>
      <c r="CM139" s="636">
        <f t="shared" si="84"/>
        <v>0</v>
      </c>
    </row>
    <row r="140" spans="1:91" ht="12.75" outlineLevel="2">
      <c r="A140" s="500"/>
      <c r="B140" s="526"/>
      <c r="C140" s="1423">
        <f t="shared" si="85"/>
        <v>402.19999999999982</v>
      </c>
      <c r="D140" s="1423"/>
      <c r="E140" s="1423"/>
      <c r="F140" s="501"/>
      <c r="G140" s="501"/>
      <c r="H140" s="1437" t="s">
        <v>404</v>
      </c>
      <c r="I140" s="1438"/>
      <c r="J140" s="1438"/>
      <c r="K140" s="1438"/>
      <c r="L140" s="1438"/>
      <c r="M140" s="1439"/>
      <c r="N140" s="625"/>
      <c r="O140" s="625"/>
      <c r="P140" s="626"/>
      <c r="Q140" s="506"/>
      <c r="R140" s="506"/>
      <c r="S140" s="504"/>
      <c r="T140" s="507"/>
      <c r="U140" s="508"/>
      <c r="V140" s="508"/>
      <c r="W140" s="508"/>
      <c r="X140" s="508"/>
      <c r="Y140" s="508"/>
      <c r="Z140" s="508"/>
      <c r="AA140" s="508"/>
      <c r="AB140" s="508"/>
      <c r="AC140" s="508"/>
      <c r="AD140" s="508"/>
      <c r="AE140" s="509"/>
      <c r="AF140" s="504">
        <f t="shared" si="75"/>
        <v>0</v>
      </c>
      <c r="AG140" s="548"/>
      <c r="AH140" s="549"/>
      <c r="AI140" s="549"/>
      <c r="AJ140" s="549"/>
      <c r="AK140" s="549"/>
      <c r="AL140" s="549"/>
      <c r="AM140" s="549"/>
      <c r="AN140" s="549"/>
      <c r="AO140" s="549"/>
      <c r="AP140" s="549"/>
      <c r="AQ140" s="549"/>
      <c r="AR140" s="550"/>
      <c r="AS140" s="559">
        <f t="shared" si="76"/>
        <v>0</v>
      </c>
      <c r="AT140" s="510"/>
      <c r="AU140" s="508"/>
      <c r="AV140" s="508"/>
      <c r="AW140" s="508"/>
      <c r="AX140" s="508"/>
      <c r="AY140" s="508"/>
      <c r="AZ140" s="508"/>
      <c r="BA140" s="508"/>
      <c r="BB140" s="549">
        <v>17906</v>
      </c>
      <c r="BC140" s="508"/>
      <c r="BD140" s="508"/>
      <c r="BE140" s="509"/>
      <c r="BF140" s="504">
        <f t="shared" si="77"/>
        <v>17906</v>
      </c>
      <c r="BG140" s="510"/>
      <c r="BH140" s="508"/>
      <c r="BI140" s="508"/>
      <c r="BJ140" s="508"/>
      <c r="BK140" s="508"/>
      <c r="BL140" s="508"/>
      <c r="BM140" s="508"/>
      <c r="BN140" s="508"/>
      <c r="BO140" s="508"/>
      <c r="BP140" s="508"/>
      <c r="BQ140" s="508"/>
      <c r="BR140" s="509"/>
      <c r="BS140" s="504">
        <f t="shared" si="78"/>
        <v>0</v>
      </c>
      <c r="BT140" s="510"/>
      <c r="BU140" s="508"/>
      <c r="BV140" s="508"/>
      <c r="BW140" s="508"/>
      <c r="BX140" s="508"/>
      <c r="BY140" s="508"/>
      <c r="BZ140" s="508"/>
      <c r="CA140" s="508"/>
      <c r="CB140" s="508"/>
      <c r="CC140" s="508"/>
      <c r="CD140" s="508"/>
      <c r="CE140" s="509"/>
      <c r="CF140" s="504">
        <f t="shared" si="79"/>
        <v>0</v>
      </c>
      <c r="CG140" s="504"/>
      <c r="CH140" s="504">
        <f t="shared" si="80"/>
        <v>17906</v>
      </c>
      <c r="CI140" s="559">
        <f t="shared" si="81"/>
        <v>0</v>
      </c>
      <c r="CJ140" s="559">
        <f t="shared" si="82"/>
        <v>17906</v>
      </c>
      <c r="CK140" s="504">
        <f t="shared" si="83"/>
        <v>17906</v>
      </c>
      <c r="CL140" s="504">
        <v>17906</v>
      </c>
      <c r="CM140" s="504">
        <f t="shared" si="84"/>
        <v>0</v>
      </c>
    </row>
    <row r="141" spans="1:91" outlineLevel="2">
      <c r="A141" s="500"/>
      <c r="B141" s="526"/>
      <c r="C141" s="1423">
        <f t="shared" si="85"/>
        <v>402.20999999999981</v>
      </c>
      <c r="D141" s="1423"/>
      <c r="E141" s="1423"/>
      <c r="F141" s="631"/>
      <c r="G141" s="631"/>
      <c r="H141" s="1436" t="s">
        <v>405</v>
      </c>
      <c r="I141" s="1436"/>
      <c r="J141" s="1436"/>
      <c r="K141" s="1436"/>
      <c r="L141" s="1436"/>
      <c r="M141" s="645"/>
      <c r="N141" s="633"/>
      <c r="O141" s="633"/>
      <c r="P141" s="634"/>
      <c r="Q141" s="635"/>
      <c r="R141" s="635"/>
      <c r="S141" s="636"/>
      <c r="T141" s="637"/>
      <c r="U141" s="638"/>
      <c r="V141" s="638"/>
      <c r="W141" s="638"/>
      <c r="X141" s="638"/>
      <c r="Y141" s="638"/>
      <c r="Z141" s="638"/>
      <c r="AA141" s="638"/>
      <c r="AB141" s="638"/>
      <c r="AC141" s="638"/>
      <c r="AD141" s="638"/>
      <c r="AE141" s="639"/>
      <c r="AF141" s="636">
        <f t="shared" si="75"/>
        <v>0</v>
      </c>
      <c r="AG141" s="640"/>
      <c r="AH141" s="641"/>
      <c r="AI141" s="641"/>
      <c r="AJ141" s="641"/>
      <c r="AK141" s="641"/>
      <c r="AL141" s="641"/>
      <c r="AM141" s="641"/>
      <c r="AN141" s="641"/>
      <c r="AO141" s="641"/>
      <c r="AP141" s="641"/>
      <c r="AQ141" s="641"/>
      <c r="AR141" s="642"/>
      <c r="AS141" s="643">
        <f t="shared" si="76"/>
        <v>0</v>
      </c>
      <c r="AT141" s="644"/>
      <c r="AU141" s="638"/>
      <c r="AV141" s="638"/>
      <c r="AW141" s="638"/>
      <c r="AX141" s="638"/>
      <c r="AY141" s="638"/>
      <c r="AZ141" s="638"/>
      <c r="BA141" s="638"/>
      <c r="BB141" s="641">
        <v>68922</v>
      </c>
      <c r="BC141" s="641">
        <v>17230</v>
      </c>
      <c r="BD141" s="638"/>
      <c r="BE141" s="639"/>
      <c r="BF141" s="636">
        <f t="shared" si="77"/>
        <v>86152</v>
      </c>
      <c r="BG141" s="644"/>
      <c r="BH141" s="638"/>
      <c r="BI141" s="638"/>
      <c r="BJ141" s="638"/>
      <c r="BK141" s="638"/>
      <c r="BL141" s="638"/>
      <c r="BM141" s="638"/>
      <c r="BN141" s="638"/>
      <c r="BO141" s="638"/>
      <c r="BP141" s="638"/>
      <c r="BQ141" s="638"/>
      <c r="BR141" s="639"/>
      <c r="BS141" s="636">
        <f t="shared" si="78"/>
        <v>0</v>
      </c>
      <c r="BT141" s="644"/>
      <c r="BU141" s="638"/>
      <c r="BV141" s="638"/>
      <c r="BW141" s="638"/>
      <c r="BX141" s="638"/>
      <c r="BY141" s="638"/>
      <c r="BZ141" s="638"/>
      <c r="CA141" s="638"/>
      <c r="CB141" s="638"/>
      <c r="CC141" s="638"/>
      <c r="CD141" s="638"/>
      <c r="CE141" s="639"/>
      <c r="CF141" s="636">
        <f t="shared" si="79"/>
        <v>0</v>
      </c>
      <c r="CG141" s="636"/>
      <c r="CH141" s="636">
        <f t="shared" si="80"/>
        <v>86152</v>
      </c>
      <c r="CI141" s="636">
        <f t="shared" si="81"/>
        <v>0</v>
      </c>
      <c r="CJ141" s="643">
        <f t="shared" si="82"/>
        <v>86152</v>
      </c>
      <c r="CK141" s="636">
        <f t="shared" si="83"/>
        <v>86152</v>
      </c>
      <c r="CL141" s="636">
        <v>86152</v>
      </c>
      <c r="CM141" s="636">
        <f t="shared" si="84"/>
        <v>0</v>
      </c>
    </row>
    <row r="142" spans="1:91" outlineLevel="2">
      <c r="A142" s="500"/>
      <c r="B142" s="526"/>
      <c r="C142" s="1423">
        <f t="shared" si="85"/>
        <v>402.2199999999998</v>
      </c>
      <c r="D142" s="1423"/>
      <c r="E142" s="1423"/>
      <c r="F142" s="631"/>
      <c r="G142" s="631"/>
      <c r="H142" s="1436" t="s">
        <v>406</v>
      </c>
      <c r="I142" s="1436"/>
      <c r="J142" s="1436"/>
      <c r="K142" s="1436"/>
      <c r="L142" s="1436"/>
      <c r="M142" s="645"/>
      <c r="N142" s="633"/>
      <c r="O142" s="633"/>
      <c r="P142" s="634"/>
      <c r="Q142" s="635"/>
      <c r="R142" s="635"/>
      <c r="S142" s="636"/>
      <c r="T142" s="637"/>
      <c r="U142" s="638"/>
      <c r="V142" s="638"/>
      <c r="W142" s="638"/>
      <c r="X142" s="638"/>
      <c r="Y142" s="638"/>
      <c r="Z142" s="638"/>
      <c r="AA142" s="638"/>
      <c r="AB142" s="638"/>
      <c r="AC142" s="638"/>
      <c r="AD142" s="638"/>
      <c r="AE142" s="639"/>
      <c r="AF142" s="636">
        <f t="shared" si="75"/>
        <v>0</v>
      </c>
      <c r="AG142" s="640"/>
      <c r="AH142" s="641"/>
      <c r="AI142" s="641"/>
      <c r="AJ142" s="641"/>
      <c r="AK142" s="641"/>
      <c r="AL142" s="641"/>
      <c r="AM142" s="641"/>
      <c r="AN142" s="641"/>
      <c r="AO142" s="641"/>
      <c r="AP142" s="641"/>
      <c r="AQ142" s="641"/>
      <c r="AR142" s="642"/>
      <c r="AS142" s="643">
        <f t="shared" si="76"/>
        <v>0</v>
      </c>
      <c r="AT142" s="644"/>
      <c r="AU142" s="638"/>
      <c r="AV142" s="638"/>
      <c r="AW142" s="638"/>
      <c r="AX142" s="638"/>
      <c r="AY142" s="638"/>
      <c r="AZ142" s="638"/>
      <c r="BA142" s="638"/>
      <c r="BB142" s="641"/>
      <c r="BC142" s="638"/>
      <c r="BD142" s="638"/>
      <c r="BE142" s="639"/>
      <c r="BF142" s="636">
        <f t="shared" si="77"/>
        <v>0</v>
      </c>
      <c r="BG142" s="644"/>
      <c r="BH142" s="638"/>
      <c r="BI142" s="638"/>
      <c r="BJ142" s="638"/>
      <c r="BK142" s="638"/>
      <c r="BL142" s="638"/>
      <c r="BM142" s="638"/>
      <c r="BN142" s="638"/>
      <c r="BO142" s="638"/>
      <c r="BP142" s="638"/>
      <c r="BQ142" s="638"/>
      <c r="BR142" s="639"/>
      <c r="BS142" s="636">
        <f t="shared" si="78"/>
        <v>0</v>
      </c>
      <c r="BT142" s="644"/>
      <c r="BU142" s="638"/>
      <c r="BV142" s="638"/>
      <c r="BW142" s="638"/>
      <c r="BX142" s="638"/>
      <c r="BY142" s="638"/>
      <c r="BZ142" s="638"/>
      <c r="CA142" s="638"/>
      <c r="CB142" s="638"/>
      <c r="CC142" s="638"/>
      <c r="CD142" s="638"/>
      <c r="CE142" s="639"/>
      <c r="CF142" s="636">
        <f t="shared" si="79"/>
        <v>0</v>
      </c>
      <c r="CG142" s="636"/>
      <c r="CH142" s="636">
        <f t="shared" si="80"/>
        <v>0</v>
      </c>
      <c r="CI142" s="636">
        <f t="shared" si="81"/>
        <v>0</v>
      </c>
      <c r="CJ142" s="643">
        <f t="shared" si="82"/>
        <v>0</v>
      </c>
      <c r="CK142" s="636">
        <f t="shared" si="83"/>
        <v>0</v>
      </c>
      <c r="CL142" s="636"/>
      <c r="CM142" s="636">
        <f t="shared" si="84"/>
        <v>0</v>
      </c>
    </row>
    <row r="143" spans="1:91" s="443" customFormat="1" ht="24" customHeight="1" outlineLevel="2">
      <c r="A143" s="629"/>
      <c r="B143" s="630"/>
      <c r="C143" s="1423">
        <f t="shared" si="85"/>
        <v>402.22999999999979</v>
      </c>
      <c r="D143" s="1423"/>
      <c r="E143" s="1423"/>
      <c r="F143" s="631"/>
      <c r="G143" s="631"/>
      <c r="H143" s="1433" t="s">
        <v>407</v>
      </c>
      <c r="I143" s="1434"/>
      <c r="J143" s="1434"/>
      <c r="K143" s="1434"/>
      <c r="L143" s="1434"/>
      <c r="M143" s="632"/>
      <c r="N143" s="633"/>
      <c r="O143" s="633"/>
      <c r="P143" s="634"/>
      <c r="Q143" s="635"/>
      <c r="R143" s="635"/>
      <c r="S143" s="636"/>
      <c r="T143" s="637"/>
      <c r="U143" s="638"/>
      <c r="V143" s="638"/>
      <c r="W143" s="638"/>
      <c r="X143" s="638"/>
      <c r="Y143" s="638"/>
      <c r="Z143" s="638"/>
      <c r="AA143" s="638"/>
      <c r="AB143" s="638"/>
      <c r="AC143" s="638"/>
      <c r="AD143" s="638"/>
      <c r="AE143" s="639"/>
      <c r="AF143" s="636">
        <f t="shared" si="75"/>
        <v>0</v>
      </c>
      <c r="AG143" s="640"/>
      <c r="AH143" s="641"/>
      <c r="AI143" s="641"/>
      <c r="AJ143" s="641"/>
      <c r="AK143" s="641"/>
      <c r="AL143" s="641"/>
      <c r="AM143" s="641"/>
      <c r="AN143" s="641"/>
      <c r="AO143" s="641"/>
      <c r="AP143" s="641"/>
      <c r="AQ143" s="641"/>
      <c r="AR143" s="642"/>
      <c r="AS143" s="643">
        <f t="shared" si="76"/>
        <v>0</v>
      </c>
      <c r="AT143" s="644"/>
      <c r="AU143" s="638"/>
      <c r="AV143" s="638"/>
      <c r="AW143" s="638"/>
      <c r="AX143" s="638"/>
      <c r="AY143" s="638"/>
      <c r="AZ143" s="638"/>
      <c r="BA143" s="638"/>
      <c r="BB143" s="638"/>
      <c r="BC143" s="638">
        <v>120064</v>
      </c>
      <c r="BD143" s="638"/>
      <c r="BE143" s="639"/>
      <c r="BF143" s="636">
        <f t="shared" si="77"/>
        <v>120064</v>
      </c>
      <c r="BG143" s="644"/>
      <c r="BH143" s="638"/>
      <c r="BI143" s="638"/>
      <c r="BJ143" s="638"/>
      <c r="BK143" s="638"/>
      <c r="BL143" s="638"/>
      <c r="BM143" s="638"/>
      <c r="BN143" s="638"/>
      <c r="BO143" s="638"/>
      <c r="BP143" s="638"/>
      <c r="BQ143" s="638"/>
      <c r="BR143" s="639"/>
      <c r="BS143" s="636">
        <f t="shared" si="78"/>
        <v>0</v>
      </c>
      <c r="BT143" s="644"/>
      <c r="BU143" s="638"/>
      <c r="BV143" s="638"/>
      <c r="BW143" s="638"/>
      <c r="BX143" s="638"/>
      <c r="BY143" s="638"/>
      <c r="BZ143" s="638"/>
      <c r="CA143" s="638"/>
      <c r="CB143" s="638"/>
      <c r="CC143" s="638"/>
      <c r="CD143" s="638"/>
      <c r="CE143" s="639"/>
      <c r="CF143" s="636">
        <f t="shared" si="79"/>
        <v>0</v>
      </c>
      <c r="CG143" s="636"/>
      <c r="CH143" s="636">
        <f t="shared" si="80"/>
        <v>120064</v>
      </c>
      <c r="CI143" s="636">
        <f t="shared" si="81"/>
        <v>0</v>
      </c>
      <c r="CJ143" s="643">
        <f t="shared" si="82"/>
        <v>120064</v>
      </c>
      <c r="CK143" s="636">
        <f t="shared" si="83"/>
        <v>120064</v>
      </c>
      <c r="CL143" s="636">
        <v>120064</v>
      </c>
      <c r="CM143" s="636">
        <f t="shared" si="84"/>
        <v>0</v>
      </c>
    </row>
    <row r="144" spans="1:91" outlineLevel="2">
      <c r="A144" s="500"/>
      <c r="B144" s="526"/>
      <c r="C144" s="1423">
        <f t="shared" si="85"/>
        <v>402.23999999999978</v>
      </c>
      <c r="D144" s="1423"/>
      <c r="E144" s="1423"/>
      <c r="F144" s="631"/>
      <c r="G144" s="631"/>
      <c r="H144" s="1436" t="s">
        <v>408</v>
      </c>
      <c r="I144" s="1436"/>
      <c r="J144" s="1436"/>
      <c r="K144" s="1436"/>
      <c r="L144" s="1436"/>
      <c r="M144" s="632"/>
      <c r="N144" s="633"/>
      <c r="O144" s="633"/>
      <c r="P144" s="634"/>
      <c r="Q144" s="635"/>
      <c r="R144" s="635"/>
      <c r="S144" s="636"/>
      <c r="T144" s="637"/>
      <c r="U144" s="638"/>
      <c r="V144" s="638"/>
      <c r="W144" s="638"/>
      <c r="X144" s="638"/>
      <c r="Y144" s="638"/>
      <c r="Z144" s="638"/>
      <c r="AA144" s="638"/>
      <c r="AB144" s="638"/>
      <c r="AC144" s="638"/>
      <c r="AD144" s="638"/>
      <c r="AE144" s="639"/>
      <c r="AF144" s="636">
        <f t="shared" si="75"/>
        <v>0</v>
      </c>
      <c r="AG144" s="640"/>
      <c r="AH144" s="641"/>
      <c r="AI144" s="641"/>
      <c r="AJ144" s="641"/>
      <c r="AK144" s="641"/>
      <c r="AL144" s="641"/>
      <c r="AM144" s="641"/>
      <c r="AN144" s="641"/>
      <c r="AO144" s="641"/>
      <c r="AP144" s="641"/>
      <c r="AQ144" s="641"/>
      <c r="AR144" s="642"/>
      <c r="AS144" s="643">
        <f t="shared" si="76"/>
        <v>0</v>
      </c>
      <c r="AT144" s="644"/>
      <c r="AU144" s="638"/>
      <c r="AV144" s="638"/>
      <c r="AW144" s="638"/>
      <c r="AX144" s="638"/>
      <c r="AY144" s="638"/>
      <c r="AZ144" s="638"/>
      <c r="BA144" s="638"/>
      <c r="BB144" s="638"/>
      <c r="BC144" s="639">
        <v>72047</v>
      </c>
      <c r="BD144" s="638"/>
      <c r="BE144" s="639"/>
      <c r="BF144" s="636">
        <f t="shared" si="77"/>
        <v>72047</v>
      </c>
      <c r="BG144" s="644"/>
      <c r="BH144" s="638"/>
      <c r="BI144" s="638"/>
      <c r="BJ144" s="638"/>
      <c r="BK144" s="638"/>
      <c r="BL144" s="638"/>
      <c r="BM144" s="638"/>
      <c r="BN144" s="638"/>
      <c r="BO144" s="638"/>
      <c r="BP144" s="638"/>
      <c r="BQ144" s="638"/>
      <c r="BR144" s="639"/>
      <c r="BS144" s="636">
        <f t="shared" si="78"/>
        <v>0</v>
      </c>
      <c r="BT144" s="644"/>
      <c r="BU144" s="638"/>
      <c r="BV144" s="638"/>
      <c r="BW144" s="638"/>
      <c r="BX144" s="638"/>
      <c r="BY144" s="638"/>
      <c r="BZ144" s="638"/>
      <c r="CA144" s="638"/>
      <c r="CB144" s="638"/>
      <c r="CC144" s="638"/>
      <c r="CD144" s="638"/>
      <c r="CE144" s="639"/>
      <c r="CF144" s="636">
        <f t="shared" si="79"/>
        <v>0</v>
      </c>
      <c r="CG144" s="636"/>
      <c r="CH144" s="636">
        <f t="shared" si="80"/>
        <v>72047</v>
      </c>
      <c r="CI144" s="636">
        <f t="shared" si="81"/>
        <v>0</v>
      </c>
      <c r="CJ144" s="643">
        <f t="shared" si="82"/>
        <v>72047</v>
      </c>
      <c r="CK144" s="636">
        <f t="shared" si="83"/>
        <v>72047</v>
      </c>
      <c r="CL144" s="636">
        <v>72047</v>
      </c>
      <c r="CM144" s="636">
        <f t="shared" si="84"/>
        <v>0</v>
      </c>
    </row>
    <row r="145" spans="1:91" outlineLevel="2">
      <c r="A145" s="500"/>
      <c r="B145" s="526"/>
      <c r="C145" s="1423">
        <f t="shared" si="85"/>
        <v>402.24999999999977</v>
      </c>
      <c r="D145" s="1423"/>
      <c r="E145" s="1423"/>
      <c r="F145" s="631"/>
      <c r="G145" s="631"/>
      <c r="H145" s="1436" t="s">
        <v>409</v>
      </c>
      <c r="I145" s="1436"/>
      <c r="J145" s="1436"/>
      <c r="K145" s="1436"/>
      <c r="L145" s="1436"/>
      <c r="M145" s="632"/>
      <c r="N145" s="633"/>
      <c r="O145" s="633"/>
      <c r="P145" s="634"/>
      <c r="Q145" s="635"/>
      <c r="R145" s="635"/>
      <c r="S145" s="636"/>
      <c r="T145" s="637"/>
      <c r="U145" s="638"/>
      <c r="V145" s="638"/>
      <c r="W145" s="638"/>
      <c r="X145" s="638"/>
      <c r="Y145" s="638"/>
      <c r="Z145" s="638"/>
      <c r="AA145" s="638"/>
      <c r="AB145" s="638"/>
      <c r="AC145" s="638"/>
      <c r="AD145" s="638"/>
      <c r="AE145" s="639"/>
      <c r="AF145" s="636">
        <f t="shared" si="75"/>
        <v>0</v>
      </c>
      <c r="AG145" s="640"/>
      <c r="AH145" s="641"/>
      <c r="AI145" s="641"/>
      <c r="AJ145" s="641"/>
      <c r="AK145" s="641"/>
      <c r="AL145" s="641"/>
      <c r="AM145" s="641"/>
      <c r="AN145" s="641"/>
      <c r="AO145" s="641"/>
      <c r="AP145" s="641"/>
      <c r="AQ145" s="641"/>
      <c r="AR145" s="642"/>
      <c r="AS145" s="643">
        <f t="shared" si="76"/>
        <v>0</v>
      </c>
      <c r="AT145" s="644"/>
      <c r="AU145" s="638"/>
      <c r="AV145" s="638"/>
      <c r="AW145" s="638"/>
      <c r="AX145" s="638"/>
      <c r="AY145" s="638"/>
      <c r="AZ145" s="638"/>
      <c r="BA145" s="638"/>
      <c r="BB145" s="638"/>
      <c r="BC145" s="638">
        <v>2919</v>
      </c>
      <c r="BD145" s="638"/>
      <c r="BE145" s="639"/>
      <c r="BF145" s="636">
        <f t="shared" si="77"/>
        <v>2919</v>
      </c>
      <c r="BG145" s="644"/>
      <c r="BH145" s="638"/>
      <c r="BI145" s="638"/>
      <c r="BJ145" s="638"/>
      <c r="BK145" s="638"/>
      <c r="BL145" s="638"/>
      <c r="BM145" s="638"/>
      <c r="BN145" s="638"/>
      <c r="BO145" s="638"/>
      <c r="BP145" s="638"/>
      <c r="BQ145" s="638"/>
      <c r="BR145" s="639"/>
      <c r="BS145" s="636">
        <f t="shared" si="78"/>
        <v>0</v>
      </c>
      <c r="BT145" s="644"/>
      <c r="BU145" s="638"/>
      <c r="BV145" s="638"/>
      <c r="BW145" s="638"/>
      <c r="BX145" s="638"/>
      <c r="BY145" s="638"/>
      <c r="BZ145" s="638"/>
      <c r="CA145" s="638"/>
      <c r="CB145" s="638"/>
      <c r="CC145" s="638"/>
      <c r="CD145" s="638"/>
      <c r="CE145" s="639"/>
      <c r="CF145" s="636">
        <f t="shared" si="79"/>
        <v>0</v>
      </c>
      <c r="CG145" s="636"/>
      <c r="CH145" s="636">
        <f t="shared" si="80"/>
        <v>2919</v>
      </c>
      <c r="CI145" s="636">
        <f t="shared" si="81"/>
        <v>0</v>
      </c>
      <c r="CJ145" s="643">
        <f t="shared" si="82"/>
        <v>2919</v>
      </c>
      <c r="CK145" s="636">
        <f t="shared" si="83"/>
        <v>2919</v>
      </c>
      <c r="CL145" s="636">
        <v>2919</v>
      </c>
      <c r="CM145" s="636">
        <f t="shared" si="84"/>
        <v>0</v>
      </c>
    </row>
    <row r="146" spans="1:91" outlineLevel="2">
      <c r="A146" s="500"/>
      <c r="B146" s="526"/>
      <c r="C146" s="1423">
        <f t="shared" si="85"/>
        <v>402.25999999999976</v>
      </c>
      <c r="D146" s="1423"/>
      <c r="E146" s="1423"/>
      <c r="F146" s="631"/>
      <c r="G146" s="631"/>
      <c r="H146" s="1436" t="s">
        <v>410</v>
      </c>
      <c r="I146" s="1436"/>
      <c r="J146" s="1436"/>
      <c r="K146" s="1436"/>
      <c r="L146" s="1436"/>
      <c r="M146" s="632"/>
      <c r="N146" s="633"/>
      <c r="O146" s="633"/>
      <c r="P146" s="634"/>
      <c r="Q146" s="635"/>
      <c r="R146" s="635"/>
      <c r="S146" s="636"/>
      <c r="T146" s="637"/>
      <c r="U146" s="638"/>
      <c r="V146" s="638"/>
      <c r="W146" s="638"/>
      <c r="X146" s="638"/>
      <c r="Y146" s="638"/>
      <c r="Z146" s="638"/>
      <c r="AA146" s="638"/>
      <c r="AB146" s="638"/>
      <c r="AC146" s="638"/>
      <c r="AD146" s="638"/>
      <c r="AE146" s="639"/>
      <c r="AF146" s="636">
        <f t="shared" si="75"/>
        <v>0</v>
      </c>
      <c r="AG146" s="640"/>
      <c r="AH146" s="641"/>
      <c r="AI146" s="641"/>
      <c r="AJ146" s="641"/>
      <c r="AK146" s="641"/>
      <c r="AL146" s="641"/>
      <c r="AM146" s="641"/>
      <c r="AN146" s="641"/>
      <c r="AO146" s="641"/>
      <c r="AP146" s="641"/>
      <c r="AQ146" s="641"/>
      <c r="AR146" s="642"/>
      <c r="AS146" s="643">
        <f t="shared" si="76"/>
        <v>0</v>
      </c>
      <c r="AT146" s="644"/>
      <c r="AU146" s="638"/>
      <c r="AV146" s="638"/>
      <c r="AW146" s="638"/>
      <c r="AX146" s="638"/>
      <c r="AY146" s="638"/>
      <c r="AZ146" s="638"/>
      <c r="BA146" s="638"/>
      <c r="BB146" s="638"/>
      <c r="BC146" s="638"/>
      <c r="BD146" s="641">
        <v>34605</v>
      </c>
      <c r="BE146" s="639"/>
      <c r="BF146" s="636">
        <f t="shared" si="77"/>
        <v>34605</v>
      </c>
      <c r="BG146" s="644"/>
      <c r="BH146" s="638"/>
      <c r="BI146" s="638"/>
      <c r="BJ146" s="638"/>
      <c r="BK146" s="638"/>
      <c r="BL146" s="638"/>
      <c r="BM146" s="638"/>
      <c r="BN146" s="638"/>
      <c r="BO146" s="638"/>
      <c r="BP146" s="638"/>
      <c r="BQ146" s="638"/>
      <c r="BR146" s="639"/>
      <c r="BS146" s="636">
        <f t="shared" si="78"/>
        <v>0</v>
      </c>
      <c r="BT146" s="644"/>
      <c r="BU146" s="638"/>
      <c r="BV146" s="638"/>
      <c r="BW146" s="638"/>
      <c r="BX146" s="638"/>
      <c r="BY146" s="638"/>
      <c r="BZ146" s="638"/>
      <c r="CA146" s="638"/>
      <c r="CB146" s="638"/>
      <c r="CC146" s="638"/>
      <c r="CD146" s="638"/>
      <c r="CE146" s="639"/>
      <c r="CF146" s="636">
        <f t="shared" si="79"/>
        <v>0</v>
      </c>
      <c r="CG146" s="636"/>
      <c r="CH146" s="636">
        <f t="shared" si="80"/>
        <v>34605</v>
      </c>
      <c r="CI146" s="636">
        <f t="shared" si="81"/>
        <v>0</v>
      </c>
      <c r="CJ146" s="643">
        <f t="shared" si="82"/>
        <v>34605</v>
      </c>
      <c r="CK146" s="636">
        <f t="shared" si="83"/>
        <v>34605</v>
      </c>
      <c r="CL146" s="636">
        <v>34605</v>
      </c>
      <c r="CM146" s="636">
        <f t="shared" si="84"/>
        <v>0</v>
      </c>
    </row>
    <row r="147" spans="1:91" outlineLevel="2">
      <c r="A147" s="500"/>
      <c r="B147" s="526"/>
      <c r="C147" s="1423">
        <f t="shared" si="85"/>
        <v>402.26999999999975</v>
      </c>
      <c r="D147" s="1423"/>
      <c r="E147" s="1423"/>
      <c r="F147" s="631"/>
      <c r="G147" s="631"/>
      <c r="H147" s="1436" t="s">
        <v>411</v>
      </c>
      <c r="I147" s="1436"/>
      <c r="J147" s="1436"/>
      <c r="K147" s="1436"/>
      <c r="L147" s="1436"/>
      <c r="M147" s="632"/>
      <c r="N147" s="633"/>
      <c r="O147" s="633"/>
      <c r="P147" s="634"/>
      <c r="Q147" s="635"/>
      <c r="R147" s="635"/>
      <c r="S147" s="636"/>
      <c r="T147" s="637"/>
      <c r="U147" s="638"/>
      <c r="V147" s="638"/>
      <c r="W147" s="638"/>
      <c r="X147" s="638"/>
      <c r="Y147" s="638"/>
      <c r="Z147" s="638"/>
      <c r="AA147" s="638"/>
      <c r="AB147" s="638"/>
      <c r="AC147" s="638"/>
      <c r="AD147" s="638"/>
      <c r="AE147" s="639"/>
      <c r="AF147" s="636">
        <f t="shared" si="75"/>
        <v>0</v>
      </c>
      <c r="AG147" s="640"/>
      <c r="AH147" s="641"/>
      <c r="AI147" s="641"/>
      <c r="AJ147" s="641"/>
      <c r="AK147" s="641"/>
      <c r="AL147" s="641"/>
      <c r="AM147" s="641"/>
      <c r="AN147" s="641"/>
      <c r="AO147" s="641"/>
      <c r="AP147" s="641"/>
      <c r="AQ147" s="641"/>
      <c r="AR147" s="642"/>
      <c r="AS147" s="643">
        <f t="shared" si="76"/>
        <v>0</v>
      </c>
      <c r="AT147" s="644"/>
      <c r="AU147" s="638"/>
      <c r="AV147" s="638"/>
      <c r="AW147" s="638"/>
      <c r="AX147" s="638"/>
      <c r="AY147" s="638"/>
      <c r="AZ147" s="638"/>
      <c r="BA147" s="638"/>
      <c r="BB147" s="638"/>
      <c r="BC147" s="638">
        <v>12511</v>
      </c>
      <c r="BD147" s="638"/>
      <c r="BE147" s="639"/>
      <c r="BF147" s="636">
        <f t="shared" si="77"/>
        <v>12511</v>
      </c>
      <c r="BG147" s="644"/>
      <c r="BH147" s="638"/>
      <c r="BI147" s="638"/>
      <c r="BJ147" s="638"/>
      <c r="BK147" s="638"/>
      <c r="BL147" s="638"/>
      <c r="BM147" s="638"/>
      <c r="BN147" s="638"/>
      <c r="BO147" s="638"/>
      <c r="BP147" s="638"/>
      <c r="BQ147" s="638"/>
      <c r="BR147" s="639"/>
      <c r="BS147" s="636">
        <f t="shared" si="78"/>
        <v>0</v>
      </c>
      <c r="BT147" s="644"/>
      <c r="BU147" s="638"/>
      <c r="BV147" s="638"/>
      <c r="BW147" s="638"/>
      <c r="BX147" s="638"/>
      <c r="BY147" s="638"/>
      <c r="BZ147" s="638"/>
      <c r="CA147" s="638"/>
      <c r="CB147" s="638"/>
      <c r="CC147" s="638"/>
      <c r="CD147" s="638"/>
      <c r="CE147" s="639"/>
      <c r="CF147" s="636">
        <f t="shared" si="79"/>
        <v>0</v>
      </c>
      <c r="CG147" s="636"/>
      <c r="CH147" s="636">
        <f t="shared" si="80"/>
        <v>12511</v>
      </c>
      <c r="CI147" s="636">
        <f t="shared" si="81"/>
        <v>0</v>
      </c>
      <c r="CJ147" s="643">
        <f t="shared" si="82"/>
        <v>12511</v>
      </c>
      <c r="CK147" s="636">
        <f t="shared" si="83"/>
        <v>12511</v>
      </c>
      <c r="CL147" s="636">
        <v>12511</v>
      </c>
      <c r="CM147" s="636">
        <f t="shared" si="84"/>
        <v>0</v>
      </c>
    </row>
    <row r="148" spans="1:91" outlineLevel="2">
      <c r="A148" s="500"/>
      <c r="B148" s="526"/>
      <c r="C148" s="1423">
        <f t="shared" si="85"/>
        <v>402.27999999999975</v>
      </c>
      <c r="D148" s="1423"/>
      <c r="E148" s="1423"/>
      <c r="F148" s="631"/>
      <c r="G148" s="631"/>
      <c r="H148" s="1436" t="s">
        <v>412</v>
      </c>
      <c r="I148" s="1436"/>
      <c r="J148" s="1436"/>
      <c r="K148" s="1436"/>
      <c r="L148" s="1436"/>
      <c r="M148" s="632"/>
      <c r="N148" s="633"/>
      <c r="O148" s="633"/>
      <c r="P148" s="634"/>
      <c r="Q148" s="635"/>
      <c r="R148" s="635"/>
      <c r="S148" s="636"/>
      <c r="T148" s="637"/>
      <c r="U148" s="638"/>
      <c r="V148" s="638"/>
      <c r="W148" s="638"/>
      <c r="X148" s="638"/>
      <c r="Y148" s="638"/>
      <c r="Z148" s="638"/>
      <c r="AA148" s="638"/>
      <c r="AB148" s="638"/>
      <c r="AC148" s="638"/>
      <c r="AD148" s="638"/>
      <c r="AE148" s="639"/>
      <c r="AF148" s="636">
        <f t="shared" si="75"/>
        <v>0</v>
      </c>
      <c r="AG148" s="640"/>
      <c r="AH148" s="641"/>
      <c r="AI148" s="641"/>
      <c r="AJ148" s="641"/>
      <c r="AK148" s="641"/>
      <c r="AL148" s="641"/>
      <c r="AM148" s="641"/>
      <c r="AN148" s="641"/>
      <c r="AO148" s="641"/>
      <c r="AP148" s="641"/>
      <c r="AQ148" s="641"/>
      <c r="AR148" s="642"/>
      <c r="AS148" s="643">
        <f t="shared" si="76"/>
        <v>0</v>
      </c>
      <c r="AT148" s="644"/>
      <c r="AU148" s="638"/>
      <c r="AV148" s="638"/>
      <c r="AW148" s="638"/>
      <c r="AX148" s="638"/>
      <c r="AY148" s="638"/>
      <c r="AZ148" s="638"/>
      <c r="BA148" s="638"/>
      <c r="BB148" s="638"/>
      <c r="BC148" s="638">
        <v>18462</v>
      </c>
      <c r="BD148" s="638"/>
      <c r="BE148" s="639"/>
      <c r="BF148" s="636">
        <f t="shared" si="77"/>
        <v>18462</v>
      </c>
      <c r="BG148" s="644"/>
      <c r="BH148" s="638"/>
      <c r="BI148" s="638"/>
      <c r="BJ148" s="638"/>
      <c r="BK148" s="638"/>
      <c r="BL148" s="638"/>
      <c r="BM148" s="638"/>
      <c r="BN148" s="638"/>
      <c r="BO148" s="638"/>
      <c r="BP148" s="638"/>
      <c r="BQ148" s="638"/>
      <c r="BR148" s="639"/>
      <c r="BS148" s="636">
        <f t="shared" si="78"/>
        <v>0</v>
      </c>
      <c r="BT148" s="644"/>
      <c r="BU148" s="638"/>
      <c r="BV148" s="638"/>
      <c r="BW148" s="638"/>
      <c r="BX148" s="638"/>
      <c r="BY148" s="638"/>
      <c r="BZ148" s="638"/>
      <c r="CA148" s="638"/>
      <c r="CB148" s="638"/>
      <c r="CC148" s="638"/>
      <c r="CD148" s="638"/>
      <c r="CE148" s="639"/>
      <c r="CF148" s="636">
        <f t="shared" si="79"/>
        <v>0</v>
      </c>
      <c r="CG148" s="636"/>
      <c r="CH148" s="636">
        <f t="shared" si="80"/>
        <v>18462</v>
      </c>
      <c r="CI148" s="636">
        <f t="shared" si="81"/>
        <v>0</v>
      </c>
      <c r="CJ148" s="643">
        <f t="shared" si="82"/>
        <v>18462</v>
      </c>
      <c r="CK148" s="636">
        <f t="shared" si="83"/>
        <v>18462</v>
      </c>
      <c r="CL148" s="636">
        <v>18462</v>
      </c>
      <c r="CM148" s="636">
        <f t="shared" si="84"/>
        <v>0</v>
      </c>
    </row>
    <row r="149" spans="1:91" outlineLevel="2">
      <c r="A149" s="500"/>
      <c r="B149" s="526"/>
      <c r="C149" s="1423">
        <f t="shared" si="85"/>
        <v>402.28999999999974</v>
      </c>
      <c r="D149" s="1423"/>
      <c r="E149" s="1423"/>
      <c r="F149" s="631"/>
      <c r="G149" s="631"/>
      <c r="H149" s="1436" t="s">
        <v>413</v>
      </c>
      <c r="I149" s="1436"/>
      <c r="J149" s="1436"/>
      <c r="K149" s="1436"/>
      <c r="L149" s="1436"/>
      <c r="M149" s="632"/>
      <c r="N149" s="633"/>
      <c r="O149" s="633"/>
      <c r="P149" s="634"/>
      <c r="Q149" s="635"/>
      <c r="R149" s="635"/>
      <c r="S149" s="636"/>
      <c r="T149" s="637"/>
      <c r="U149" s="638"/>
      <c r="V149" s="638"/>
      <c r="W149" s="638"/>
      <c r="X149" s="638"/>
      <c r="Y149" s="638"/>
      <c r="Z149" s="638"/>
      <c r="AA149" s="638"/>
      <c r="AB149" s="638"/>
      <c r="AC149" s="638"/>
      <c r="AD149" s="638"/>
      <c r="AE149" s="639"/>
      <c r="AF149" s="636">
        <f t="shared" si="75"/>
        <v>0</v>
      </c>
      <c r="AG149" s="640"/>
      <c r="AH149" s="641"/>
      <c r="AI149" s="641"/>
      <c r="AJ149" s="641"/>
      <c r="AK149" s="641"/>
      <c r="AL149" s="641"/>
      <c r="AM149" s="641"/>
      <c r="AN149" s="641"/>
      <c r="AO149" s="641"/>
      <c r="AP149" s="641"/>
      <c r="AQ149" s="641"/>
      <c r="AR149" s="642"/>
      <c r="AS149" s="643">
        <f t="shared" si="76"/>
        <v>0</v>
      </c>
      <c r="AT149" s="644"/>
      <c r="AU149" s="638"/>
      <c r="AV149" s="638"/>
      <c r="AW149" s="638"/>
      <c r="AX149" s="638"/>
      <c r="AY149" s="638"/>
      <c r="AZ149" s="638"/>
      <c r="BA149" s="638"/>
      <c r="BB149" s="638"/>
      <c r="BC149" s="638">
        <v>9063</v>
      </c>
      <c r="BD149" s="638"/>
      <c r="BE149" s="639"/>
      <c r="BF149" s="636">
        <f t="shared" si="77"/>
        <v>9063</v>
      </c>
      <c r="BG149" s="644"/>
      <c r="BH149" s="638"/>
      <c r="BI149" s="638"/>
      <c r="BJ149" s="638"/>
      <c r="BK149" s="638"/>
      <c r="BL149" s="638"/>
      <c r="BM149" s="638"/>
      <c r="BN149" s="638"/>
      <c r="BO149" s="638"/>
      <c r="BP149" s="638"/>
      <c r="BQ149" s="638"/>
      <c r="BR149" s="639"/>
      <c r="BS149" s="636">
        <f t="shared" si="78"/>
        <v>0</v>
      </c>
      <c r="BT149" s="644"/>
      <c r="BU149" s="638"/>
      <c r="BV149" s="638"/>
      <c r="BW149" s="638"/>
      <c r="BX149" s="638"/>
      <c r="BY149" s="638"/>
      <c r="BZ149" s="638"/>
      <c r="CA149" s="638"/>
      <c r="CB149" s="638"/>
      <c r="CC149" s="638"/>
      <c r="CD149" s="638"/>
      <c r="CE149" s="639"/>
      <c r="CF149" s="636">
        <f t="shared" si="79"/>
        <v>0</v>
      </c>
      <c r="CG149" s="636"/>
      <c r="CH149" s="636">
        <f t="shared" si="80"/>
        <v>9063</v>
      </c>
      <c r="CI149" s="636">
        <f t="shared" si="81"/>
        <v>0</v>
      </c>
      <c r="CJ149" s="643">
        <f t="shared" si="82"/>
        <v>9063</v>
      </c>
      <c r="CK149" s="636">
        <f t="shared" si="83"/>
        <v>9063</v>
      </c>
      <c r="CL149" s="636">
        <v>9063</v>
      </c>
      <c r="CM149" s="636">
        <f t="shared" si="84"/>
        <v>0</v>
      </c>
    </row>
    <row r="150" spans="1:91" outlineLevel="2">
      <c r="A150" s="500"/>
      <c r="B150" s="526"/>
      <c r="C150" s="1423">
        <f t="shared" si="85"/>
        <v>402.29999999999973</v>
      </c>
      <c r="D150" s="1423"/>
      <c r="E150" s="1423"/>
      <c r="F150" s="631"/>
      <c r="G150" s="631"/>
      <c r="H150" s="1433" t="s">
        <v>414</v>
      </c>
      <c r="I150" s="1433"/>
      <c r="J150" s="1433"/>
      <c r="K150" s="1433"/>
      <c r="L150" s="1433"/>
      <c r="M150" s="632"/>
      <c r="N150" s="633"/>
      <c r="O150" s="633"/>
      <c r="P150" s="634"/>
      <c r="Q150" s="635"/>
      <c r="R150" s="635"/>
      <c r="S150" s="636"/>
      <c r="T150" s="637"/>
      <c r="U150" s="638"/>
      <c r="V150" s="638"/>
      <c r="W150" s="638"/>
      <c r="X150" s="638"/>
      <c r="Y150" s="638"/>
      <c r="Z150" s="638"/>
      <c r="AA150" s="638"/>
      <c r="AB150" s="638"/>
      <c r="AC150" s="638"/>
      <c r="AD150" s="638"/>
      <c r="AE150" s="639"/>
      <c r="AF150" s="636">
        <f t="shared" si="75"/>
        <v>0</v>
      </c>
      <c r="AG150" s="640"/>
      <c r="AH150" s="641"/>
      <c r="AI150" s="641"/>
      <c r="AJ150" s="641"/>
      <c r="AK150" s="641"/>
      <c r="AL150" s="641"/>
      <c r="AM150" s="641"/>
      <c r="AN150" s="641"/>
      <c r="AO150" s="641"/>
      <c r="AP150" s="641"/>
      <c r="AQ150" s="641"/>
      <c r="AR150" s="642"/>
      <c r="AS150" s="643">
        <f t="shared" si="76"/>
        <v>0</v>
      </c>
      <c r="AT150" s="644"/>
      <c r="AU150" s="638"/>
      <c r="AV150" s="638"/>
      <c r="AW150" s="638"/>
      <c r="AX150" s="638"/>
      <c r="AY150" s="638"/>
      <c r="AZ150" s="638"/>
      <c r="BA150" s="638"/>
      <c r="BB150" s="638"/>
      <c r="BC150" s="638"/>
      <c r="BD150" s="638"/>
      <c r="BE150" s="639"/>
      <c r="BF150" s="636">
        <f t="shared" si="77"/>
        <v>0</v>
      </c>
      <c r="BG150" s="644"/>
      <c r="BH150" s="638"/>
      <c r="BI150" s="638"/>
      <c r="BJ150" s="638"/>
      <c r="BK150" s="638"/>
      <c r="BL150" s="638"/>
      <c r="BM150" s="638"/>
      <c r="BN150" s="638"/>
      <c r="BO150" s="638"/>
      <c r="BP150" s="638"/>
      <c r="BQ150" s="638"/>
      <c r="BR150" s="639"/>
      <c r="BS150" s="636">
        <f t="shared" si="78"/>
        <v>0</v>
      </c>
      <c r="BT150" s="644"/>
      <c r="BU150" s="638"/>
      <c r="BV150" s="638"/>
      <c r="BW150" s="638"/>
      <c r="BX150" s="638"/>
      <c r="BY150" s="638"/>
      <c r="BZ150" s="638"/>
      <c r="CA150" s="638"/>
      <c r="CB150" s="638"/>
      <c r="CC150" s="638"/>
      <c r="CD150" s="638"/>
      <c r="CE150" s="639"/>
      <c r="CF150" s="636">
        <f t="shared" si="79"/>
        <v>0</v>
      </c>
      <c r="CG150" s="636"/>
      <c r="CH150" s="636">
        <f t="shared" si="80"/>
        <v>0</v>
      </c>
      <c r="CI150" s="636">
        <f t="shared" si="81"/>
        <v>0</v>
      </c>
      <c r="CJ150" s="643">
        <f t="shared" si="82"/>
        <v>0</v>
      </c>
      <c r="CK150" s="636">
        <f t="shared" si="83"/>
        <v>0</v>
      </c>
      <c r="CL150" s="636">
        <v>0</v>
      </c>
      <c r="CM150" s="636">
        <f t="shared" si="84"/>
        <v>0</v>
      </c>
    </row>
    <row r="151" spans="1:91" ht="12.75" outlineLevel="2">
      <c r="A151" s="500"/>
      <c r="B151" s="526"/>
      <c r="C151" s="1423">
        <f t="shared" si="85"/>
        <v>402.30999999999972</v>
      </c>
      <c r="D151" s="1423"/>
      <c r="E151" s="1423"/>
      <c r="F151" s="501"/>
      <c r="G151" s="501"/>
      <c r="H151" s="1437" t="s">
        <v>415</v>
      </c>
      <c r="I151" s="1438"/>
      <c r="J151" s="1438"/>
      <c r="K151" s="1438"/>
      <c r="L151" s="1438"/>
      <c r="M151" s="1439"/>
      <c r="N151" s="625"/>
      <c r="O151" s="625"/>
      <c r="P151" s="626"/>
      <c r="Q151" s="506"/>
      <c r="R151" s="506"/>
      <c r="S151" s="504"/>
      <c r="T151" s="507"/>
      <c r="U151" s="508"/>
      <c r="V151" s="508"/>
      <c r="W151" s="508"/>
      <c r="X151" s="508"/>
      <c r="Y151" s="508"/>
      <c r="Z151" s="508"/>
      <c r="AA151" s="508"/>
      <c r="AB151" s="508"/>
      <c r="AC151" s="508"/>
      <c r="AD151" s="508"/>
      <c r="AE151" s="509"/>
      <c r="AF151" s="504">
        <f t="shared" ref="AF151:AF182" si="86">SUM(T151:AE151)</f>
        <v>0</v>
      </c>
      <c r="AG151" s="548"/>
      <c r="AH151" s="549"/>
      <c r="AI151" s="549"/>
      <c r="AJ151" s="549"/>
      <c r="AK151" s="549"/>
      <c r="AL151" s="549"/>
      <c r="AM151" s="549"/>
      <c r="AN151" s="549"/>
      <c r="AO151" s="549"/>
      <c r="AP151" s="549"/>
      <c r="AQ151" s="549"/>
      <c r="AR151" s="550"/>
      <c r="AS151" s="559">
        <f t="shared" ref="AS151:AS182" si="87">SUM(AG151:AR151)</f>
        <v>0</v>
      </c>
      <c r="AT151" s="510"/>
      <c r="AU151" s="508"/>
      <c r="AV151" s="508"/>
      <c r="AW151" s="508"/>
      <c r="AX151" s="508"/>
      <c r="AY151" s="508"/>
      <c r="AZ151" s="508"/>
      <c r="BA151" s="508"/>
      <c r="BB151" s="508"/>
      <c r="BC151" s="508"/>
      <c r="BD151" s="549">
        <v>11413</v>
      </c>
      <c r="BE151" s="509"/>
      <c r="BF151" s="504">
        <f t="shared" ref="BF151:BF182" si="88">SUM(AT151:BE151)</f>
        <v>11413</v>
      </c>
      <c r="BG151" s="510"/>
      <c r="BH151" s="508"/>
      <c r="BI151" s="508"/>
      <c r="BJ151" s="508"/>
      <c r="BK151" s="508"/>
      <c r="BL151" s="508"/>
      <c r="BM151" s="508"/>
      <c r="BN151" s="508"/>
      <c r="BO151" s="508"/>
      <c r="BP151" s="508"/>
      <c r="BQ151" s="508"/>
      <c r="BR151" s="509"/>
      <c r="BS151" s="504">
        <f t="shared" ref="BS151:BS182" si="89">SUM(BG151:BR151)</f>
        <v>0</v>
      </c>
      <c r="BT151" s="510"/>
      <c r="BU151" s="508"/>
      <c r="BV151" s="508"/>
      <c r="BW151" s="508"/>
      <c r="BX151" s="508"/>
      <c r="BY151" s="508"/>
      <c r="BZ151" s="508"/>
      <c r="CA151" s="508"/>
      <c r="CB151" s="508"/>
      <c r="CC151" s="508"/>
      <c r="CD151" s="508"/>
      <c r="CE151" s="509"/>
      <c r="CF151" s="504">
        <f t="shared" ref="CF151:CF182" si="90">SUM(BT151:CE151)</f>
        <v>0</v>
      </c>
      <c r="CG151" s="504"/>
      <c r="CH151" s="504">
        <f t="shared" ref="CH151:CH182" si="91">SUMIF(($S$5:$CG$5),"Actual",(S151:CG151))</f>
        <v>11413</v>
      </c>
      <c r="CI151" s="559">
        <f t="shared" ref="CI151:CI183" si="92">SUMIF(($S$5:$CG$5),"Forecast",(S151:CG151))</f>
        <v>0</v>
      </c>
      <c r="CJ151" s="559">
        <f t="shared" ref="CJ151:CJ182" si="93">+CH151+CI151</f>
        <v>11413</v>
      </c>
      <c r="CK151" s="504">
        <f t="shared" ref="CK151:CK182" si="94">+CJ151-R151</f>
        <v>11413</v>
      </c>
      <c r="CL151" s="504">
        <v>11413</v>
      </c>
      <c r="CM151" s="504">
        <f t="shared" ref="CM151:CM182" si="95">+CJ151-CL151</f>
        <v>0</v>
      </c>
    </row>
    <row r="152" spans="1:91" outlineLevel="2">
      <c r="A152" s="500"/>
      <c r="B152" s="526"/>
      <c r="C152" s="1423">
        <f t="shared" si="85"/>
        <v>402.31999999999971</v>
      </c>
      <c r="D152" s="1423"/>
      <c r="E152" s="1423"/>
      <c r="F152" s="631"/>
      <c r="G152" s="631"/>
      <c r="H152" s="1436" t="s">
        <v>416</v>
      </c>
      <c r="I152" s="1436"/>
      <c r="J152" s="1436"/>
      <c r="K152" s="1436"/>
      <c r="L152" s="1436"/>
      <c r="M152" s="645"/>
      <c r="N152" s="633"/>
      <c r="O152" s="633"/>
      <c r="P152" s="634"/>
      <c r="Q152" s="635"/>
      <c r="R152" s="635"/>
      <c r="S152" s="636"/>
      <c r="T152" s="637"/>
      <c r="U152" s="638"/>
      <c r="V152" s="638"/>
      <c r="W152" s="638"/>
      <c r="X152" s="638"/>
      <c r="Y152" s="638"/>
      <c r="Z152" s="638"/>
      <c r="AA152" s="638"/>
      <c r="AB152" s="638"/>
      <c r="AC152" s="638"/>
      <c r="AD152" s="638"/>
      <c r="AE152" s="639"/>
      <c r="AF152" s="636">
        <f t="shared" si="86"/>
        <v>0</v>
      </c>
      <c r="AG152" s="640"/>
      <c r="AH152" s="641"/>
      <c r="AI152" s="641"/>
      <c r="AJ152" s="641"/>
      <c r="AK152" s="641"/>
      <c r="AL152" s="641"/>
      <c r="AM152" s="641"/>
      <c r="AN152" s="641"/>
      <c r="AO152" s="641"/>
      <c r="AP152" s="641"/>
      <c r="AQ152" s="641"/>
      <c r="AR152" s="642"/>
      <c r="AS152" s="643">
        <f t="shared" si="87"/>
        <v>0</v>
      </c>
      <c r="AT152" s="644"/>
      <c r="AU152" s="638"/>
      <c r="AV152" s="638"/>
      <c r="AW152" s="638"/>
      <c r="AX152" s="638"/>
      <c r="AY152" s="638"/>
      <c r="AZ152" s="638"/>
      <c r="BA152" s="638"/>
      <c r="BB152" s="638"/>
      <c r="BC152" s="638"/>
      <c r="BD152" s="641">
        <v>15280</v>
      </c>
      <c r="BE152" s="639"/>
      <c r="BF152" s="636">
        <f t="shared" si="88"/>
        <v>15280</v>
      </c>
      <c r="BG152" s="644"/>
      <c r="BH152" s="638"/>
      <c r="BI152" s="638"/>
      <c r="BJ152" s="638"/>
      <c r="BK152" s="638"/>
      <c r="BL152" s="638"/>
      <c r="BM152" s="638"/>
      <c r="BN152" s="638"/>
      <c r="BO152" s="638"/>
      <c r="BP152" s="638"/>
      <c r="BQ152" s="638"/>
      <c r="BR152" s="639"/>
      <c r="BS152" s="636">
        <f t="shared" si="89"/>
        <v>0</v>
      </c>
      <c r="BT152" s="644"/>
      <c r="BU152" s="638"/>
      <c r="BV152" s="638"/>
      <c r="BW152" s="638"/>
      <c r="BX152" s="638"/>
      <c r="BY152" s="638"/>
      <c r="BZ152" s="638"/>
      <c r="CA152" s="638"/>
      <c r="CB152" s="638"/>
      <c r="CC152" s="638"/>
      <c r="CD152" s="638"/>
      <c r="CE152" s="639"/>
      <c r="CF152" s="636">
        <f t="shared" si="90"/>
        <v>0</v>
      </c>
      <c r="CG152" s="636"/>
      <c r="CH152" s="636">
        <f t="shared" si="91"/>
        <v>15280</v>
      </c>
      <c r="CI152" s="636">
        <f t="shared" si="92"/>
        <v>0</v>
      </c>
      <c r="CJ152" s="643">
        <f t="shared" si="93"/>
        <v>15280</v>
      </c>
      <c r="CK152" s="636">
        <f t="shared" si="94"/>
        <v>15280</v>
      </c>
      <c r="CL152" s="636">
        <v>15280</v>
      </c>
      <c r="CM152" s="636">
        <f t="shared" si="95"/>
        <v>0</v>
      </c>
    </row>
    <row r="153" spans="1:91" s="443" customFormat="1" ht="24" customHeight="1" outlineLevel="2">
      <c r="A153" s="629"/>
      <c r="B153" s="630"/>
      <c r="C153" s="1423">
        <f t="shared" si="85"/>
        <v>402.3299999999997</v>
      </c>
      <c r="D153" s="1423"/>
      <c r="E153" s="1423"/>
      <c r="F153" s="631"/>
      <c r="G153" s="631"/>
      <c r="H153" s="1436" t="s">
        <v>417</v>
      </c>
      <c r="I153" s="1436"/>
      <c r="J153" s="1436"/>
      <c r="K153" s="1436"/>
      <c r="L153" s="1436"/>
      <c r="M153" s="646"/>
      <c r="N153" s="633"/>
      <c r="O153" s="633"/>
      <c r="P153" s="634"/>
      <c r="Q153" s="635"/>
      <c r="R153" s="635"/>
      <c r="S153" s="636"/>
      <c r="T153" s="637"/>
      <c r="U153" s="638"/>
      <c r="V153" s="638"/>
      <c r="W153" s="638"/>
      <c r="X153" s="638"/>
      <c r="Y153" s="638"/>
      <c r="Z153" s="638"/>
      <c r="AA153" s="638"/>
      <c r="AB153" s="638"/>
      <c r="AC153" s="638"/>
      <c r="AD153" s="638"/>
      <c r="AE153" s="639"/>
      <c r="AF153" s="636">
        <f t="shared" si="86"/>
        <v>0</v>
      </c>
      <c r="AG153" s="640"/>
      <c r="AH153" s="641"/>
      <c r="AI153" s="641"/>
      <c r="AJ153" s="641"/>
      <c r="AK153" s="641"/>
      <c r="AL153" s="641"/>
      <c r="AM153" s="641"/>
      <c r="AN153" s="641"/>
      <c r="AO153" s="641"/>
      <c r="AP153" s="641"/>
      <c r="AQ153" s="641"/>
      <c r="AR153" s="642"/>
      <c r="AS153" s="643">
        <f t="shared" si="87"/>
        <v>0</v>
      </c>
      <c r="AT153" s="644"/>
      <c r="AU153" s="638"/>
      <c r="AV153" s="638"/>
      <c r="AW153" s="638"/>
      <c r="AX153" s="638"/>
      <c r="AY153" s="638"/>
      <c r="AZ153" s="638"/>
      <c r="BA153" s="638"/>
      <c r="BB153" s="638"/>
      <c r="BC153" s="638"/>
      <c r="BD153" s="641">
        <v>26669</v>
      </c>
      <c r="BE153" s="639"/>
      <c r="BF153" s="636">
        <f t="shared" si="88"/>
        <v>26669</v>
      </c>
      <c r="BG153" s="644"/>
      <c r="BH153" s="638"/>
      <c r="BI153" s="638"/>
      <c r="BJ153" s="638"/>
      <c r="BK153" s="638"/>
      <c r="BL153" s="638"/>
      <c r="BM153" s="638"/>
      <c r="BN153" s="638"/>
      <c r="BO153" s="638"/>
      <c r="BP153" s="638"/>
      <c r="BQ153" s="638"/>
      <c r="BR153" s="639"/>
      <c r="BS153" s="636">
        <f t="shared" si="89"/>
        <v>0</v>
      </c>
      <c r="BT153" s="644"/>
      <c r="BU153" s="638"/>
      <c r="BV153" s="638"/>
      <c r="BW153" s="638"/>
      <c r="BX153" s="638"/>
      <c r="BY153" s="638"/>
      <c r="BZ153" s="638"/>
      <c r="CA153" s="638"/>
      <c r="CB153" s="638"/>
      <c r="CC153" s="638"/>
      <c r="CD153" s="638"/>
      <c r="CE153" s="639"/>
      <c r="CF153" s="636">
        <f t="shared" si="90"/>
        <v>0</v>
      </c>
      <c r="CG153" s="636"/>
      <c r="CH153" s="636">
        <f t="shared" si="91"/>
        <v>26669</v>
      </c>
      <c r="CI153" s="636">
        <f t="shared" si="92"/>
        <v>0</v>
      </c>
      <c r="CJ153" s="643">
        <f t="shared" si="93"/>
        <v>26669</v>
      </c>
      <c r="CK153" s="636">
        <f t="shared" si="94"/>
        <v>26669</v>
      </c>
      <c r="CL153" s="636">
        <v>26669</v>
      </c>
      <c r="CM153" s="636">
        <f t="shared" si="95"/>
        <v>0</v>
      </c>
    </row>
    <row r="154" spans="1:91" s="443" customFormat="1" ht="24" customHeight="1" outlineLevel="2">
      <c r="A154" s="629"/>
      <c r="B154" s="630"/>
      <c r="C154" s="1423">
        <f t="shared" si="85"/>
        <v>402.33999999999969</v>
      </c>
      <c r="D154" s="1423"/>
      <c r="E154" s="1423"/>
      <c r="F154" s="631"/>
      <c r="G154" s="631"/>
      <c r="H154" s="1436" t="s">
        <v>418</v>
      </c>
      <c r="I154" s="1436"/>
      <c r="J154" s="1436"/>
      <c r="K154" s="1436"/>
      <c r="L154" s="1436"/>
      <c r="M154" s="646"/>
      <c r="N154" s="633"/>
      <c r="O154" s="633"/>
      <c r="P154" s="634"/>
      <c r="Q154" s="635"/>
      <c r="R154" s="635"/>
      <c r="S154" s="636"/>
      <c r="T154" s="637"/>
      <c r="U154" s="638"/>
      <c r="V154" s="638"/>
      <c r="W154" s="638"/>
      <c r="X154" s="638"/>
      <c r="Y154" s="638"/>
      <c r="Z154" s="638"/>
      <c r="AA154" s="638"/>
      <c r="AB154" s="638"/>
      <c r="AC154" s="638"/>
      <c r="AD154" s="638"/>
      <c r="AE154" s="639"/>
      <c r="AF154" s="636">
        <f t="shared" si="86"/>
        <v>0</v>
      </c>
      <c r="AG154" s="640"/>
      <c r="AH154" s="641"/>
      <c r="AI154" s="641"/>
      <c r="AJ154" s="641"/>
      <c r="AK154" s="641"/>
      <c r="AL154" s="641"/>
      <c r="AM154" s="641"/>
      <c r="AN154" s="641"/>
      <c r="AO154" s="641"/>
      <c r="AP154" s="641"/>
      <c r="AQ154" s="641"/>
      <c r="AR154" s="642"/>
      <c r="AS154" s="643">
        <f t="shared" si="87"/>
        <v>0</v>
      </c>
      <c r="AT154" s="644"/>
      <c r="AU154" s="638"/>
      <c r="AV154" s="638"/>
      <c r="AW154" s="638"/>
      <c r="AX154" s="638"/>
      <c r="AY154" s="638"/>
      <c r="AZ154" s="638"/>
      <c r="BA154" s="638"/>
      <c r="BB154" s="638"/>
      <c r="BC154" s="638"/>
      <c r="BD154" s="641">
        <v>2429</v>
      </c>
      <c r="BE154" s="639"/>
      <c r="BF154" s="636">
        <f t="shared" si="88"/>
        <v>2429</v>
      </c>
      <c r="BG154" s="644"/>
      <c r="BH154" s="638"/>
      <c r="BI154" s="638"/>
      <c r="BJ154" s="638"/>
      <c r="BK154" s="638"/>
      <c r="BL154" s="638"/>
      <c r="BM154" s="638"/>
      <c r="BN154" s="638"/>
      <c r="BO154" s="638"/>
      <c r="BP154" s="638"/>
      <c r="BQ154" s="638"/>
      <c r="BR154" s="639"/>
      <c r="BS154" s="636">
        <f t="shared" si="89"/>
        <v>0</v>
      </c>
      <c r="BT154" s="644"/>
      <c r="BU154" s="638"/>
      <c r="BV154" s="638"/>
      <c r="BW154" s="638"/>
      <c r="BX154" s="638"/>
      <c r="BY154" s="638"/>
      <c r="BZ154" s="638"/>
      <c r="CA154" s="638"/>
      <c r="CB154" s="638"/>
      <c r="CC154" s="638"/>
      <c r="CD154" s="638"/>
      <c r="CE154" s="639"/>
      <c r="CF154" s="636">
        <f t="shared" si="90"/>
        <v>0</v>
      </c>
      <c r="CG154" s="636"/>
      <c r="CH154" s="636">
        <f t="shared" si="91"/>
        <v>2429</v>
      </c>
      <c r="CI154" s="636">
        <f t="shared" si="92"/>
        <v>0</v>
      </c>
      <c r="CJ154" s="643">
        <f t="shared" si="93"/>
        <v>2429</v>
      </c>
      <c r="CK154" s="636">
        <f t="shared" si="94"/>
        <v>2429</v>
      </c>
      <c r="CL154" s="636">
        <v>2429</v>
      </c>
      <c r="CM154" s="636">
        <f t="shared" si="95"/>
        <v>0</v>
      </c>
    </row>
    <row r="155" spans="1:91" s="443" customFormat="1" ht="24" customHeight="1" outlineLevel="2">
      <c r="A155" s="629"/>
      <c r="B155" s="630"/>
      <c r="C155" s="1423">
        <f t="shared" ref="C155:C182" si="96">+C154+0.01</f>
        <v>402.34999999999968</v>
      </c>
      <c r="D155" s="1423"/>
      <c r="E155" s="1423"/>
      <c r="F155" s="631"/>
      <c r="G155" s="631"/>
      <c r="H155" s="1436" t="s">
        <v>419</v>
      </c>
      <c r="I155" s="1436"/>
      <c r="J155" s="1436"/>
      <c r="K155" s="1436"/>
      <c r="L155" s="1436"/>
      <c r="M155" s="646"/>
      <c r="N155" s="633"/>
      <c r="O155" s="633"/>
      <c r="P155" s="634"/>
      <c r="Q155" s="635"/>
      <c r="R155" s="635"/>
      <c r="S155" s="636"/>
      <c r="T155" s="637"/>
      <c r="U155" s="638"/>
      <c r="V155" s="638"/>
      <c r="W155" s="638"/>
      <c r="X155" s="638"/>
      <c r="Y155" s="638"/>
      <c r="Z155" s="638"/>
      <c r="AA155" s="638"/>
      <c r="AB155" s="638"/>
      <c r="AC155" s="638"/>
      <c r="AD155" s="638"/>
      <c r="AE155" s="639"/>
      <c r="AF155" s="636">
        <f t="shared" si="86"/>
        <v>0</v>
      </c>
      <c r="AG155" s="640"/>
      <c r="AH155" s="641"/>
      <c r="AI155" s="641"/>
      <c r="AJ155" s="641"/>
      <c r="AK155" s="641"/>
      <c r="AL155" s="641"/>
      <c r="AM155" s="641"/>
      <c r="AN155" s="641"/>
      <c r="AO155" s="641"/>
      <c r="AP155" s="641"/>
      <c r="AQ155" s="641"/>
      <c r="AR155" s="642"/>
      <c r="AS155" s="643">
        <f t="shared" si="87"/>
        <v>0</v>
      </c>
      <c r="AT155" s="644"/>
      <c r="AU155" s="638"/>
      <c r="AV155" s="638"/>
      <c r="AW155" s="638"/>
      <c r="AX155" s="638"/>
      <c r="AY155" s="638"/>
      <c r="AZ155" s="638"/>
      <c r="BA155" s="638"/>
      <c r="BB155" s="638"/>
      <c r="BC155" s="638"/>
      <c r="BD155" s="641">
        <v>116550</v>
      </c>
      <c r="BE155" s="639"/>
      <c r="BF155" s="636">
        <f t="shared" si="88"/>
        <v>116550</v>
      </c>
      <c r="BG155" s="644"/>
      <c r="BH155" s="638"/>
      <c r="BI155" s="638"/>
      <c r="BJ155" s="638"/>
      <c r="BK155" s="638"/>
      <c r="BL155" s="638"/>
      <c r="BM155" s="638"/>
      <c r="BN155" s="638"/>
      <c r="BO155" s="638"/>
      <c r="BP155" s="638"/>
      <c r="BQ155" s="638"/>
      <c r="BR155" s="639"/>
      <c r="BS155" s="636">
        <f t="shared" si="89"/>
        <v>0</v>
      </c>
      <c r="BT155" s="644"/>
      <c r="BU155" s="638"/>
      <c r="BV155" s="638"/>
      <c r="BW155" s="638"/>
      <c r="BX155" s="638"/>
      <c r="BY155" s="638"/>
      <c r="BZ155" s="638"/>
      <c r="CA155" s="638"/>
      <c r="CB155" s="638"/>
      <c r="CC155" s="638"/>
      <c r="CD155" s="638"/>
      <c r="CE155" s="639"/>
      <c r="CF155" s="636">
        <f t="shared" si="90"/>
        <v>0</v>
      </c>
      <c r="CG155" s="636"/>
      <c r="CH155" s="636">
        <f t="shared" si="91"/>
        <v>116550</v>
      </c>
      <c r="CI155" s="636">
        <f t="shared" si="92"/>
        <v>0</v>
      </c>
      <c r="CJ155" s="643">
        <f t="shared" si="93"/>
        <v>116550</v>
      </c>
      <c r="CK155" s="636">
        <f t="shared" si="94"/>
        <v>116550</v>
      </c>
      <c r="CL155" s="636">
        <v>116550</v>
      </c>
      <c r="CM155" s="636">
        <f t="shared" si="95"/>
        <v>0</v>
      </c>
    </row>
    <row r="156" spans="1:91" outlineLevel="2">
      <c r="A156" s="500"/>
      <c r="B156" s="526"/>
      <c r="C156" s="1423">
        <f t="shared" si="96"/>
        <v>402.35999999999967</v>
      </c>
      <c r="D156" s="1423"/>
      <c r="E156" s="1423"/>
      <c r="F156" s="631"/>
      <c r="G156" s="631"/>
      <c r="H156" s="1436" t="s">
        <v>420</v>
      </c>
      <c r="I156" s="1436"/>
      <c r="J156" s="1436"/>
      <c r="K156" s="1436"/>
      <c r="L156" s="1436"/>
      <c r="M156" s="645"/>
      <c r="N156" s="633"/>
      <c r="O156" s="633"/>
      <c r="P156" s="634"/>
      <c r="Q156" s="635"/>
      <c r="R156" s="635"/>
      <c r="S156" s="636"/>
      <c r="T156" s="637"/>
      <c r="U156" s="638"/>
      <c r="V156" s="638"/>
      <c r="W156" s="638"/>
      <c r="X156" s="638"/>
      <c r="Y156" s="638"/>
      <c r="Z156" s="638"/>
      <c r="AA156" s="638"/>
      <c r="AB156" s="638"/>
      <c r="AC156" s="638"/>
      <c r="AD156" s="638"/>
      <c r="AE156" s="639"/>
      <c r="AF156" s="636">
        <f t="shared" si="86"/>
        <v>0</v>
      </c>
      <c r="AG156" s="640"/>
      <c r="AH156" s="641"/>
      <c r="AI156" s="641"/>
      <c r="AJ156" s="641"/>
      <c r="AK156" s="641"/>
      <c r="AL156" s="641"/>
      <c r="AM156" s="641"/>
      <c r="AN156" s="641"/>
      <c r="AO156" s="641"/>
      <c r="AP156" s="641"/>
      <c r="AQ156" s="641"/>
      <c r="AR156" s="642"/>
      <c r="AS156" s="643">
        <f t="shared" si="87"/>
        <v>0</v>
      </c>
      <c r="AT156" s="644"/>
      <c r="AU156" s="638"/>
      <c r="AV156" s="638"/>
      <c r="AW156" s="638"/>
      <c r="AX156" s="638"/>
      <c r="AY156" s="638"/>
      <c r="AZ156" s="638"/>
      <c r="BA156" s="638"/>
      <c r="BB156" s="638"/>
      <c r="BC156" s="638"/>
      <c r="BD156" s="641">
        <v>8626</v>
      </c>
      <c r="BE156" s="639"/>
      <c r="BF156" s="636">
        <f t="shared" si="88"/>
        <v>8626</v>
      </c>
      <c r="BG156" s="644"/>
      <c r="BH156" s="638"/>
      <c r="BI156" s="638"/>
      <c r="BJ156" s="638"/>
      <c r="BK156" s="638"/>
      <c r="BL156" s="638"/>
      <c r="BM156" s="638"/>
      <c r="BN156" s="638"/>
      <c r="BO156" s="638"/>
      <c r="BP156" s="638"/>
      <c r="BQ156" s="638"/>
      <c r="BR156" s="639"/>
      <c r="BS156" s="636">
        <f t="shared" si="89"/>
        <v>0</v>
      </c>
      <c r="BT156" s="644"/>
      <c r="BU156" s="638"/>
      <c r="BV156" s="638"/>
      <c r="BW156" s="638"/>
      <c r="BX156" s="638"/>
      <c r="BY156" s="638"/>
      <c r="BZ156" s="638"/>
      <c r="CA156" s="638"/>
      <c r="CB156" s="638"/>
      <c r="CC156" s="638"/>
      <c r="CD156" s="638"/>
      <c r="CE156" s="639"/>
      <c r="CF156" s="636">
        <f t="shared" si="90"/>
        <v>0</v>
      </c>
      <c r="CG156" s="636"/>
      <c r="CH156" s="636">
        <f t="shared" si="91"/>
        <v>8626</v>
      </c>
      <c r="CI156" s="636">
        <f t="shared" si="92"/>
        <v>0</v>
      </c>
      <c r="CJ156" s="643">
        <f t="shared" si="93"/>
        <v>8626</v>
      </c>
      <c r="CK156" s="636">
        <f t="shared" si="94"/>
        <v>8626</v>
      </c>
      <c r="CL156" s="636">
        <v>8626</v>
      </c>
      <c r="CM156" s="636">
        <f t="shared" si="95"/>
        <v>0</v>
      </c>
    </row>
    <row r="157" spans="1:91" outlineLevel="2">
      <c r="A157" s="500"/>
      <c r="B157" s="526"/>
      <c r="C157" s="1423">
        <f t="shared" si="96"/>
        <v>402.36999999999966</v>
      </c>
      <c r="D157" s="1423"/>
      <c r="E157" s="1423"/>
      <c r="F157" s="631"/>
      <c r="G157" s="631"/>
      <c r="H157" s="1436" t="s">
        <v>421</v>
      </c>
      <c r="I157" s="1436"/>
      <c r="J157" s="1436"/>
      <c r="K157" s="1436"/>
      <c r="L157" s="1436"/>
      <c r="M157" s="645"/>
      <c r="N157" s="633"/>
      <c r="O157" s="633"/>
      <c r="P157" s="634"/>
      <c r="Q157" s="635"/>
      <c r="R157" s="635"/>
      <c r="S157" s="636"/>
      <c r="T157" s="637"/>
      <c r="U157" s="638"/>
      <c r="V157" s="638"/>
      <c r="W157" s="638"/>
      <c r="X157" s="638"/>
      <c r="Y157" s="638"/>
      <c r="Z157" s="638"/>
      <c r="AA157" s="638"/>
      <c r="AB157" s="638"/>
      <c r="AC157" s="638"/>
      <c r="AD157" s="638"/>
      <c r="AE157" s="639"/>
      <c r="AF157" s="636">
        <f t="shared" si="86"/>
        <v>0</v>
      </c>
      <c r="AG157" s="640"/>
      <c r="AH157" s="641"/>
      <c r="AI157" s="641"/>
      <c r="AJ157" s="641"/>
      <c r="AK157" s="641"/>
      <c r="AL157" s="641"/>
      <c r="AM157" s="641"/>
      <c r="AN157" s="641"/>
      <c r="AO157" s="641"/>
      <c r="AP157" s="641"/>
      <c r="AQ157" s="641"/>
      <c r="AR157" s="642"/>
      <c r="AS157" s="643">
        <f t="shared" si="87"/>
        <v>0</v>
      </c>
      <c r="AT157" s="644"/>
      <c r="AU157" s="638"/>
      <c r="AV157" s="638"/>
      <c r="AW157" s="638"/>
      <c r="AX157" s="638"/>
      <c r="AY157" s="638"/>
      <c r="AZ157" s="638"/>
      <c r="BA157" s="638"/>
      <c r="BB157" s="638"/>
      <c r="BC157" s="638"/>
      <c r="BD157" s="641">
        <v>10408</v>
      </c>
      <c r="BE157" s="639"/>
      <c r="BF157" s="636">
        <f t="shared" si="88"/>
        <v>10408</v>
      </c>
      <c r="BG157" s="644"/>
      <c r="BH157" s="638"/>
      <c r="BI157" s="638"/>
      <c r="BJ157" s="638"/>
      <c r="BK157" s="638"/>
      <c r="BL157" s="638"/>
      <c r="BM157" s="638"/>
      <c r="BN157" s="638"/>
      <c r="BO157" s="638"/>
      <c r="BP157" s="638"/>
      <c r="BQ157" s="638"/>
      <c r="BR157" s="639"/>
      <c r="BS157" s="636">
        <f t="shared" si="89"/>
        <v>0</v>
      </c>
      <c r="BT157" s="644"/>
      <c r="BU157" s="638"/>
      <c r="BV157" s="638"/>
      <c r="BW157" s="638"/>
      <c r="BX157" s="638"/>
      <c r="BY157" s="638"/>
      <c r="BZ157" s="638"/>
      <c r="CA157" s="638"/>
      <c r="CB157" s="638"/>
      <c r="CC157" s="638"/>
      <c r="CD157" s="638"/>
      <c r="CE157" s="639"/>
      <c r="CF157" s="636">
        <f t="shared" si="90"/>
        <v>0</v>
      </c>
      <c r="CG157" s="636"/>
      <c r="CH157" s="636">
        <f t="shared" si="91"/>
        <v>10408</v>
      </c>
      <c r="CI157" s="636">
        <f t="shared" si="92"/>
        <v>0</v>
      </c>
      <c r="CJ157" s="643">
        <f t="shared" si="93"/>
        <v>10408</v>
      </c>
      <c r="CK157" s="636">
        <f t="shared" si="94"/>
        <v>10408</v>
      </c>
      <c r="CL157" s="636">
        <v>10408</v>
      </c>
      <c r="CM157" s="636">
        <f t="shared" si="95"/>
        <v>0</v>
      </c>
    </row>
    <row r="158" spans="1:91" outlineLevel="2">
      <c r="A158" s="500"/>
      <c r="B158" s="526"/>
      <c r="C158" s="1423">
        <f t="shared" si="96"/>
        <v>402.37999999999965</v>
      </c>
      <c r="D158" s="1423"/>
      <c r="E158" s="1423"/>
      <c r="F158" s="631"/>
      <c r="G158" s="631"/>
      <c r="H158" s="1436" t="s">
        <v>422</v>
      </c>
      <c r="I158" s="1436"/>
      <c r="J158" s="1436"/>
      <c r="K158" s="1436"/>
      <c r="L158" s="1436"/>
      <c r="M158" s="645"/>
      <c r="N158" s="633"/>
      <c r="O158" s="633"/>
      <c r="P158" s="634"/>
      <c r="Q158" s="635"/>
      <c r="R158" s="635"/>
      <c r="S158" s="636"/>
      <c r="T158" s="637"/>
      <c r="U158" s="638"/>
      <c r="V158" s="638"/>
      <c r="W158" s="638"/>
      <c r="X158" s="638"/>
      <c r="Y158" s="638"/>
      <c r="Z158" s="638"/>
      <c r="AA158" s="638"/>
      <c r="AB158" s="638"/>
      <c r="AC158" s="638"/>
      <c r="AD158" s="638"/>
      <c r="AE158" s="639"/>
      <c r="AF158" s="636">
        <f t="shared" si="86"/>
        <v>0</v>
      </c>
      <c r="AG158" s="640"/>
      <c r="AH158" s="641"/>
      <c r="AI158" s="641"/>
      <c r="AJ158" s="641"/>
      <c r="AK158" s="641"/>
      <c r="AL158" s="641"/>
      <c r="AM158" s="641"/>
      <c r="AN158" s="641"/>
      <c r="AO158" s="641"/>
      <c r="AP158" s="641"/>
      <c r="AQ158" s="641"/>
      <c r="AR158" s="642"/>
      <c r="AS158" s="643">
        <f t="shared" si="87"/>
        <v>0</v>
      </c>
      <c r="AT158" s="644"/>
      <c r="AU158" s="638"/>
      <c r="AV158" s="638"/>
      <c r="AW158" s="638"/>
      <c r="AX158" s="638"/>
      <c r="AY158" s="638"/>
      <c r="AZ158" s="638"/>
      <c r="BA158" s="638"/>
      <c r="BB158" s="638"/>
      <c r="BC158" s="638"/>
      <c r="BD158" s="641">
        <f>6634+21</f>
        <v>6655</v>
      </c>
      <c r="BE158" s="639"/>
      <c r="BF158" s="636">
        <f t="shared" si="88"/>
        <v>6655</v>
      </c>
      <c r="BG158" s="644"/>
      <c r="BH158" s="638"/>
      <c r="BI158" s="638"/>
      <c r="BJ158" s="638"/>
      <c r="BK158" s="638"/>
      <c r="BL158" s="638"/>
      <c r="BM158" s="638"/>
      <c r="BN158" s="638"/>
      <c r="BO158" s="638"/>
      <c r="BP158" s="638"/>
      <c r="BQ158" s="638"/>
      <c r="BR158" s="639"/>
      <c r="BS158" s="636">
        <f t="shared" si="89"/>
        <v>0</v>
      </c>
      <c r="BT158" s="644"/>
      <c r="BU158" s="638"/>
      <c r="BV158" s="638"/>
      <c r="BW158" s="638"/>
      <c r="BX158" s="638"/>
      <c r="BY158" s="638"/>
      <c r="BZ158" s="638"/>
      <c r="CA158" s="638"/>
      <c r="CB158" s="638"/>
      <c r="CC158" s="638"/>
      <c r="CD158" s="638"/>
      <c r="CE158" s="639"/>
      <c r="CF158" s="636">
        <f t="shared" si="90"/>
        <v>0</v>
      </c>
      <c r="CG158" s="636"/>
      <c r="CH158" s="636">
        <f t="shared" si="91"/>
        <v>6655</v>
      </c>
      <c r="CI158" s="636">
        <f t="shared" si="92"/>
        <v>0</v>
      </c>
      <c r="CJ158" s="643">
        <f t="shared" si="93"/>
        <v>6655</v>
      </c>
      <c r="CK158" s="636">
        <f t="shared" si="94"/>
        <v>6655</v>
      </c>
      <c r="CL158" s="636">
        <v>6655</v>
      </c>
      <c r="CM158" s="636">
        <f t="shared" si="95"/>
        <v>0</v>
      </c>
    </row>
    <row r="159" spans="1:91" outlineLevel="2">
      <c r="A159" s="500"/>
      <c r="B159" s="526"/>
      <c r="C159" s="1423">
        <f t="shared" si="96"/>
        <v>402.38999999999965</v>
      </c>
      <c r="D159" s="1423"/>
      <c r="E159" s="1423"/>
      <c r="F159" s="631"/>
      <c r="G159" s="631"/>
      <c r="H159" s="1434" t="s">
        <v>423</v>
      </c>
      <c r="I159" s="1434"/>
      <c r="J159" s="1434"/>
      <c r="K159" s="1434"/>
      <c r="L159" s="1434"/>
      <c r="M159" s="632"/>
      <c r="N159" s="633"/>
      <c r="O159" s="633"/>
      <c r="P159" s="634"/>
      <c r="Q159" s="635"/>
      <c r="R159" s="635"/>
      <c r="S159" s="636"/>
      <c r="T159" s="637"/>
      <c r="U159" s="638"/>
      <c r="V159" s="638"/>
      <c r="W159" s="638"/>
      <c r="X159" s="638"/>
      <c r="Y159" s="638"/>
      <c r="Z159" s="638"/>
      <c r="AA159" s="638"/>
      <c r="AB159" s="638"/>
      <c r="AC159" s="638"/>
      <c r="AD159" s="638"/>
      <c r="AE159" s="639"/>
      <c r="AF159" s="636">
        <f t="shared" si="86"/>
        <v>0</v>
      </c>
      <c r="AG159" s="640"/>
      <c r="AH159" s="641"/>
      <c r="AI159" s="641"/>
      <c r="AJ159" s="641"/>
      <c r="AK159" s="641"/>
      <c r="AL159" s="641"/>
      <c r="AM159" s="641"/>
      <c r="AN159" s="641"/>
      <c r="AO159" s="641"/>
      <c r="AP159" s="641"/>
      <c r="AQ159" s="641"/>
      <c r="AR159" s="642"/>
      <c r="AS159" s="643">
        <f t="shared" si="87"/>
        <v>0</v>
      </c>
      <c r="AT159" s="644"/>
      <c r="AU159" s="638"/>
      <c r="AV159" s="638"/>
      <c r="AW159" s="638"/>
      <c r="AX159" s="638"/>
      <c r="AY159" s="638"/>
      <c r="AZ159" s="638"/>
      <c r="BA159" s="638"/>
      <c r="BB159" s="638"/>
      <c r="BC159" s="638"/>
      <c r="BD159" s="641"/>
      <c r="BE159" s="642"/>
      <c r="BF159" s="636">
        <f t="shared" si="88"/>
        <v>0</v>
      </c>
      <c r="BG159" s="640"/>
      <c r="BH159" s="638"/>
      <c r="BI159" s="638"/>
      <c r="BJ159" s="638"/>
      <c r="BK159" s="638"/>
      <c r="BL159" s="638"/>
      <c r="BM159" s="638"/>
      <c r="BN159" s="638"/>
      <c r="BO159" s="638"/>
      <c r="BP159" s="638"/>
      <c r="BQ159" s="638"/>
      <c r="BR159" s="639"/>
      <c r="BS159" s="636">
        <f t="shared" si="89"/>
        <v>0</v>
      </c>
      <c r="BT159" s="644"/>
      <c r="BU159" s="638"/>
      <c r="BV159" s="638"/>
      <c r="BW159" s="638"/>
      <c r="BX159" s="638"/>
      <c r="BY159" s="638"/>
      <c r="BZ159" s="638"/>
      <c r="CA159" s="638"/>
      <c r="CB159" s="638"/>
      <c r="CC159" s="638"/>
      <c r="CD159" s="638"/>
      <c r="CE159" s="639"/>
      <c r="CF159" s="636">
        <f t="shared" si="90"/>
        <v>0</v>
      </c>
      <c r="CG159" s="636"/>
      <c r="CH159" s="636">
        <f t="shared" si="91"/>
        <v>0</v>
      </c>
      <c r="CI159" s="647">
        <f t="shared" si="92"/>
        <v>0</v>
      </c>
      <c r="CJ159" s="636">
        <f t="shared" si="93"/>
        <v>0</v>
      </c>
      <c r="CK159" s="636">
        <f t="shared" si="94"/>
        <v>0</v>
      </c>
      <c r="CL159" s="636">
        <v>0</v>
      </c>
      <c r="CM159" s="636">
        <f t="shared" si="95"/>
        <v>0</v>
      </c>
    </row>
    <row r="160" spans="1:91" outlineLevel="2">
      <c r="A160" s="500"/>
      <c r="B160" s="526"/>
      <c r="C160" s="1423">
        <f t="shared" si="96"/>
        <v>402.39999999999964</v>
      </c>
      <c r="D160" s="1423"/>
      <c r="E160" s="1423"/>
      <c r="F160" s="631"/>
      <c r="G160" s="631"/>
      <c r="H160" s="1433" t="s">
        <v>424</v>
      </c>
      <c r="I160" s="1434"/>
      <c r="J160" s="1434"/>
      <c r="K160" s="1434"/>
      <c r="L160" s="1434"/>
      <c r="M160" s="632"/>
      <c r="N160" s="633"/>
      <c r="O160" s="633"/>
      <c r="P160" s="634"/>
      <c r="Q160" s="635"/>
      <c r="R160" s="635"/>
      <c r="S160" s="636"/>
      <c r="T160" s="637"/>
      <c r="U160" s="638"/>
      <c r="V160" s="638"/>
      <c r="W160" s="638"/>
      <c r="X160" s="638"/>
      <c r="Y160" s="638"/>
      <c r="Z160" s="638"/>
      <c r="AA160" s="638"/>
      <c r="AB160" s="638"/>
      <c r="AC160" s="638"/>
      <c r="AD160" s="638"/>
      <c r="AE160" s="639"/>
      <c r="AF160" s="636">
        <f t="shared" si="86"/>
        <v>0</v>
      </c>
      <c r="AG160" s="640"/>
      <c r="AH160" s="641"/>
      <c r="AI160" s="641"/>
      <c r="AJ160" s="641"/>
      <c r="AK160" s="641"/>
      <c r="AL160" s="641"/>
      <c r="AM160" s="641"/>
      <c r="AN160" s="641"/>
      <c r="AO160" s="641"/>
      <c r="AP160" s="641"/>
      <c r="AQ160" s="641"/>
      <c r="AR160" s="642"/>
      <c r="AS160" s="643">
        <f t="shared" si="87"/>
        <v>0</v>
      </c>
      <c r="AT160" s="644"/>
      <c r="AU160" s="638"/>
      <c r="AV160" s="638"/>
      <c r="AW160" s="638"/>
      <c r="AX160" s="638"/>
      <c r="AY160" s="638"/>
      <c r="AZ160" s="638"/>
      <c r="BA160" s="638"/>
      <c r="BB160" s="638"/>
      <c r="BC160" s="638"/>
      <c r="BD160" s="638"/>
      <c r="BE160" s="639"/>
      <c r="BF160" s="636">
        <f t="shared" si="88"/>
        <v>0</v>
      </c>
      <c r="BG160" s="644"/>
      <c r="BH160" s="638"/>
      <c r="BI160" s="638"/>
      <c r="BJ160" s="638"/>
      <c r="BK160" s="638"/>
      <c r="BL160" s="638"/>
      <c r="BM160" s="638"/>
      <c r="BN160" s="638"/>
      <c r="BO160" s="638"/>
      <c r="BP160" s="638"/>
      <c r="BQ160" s="638"/>
      <c r="BR160" s="639"/>
      <c r="BS160" s="636">
        <f t="shared" si="89"/>
        <v>0</v>
      </c>
      <c r="BT160" s="644"/>
      <c r="BU160" s="638"/>
      <c r="BV160" s="638"/>
      <c r="BW160" s="638"/>
      <c r="BX160" s="638"/>
      <c r="BY160" s="638"/>
      <c r="BZ160" s="638"/>
      <c r="CA160" s="638"/>
      <c r="CB160" s="638"/>
      <c r="CC160" s="638"/>
      <c r="CD160" s="638"/>
      <c r="CE160" s="639"/>
      <c r="CF160" s="636">
        <f t="shared" si="90"/>
        <v>0</v>
      </c>
      <c r="CG160" s="636"/>
      <c r="CH160" s="636">
        <f t="shared" si="91"/>
        <v>0</v>
      </c>
      <c r="CI160" s="636">
        <f t="shared" si="92"/>
        <v>0</v>
      </c>
      <c r="CJ160" s="636">
        <f t="shared" si="93"/>
        <v>0</v>
      </c>
      <c r="CK160" s="636">
        <f t="shared" si="94"/>
        <v>0</v>
      </c>
      <c r="CL160" s="636">
        <v>0</v>
      </c>
      <c r="CM160" s="636">
        <f t="shared" si="95"/>
        <v>0</v>
      </c>
    </row>
    <row r="161" spans="1:91" outlineLevel="2">
      <c r="A161" s="500"/>
      <c r="B161" s="526"/>
      <c r="C161" s="1423">
        <f t="shared" si="96"/>
        <v>402.40999999999963</v>
      </c>
      <c r="D161" s="1423"/>
      <c r="E161" s="1423"/>
      <c r="F161" s="631"/>
      <c r="G161" s="631"/>
      <c r="H161" s="648"/>
      <c r="I161" s="648" t="s">
        <v>425</v>
      </c>
      <c r="J161" s="648"/>
      <c r="K161" s="648"/>
      <c r="L161" s="648"/>
      <c r="M161" s="649"/>
      <c r="N161" s="633"/>
      <c r="O161" s="633"/>
      <c r="P161" s="634"/>
      <c r="Q161" s="635"/>
      <c r="R161" s="635"/>
      <c r="S161" s="636"/>
      <c r="T161" s="637"/>
      <c r="U161" s="638"/>
      <c r="V161" s="638"/>
      <c r="W161" s="638"/>
      <c r="X161" s="638"/>
      <c r="Y161" s="638"/>
      <c r="Z161" s="638"/>
      <c r="AA161" s="638"/>
      <c r="AB161" s="638"/>
      <c r="AC161" s="638"/>
      <c r="AD161" s="638"/>
      <c r="AE161" s="639"/>
      <c r="AF161" s="636">
        <f t="shared" si="86"/>
        <v>0</v>
      </c>
      <c r="AG161" s="640"/>
      <c r="AH161" s="641"/>
      <c r="AI161" s="641"/>
      <c r="AJ161" s="641"/>
      <c r="AK161" s="641"/>
      <c r="AL161" s="641"/>
      <c r="AM161" s="641"/>
      <c r="AN161" s="641"/>
      <c r="AO161" s="641"/>
      <c r="AP161" s="641"/>
      <c r="AQ161" s="641"/>
      <c r="AR161" s="642"/>
      <c r="AS161" s="643">
        <f t="shared" si="87"/>
        <v>0</v>
      </c>
      <c r="AT161" s="644"/>
      <c r="AU161" s="638"/>
      <c r="AV161" s="638"/>
      <c r="AW161" s="638"/>
      <c r="AX161" s="638"/>
      <c r="AY161" s="638"/>
      <c r="AZ161" s="638"/>
      <c r="BA161" s="638"/>
      <c r="BB161" s="638"/>
      <c r="BC161" s="638"/>
      <c r="BD161" s="638"/>
      <c r="BE161" s="642">
        <v>94315</v>
      </c>
      <c r="BF161" s="636">
        <f t="shared" si="88"/>
        <v>94315</v>
      </c>
      <c r="BG161" s="644"/>
      <c r="BH161" s="638"/>
      <c r="BI161" s="638"/>
      <c r="BJ161" s="638"/>
      <c r="BK161" s="638"/>
      <c r="BL161" s="638"/>
      <c r="BM161" s="638"/>
      <c r="BN161" s="638"/>
      <c r="BO161" s="638"/>
      <c r="BP161" s="638"/>
      <c r="BQ161" s="638"/>
      <c r="BR161" s="639"/>
      <c r="BS161" s="636">
        <f t="shared" si="89"/>
        <v>0</v>
      </c>
      <c r="BT161" s="644"/>
      <c r="BU161" s="638"/>
      <c r="BV161" s="638"/>
      <c r="BW161" s="638"/>
      <c r="BX161" s="638"/>
      <c r="BY161" s="638"/>
      <c r="BZ161" s="638"/>
      <c r="CA161" s="638"/>
      <c r="CB161" s="638"/>
      <c r="CC161" s="638"/>
      <c r="CD161" s="638"/>
      <c r="CE161" s="639"/>
      <c r="CF161" s="636">
        <f t="shared" si="90"/>
        <v>0</v>
      </c>
      <c r="CG161" s="636"/>
      <c r="CH161" s="636">
        <f t="shared" si="91"/>
        <v>94315</v>
      </c>
      <c r="CI161" s="636">
        <f t="shared" si="92"/>
        <v>0</v>
      </c>
      <c r="CJ161" s="636">
        <f t="shared" si="93"/>
        <v>94315</v>
      </c>
      <c r="CK161" s="636">
        <f t="shared" si="94"/>
        <v>94315</v>
      </c>
      <c r="CL161" s="636">
        <v>94315</v>
      </c>
      <c r="CM161" s="636">
        <f t="shared" si="95"/>
        <v>0</v>
      </c>
    </row>
    <row r="162" spans="1:91" outlineLevel="2">
      <c r="A162" s="500"/>
      <c r="B162" s="526"/>
      <c r="C162" s="1423">
        <f t="shared" si="96"/>
        <v>402.41999999999962</v>
      </c>
      <c r="D162" s="1423"/>
      <c r="E162" s="1423"/>
      <c r="F162" s="631"/>
      <c r="G162" s="631"/>
      <c r="H162" s="648"/>
      <c r="I162" s="648" t="s">
        <v>426</v>
      </c>
      <c r="J162" s="648"/>
      <c r="K162" s="648"/>
      <c r="L162" s="648"/>
      <c r="M162" s="649"/>
      <c r="N162" s="633"/>
      <c r="O162" s="633"/>
      <c r="P162" s="634"/>
      <c r="Q162" s="635"/>
      <c r="R162" s="635"/>
      <c r="S162" s="636"/>
      <c r="T162" s="637"/>
      <c r="U162" s="638"/>
      <c r="V162" s="638"/>
      <c r="W162" s="638"/>
      <c r="X162" s="638"/>
      <c r="Y162" s="638"/>
      <c r="Z162" s="638"/>
      <c r="AA162" s="638"/>
      <c r="AB162" s="638"/>
      <c r="AC162" s="638"/>
      <c r="AD162" s="638"/>
      <c r="AE162" s="639"/>
      <c r="AF162" s="636">
        <f t="shared" si="86"/>
        <v>0</v>
      </c>
      <c r="AG162" s="640"/>
      <c r="AH162" s="641"/>
      <c r="AI162" s="641"/>
      <c r="AJ162" s="641"/>
      <c r="AK162" s="641"/>
      <c r="AL162" s="641"/>
      <c r="AM162" s="641"/>
      <c r="AN162" s="641"/>
      <c r="AO162" s="641"/>
      <c r="AP162" s="641"/>
      <c r="AQ162" s="641"/>
      <c r="AR162" s="642"/>
      <c r="AS162" s="643">
        <f t="shared" si="87"/>
        <v>0</v>
      </c>
      <c r="AT162" s="644"/>
      <c r="AU162" s="638"/>
      <c r="AV162" s="638"/>
      <c r="AW162" s="638"/>
      <c r="AX162" s="638"/>
      <c r="AY162" s="638"/>
      <c r="AZ162" s="638"/>
      <c r="BA162" s="638"/>
      <c r="BB162" s="638"/>
      <c r="BC162" s="638"/>
      <c r="BD162" s="638"/>
      <c r="BE162" s="642">
        <v>28948</v>
      </c>
      <c r="BF162" s="636">
        <f t="shared" si="88"/>
        <v>28948</v>
      </c>
      <c r="BG162" s="644"/>
      <c r="BH162" s="638"/>
      <c r="BI162" s="638"/>
      <c r="BJ162" s="638"/>
      <c r="BK162" s="638"/>
      <c r="BL162" s="638"/>
      <c r="BM162" s="638"/>
      <c r="BN162" s="638"/>
      <c r="BO162" s="638"/>
      <c r="BP162" s="638"/>
      <c r="BQ162" s="638"/>
      <c r="BR162" s="639"/>
      <c r="BS162" s="636">
        <f t="shared" si="89"/>
        <v>0</v>
      </c>
      <c r="BT162" s="644"/>
      <c r="BU162" s="638"/>
      <c r="BV162" s="638"/>
      <c r="BW162" s="638"/>
      <c r="BX162" s="638"/>
      <c r="BY162" s="638"/>
      <c r="BZ162" s="638"/>
      <c r="CA162" s="638"/>
      <c r="CB162" s="638"/>
      <c r="CC162" s="638"/>
      <c r="CD162" s="638"/>
      <c r="CE162" s="639"/>
      <c r="CF162" s="636">
        <f t="shared" si="90"/>
        <v>0</v>
      </c>
      <c r="CG162" s="636"/>
      <c r="CH162" s="636">
        <f t="shared" si="91"/>
        <v>28948</v>
      </c>
      <c r="CI162" s="636">
        <f t="shared" si="92"/>
        <v>0</v>
      </c>
      <c r="CJ162" s="636">
        <f t="shared" si="93"/>
        <v>28948</v>
      </c>
      <c r="CK162" s="636">
        <f t="shared" si="94"/>
        <v>28948</v>
      </c>
      <c r="CL162" s="636">
        <v>28948</v>
      </c>
      <c r="CM162" s="636">
        <f t="shared" si="95"/>
        <v>0</v>
      </c>
    </row>
    <row r="163" spans="1:91" outlineLevel="2">
      <c r="A163" s="500"/>
      <c r="B163" s="526"/>
      <c r="C163" s="1423">
        <f t="shared" si="96"/>
        <v>402.42999999999961</v>
      </c>
      <c r="D163" s="1423"/>
      <c r="E163" s="1423"/>
      <c r="F163" s="631"/>
      <c r="G163" s="631"/>
      <c r="H163" s="648"/>
      <c r="I163" s="648" t="s">
        <v>427</v>
      </c>
      <c r="J163" s="648"/>
      <c r="K163" s="648"/>
      <c r="L163" s="648"/>
      <c r="M163" s="649"/>
      <c r="N163" s="633"/>
      <c r="O163" s="633"/>
      <c r="P163" s="634"/>
      <c r="Q163" s="635"/>
      <c r="R163" s="635"/>
      <c r="S163" s="636"/>
      <c r="T163" s="637"/>
      <c r="U163" s="638"/>
      <c r="V163" s="638"/>
      <c r="W163" s="638"/>
      <c r="X163" s="638"/>
      <c r="Y163" s="638"/>
      <c r="Z163" s="638"/>
      <c r="AA163" s="638"/>
      <c r="AB163" s="638"/>
      <c r="AC163" s="638"/>
      <c r="AD163" s="638"/>
      <c r="AE163" s="639"/>
      <c r="AF163" s="636">
        <f t="shared" si="86"/>
        <v>0</v>
      </c>
      <c r="AG163" s="640"/>
      <c r="AH163" s="641"/>
      <c r="AI163" s="641"/>
      <c r="AJ163" s="641"/>
      <c r="AK163" s="641"/>
      <c r="AL163" s="641"/>
      <c r="AM163" s="641"/>
      <c r="AN163" s="641"/>
      <c r="AO163" s="641"/>
      <c r="AP163" s="641"/>
      <c r="AQ163" s="641"/>
      <c r="AR163" s="642"/>
      <c r="AS163" s="643">
        <f t="shared" si="87"/>
        <v>0</v>
      </c>
      <c r="AT163" s="644"/>
      <c r="AU163" s="638"/>
      <c r="AV163" s="638"/>
      <c r="AW163" s="638"/>
      <c r="AX163" s="638"/>
      <c r="AY163" s="638"/>
      <c r="AZ163" s="638"/>
      <c r="BA163" s="638"/>
      <c r="BB163" s="638"/>
      <c r="BC163" s="638"/>
      <c r="BD163" s="638"/>
      <c r="BE163" s="642">
        <v>-2088</v>
      </c>
      <c r="BF163" s="636">
        <f t="shared" si="88"/>
        <v>-2088</v>
      </c>
      <c r="BG163" s="644"/>
      <c r="BH163" s="638"/>
      <c r="BI163" s="638"/>
      <c r="BJ163" s="638"/>
      <c r="BK163" s="638"/>
      <c r="BL163" s="638"/>
      <c r="BM163" s="638"/>
      <c r="BN163" s="638"/>
      <c r="BO163" s="638"/>
      <c r="BP163" s="638"/>
      <c r="BQ163" s="638"/>
      <c r="BR163" s="639"/>
      <c r="BS163" s="636">
        <f t="shared" si="89"/>
        <v>0</v>
      </c>
      <c r="BT163" s="644"/>
      <c r="BU163" s="638"/>
      <c r="BV163" s="638"/>
      <c r="BW163" s="638"/>
      <c r="BX163" s="638"/>
      <c r="BY163" s="638"/>
      <c r="BZ163" s="638"/>
      <c r="CA163" s="638"/>
      <c r="CB163" s="638"/>
      <c r="CC163" s="638"/>
      <c r="CD163" s="638"/>
      <c r="CE163" s="639"/>
      <c r="CF163" s="636">
        <f t="shared" si="90"/>
        <v>0</v>
      </c>
      <c r="CG163" s="636"/>
      <c r="CH163" s="636">
        <f t="shared" si="91"/>
        <v>-2088</v>
      </c>
      <c r="CI163" s="636">
        <f t="shared" si="92"/>
        <v>0</v>
      </c>
      <c r="CJ163" s="636">
        <f t="shared" si="93"/>
        <v>-2088</v>
      </c>
      <c r="CK163" s="636">
        <f t="shared" si="94"/>
        <v>-2088</v>
      </c>
      <c r="CL163" s="636">
        <v>-2088</v>
      </c>
      <c r="CM163" s="636">
        <f t="shared" si="95"/>
        <v>0</v>
      </c>
    </row>
    <row r="164" spans="1:91" outlineLevel="2">
      <c r="A164" s="500"/>
      <c r="B164" s="526"/>
      <c r="C164" s="1423">
        <f t="shared" si="96"/>
        <v>402.4399999999996</v>
      </c>
      <c r="D164" s="1423"/>
      <c r="E164" s="1423"/>
      <c r="F164" s="631"/>
      <c r="G164" s="631"/>
      <c r="H164" s="648"/>
      <c r="I164" s="648" t="s">
        <v>428</v>
      </c>
      <c r="J164" s="648"/>
      <c r="K164" s="648"/>
      <c r="L164" s="648"/>
      <c r="M164" s="649"/>
      <c r="N164" s="633"/>
      <c r="O164" s="633"/>
      <c r="P164" s="634"/>
      <c r="Q164" s="635"/>
      <c r="R164" s="635"/>
      <c r="S164" s="636"/>
      <c r="T164" s="637"/>
      <c r="U164" s="638"/>
      <c r="V164" s="638"/>
      <c r="W164" s="638"/>
      <c r="X164" s="638"/>
      <c r="Y164" s="638"/>
      <c r="Z164" s="638"/>
      <c r="AA164" s="638"/>
      <c r="AB164" s="638"/>
      <c r="AC164" s="638"/>
      <c r="AD164" s="638"/>
      <c r="AE164" s="639"/>
      <c r="AF164" s="636">
        <f t="shared" si="86"/>
        <v>0</v>
      </c>
      <c r="AG164" s="640"/>
      <c r="AH164" s="641"/>
      <c r="AI164" s="641"/>
      <c r="AJ164" s="641"/>
      <c r="AK164" s="641"/>
      <c r="AL164" s="641"/>
      <c r="AM164" s="641"/>
      <c r="AN164" s="641"/>
      <c r="AO164" s="641"/>
      <c r="AP164" s="641"/>
      <c r="AQ164" s="641"/>
      <c r="AR164" s="642"/>
      <c r="AS164" s="643">
        <f t="shared" si="87"/>
        <v>0</v>
      </c>
      <c r="AT164" s="644"/>
      <c r="AU164" s="638"/>
      <c r="AV164" s="638"/>
      <c r="AW164" s="638"/>
      <c r="AX164" s="638"/>
      <c r="AY164" s="638"/>
      <c r="AZ164" s="638"/>
      <c r="BA164" s="638"/>
      <c r="BB164" s="638"/>
      <c r="BC164" s="638"/>
      <c r="BD164" s="638"/>
      <c r="BE164" s="642">
        <v>10791</v>
      </c>
      <c r="BF164" s="636">
        <f t="shared" si="88"/>
        <v>10791</v>
      </c>
      <c r="BG164" s="644"/>
      <c r="BH164" s="638"/>
      <c r="BI164" s="638"/>
      <c r="BJ164" s="638"/>
      <c r="BK164" s="638"/>
      <c r="BL164" s="638"/>
      <c r="BM164" s="638"/>
      <c r="BN164" s="638"/>
      <c r="BO164" s="638"/>
      <c r="BP164" s="638"/>
      <c r="BQ164" s="638"/>
      <c r="BR164" s="639"/>
      <c r="BS164" s="636">
        <f t="shared" si="89"/>
        <v>0</v>
      </c>
      <c r="BT164" s="644"/>
      <c r="BU164" s="638"/>
      <c r="BV164" s="638"/>
      <c r="BW164" s="638"/>
      <c r="BX164" s="638"/>
      <c r="BY164" s="638"/>
      <c r="BZ164" s="638"/>
      <c r="CA164" s="638"/>
      <c r="CB164" s="638"/>
      <c r="CC164" s="638"/>
      <c r="CD164" s="638"/>
      <c r="CE164" s="639"/>
      <c r="CF164" s="636">
        <f t="shared" si="90"/>
        <v>0</v>
      </c>
      <c r="CG164" s="636"/>
      <c r="CH164" s="636">
        <f t="shared" si="91"/>
        <v>10791</v>
      </c>
      <c r="CI164" s="636">
        <f t="shared" si="92"/>
        <v>0</v>
      </c>
      <c r="CJ164" s="636">
        <f t="shared" si="93"/>
        <v>10791</v>
      </c>
      <c r="CK164" s="636">
        <f t="shared" si="94"/>
        <v>10791</v>
      </c>
      <c r="CL164" s="636">
        <v>10791</v>
      </c>
      <c r="CM164" s="636">
        <f t="shared" si="95"/>
        <v>0</v>
      </c>
    </row>
    <row r="165" spans="1:91" outlineLevel="2">
      <c r="A165" s="500"/>
      <c r="B165" s="526"/>
      <c r="C165" s="1423">
        <f t="shared" si="96"/>
        <v>402.44999999999959</v>
      </c>
      <c r="D165" s="1423"/>
      <c r="E165" s="1423"/>
      <c r="F165" s="631"/>
      <c r="G165" s="631"/>
      <c r="H165" s="648"/>
      <c r="I165" s="648" t="s">
        <v>429</v>
      </c>
      <c r="J165" s="648"/>
      <c r="K165" s="648"/>
      <c r="L165" s="648"/>
      <c r="M165" s="649"/>
      <c r="N165" s="633"/>
      <c r="O165" s="633"/>
      <c r="P165" s="634"/>
      <c r="Q165" s="635"/>
      <c r="R165" s="635"/>
      <c r="S165" s="636"/>
      <c r="T165" s="637"/>
      <c r="U165" s="638"/>
      <c r="V165" s="638"/>
      <c r="W165" s="638"/>
      <c r="X165" s="638"/>
      <c r="Y165" s="638"/>
      <c r="Z165" s="638"/>
      <c r="AA165" s="638"/>
      <c r="AB165" s="638"/>
      <c r="AC165" s="638"/>
      <c r="AD165" s="638"/>
      <c r="AE165" s="639"/>
      <c r="AF165" s="636">
        <f t="shared" si="86"/>
        <v>0</v>
      </c>
      <c r="AG165" s="640"/>
      <c r="AH165" s="641"/>
      <c r="AI165" s="641"/>
      <c r="AJ165" s="641"/>
      <c r="AK165" s="641"/>
      <c r="AL165" s="641"/>
      <c r="AM165" s="641"/>
      <c r="AN165" s="641"/>
      <c r="AO165" s="641"/>
      <c r="AP165" s="641"/>
      <c r="AQ165" s="641"/>
      <c r="AR165" s="642"/>
      <c r="AS165" s="643">
        <f t="shared" si="87"/>
        <v>0</v>
      </c>
      <c r="AT165" s="644"/>
      <c r="AU165" s="638"/>
      <c r="AV165" s="638"/>
      <c r="AW165" s="638"/>
      <c r="AX165" s="638"/>
      <c r="AY165" s="638"/>
      <c r="AZ165" s="638"/>
      <c r="BA165" s="638"/>
      <c r="BB165" s="638"/>
      <c r="BC165" s="638"/>
      <c r="BD165" s="638"/>
      <c r="BE165" s="642">
        <v>5485</v>
      </c>
      <c r="BF165" s="636">
        <f t="shared" si="88"/>
        <v>5485</v>
      </c>
      <c r="BG165" s="644"/>
      <c r="BH165" s="638"/>
      <c r="BI165" s="638"/>
      <c r="BJ165" s="638"/>
      <c r="BK165" s="638"/>
      <c r="BL165" s="638"/>
      <c r="BM165" s="638"/>
      <c r="BN165" s="638"/>
      <c r="BO165" s="638"/>
      <c r="BP165" s="638"/>
      <c r="BQ165" s="638"/>
      <c r="BR165" s="639"/>
      <c r="BS165" s="636">
        <f t="shared" si="89"/>
        <v>0</v>
      </c>
      <c r="BT165" s="644"/>
      <c r="BU165" s="638"/>
      <c r="BV165" s="638"/>
      <c r="BW165" s="638"/>
      <c r="BX165" s="638"/>
      <c r="BY165" s="638"/>
      <c r="BZ165" s="638"/>
      <c r="CA165" s="638"/>
      <c r="CB165" s="638"/>
      <c r="CC165" s="638"/>
      <c r="CD165" s="638"/>
      <c r="CE165" s="639"/>
      <c r="CF165" s="636">
        <f t="shared" si="90"/>
        <v>0</v>
      </c>
      <c r="CG165" s="636"/>
      <c r="CH165" s="636">
        <f t="shared" si="91"/>
        <v>5485</v>
      </c>
      <c r="CI165" s="636">
        <f t="shared" si="92"/>
        <v>0</v>
      </c>
      <c r="CJ165" s="636">
        <f t="shared" si="93"/>
        <v>5485</v>
      </c>
      <c r="CK165" s="636">
        <f t="shared" si="94"/>
        <v>5485</v>
      </c>
      <c r="CL165" s="636">
        <v>5485</v>
      </c>
      <c r="CM165" s="636">
        <f t="shared" si="95"/>
        <v>0</v>
      </c>
    </row>
    <row r="166" spans="1:91" outlineLevel="2">
      <c r="A166" s="500"/>
      <c r="B166" s="526"/>
      <c r="C166" s="1423">
        <f t="shared" si="96"/>
        <v>402.45999999999958</v>
      </c>
      <c r="D166" s="1423"/>
      <c r="E166" s="1423"/>
      <c r="F166" s="631"/>
      <c r="G166" s="631"/>
      <c r="H166" s="648"/>
      <c r="I166" s="648" t="s">
        <v>430</v>
      </c>
      <c r="J166" s="648"/>
      <c r="K166" s="648"/>
      <c r="L166" s="648"/>
      <c r="M166" s="649"/>
      <c r="N166" s="633"/>
      <c r="O166" s="633"/>
      <c r="P166" s="634"/>
      <c r="Q166" s="635"/>
      <c r="R166" s="635"/>
      <c r="S166" s="636"/>
      <c r="T166" s="637"/>
      <c r="U166" s="638"/>
      <c r="V166" s="638"/>
      <c r="W166" s="638"/>
      <c r="X166" s="638"/>
      <c r="Y166" s="638"/>
      <c r="Z166" s="638"/>
      <c r="AA166" s="638"/>
      <c r="AB166" s="638"/>
      <c r="AC166" s="638"/>
      <c r="AD166" s="638"/>
      <c r="AE166" s="639"/>
      <c r="AF166" s="636">
        <f t="shared" si="86"/>
        <v>0</v>
      </c>
      <c r="AG166" s="640"/>
      <c r="AH166" s="641"/>
      <c r="AI166" s="641"/>
      <c r="AJ166" s="641"/>
      <c r="AK166" s="641"/>
      <c r="AL166" s="641"/>
      <c r="AM166" s="641"/>
      <c r="AN166" s="641"/>
      <c r="AO166" s="641"/>
      <c r="AP166" s="641"/>
      <c r="AQ166" s="641"/>
      <c r="AR166" s="642"/>
      <c r="AS166" s="643">
        <f t="shared" si="87"/>
        <v>0</v>
      </c>
      <c r="AT166" s="644"/>
      <c r="AU166" s="638"/>
      <c r="AV166" s="638"/>
      <c r="AW166" s="638"/>
      <c r="AX166" s="638"/>
      <c r="AY166" s="638"/>
      <c r="AZ166" s="638"/>
      <c r="BA166" s="638"/>
      <c r="BB166" s="638"/>
      <c r="BC166" s="638"/>
      <c r="BD166" s="638"/>
      <c r="BE166" s="642">
        <v>14001</v>
      </c>
      <c r="BF166" s="636">
        <f t="shared" si="88"/>
        <v>14001</v>
      </c>
      <c r="BG166" s="644"/>
      <c r="BH166" s="638"/>
      <c r="BI166" s="638"/>
      <c r="BJ166" s="638"/>
      <c r="BK166" s="638"/>
      <c r="BL166" s="638"/>
      <c r="BM166" s="638"/>
      <c r="BN166" s="638"/>
      <c r="BO166" s="638"/>
      <c r="BP166" s="638"/>
      <c r="BQ166" s="638"/>
      <c r="BR166" s="639"/>
      <c r="BS166" s="636">
        <f t="shared" si="89"/>
        <v>0</v>
      </c>
      <c r="BT166" s="644"/>
      <c r="BU166" s="638"/>
      <c r="BV166" s="638"/>
      <c r="BW166" s="638"/>
      <c r="BX166" s="638"/>
      <c r="BY166" s="638"/>
      <c r="BZ166" s="638"/>
      <c r="CA166" s="638"/>
      <c r="CB166" s="638"/>
      <c r="CC166" s="638"/>
      <c r="CD166" s="638"/>
      <c r="CE166" s="639"/>
      <c r="CF166" s="636">
        <f t="shared" si="90"/>
        <v>0</v>
      </c>
      <c r="CG166" s="636"/>
      <c r="CH166" s="636">
        <f t="shared" si="91"/>
        <v>14001</v>
      </c>
      <c r="CI166" s="636">
        <f t="shared" si="92"/>
        <v>0</v>
      </c>
      <c r="CJ166" s="636">
        <f t="shared" si="93"/>
        <v>14001</v>
      </c>
      <c r="CK166" s="636">
        <f t="shared" si="94"/>
        <v>14001</v>
      </c>
      <c r="CL166" s="636">
        <v>14001</v>
      </c>
      <c r="CM166" s="636">
        <f t="shared" si="95"/>
        <v>0</v>
      </c>
    </row>
    <row r="167" spans="1:91" outlineLevel="2">
      <c r="A167" s="500"/>
      <c r="B167" s="526"/>
      <c r="C167" s="1423">
        <f t="shared" si="96"/>
        <v>402.46999999999957</v>
      </c>
      <c r="D167" s="1423"/>
      <c r="E167" s="1423"/>
      <c r="F167" s="631"/>
      <c r="G167" s="631"/>
      <c r="H167" s="648"/>
      <c r="I167" s="648" t="s">
        <v>431</v>
      </c>
      <c r="J167" s="648"/>
      <c r="K167" s="648"/>
      <c r="L167" s="648"/>
      <c r="M167" s="649"/>
      <c r="N167" s="633"/>
      <c r="O167" s="633"/>
      <c r="P167" s="634"/>
      <c r="Q167" s="635"/>
      <c r="R167" s="635"/>
      <c r="S167" s="636"/>
      <c r="T167" s="637"/>
      <c r="U167" s="638"/>
      <c r="V167" s="638"/>
      <c r="W167" s="638"/>
      <c r="X167" s="638"/>
      <c r="Y167" s="638"/>
      <c r="Z167" s="638"/>
      <c r="AA167" s="638"/>
      <c r="AB167" s="638"/>
      <c r="AC167" s="638"/>
      <c r="AD167" s="638"/>
      <c r="AE167" s="639"/>
      <c r="AF167" s="636">
        <f t="shared" si="86"/>
        <v>0</v>
      </c>
      <c r="AG167" s="640"/>
      <c r="AH167" s="641"/>
      <c r="AI167" s="641"/>
      <c r="AJ167" s="641"/>
      <c r="AK167" s="641"/>
      <c r="AL167" s="641"/>
      <c r="AM167" s="641"/>
      <c r="AN167" s="641"/>
      <c r="AO167" s="641"/>
      <c r="AP167" s="641"/>
      <c r="AQ167" s="641"/>
      <c r="AR167" s="642"/>
      <c r="AS167" s="643">
        <f t="shared" si="87"/>
        <v>0</v>
      </c>
      <c r="AT167" s="644"/>
      <c r="AU167" s="638"/>
      <c r="AV167" s="638"/>
      <c r="AW167" s="638"/>
      <c r="AX167" s="638"/>
      <c r="AY167" s="638"/>
      <c r="AZ167" s="638"/>
      <c r="BA167" s="638"/>
      <c r="BB167" s="638"/>
      <c r="BC167" s="638"/>
      <c r="BD167" s="638"/>
      <c r="BE167" s="642">
        <v>37142</v>
      </c>
      <c r="BF167" s="636">
        <f t="shared" si="88"/>
        <v>37142</v>
      </c>
      <c r="BG167" s="640"/>
      <c r="BH167" s="638"/>
      <c r="BI167" s="644"/>
      <c r="BJ167" s="638"/>
      <c r="BK167" s="638"/>
      <c r="BL167" s="638"/>
      <c r="BM167" s="638"/>
      <c r="BN167" s="638"/>
      <c r="BO167" s="638"/>
      <c r="BP167" s="638"/>
      <c r="BQ167" s="638"/>
      <c r="BR167" s="639"/>
      <c r="BS167" s="636">
        <f t="shared" si="89"/>
        <v>0</v>
      </c>
      <c r="BT167" s="644"/>
      <c r="BU167" s="638"/>
      <c r="BV167" s="638"/>
      <c r="BW167" s="638"/>
      <c r="BX167" s="638"/>
      <c r="BY167" s="638"/>
      <c r="BZ167" s="638"/>
      <c r="CA167" s="638"/>
      <c r="CB167" s="638"/>
      <c r="CC167" s="638"/>
      <c r="CD167" s="638"/>
      <c r="CE167" s="639"/>
      <c r="CF167" s="636">
        <f t="shared" si="90"/>
        <v>0</v>
      </c>
      <c r="CG167" s="636"/>
      <c r="CH167" s="636">
        <f t="shared" si="91"/>
        <v>37142</v>
      </c>
      <c r="CI167" s="636">
        <f t="shared" si="92"/>
        <v>0</v>
      </c>
      <c r="CJ167" s="636">
        <f t="shared" si="93"/>
        <v>37142</v>
      </c>
      <c r="CK167" s="636">
        <f t="shared" si="94"/>
        <v>37142</v>
      </c>
      <c r="CL167" s="636">
        <v>37142</v>
      </c>
      <c r="CM167" s="636">
        <f t="shared" si="95"/>
        <v>0</v>
      </c>
    </row>
    <row r="168" spans="1:91" outlineLevel="2">
      <c r="A168" s="500"/>
      <c r="B168" s="526"/>
      <c r="C168" s="1423">
        <f t="shared" si="96"/>
        <v>402.47999999999956</v>
      </c>
      <c r="D168" s="1423"/>
      <c r="E168" s="1423"/>
      <c r="F168" s="631"/>
      <c r="G168" s="631"/>
      <c r="H168" s="648"/>
      <c r="I168" s="648" t="s">
        <v>432</v>
      </c>
      <c r="J168" s="648"/>
      <c r="K168" s="648"/>
      <c r="L168" s="648"/>
      <c r="M168" s="649"/>
      <c r="N168" s="633"/>
      <c r="O168" s="633"/>
      <c r="P168" s="634"/>
      <c r="Q168" s="635"/>
      <c r="R168" s="635"/>
      <c r="S168" s="636"/>
      <c r="T168" s="637"/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636">
        <f t="shared" si="86"/>
        <v>0</v>
      </c>
      <c r="AG168" s="640"/>
      <c r="AH168" s="641"/>
      <c r="AI168" s="641"/>
      <c r="AJ168" s="641"/>
      <c r="AK168" s="641"/>
      <c r="AL168" s="641"/>
      <c r="AM168" s="641"/>
      <c r="AN168" s="641"/>
      <c r="AO168" s="641"/>
      <c r="AP168" s="641"/>
      <c r="AQ168" s="641"/>
      <c r="AR168" s="642"/>
      <c r="AS168" s="643">
        <f t="shared" si="87"/>
        <v>0</v>
      </c>
      <c r="AT168" s="644"/>
      <c r="AU168" s="638"/>
      <c r="AV168" s="638"/>
      <c r="AW168" s="638"/>
      <c r="AX168" s="638"/>
      <c r="AY168" s="638"/>
      <c r="AZ168" s="638"/>
      <c r="BA168" s="638"/>
      <c r="BB168" s="638"/>
      <c r="BC168" s="638"/>
      <c r="BD168" s="638"/>
      <c r="BE168" s="642"/>
      <c r="BF168" s="636">
        <f t="shared" si="88"/>
        <v>0</v>
      </c>
      <c r="BG168" s="642"/>
      <c r="BH168" s="638"/>
      <c r="BI168" s="642"/>
      <c r="BJ168" s="638"/>
      <c r="BK168" s="638"/>
      <c r="BL168" s="638"/>
      <c r="BM168" s="638"/>
      <c r="BN168" s="638"/>
      <c r="BO168" s="638"/>
      <c r="BP168" s="638"/>
      <c r="BQ168" s="638"/>
      <c r="BR168" s="639"/>
      <c r="BS168" s="636">
        <f t="shared" si="89"/>
        <v>0</v>
      </c>
      <c r="BT168" s="644"/>
      <c r="BU168" s="638"/>
      <c r="BV168" s="638"/>
      <c r="BW168" s="638"/>
      <c r="BX168" s="638"/>
      <c r="BY168" s="638"/>
      <c r="BZ168" s="638"/>
      <c r="CA168" s="638"/>
      <c r="CB168" s="638"/>
      <c r="CC168" s="638"/>
      <c r="CD168" s="638"/>
      <c r="CE168" s="639"/>
      <c r="CF168" s="636">
        <f t="shared" si="90"/>
        <v>0</v>
      </c>
      <c r="CG168" s="636"/>
      <c r="CH168" s="636">
        <f t="shared" si="91"/>
        <v>0</v>
      </c>
      <c r="CI168" s="636">
        <f t="shared" si="92"/>
        <v>0</v>
      </c>
      <c r="CJ168" s="636">
        <f t="shared" si="93"/>
        <v>0</v>
      </c>
      <c r="CK168" s="636">
        <f t="shared" si="94"/>
        <v>0</v>
      </c>
      <c r="CL168" s="636">
        <v>0</v>
      </c>
      <c r="CM168" s="636">
        <f t="shared" si="95"/>
        <v>0</v>
      </c>
    </row>
    <row r="169" spans="1:91" outlineLevel="2">
      <c r="A169" s="500"/>
      <c r="B169" s="526"/>
      <c r="C169" s="1423">
        <f t="shared" si="96"/>
        <v>402.48999999999955</v>
      </c>
      <c r="D169" s="1423"/>
      <c r="E169" s="1423"/>
      <c r="F169" s="631"/>
      <c r="G169" s="631"/>
      <c r="H169" s="648"/>
      <c r="I169" s="648" t="s">
        <v>433</v>
      </c>
      <c r="J169" s="648"/>
      <c r="K169" s="648"/>
      <c r="L169" s="648"/>
      <c r="M169" s="649"/>
      <c r="N169" s="633"/>
      <c r="O169" s="633"/>
      <c r="P169" s="634"/>
      <c r="Q169" s="635"/>
      <c r="R169" s="635"/>
      <c r="S169" s="636"/>
      <c r="T169" s="637"/>
      <c r="U169" s="638"/>
      <c r="V169" s="638"/>
      <c r="W169" s="638"/>
      <c r="X169" s="638"/>
      <c r="Y169" s="638"/>
      <c r="Z169" s="638"/>
      <c r="AA169" s="638"/>
      <c r="AB169" s="638"/>
      <c r="AC169" s="638"/>
      <c r="AD169" s="638"/>
      <c r="AE169" s="639"/>
      <c r="AF169" s="636">
        <f t="shared" si="86"/>
        <v>0</v>
      </c>
      <c r="AG169" s="640"/>
      <c r="AH169" s="641"/>
      <c r="AI169" s="641"/>
      <c r="AJ169" s="641"/>
      <c r="AK169" s="641"/>
      <c r="AL169" s="641"/>
      <c r="AM169" s="641"/>
      <c r="AN169" s="641"/>
      <c r="AO169" s="641"/>
      <c r="AP169" s="641"/>
      <c r="AQ169" s="641"/>
      <c r="AR169" s="642"/>
      <c r="AS169" s="643">
        <f t="shared" si="87"/>
        <v>0</v>
      </c>
      <c r="AT169" s="644"/>
      <c r="AU169" s="638"/>
      <c r="AV169" s="638"/>
      <c r="AW169" s="638"/>
      <c r="AX169" s="638"/>
      <c r="AY169" s="638"/>
      <c r="AZ169" s="638"/>
      <c r="BA169" s="638"/>
      <c r="BB169" s="638"/>
      <c r="BC169" s="638"/>
      <c r="BD169" s="638"/>
      <c r="BE169" s="642">
        <v>9903</v>
      </c>
      <c r="BF169" s="636">
        <f t="shared" si="88"/>
        <v>9903</v>
      </c>
      <c r="BG169" s="640"/>
      <c r="BH169" s="638"/>
      <c r="BI169" s="640"/>
      <c r="BJ169" s="638"/>
      <c r="BK169" s="638"/>
      <c r="BL169" s="638"/>
      <c r="BM169" s="638"/>
      <c r="BN169" s="638"/>
      <c r="BO169" s="638"/>
      <c r="BP169" s="638"/>
      <c r="BQ169" s="638"/>
      <c r="BR169" s="639"/>
      <c r="BS169" s="636">
        <f t="shared" si="89"/>
        <v>0</v>
      </c>
      <c r="BT169" s="644"/>
      <c r="BU169" s="638"/>
      <c r="BV169" s="638"/>
      <c r="BW169" s="638"/>
      <c r="BX169" s="638"/>
      <c r="BY169" s="638"/>
      <c r="BZ169" s="638"/>
      <c r="CA169" s="638"/>
      <c r="CB169" s="638"/>
      <c r="CC169" s="638"/>
      <c r="CD169" s="638"/>
      <c r="CE169" s="639"/>
      <c r="CF169" s="636">
        <f t="shared" si="90"/>
        <v>0</v>
      </c>
      <c r="CG169" s="636"/>
      <c r="CH169" s="636">
        <f t="shared" si="91"/>
        <v>9903</v>
      </c>
      <c r="CI169" s="636">
        <f t="shared" si="92"/>
        <v>0</v>
      </c>
      <c r="CJ169" s="636">
        <f t="shared" si="93"/>
        <v>9903</v>
      </c>
      <c r="CK169" s="636">
        <f t="shared" si="94"/>
        <v>9903</v>
      </c>
      <c r="CL169" s="636">
        <v>9903</v>
      </c>
      <c r="CM169" s="636">
        <f t="shared" si="95"/>
        <v>0</v>
      </c>
    </row>
    <row r="170" spans="1:91" outlineLevel="2">
      <c r="A170" s="500"/>
      <c r="B170" s="526"/>
      <c r="C170" s="1423">
        <f t="shared" si="96"/>
        <v>402.49999999999955</v>
      </c>
      <c r="D170" s="1423"/>
      <c r="E170" s="1423"/>
      <c r="F170" s="631"/>
      <c r="G170" s="631"/>
      <c r="H170" s="648"/>
      <c r="I170" s="648" t="s">
        <v>434</v>
      </c>
      <c r="J170" s="648"/>
      <c r="K170" s="648"/>
      <c r="L170" s="648"/>
      <c r="M170" s="649"/>
      <c r="N170" s="633"/>
      <c r="O170" s="633"/>
      <c r="P170" s="634"/>
      <c r="Q170" s="635"/>
      <c r="R170" s="635"/>
      <c r="S170" s="636"/>
      <c r="T170" s="637"/>
      <c r="U170" s="638"/>
      <c r="V170" s="638"/>
      <c r="W170" s="638"/>
      <c r="X170" s="638"/>
      <c r="Y170" s="638"/>
      <c r="Z170" s="638"/>
      <c r="AA170" s="638"/>
      <c r="AB170" s="638"/>
      <c r="AC170" s="638"/>
      <c r="AD170" s="638"/>
      <c r="AE170" s="639"/>
      <c r="AF170" s="636">
        <f t="shared" si="86"/>
        <v>0</v>
      </c>
      <c r="AG170" s="640"/>
      <c r="AH170" s="641"/>
      <c r="AI170" s="641"/>
      <c r="AJ170" s="641"/>
      <c r="AK170" s="641"/>
      <c r="AL170" s="641"/>
      <c r="AM170" s="641"/>
      <c r="AN170" s="641"/>
      <c r="AO170" s="641"/>
      <c r="AP170" s="641"/>
      <c r="AQ170" s="641"/>
      <c r="AR170" s="642"/>
      <c r="AS170" s="643">
        <f t="shared" si="87"/>
        <v>0</v>
      </c>
      <c r="AT170" s="644"/>
      <c r="AU170" s="638"/>
      <c r="AV170" s="638"/>
      <c r="AW170" s="638"/>
      <c r="AX170" s="638"/>
      <c r="AY170" s="638"/>
      <c r="AZ170" s="638"/>
      <c r="BA170" s="638"/>
      <c r="BB170" s="638"/>
      <c r="BC170" s="638"/>
      <c r="BD170" s="638"/>
      <c r="BE170" s="642">
        <v>16291</v>
      </c>
      <c r="BF170" s="636">
        <f t="shared" si="88"/>
        <v>16291</v>
      </c>
      <c r="BG170" s="640"/>
      <c r="BH170" s="638"/>
      <c r="BI170" s="640"/>
      <c r="BJ170" s="638"/>
      <c r="BK170" s="638"/>
      <c r="BL170" s="638"/>
      <c r="BM170" s="638"/>
      <c r="BN170" s="638"/>
      <c r="BO170" s="638"/>
      <c r="BP170" s="638"/>
      <c r="BQ170" s="638"/>
      <c r="BR170" s="639"/>
      <c r="BS170" s="636">
        <f t="shared" si="89"/>
        <v>0</v>
      </c>
      <c r="BT170" s="644"/>
      <c r="BU170" s="638"/>
      <c r="BV170" s="638"/>
      <c r="BW170" s="638"/>
      <c r="BX170" s="638"/>
      <c r="BY170" s="638"/>
      <c r="BZ170" s="638"/>
      <c r="CA170" s="638"/>
      <c r="CB170" s="638"/>
      <c r="CC170" s="638"/>
      <c r="CD170" s="638"/>
      <c r="CE170" s="639"/>
      <c r="CF170" s="636">
        <f t="shared" si="90"/>
        <v>0</v>
      </c>
      <c r="CG170" s="636"/>
      <c r="CH170" s="636">
        <f t="shared" si="91"/>
        <v>16291</v>
      </c>
      <c r="CI170" s="636">
        <f t="shared" si="92"/>
        <v>0</v>
      </c>
      <c r="CJ170" s="636">
        <f t="shared" si="93"/>
        <v>16291</v>
      </c>
      <c r="CK170" s="636">
        <f t="shared" si="94"/>
        <v>16291</v>
      </c>
      <c r="CL170" s="636">
        <v>16291</v>
      </c>
      <c r="CM170" s="636">
        <f t="shared" si="95"/>
        <v>0</v>
      </c>
    </row>
    <row r="171" spans="1:91" outlineLevel="2">
      <c r="A171" s="500"/>
      <c r="B171" s="526"/>
      <c r="C171" s="1423">
        <f t="shared" si="96"/>
        <v>402.50999999999954</v>
      </c>
      <c r="D171" s="1423"/>
      <c r="E171" s="1423"/>
      <c r="F171" s="631"/>
      <c r="G171" s="631"/>
      <c r="H171" s="648"/>
      <c r="I171" s="648" t="s">
        <v>435</v>
      </c>
      <c r="J171" s="648"/>
      <c r="K171" s="648"/>
      <c r="L171" s="648"/>
      <c r="M171" s="649"/>
      <c r="N171" s="633"/>
      <c r="O171" s="633"/>
      <c r="P171" s="634"/>
      <c r="Q171" s="635"/>
      <c r="R171" s="635"/>
      <c r="S171" s="636"/>
      <c r="T171" s="637"/>
      <c r="U171" s="638"/>
      <c r="V171" s="638"/>
      <c r="W171" s="638"/>
      <c r="X171" s="638"/>
      <c r="Y171" s="638"/>
      <c r="Z171" s="638"/>
      <c r="AA171" s="638"/>
      <c r="AB171" s="638"/>
      <c r="AC171" s="638"/>
      <c r="AD171" s="638"/>
      <c r="AE171" s="639"/>
      <c r="AF171" s="636">
        <f t="shared" si="86"/>
        <v>0</v>
      </c>
      <c r="AG171" s="640"/>
      <c r="AH171" s="641"/>
      <c r="AI171" s="641"/>
      <c r="AJ171" s="641"/>
      <c r="AK171" s="641"/>
      <c r="AL171" s="641"/>
      <c r="AM171" s="641"/>
      <c r="AN171" s="641"/>
      <c r="AO171" s="641"/>
      <c r="AP171" s="641"/>
      <c r="AQ171" s="641"/>
      <c r="AR171" s="642"/>
      <c r="AS171" s="643">
        <f t="shared" si="87"/>
        <v>0</v>
      </c>
      <c r="AT171" s="644"/>
      <c r="AU171" s="638"/>
      <c r="AV171" s="638"/>
      <c r="AW171" s="638"/>
      <c r="AX171" s="638"/>
      <c r="AY171" s="638"/>
      <c r="AZ171" s="638"/>
      <c r="BA171" s="638"/>
      <c r="BB171" s="638"/>
      <c r="BC171" s="638"/>
      <c r="BD171" s="638"/>
      <c r="BE171" s="642">
        <v>6089</v>
      </c>
      <c r="BF171" s="636">
        <f t="shared" si="88"/>
        <v>6089</v>
      </c>
      <c r="BG171" s="640"/>
      <c r="BH171" s="638"/>
      <c r="BI171" s="640"/>
      <c r="BJ171" s="638"/>
      <c r="BK171" s="638"/>
      <c r="BL171" s="638"/>
      <c r="BM171" s="638"/>
      <c r="BN171" s="638"/>
      <c r="BO171" s="638"/>
      <c r="BP171" s="638"/>
      <c r="BQ171" s="638"/>
      <c r="BR171" s="639"/>
      <c r="BS171" s="636">
        <f t="shared" si="89"/>
        <v>0</v>
      </c>
      <c r="BT171" s="644"/>
      <c r="BU171" s="638"/>
      <c r="BV171" s="638"/>
      <c r="BW171" s="638"/>
      <c r="BX171" s="638"/>
      <c r="BY171" s="638"/>
      <c r="BZ171" s="638"/>
      <c r="CA171" s="638"/>
      <c r="CB171" s="638"/>
      <c r="CC171" s="638"/>
      <c r="CD171" s="638"/>
      <c r="CE171" s="639"/>
      <c r="CF171" s="636">
        <f t="shared" si="90"/>
        <v>0</v>
      </c>
      <c r="CG171" s="636"/>
      <c r="CH171" s="636">
        <f t="shared" si="91"/>
        <v>6089</v>
      </c>
      <c r="CI171" s="636">
        <f t="shared" si="92"/>
        <v>0</v>
      </c>
      <c r="CJ171" s="636">
        <f t="shared" si="93"/>
        <v>6089</v>
      </c>
      <c r="CK171" s="636">
        <f t="shared" si="94"/>
        <v>6089</v>
      </c>
      <c r="CL171" s="636">
        <v>6089</v>
      </c>
      <c r="CM171" s="636">
        <f t="shared" si="95"/>
        <v>0</v>
      </c>
    </row>
    <row r="172" spans="1:91" outlineLevel="2">
      <c r="A172" s="500"/>
      <c r="B172" s="526"/>
      <c r="C172" s="1423">
        <f t="shared" si="96"/>
        <v>402.51999999999953</v>
      </c>
      <c r="D172" s="1423"/>
      <c r="E172" s="1423"/>
      <c r="F172" s="631"/>
      <c r="G172" s="631"/>
      <c r="H172" s="648"/>
      <c r="I172" s="648" t="s">
        <v>436</v>
      </c>
      <c r="J172" s="648"/>
      <c r="K172" s="648"/>
      <c r="L172" s="648"/>
      <c r="M172" s="649"/>
      <c r="N172" s="633"/>
      <c r="O172" s="633"/>
      <c r="P172" s="634"/>
      <c r="Q172" s="635"/>
      <c r="R172" s="635"/>
      <c r="S172" s="636"/>
      <c r="T172" s="637"/>
      <c r="U172" s="638"/>
      <c r="V172" s="638"/>
      <c r="W172" s="638"/>
      <c r="X172" s="638"/>
      <c r="Y172" s="638"/>
      <c r="Z172" s="638"/>
      <c r="AA172" s="638"/>
      <c r="AB172" s="638"/>
      <c r="AC172" s="638"/>
      <c r="AD172" s="638"/>
      <c r="AE172" s="639"/>
      <c r="AF172" s="636">
        <f t="shared" si="86"/>
        <v>0</v>
      </c>
      <c r="AG172" s="640"/>
      <c r="AH172" s="641"/>
      <c r="AI172" s="641"/>
      <c r="AJ172" s="641"/>
      <c r="AK172" s="641"/>
      <c r="AL172" s="641"/>
      <c r="AM172" s="641"/>
      <c r="AN172" s="641"/>
      <c r="AO172" s="641"/>
      <c r="AP172" s="641"/>
      <c r="AQ172" s="641"/>
      <c r="AR172" s="642"/>
      <c r="AS172" s="643">
        <f t="shared" si="87"/>
        <v>0</v>
      </c>
      <c r="AT172" s="644"/>
      <c r="AU172" s="638"/>
      <c r="AV172" s="638"/>
      <c r="AW172" s="638"/>
      <c r="AX172" s="638"/>
      <c r="AY172" s="638"/>
      <c r="AZ172" s="638"/>
      <c r="BA172" s="638"/>
      <c r="BB172" s="638"/>
      <c r="BC172" s="638"/>
      <c r="BD172" s="638"/>
      <c r="BE172" s="642">
        <v>8496</v>
      </c>
      <c r="BF172" s="636">
        <f t="shared" si="88"/>
        <v>8496</v>
      </c>
      <c r="BG172" s="640"/>
      <c r="BH172" s="638"/>
      <c r="BI172" s="640"/>
      <c r="BJ172" s="638"/>
      <c r="BK172" s="638"/>
      <c r="BL172" s="638"/>
      <c r="BM172" s="638"/>
      <c r="BN172" s="638"/>
      <c r="BO172" s="638"/>
      <c r="BP172" s="638"/>
      <c r="BQ172" s="638"/>
      <c r="BR172" s="639"/>
      <c r="BS172" s="636">
        <f t="shared" si="89"/>
        <v>0</v>
      </c>
      <c r="BT172" s="644"/>
      <c r="BU172" s="638"/>
      <c r="BV172" s="638"/>
      <c r="BW172" s="638"/>
      <c r="BX172" s="638"/>
      <c r="BY172" s="638"/>
      <c r="BZ172" s="638"/>
      <c r="CA172" s="638"/>
      <c r="CB172" s="638"/>
      <c r="CC172" s="638"/>
      <c r="CD172" s="638"/>
      <c r="CE172" s="639"/>
      <c r="CF172" s="636">
        <f t="shared" si="90"/>
        <v>0</v>
      </c>
      <c r="CG172" s="636"/>
      <c r="CH172" s="636">
        <f t="shared" si="91"/>
        <v>8496</v>
      </c>
      <c r="CI172" s="636">
        <f t="shared" si="92"/>
        <v>0</v>
      </c>
      <c r="CJ172" s="636">
        <f t="shared" si="93"/>
        <v>8496</v>
      </c>
      <c r="CK172" s="636">
        <f t="shared" si="94"/>
        <v>8496</v>
      </c>
      <c r="CL172" s="636">
        <v>8496</v>
      </c>
      <c r="CM172" s="636">
        <f t="shared" si="95"/>
        <v>0</v>
      </c>
    </row>
    <row r="173" spans="1:91" outlineLevel="2">
      <c r="A173" s="500"/>
      <c r="B173" s="526"/>
      <c r="C173" s="1423">
        <f t="shared" si="96"/>
        <v>402.52999999999952</v>
      </c>
      <c r="D173" s="1423"/>
      <c r="E173" s="1423"/>
      <c r="F173" s="631"/>
      <c r="G173" s="631"/>
      <c r="H173" s="648"/>
      <c r="I173" s="648" t="s">
        <v>437</v>
      </c>
      <c r="J173" s="648"/>
      <c r="K173" s="648"/>
      <c r="L173" s="648"/>
      <c r="M173" s="649"/>
      <c r="N173" s="633"/>
      <c r="O173" s="633"/>
      <c r="P173" s="634"/>
      <c r="Q173" s="635"/>
      <c r="R173" s="635"/>
      <c r="S173" s="636"/>
      <c r="T173" s="637"/>
      <c r="U173" s="638"/>
      <c r="V173" s="638"/>
      <c r="W173" s="638"/>
      <c r="X173" s="638"/>
      <c r="Y173" s="638"/>
      <c r="Z173" s="638"/>
      <c r="AA173" s="638"/>
      <c r="AB173" s="638"/>
      <c r="AC173" s="638"/>
      <c r="AD173" s="638"/>
      <c r="AE173" s="639"/>
      <c r="AF173" s="636">
        <f t="shared" si="86"/>
        <v>0</v>
      </c>
      <c r="AG173" s="640"/>
      <c r="AH173" s="641"/>
      <c r="AI173" s="641"/>
      <c r="AJ173" s="641"/>
      <c r="AK173" s="641"/>
      <c r="AL173" s="641"/>
      <c r="AM173" s="641"/>
      <c r="AN173" s="641"/>
      <c r="AO173" s="641"/>
      <c r="AP173" s="641"/>
      <c r="AQ173" s="641"/>
      <c r="AR173" s="642"/>
      <c r="AS173" s="643">
        <f t="shared" si="87"/>
        <v>0</v>
      </c>
      <c r="AT173" s="644"/>
      <c r="AU173" s="638"/>
      <c r="AV173" s="638"/>
      <c r="AW173" s="638"/>
      <c r="AX173" s="638"/>
      <c r="AY173" s="638"/>
      <c r="AZ173" s="638"/>
      <c r="BA173" s="638"/>
      <c r="BB173" s="638"/>
      <c r="BC173" s="638"/>
      <c r="BD173" s="638"/>
      <c r="BE173" s="642"/>
      <c r="BF173" s="636">
        <f t="shared" si="88"/>
        <v>0</v>
      </c>
      <c r="BG173" s="642"/>
      <c r="BH173" s="638"/>
      <c r="BI173" s="642"/>
      <c r="BJ173" s="638"/>
      <c r="BK173" s="638"/>
      <c r="BL173" s="638"/>
      <c r="BM173" s="638"/>
      <c r="BN173" s="638"/>
      <c r="BO173" s="638"/>
      <c r="BP173" s="638"/>
      <c r="BQ173" s="638"/>
      <c r="BR173" s="639"/>
      <c r="BS173" s="636">
        <f t="shared" si="89"/>
        <v>0</v>
      </c>
      <c r="BT173" s="644"/>
      <c r="BU173" s="638"/>
      <c r="BV173" s="638"/>
      <c r="BW173" s="638"/>
      <c r="BX173" s="638"/>
      <c r="BY173" s="638"/>
      <c r="BZ173" s="638"/>
      <c r="CA173" s="638"/>
      <c r="CB173" s="638"/>
      <c r="CC173" s="638"/>
      <c r="CD173" s="638"/>
      <c r="CE173" s="639"/>
      <c r="CF173" s="636">
        <f t="shared" si="90"/>
        <v>0</v>
      </c>
      <c r="CG173" s="636"/>
      <c r="CH173" s="636">
        <f t="shared" si="91"/>
        <v>0</v>
      </c>
      <c r="CI173" s="636">
        <f t="shared" si="92"/>
        <v>0</v>
      </c>
      <c r="CJ173" s="636">
        <f t="shared" si="93"/>
        <v>0</v>
      </c>
      <c r="CK173" s="636">
        <f t="shared" si="94"/>
        <v>0</v>
      </c>
      <c r="CL173" s="636">
        <v>0</v>
      </c>
      <c r="CM173" s="636">
        <f t="shared" si="95"/>
        <v>0</v>
      </c>
    </row>
    <row r="174" spans="1:91" outlineLevel="2">
      <c r="A174" s="500"/>
      <c r="B174" s="526"/>
      <c r="C174" s="1423">
        <f t="shared" si="96"/>
        <v>402.53999999999951</v>
      </c>
      <c r="D174" s="1423"/>
      <c r="E174" s="1423"/>
      <c r="F174" s="631"/>
      <c r="G174" s="631"/>
      <c r="H174" s="648"/>
      <c r="I174" s="648" t="s">
        <v>438</v>
      </c>
      <c r="J174" s="648"/>
      <c r="K174" s="648"/>
      <c r="L174" s="648"/>
      <c r="M174" s="649"/>
      <c r="N174" s="633"/>
      <c r="O174" s="633"/>
      <c r="P174" s="634"/>
      <c r="Q174" s="635"/>
      <c r="R174" s="635"/>
      <c r="S174" s="636"/>
      <c r="T174" s="637"/>
      <c r="U174" s="638"/>
      <c r="V174" s="638"/>
      <c r="W174" s="638"/>
      <c r="X174" s="638"/>
      <c r="Y174" s="638"/>
      <c r="Z174" s="638"/>
      <c r="AA174" s="638"/>
      <c r="AB174" s="638"/>
      <c r="AC174" s="638"/>
      <c r="AD174" s="638"/>
      <c r="AE174" s="639"/>
      <c r="AF174" s="636">
        <f t="shared" si="86"/>
        <v>0</v>
      </c>
      <c r="AG174" s="640"/>
      <c r="AH174" s="641"/>
      <c r="AI174" s="641"/>
      <c r="AJ174" s="641"/>
      <c r="AK174" s="641"/>
      <c r="AL174" s="641"/>
      <c r="AM174" s="641"/>
      <c r="AN174" s="641"/>
      <c r="AO174" s="641"/>
      <c r="AP174" s="641"/>
      <c r="AQ174" s="641"/>
      <c r="AR174" s="642"/>
      <c r="AS174" s="643">
        <f t="shared" si="87"/>
        <v>0</v>
      </c>
      <c r="AT174" s="644"/>
      <c r="AU174" s="638"/>
      <c r="AV174" s="638"/>
      <c r="AW174" s="638"/>
      <c r="AX174" s="638"/>
      <c r="AY174" s="638"/>
      <c r="AZ174" s="638"/>
      <c r="BA174" s="638"/>
      <c r="BB174" s="638"/>
      <c r="BC174" s="638"/>
      <c r="BD174" s="638"/>
      <c r="BE174" s="642">
        <v>1158</v>
      </c>
      <c r="BF174" s="636">
        <f t="shared" si="88"/>
        <v>1158</v>
      </c>
      <c r="BG174" s="640"/>
      <c r="BH174" s="638"/>
      <c r="BI174" s="644"/>
      <c r="BJ174" s="638"/>
      <c r="BK174" s="638"/>
      <c r="BL174" s="638"/>
      <c r="BM174" s="638"/>
      <c r="BN174" s="638"/>
      <c r="BO174" s="638"/>
      <c r="BP174" s="638"/>
      <c r="BQ174" s="638"/>
      <c r="BR174" s="639"/>
      <c r="BS174" s="636">
        <f t="shared" si="89"/>
        <v>0</v>
      </c>
      <c r="BT174" s="644"/>
      <c r="BU174" s="638"/>
      <c r="BV174" s="638"/>
      <c r="BW174" s="638"/>
      <c r="BX174" s="638"/>
      <c r="BY174" s="638"/>
      <c r="BZ174" s="638"/>
      <c r="CA174" s="638"/>
      <c r="CB174" s="638"/>
      <c r="CC174" s="638"/>
      <c r="CD174" s="638"/>
      <c r="CE174" s="639"/>
      <c r="CF174" s="636">
        <f t="shared" si="90"/>
        <v>0</v>
      </c>
      <c r="CG174" s="636"/>
      <c r="CH174" s="636">
        <f t="shared" si="91"/>
        <v>1158</v>
      </c>
      <c r="CI174" s="636">
        <f t="shared" si="92"/>
        <v>0</v>
      </c>
      <c r="CJ174" s="636">
        <f t="shared" si="93"/>
        <v>1158</v>
      </c>
      <c r="CK174" s="636">
        <f t="shared" si="94"/>
        <v>1158</v>
      </c>
      <c r="CL174" s="636">
        <v>1158</v>
      </c>
      <c r="CM174" s="636">
        <f t="shared" si="95"/>
        <v>0</v>
      </c>
    </row>
    <row r="175" spans="1:91" outlineLevel="2">
      <c r="A175" s="500"/>
      <c r="B175" s="526"/>
      <c r="C175" s="1423">
        <f t="shared" si="96"/>
        <v>402.5499999999995</v>
      </c>
      <c r="D175" s="1423"/>
      <c r="E175" s="1423"/>
      <c r="F175" s="631"/>
      <c r="G175" s="631"/>
      <c r="H175" s="648"/>
      <c r="I175" s="648" t="s">
        <v>439</v>
      </c>
      <c r="J175" s="648"/>
      <c r="K175" s="648"/>
      <c r="L175" s="648"/>
      <c r="M175" s="649"/>
      <c r="N175" s="633"/>
      <c r="O175" s="633"/>
      <c r="P175" s="634"/>
      <c r="Q175" s="635"/>
      <c r="R175" s="635"/>
      <c r="S175" s="636"/>
      <c r="T175" s="637"/>
      <c r="U175" s="638"/>
      <c r="V175" s="638"/>
      <c r="W175" s="638"/>
      <c r="X175" s="638"/>
      <c r="Y175" s="638"/>
      <c r="Z175" s="638"/>
      <c r="AA175" s="638"/>
      <c r="AB175" s="638"/>
      <c r="AC175" s="638"/>
      <c r="AD175" s="638"/>
      <c r="AE175" s="639"/>
      <c r="AF175" s="636">
        <f t="shared" si="86"/>
        <v>0</v>
      </c>
      <c r="AG175" s="640"/>
      <c r="AH175" s="641"/>
      <c r="AI175" s="641"/>
      <c r="AJ175" s="641"/>
      <c r="AK175" s="641"/>
      <c r="AL175" s="641"/>
      <c r="AM175" s="641"/>
      <c r="AN175" s="641"/>
      <c r="AO175" s="641"/>
      <c r="AP175" s="641"/>
      <c r="AQ175" s="641"/>
      <c r="AR175" s="642"/>
      <c r="AS175" s="643">
        <f t="shared" si="87"/>
        <v>0</v>
      </c>
      <c r="AT175" s="644"/>
      <c r="AU175" s="638"/>
      <c r="AV175" s="638"/>
      <c r="AW175" s="638"/>
      <c r="AX175" s="638"/>
      <c r="AY175" s="638"/>
      <c r="AZ175" s="638"/>
      <c r="BA175" s="638"/>
      <c r="BB175" s="638"/>
      <c r="BC175" s="638"/>
      <c r="BD175" s="638"/>
      <c r="BE175" s="642">
        <v>11058</v>
      </c>
      <c r="BF175" s="636">
        <f t="shared" si="88"/>
        <v>11058</v>
      </c>
      <c r="BG175" s="644"/>
      <c r="BH175" s="638"/>
      <c r="BI175" s="638"/>
      <c r="BJ175" s="638"/>
      <c r="BK175" s="638"/>
      <c r="BL175" s="638"/>
      <c r="BM175" s="638"/>
      <c r="BN175" s="638"/>
      <c r="BO175" s="638"/>
      <c r="BP175" s="638"/>
      <c r="BQ175" s="638"/>
      <c r="BR175" s="639"/>
      <c r="BS175" s="636">
        <f t="shared" si="89"/>
        <v>0</v>
      </c>
      <c r="BT175" s="644"/>
      <c r="BU175" s="638"/>
      <c r="BV175" s="638"/>
      <c r="BW175" s="638"/>
      <c r="BX175" s="638"/>
      <c r="BY175" s="638"/>
      <c r="BZ175" s="638"/>
      <c r="CA175" s="638"/>
      <c r="CB175" s="638"/>
      <c r="CC175" s="638"/>
      <c r="CD175" s="638"/>
      <c r="CE175" s="639"/>
      <c r="CF175" s="636">
        <f t="shared" si="90"/>
        <v>0</v>
      </c>
      <c r="CG175" s="636"/>
      <c r="CH175" s="636">
        <f t="shared" si="91"/>
        <v>11058</v>
      </c>
      <c r="CI175" s="636">
        <f t="shared" si="92"/>
        <v>0</v>
      </c>
      <c r="CJ175" s="636">
        <f t="shared" si="93"/>
        <v>11058</v>
      </c>
      <c r="CK175" s="636">
        <f t="shared" si="94"/>
        <v>11058</v>
      </c>
      <c r="CL175" s="636">
        <v>11058</v>
      </c>
      <c r="CM175" s="636">
        <f t="shared" si="95"/>
        <v>0</v>
      </c>
    </row>
    <row r="176" spans="1:91" outlineLevel="2">
      <c r="A176" s="500"/>
      <c r="B176" s="526"/>
      <c r="C176" s="1423">
        <f t="shared" si="96"/>
        <v>402.55999999999949</v>
      </c>
      <c r="D176" s="1423"/>
      <c r="E176" s="1423"/>
      <c r="F176" s="631"/>
      <c r="G176" s="631"/>
      <c r="H176" s="648"/>
      <c r="I176" s="648" t="s">
        <v>440</v>
      </c>
      <c r="J176" s="648"/>
      <c r="K176" s="648"/>
      <c r="L176" s="648"/>
      <c r="M176" s="649"/>
      <c r="N176" s="633"/>
      <c r="O176" s="633"/>
      <c r="P176" s="634"/>
      <c r="Q176" s="635"/>
      <c r="R176" s="635"/>
      <c r="S176" s="636"/>
      <c r="T176" s="637"/>
      <c r="U176" s="638"/>
      <c r="V176" s="638"/>
      <c r="W176" s="638"/>
      <c r="X176" s="638"/>
      <c r="Y176" s="638"/>
      <c r="Z176" s="638"/>
      <c r="AA176" s="638"/>
      <c r="AB176" s="638"/>
      <c r="AC176" s="638"/>
      <c r="AD176" s="638"/>
      <c r="AE176" s="639"/>
      <c r="AF176" s="636">
        <f t="shared" si="86"/>
        <v>0</v>
      </c>
      <c r="AG176" s="640"/>
      <c r="AH176" s="641"/>
      <c r="AI176" s="641"/>
      <c r="AJ176" s="641"/>
      <c r="AK176" s="641"/>
      <c r="AL176" s="641"/>
      <c r="AM176" s="641"/>
      <c r="AN176" s="641"/>
      <c r="AO176" s="641"/>
      <c r="AP176" s="641"/>
      <c r="AQ176" s="641"/>
      <c r="AR176" s="642"/>
      <c r="AS176" s="643">
        <f t="shared" si="87"/>
        <v>0</v>
      </c>
      <c r="AT176" s="644"/>
      <c r="AU176" s="638"/>
      <c r="AV176" s="638"/>
      <c r="AW176" s="638"/>
      <c r="AX176" s="638"/>
      <c r="AY176" s="638"/>
      <c r="AZ176" s="638"/>
      <c r="BA176" s="638"/>
      <c r="BB176" s="638"/>
      <c r="BC176" s="638"/>
      <c r="BD176" s="638"/>
      <c r="BE176" s="642">
        <v>1766</v>
      </c>
      <c r="BF176" s="636">
        <f t="shared" si="88"/>
        <v>1766</v>
      </c>
      <c r="BG176" s="644"/>
      <c r="BH176" s="638"/>
      <c r="BI176" s="638"/>
      <c r="BJ176" s="638"/>
      <c r="BK176" s="638"/>
      <c r="BL176" s="638"/>
      <c r="BM176" s="638"/>
      <c r="BN176" s="638"/>
      <c r="BO176" s="638"/>
      <c r="BP176" s="638"/>
      <c r="BQ176" s="638"/>
      <c r="BR176" s="639"/>
      <c r="BS176" s="636">
        <f t="shared" si="89"/>
        <v>0</v>
      </c>
      <c r="BT176" s="644"/>
      <c r="BU176" s="638"/>
      <c r="BV176" s="638"/>
      <c r="BW176" s="638"/>
      <c r="BX176" s="638"/>
      <c r="BY176" s="638"/>
      <c r="BZ176" s="638"/>
      <c r="CA176" s="638"/>
      <c r="CB176" s="638"/>
      <c r="CC176" s="638"/>
      <c r="CD176" s="638"/>
      <c r="CE176" s="639"/>
      <c r="CF176" s="636">
        <f t="shared" si="90"/>
        <v>0</v>
      </c>
      <c r="CG176" s="636"/>
      <c r="CH176" s="636">
        <f t="shared" si="91"/>
        <v>1766</v>
      </c>
      <c r="CI176" s="636">
        <f t="shared" si="92"/>
        <v>0</v>
      </c>
      <c r="CJ176" s="636">
        <f t="shared" si="93"/>
        <v>1766</v>
      </c>
      <c r="CK176" s="636">
        <f t="shared" si="94"/>
        <v>1766</v>
      </c>
      <c r="CL176" s="636">
        <v>1766</v>
      </c>
      <c r="CM176" s="636">
        <f t="shared" si="95"/>
        <v>0</v>
      </c>
    </row>
    <row r="177" spans="1:91" outlineLevel="2">
      <c r="A177" s="500"/>
      <c r="B177" s="526"/>
      <c r="C177" s="1423">
        <f t="shared" si="96"/>
        <v>402.56999999999948</v>
      </c>
      <c r="D177" s="1423"/>
      <c r="E177" s="1423"/>
      <c r="F177" s="631"/>
      <c r="G177" s="631"/>
      <c r="H177" s="648"/>
      <c r="I177" s="648" t="s">
        <v>441</v>
      </c>
      <c r="J177" s="648"/>
      <c r="K177" s="648"/>
      <c r="L177" s="648"/>
      <c r="M177" s="649"/>
      <c r="N177" s="633"/>
      <c r="O177" s="633"/>
      <c r="P177" s="634"/>
      <c r="Q177" s="635"/>
      <c r="R177" s="635"/>
      <c r="S177" s="636"/>
      <c r="T177" s="637"/>
      <c r="U177" s="638"/>
      <c r="V177" s="638"/>
      <c r="W177" s="638"/>
      <c r="X177" s="638"/>
      <c r="Y177" s="638"/>
      <c r="Z177" s="638"/>
      <c r="AA177" s="638"/>
      <c r="AB177" s="638"/>
      <c r="AC177" s="638"/>
      <c r="AD177" s="638"/>
      <c r="AE177" s="639"/>
      <c r="AF177" s="636">
        <f t="shared" si="86"/>
        <v>0</v>
      </c>
      <c r="AG177" s="640"/>
      <c r="AH177" s="641"/>
      <c r="AI177" s="641"/>
      <c r="AJ177" s="641"/>
      <c r="AK177" s="641"/>
      <c r="AL177" s="641"/>
      <c r="AM177" s="641"/>
      <c r="AN177" s="641"/>
      <c r="AO177" s="641"/>
      <c r="AP177" s="641"/>
      <c r="AQ177" s="641"/>
      <c r="AR177" s="642"/>
      <c r="AS177" s="643">
        <f t="shared" si="87"/>
        <v>0</v>
      </c>
      <c r="AT177" s="644"/>
      <c r="AU177" s="638"/>
      <c r="AV177" s="638"/>
      <c r="AW177" s="638"/>
      <c r="AX177" s="638"/>
      <c r="AY177" s="638"/>
      <c r="AZ177" s="638"/>
      <c r="BA177" s="638"/>
      <c r="BB177" s="638"/>
      <c r="BC177" s="638"/>
      <c r="BD177" s="638"/>
      <c r="BE177" s="642">
        <v>4958</v>
      </c>
      <c r="BF177" s="636">
        <f t="shared" si="88"/>
        <v>4958</v>
      </c>
      <c r="BG177" s="644"/>
      <c r="BH177" s="638"/>
      <c r="BI177" s="638"/>
      <c r="BJ177" s="638"/>
      <c r="BK177" s="638"/>
      <c r="BL177" s="638"/>
      <c r="BM177" s="638"/>
      <c r="BN177" s="638"/>
      <c r="BO177" s="638"/>
      <c r="BP177" s="638"/>
      <c r="BQ177" s="638"/>
      <c r="BR177" s="639"/>
      <c r="BS177" s="636">
        <f t="shared" si="89"/>
        <v>0</v>
      </c>
      <c r="BT177" s="644"/>
      <c r="BU177" s="638"/>
      <c r="BV177" s="638"/>
      <c r="BW177" s="638"/>
      <c r="BX177" s="638"/>
      <c r="BY177" s="638"/>
      <c r="BZ177" s="638"/>
      <c r="CA177" s="638"/>
      <c r="CB177" s="638"/>
      <c r="CC177" s="638"/>
      <c r="CD177" s="638"/>
      <c r="CE177" s="639"/>
      <c r="CF177" s="636">
        <f t="shared" si="90"/>
        <v>0</v>
      </c>
      <c r="CG177" s="636"/>
      <c r="CH177" s="636">
        <f t="shared" si="91"/>
        <v>4958</v>
      </c>
      <c r="CI177" s="636">
        <f t="shared" si="92"/>
        <v>0</v>
      </c>
      <c r="CJ177" s="636">
        <f t="shared" si="93"/>
        <v>4958</v>
      </c>
      <c r="CK177" s="636">
        <f t="shared" si="94"/>
        <v>4958</v>
      </c>
      <c r="CL177" s="636">
        <v>4958</v>
      </c>
      <c r="CM177" s="636">
        <f t="shared" si="95"/>
        <v>0</v>
      </c>
    </row>
    <row r="178" spans="1:91" outlineLevel="2">
      <c r="A178" s="500"/>
      <c r="B178" s="526"/>
      <c r="C178" s="1423">
        <f t="shared" si="96"/>
        <v>402.57999999999947</v>
      </c>
      <c r="D178" s="1423"/>
      <c r="E178" s="1423"/>
      <c r="F178" s="631"/>
      <c r="G178" s="631"/>
      <c r="H178" s="648"/>
      <c r="I178" s="648" t="s">
        <v>442</v>
      </c>
      <c r="J178" s="648"/>
      <c r="K178" s="648"/>
      <c r="L178" s="648"/>
      <c r="M178" s="649"/>
      <c r="N178" s="633"/>
      <c r="O178" s="633"/>
      <c r="P178" s="634"/>
      <c r="Q178" s="635"/>
      <c r="R178" s="635"/>
      <c r="S178" s="636"/>
      <c r="T178" s="637"/>
      <c r="U178" s="638"/>
      <c r="V178" s="638"/>
      <c r="W178" s="638"/>
      <c r="X178" s="638"/>
      <c r="Y178" s="638"/>
      <c r="Z178" s="638"/>
      <c r="AA178" s="638"/>
      <c r="AB178" s="638"/>
      <c r="AC178" s="638"/>
      <c r="AD178" s="638"/>
      <c r="AE178" s="639"/>
      <c r="AF178" s="636">
        <f t="shared" si="86"/>
        <v>0</v>
      </c>
      <c r="AG178" s="640"/>
      <c r="AH178" s="641"/>
      <c r="AI178" s="641"/>
      <c r="AJ178" s="641"/>
      <c r="AK178" s="641"/>
      <c r="AL178" s="641"/>
      <c r="AM178" s="641"/>
      <c r="AN178" s="641"/>
      <c r="AO178" s="641"/>
      <c r="AP178" s="641"/>
      <c r="AQ178" s="641"/>
      <c r="AR178" s="642"/>
      <c r="AS178" s="643">
        <f t="shared" si="87"/>
        <v>0</v>
      </c>
      <c r="AT178" s="644"/>
      <c r="AU178" s="638"/>
      <c r="AV178" s="638"/>
      <c r="AW178" s="638"/>
      <c r="AX178" s="638"/>
      <c r="AY178" s="638"/>
      <c r="AZ178" s="638"/>
      <c r="BA178" s="638"/>
      <c r="BB178" s="638"/>
      <c r="BC178" s="638"/>
      <c r="BD178" s="638"/>
      <c r="BE178" s="642">
        <v>7736</v>
      </c>
      <c r="BF178" s="636">
        <f t="shared" si="88"/>
        <v>7736</v>
      </c>
      <c r="BG178" s="644"/>
      <c r="BH178" s="638"/>
      <c r="BI178" s="638"/>
      <c r="BJ178" s="638"/>
      <c r="BK178" s="638"/>
      <c r="BL178" s="638"/>
      <c r="BM178" s="638"/>
      <c r="BN178" s="638"/>
      <c r="BO178" s="638"/>
      <c r="BP178" s="638"/>
      <c r="BQ178" s="638"/>
      <c r="BR178" s="639"/>
      <c r="BS178" s="636">
        <f t="shared" si="89"/>
        <v>0</v>
      </c>
      <c r="BT178" s="644"/>
      <c r="BU178" s="638"/>
      <c r="BV178" s="638"/>
      <c r="BW178" s="638"/>
      <c r="BX178" s="638"/>
      <c r="BY178" s="638"/>
      <c r="BZ178" s="638"/>
      <c r="CA178" s="638"/>
      <c r="CB178" s="638"/>
      <c r="CC178" s="638"/>
      <c r="CD178" s="638"/>
      <c r="CE178" s="639"/>
      <c r="CF178" s="636">
        <f t="shared" si="90"/>
        <v>0</v>
      </c>
      <c r="CG178" s="636"/>
      <c r="CH178" s="636">
        <f t="shared" si="91"/>
        <v>7736</v>
      </c>
      <c r="CI178" s="636">
        <f t="shared" si="92"/>
        <v>0</v>
      </c>
      <c r="CJ178" s="636">
        <f t="shared" si="93"/>
        <v>7736</v>
      </c>
      <c r="CK178" s="636">
        <f t="shared" si="94"/>
        <v>7736</v>
      </c>
      <c r="CL178" s="636">
        <v>7736</v>
      </c>
      <c r="CM178" s="636">
        <f t="shared" si="95"/>
        <v>0</v>
      </c>
    </row>
    <row r="179" spans="1:91" outlineLevel="2">
      <c r="A179" s="500"/>
      <c r="B179" s="526"/>
      <c r="C179" s="1423">
        <f t="shared" si="96"/>
        <v>402.58999999999946</v>
      </c>
      <c r="D179" s="1423"/>
      <c r="E179" s="1423"/>
      <c r="F179" s="631"/>
      <c r="G179" s="631"/>
      <c r="H179" s="648"/>
      <c r="I179" s="648" t="s">
        <v>443</v>
      </c>
      <c r="J179" s="648"/>
      <c r="K179" s="648"/>
      <c r="L179" s="648"/>
      <c r="M179" s="649"/>
      <c r="N179" s="633"/>
      <c r="O179" s="633"/>
      <c r="P179" s="634"/>
      <c r="Q179" s="635"/>
      <c r="R179" s="635"/>
      <c r="S179" s="636"/>
      <c r="T179" s="637"/>
      <c r="U179" s="638"/>
      <c r="V179" s="638"/>
      <c r="W179" s="638"/>
      <c r="X179" s="638"/>
      <c r="Y179" s="638"/>
      <c r="Z179" s="638"/>
      <c r="AA179" s="638"/>
      <c r="AB179" s="638"/>
      <c r="AC179" s="638"/>
      <c r="AD179" s="638"/>
      <c r="AE179" s="639"/>
      <c r="AF179" s="636">
        <f t="shared" si="86"/>
        <v>0</v>
      </c>
      <c r="AG179" s="640"/>
      <c r="AH179" s="641"/>
      <c r="AI179" s="641"/>
      <c r="AJ179" s="641"/>
      <c r="AK179" s="641"/>
      <c r="AL179" s="641"/>
      <c r="AM179" s="641"/>
      <c r="AN179" s="641"/>
      <c r="AO179" s="641"/>
      <c r="AP179" s="641"/>
      <c r="AQ179" s="641"/>
      <c r="AR179" s="642"/>
      <c r="AS179" s="643">
        <f t="shared" si="87"/>
        <v>0</v>
      </c>
      <c r="AT179" s="644"/>
      <c r="AU179" s="638"/>
      <c r="AV179" s="638"/>
      <c r="AW179" s="638"/>
      <c r="AX179" s="638"/>
      <c r="AY179" s="638"/>
      <c r="AZ179" s="638"/>
      <c r="BA179" s="638"/>
      <c r="BB179" s="638"/>
      <c r="BC179" s="638"/>
      <c r="BD179" s="638"/>
      <c r="BE179" s="642">
        <v>2956</v>
      </c>
      <c r="BF179" s="636">
        <f t="shared" si="88"/>
        <v>2956</v>
      </c>
      <c r="BG179" s="644"/>
      <c r="BH179" s="638"/>
      <c r="BI179" s="638"/>
      <c r="BJ179" s="638"/>
      <c r="BK179" s="638"/>
      <c r="BL179" s="638"/>
      <c r="BM179" s="638"/>
      <c r="BN179" s="638"/>
      <c r="BO179" s="638"/>
      <c r="BP179" s="638"/>
      <c r="BQ179" s="638"/>
      <c r="BR179" s="639"/>
      <c r="BS179" s="636">
        <f t="shared" si="89"/>
        <v>0</v>
      </c>
      <c r="BT179" s="644"/>
      <c r="BU179" s="638"/>
      <c r="BV179" s="638"/>
      <c r="BW179" s="638"/>
      <c r="BX179" s="638"/>
      <c r="BY179" s="638"/>
      <c r="BZ179" s="638"/>
      <c r="CA179" s="638"/>
      <c r="CB179" s="638"/>
      <c r="CC179" s="638"/>
      <c r="CD179" s="638"/>
      <c r="CE179" s="639"/>
      <c r="CF179" s="636">
        <f t="shared" si="90"/>
        <v>0</v>
      </c>
      <c r="CG179" s="636"/>
      <c r="CH179" s="636">
        <f t="shared" si="91"/>
        <v>2956</v>
      </c>
      <c r="CI179" s="636">
        <f t="shared" si="92"/>
        <v>0</v>
      </c>
      <c r="CJ179" s="636">
        <f t="shared" si="93"/>
        <v>2956</v>
      </c>
      <c r="CK179" s="636">
        <f t="shared" si="94"/>
        <v>2956</v>
      </c>
      <c r="CL179" s="636">
        <v>2956</v>
      </c>
      <c r="CM179" s="636">
        <f t="shared" si="95"/>
        <v>0</v>
      </c>
    </row>
    <row r="180" spans="1:91" outlineLevel="2">
      <c r="A180" s="500"/>
      <c r="B180" s="526"/>
      <c r="C180" s="1423">
        <f t="shared" si="96"/>
        <v>402.59999999999945</v>
      </c>
      <c r="D180" s="1423"/>
      <c r="E180" s="1423"/>
      <c r="F180" s="631"/>
      <c r="G180" s="631"/>
      <c r="H180" s="1433" t="s">
        <v>444</v>
      </c>
      <c r="I180" s="1434"/>
      <c r="J180" s="1434"/>
      <c r="K180" s="1434"/>
      <c r="L180" s="1434"/>
      <c r="M180" s="649"/>
      <c r="N180" s="633"/>
      <c r="O180" s="633"/>
      <c r="P180" s="634"/>
      <c r="Q180" s="635"/>
      <c r="R180" s="635"/>
      <c r="S180" s="636"/>
      <c r="T180" s="637"/>
      <c r="U180" s="638"/>
      <c r="V180" s="638"/>
      <c r="W180" s="638"/>
      <c r="X180" s="638"/>
      <c r="Y180" s="638"/>
      <c r="Z180" s="638"/>
      <c r="AA180" s="638"/>
      <c r="AB180" s="638"/>
      <c r="AC180" s="638"/>
      <c r="AD180" s="638"/>
      <c r="AE180" s="639"/>
      <c r="AF180" s="636">
        <f t="shared" si="86"/>
        <v>0</v>
      </c>
      <c r="AG180" s="640"/>
      <c r="AH180" s="641"/>
      <c r="AI180" s="641"/>
      <c r="AJ180" s="641"/>
      <c r="AK180" s="641"/>
      <c r="AL180" s="641"/>
      <c r="AM180" s="641"/>
      <c r="AN180" s="641"/>
      <c r="AO180" s="641"/>
      <c r="AP180" s="641"/>
      <c r="AQ180" s="641"/>
      <c r="AR180" s="642"/>
      <c r="AS180" s="643">
        <f t="shared" si="87"/>
        <v>0</v>
      </c>
      <c r="AT180" s="644"/>
      <c r="AU180" s="638"/>
      <c r="AV180" s="638"/>
      <c r="AW180" s="638"/>
      <c r="AX180" s="638"/>
      <c r="AY180" s="638"/>
      <c r="AZ180" s="638"/>
      <c r="BA180" s="638"/>
      <c r="BB180" s="638"/>
      <c r="BC180" s="638"/>
      <c r="BD180" s="638"/>
      <c r="BE180" s="642"/>
      <c r="BF180" s="636">
        <f t="shared" si="88"/>
        <v>0</v>
      </c>
      <c r="BG180" s="644">
        <v>283003</v>
      </c>
      <c r="BH180" s="638"/>
      <c r="BI180" s="638"/>
      <c r="BJ180" s="638"/>
      <c r="BK180" s="638"/>
      <c r="BL180" s="638"/>
      <c r="BM180" s="638"/>
      <c r="BN180" s="638"/>
      <c r="BO180" s="638"/>
      <c r="BP180" s="638"/>
      <c r="BQ180" s="638"/>
      <c r="BR180" s="639"/>
      <c r="BS180" s="636">
        <f t="shared" si="89"/>
        <v>283003</v>
      </c>
      <c r="BT180" s="644"/>
      <c r="BU180" s="638"/>
      <c r="BV180" s="638"/>
      <c r="BW180" s="638"/>
      <c r="BX180" s="638"/>
      <c r="BY180" s="638"/>
      <c r="BZ180" s="638"/>
      <c r="CA180" s="638"/>
      <c r="CB180" s="638"/>
      <c r="CC180" s="638"/>
      <c r="CD180" s="638"/>
      <c r="CE180" s="639"/>
      <c r="CF180" s="636">
        <f t="shared" si="90"/>
        <v>0</v>
      </c>
      <c r="CG180" s="636"/>
      <c r="CH180" s="636">
        <f t="shared" si="91"/>
        <v>283003</v>
      </c>
      <c r="CI180" s="636">
        <f t="shared" si="92"/>
        <v>0</v>
      </c>
      <c r="CJ180" s="636">
        <f t="shared" si="93"/>
        <v>283003</v>
      </c>
      <c r="CK180" s="636">
        <f t="shared" si="94"/>
        <v>283003</v>
      </c>
      <c r="CL180" s="636">
        <v>283003</v>
      </c>
      <c r="CM180" s="636">
        <f t="shared" si="95"/>
        <v>0</v>
      </c>
    </row>
    <row r="181" spans="1:91" outlineLevel="2">
      <c r="A181" s="500"/>
      <c r="B181" s="526"/>
      <c r="C181" s="1423">
        <f t="shared" si="96"/>
        <v>402.60999999999945</v>
      </c>
      <c r="D181" s="1423"/>
      <c r="E181" s="1423"/>
      <c r="F181" s="631"/>
      <c r="G181" s="631"/>
      <c r="H181" s="1433" t="s">
        <v>445</v>
      </c>
      <c r="I181" s="1434"/>
      <c r="J181" s="1434"/>
      <c r="K181" s="1434"/>
      <c r="L181" s="1434"/>
      <c r="M181" s="649"/>
      <c r="N181" s="633"/>
      <c r="O181" s="633"/>
      <c r="P181" s="634"/>
      <c r="Q181" s="635"/>
      <c r="R181" s="635"/>
      <c r="S181" s="636"/>
      <c r="T181" s="637"/>
      <c r="U181" s="638"/>
      <c r="V181" s="638"/>
      <c r="W181" s="638"/>
      <c r="X181" s="638"/>
      <c r="Y181" s="638"/>
      <c r="Z181" s="638"/>
      <c r="AA181" s="638"/>
      <c r="AB181" s="638"/>
      <c r="AC181" s="638"/>
      <c r="AD181" s="638"/>
      <c r="AE181" s="639"/>
      <c r="AF181" s="636">
        <f t="shared" si="86"/>
        <v>0</v>
      </c>
      <c r="AG181" s="640"/>
      <c r="AH181" s="641"/>
      <c r="AI181" s="641"/>
      <c r="AJ181" s="641"/>
      <c r="AK181" s="641"/>
      <c r="AL181" s="641"/>
      <c r="AM181" s="641"/>
      <c r="AN181" s="641"/>
      <c r="AO181" s="641"/>
      <c r="AP181" s="641"/>
      <c r="AQ181" s="641"/>
      <c r="AR181" s="642"/>
      <c r="AS181" s="643">
        <f t="shared" si="87"/>
        <v>0</v>
      </c>
      <c r="AT181" s="644"/>
      <c r="AU181" s="638"/>
      <c r="AV181" s="638"/>
      <c r="AW181" s="638"/>
      <c r="AX181" s="638"/>
      <c r="AY181" s="638"/>
      <c r="AZ181" s="638"/>
      <c r="BA181" s="638"/>
      <c r="BB181" s="638"/>
      <c r="BC181" s="638"/>
      <c r="BD181" s="638"/>
      <c r="BE181" s="639"/>
      <c r="BF181" s="636">
        <f t="shared" si="88"/>
        <v>0</v>
      </c>
      <c r="BG181" s="644"/>
      <c r="BH181" s="641">
        <v>456366</v>
      </c>
      <c r="BI181" s="638"/>
      <c r="BJ181" s="638"/>
      <c r="BK181" s="638"/>
      <c r="BL181" s="638"/>
      <c r="BM181" s="638"/>
      <c r="BN181" s="638"/>
      <c r="BO181" s="638"/>
      <c r="BP181" s="638"/>
      <c r="BQ181" s="638"/>
      <c r="BR181" s="639"/>
      <c r="BS181" s="636">
        <f t="shared" si="89"/>
        <v>456366</v>
      </c>
      <c r="BT181" s="644"/>
      <c r="BU181" s="638"/>
      <c r="BV181" s="638"/>
      <c r="BW181" s="638"/>
      <c r="BX181" s="638"/>
      <c r="BY181" s="638"/>
      <c r="BZ181" s="638"/>
      <c r="CA181" s="638"/>
      <c r="CB181" s="638"/>
      <c r="CC181" s="638"/>
      <c r="CD181" s="638"/>
      <c r="CE181" s="639"/>
      <c r="CF181" s="636">
        <f t="shared" si="90"/>
        <v>0</v>
      </c>
      <c r="CG181" s="636"/>
      <c r="CH181" s="636">
        <f t="shared" si="91"/>
        <v>456366</v>
      </c>
      <c r="CI181" s="636">
        <f t="shared" si="92"/>
        <v>0</v>
      </c>
      <c r="CJ181" s="636">
        <f t="shared" si="93"/>
        <v>456366</v>
      </c>
      <c r="CK181" s="636">
        <f t="shared" si="94"/>
        <v>456366</v>
      </c>
      <c r="CL181" s="636">
        <v>456366</v>
      </c>
      <c r="CM181" s="636">
        <f t="shared" si="95"/>
        <v>0</v>
      </c>
    </row>
    <row r="182" spans="1:91" s="443" customFormat="1" ht="24" customHeight="1" outlineLevel="2">
      <c r="A182" s="629"/>
      <c r="B182" s="630"/>
      <c r="C182" s="1423">
        <f t="shared" si="96"/>
        <v>402.61999999999944</v>
      </c>
      <c r="D182" s="1423"/>
      <c r="E182" s="1423"/>
      <c r="F182" s="631"/>
      <c r="G182" s="631"/>
      <c r="H182" s="1434" t="s">
        <v>446</v>
      </c>
      <c r="I182" s="1434"/>
      <c r="J182" s="1434"/>
      <c r="K182" s="1434"/>
      <c r="L182" s="1434"/>
      <c r="M182" s="632"/>
      <c r="N182" s="633"/>
      <c r="O182" s="633"/>
      <c r="P182" s="634"/>
      <c r="Q182" s="635"/>
      <c r="R182" s="635"/>
      <c r="S182" s="636"/>
      <c r="T182" s="637"/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9"/>
      <c r="AF182" s="636">
        <f t="shared" si="86"/>
        <v>0</v>
      </c>
      <c r="AG182" s="640"/>
      <c r="AH182" s="641"/>
      <c r="AI182" s="641"/>
      <c r="AJ182" s="641"/>
      <c r="AK182" s="641"/>
      <c r="AL182" s="641"/>
      <c r="AM182" s="641"/>
      <c r="AN182" s="641"/>
      <c r="AO182" s="641"/>
      <c r="AP182" s="641"/>
      <c r="AQ182" s="641"/>
      <c r="AR182" s="642"/>
      <c r="AS182" s="643">
        <f t="shared" si="87"/>
        <v>0</v>
      </c>
      <c r="AT182" s="644"/>
      <c r="AU182" s="638"/>
      <c r="AV182" s="638"/>
      <c r="AW182" s="638"/>
      <c r="AX182" s="638"/>
      <c r="AY182" s="638"/>
      <c r="AZ182" s="638"/>
      <c r="BA182" s="638"/>
      <c r="BB182" s="638"/>
      <c r="BC182" s="638"/>
      <c r="BD182" s="638"/>
      <c r="BE182" s="639"/>
      <c r="BF182" s="636">
        <f t="shared" si="88"/>
        <v>0</v>
      </c>
      <c r="BG182" s="644"/>
      <c r="BH182" s="638"/>
      <c r="BI182" s="638"/>
      <c r="BJ182" s="638"/>
      <c r="BK182" s="638"/>
      <c r="BL182" s="638"/>
      <c r="BM182" s="638"/>
      <c r="BN182" s="638"/>
      <c r="BO182" s="638"/>
      <c r="BP182" s="638"/>
      <c r="BQ182" s="638"/>
      <c r="BR182" s="639"/>
      <c r="BS182" s="636">
        <f t="shared" si="89"/>
        <v>0</v>
      </c>
      <c r="BT182" s="644"/>
      <c r="BU182" s="638"/>
      <c r="BV182" s="638"/>
      <c r="BW182" s="638"/>
      <c r="BX182" s="638"/>
      <c r="BY182" s="638"/>
      <c r="BZ182" s="638"/>
      <c r="CA182" s="638"/>
      <c r="CB182" s="638"/>
      <c r="CC182" s="638"/>
      <c r="CD182" s="638"/>
      <c r="CE182" s="639"/>
      <c r="CF182" s="636">
        <f t="shared" si="90"/>
        <v>0</v>
      </c>
      <c r="CG182" s="636"/>
      <c r="CH182" s="636">
        <f t="shared" si="91"/>
        <v>0</v>
      </c>
      <c r="CI182" s="636">
        <f t="shared" si="92"/>
        <v>0</v>
      </c>
      <c r="CJ182" s="636">
        <f t="shared" si="93"/>
        <v>0</v>
      </c>
      <c r="CK182" s="636">
        <f t="shared" si="94"/>
        <v>0</v>
      </c>
      <c r="CL182" s="636"/>
      <c r="CM182" s="636">
        <f t="shared" si="95"/>
        <v>0</v>
      </c>
    </row>
    <row r="183" spans="1:91">
      <c r="A183" s="500"/>
      <c r="B183" s="526"/>
      <c r="C183" s="526"/>
      <c r="D183" s="526"/>
      <c r="E183" s="526"/>
      <c r="F183" s="501"/>
      <c r="G183" s="501"/>
      <c r="H183" s="552"/>
      <c r="I183" s="552"/>
      <c r="J183" s="552"/>
      <c r="K183" s="552"/>
      <c r="L183" s="552"/>
      <c r="M183" s="517"/>
      <c r="N183" s="518"/>
      <c r="O183" s="504"/>
      <c r="P183" s="519"/>
      <c r="Q183" s="506">
        <v>0</v>
      </c>
      <c r="R183" s="506">
        <v>0</v>
      </c>
      <c r="S183" s="504"/>
      <c r="T183" s="507"/>
      <c r="U183" s="508"/>
      <c r="V183" s="508"/>
      <c r="W183" s="508"/>
      <c r="X183" s="508"/>
      <c r="Y183" s="508"/>
      <c r="Z183" s="508"/>
      <c r="AA183" s="508"/>
      <c r="AB183" s="508"/>
      <c r="AC183" s="508"/>
      <c r="AD183" s="508"/>
      <c r="AE183" s="509"/>
      <c r="AF183" s="504">
        <f t="shared" ref="AF183" si="97">SUM(T183:AE183)</f>
        <v>0</v>
      </c>
      <c r="AG183" s="510"/>
      <c r="AH183" s="508"/>
      <c r="AI183" s="508"/>
      <c r="AJ183" s="508"/>
      <c r="AK183" s="508"/>
      <c r="AL183" s="508"/>
      <c r="AM183" s="508"/>
      <c r="AN183" s="549"/>
      <c r="AO183" s="508"/>
      <c r="AP183" s="508"/>
      <c r="AQ183" s="508"/>
      <c r="AR183" s="509"/>
      <c r="AS183" s="559">
        <f t="shared" ref="AS183" si="98">SUM(AG183:AR183)</f>
        <v>0</v>
      </c>
      <c r="AT183" s="510"/>
      <c r="AU183" s="508"/>
      <c r="AV183" s="508"/>
      <c r="AW183" s="508"/>
      <c r="AX183" s="508"/>
      <c r="AY183" s="508"/>
      <c r="AZ183" s="508"/>
      <c r="BA183" s="508"/>
      <c r="BB183" s="508"/>
      <c r="BC183" s="650"/>
      <c r="BD183" s="508"/>
      <c r="BE183" s="509"/>
      <c r="BF183" s="504">
        <f t="shared" ref="BF183" si="99">SUM(AT183:BE183)</f>
        <v>0</v>
      </c>
      <c r="BG183" s="510"/>
      <c r="BH183" s="508"/>
      <c r="BI183" s="508"/>
      <c r="BJ183" s="508"/>
      <c r="BK183" s="508"/>
      <c r="BL183" s="508"/>
      <c r="BM183" s="508"/>
      <c r="BN183" s="508"/>
      <c r="BO183" s="508"/>
      <c r="BP183" s="508"/>
      <c r="BQ183" s="508"/>
      <c r="BR183" s="509"/>
      <c r="BS183" s="504">
        <f t="shared" ref="BS183" si="100">SUM(BG183:BR183)</f>
        <v>0</v>
      </c>
      <c r="BT183" s="510"/>
      <c r="BU183" s="508"/>
      <c r="BV183" s="508"/>
      <c r="BW183" s="508"/>
      <c r="BX183" s="508"/>
      <c r="BY183" s="508"/>
      <c r="BZ183" s="508"/>
      <c r="CA183" s="508"/>
      <c r="CB183" s="508"/>
      <c r="CC183" s="508"/>
      <c r="CD183" s="508"/>
      <c r="CE183" s="509"/>
      <c r="CF183" s="504">
        <f t="shared" ref="CF183" si="101">SUM(BT183:CE183)</f>
        <v>0</v>
      </c>
      <c r="CG183" s="504"/>
      <c r="CH183" s="504">
        <f t="shared" ref="CH183" si="102">SUMIF(($S$5:$CG$5),"Actual",(S183:CG183))</f>
        <v>0</v>
      </c>
      <c r="CI183" s="504">
        <f t="shared" si="92"/>
        <v>0</v>
      </c>
      <c r="CJ183" s="504">
        <f t="shared" ref="CJ183" si="103">+CH183+CI183</f>
        <v>0</v>
      </c>
      <c r="CK183" s="504">
        <f t="shared" ref="CK183" si="104">+CJ183-R183</f>
        <v>0</v>
      </c>
      <c r="CL183" s="504">
        <f>+CK183-S183</f>
        <v>0</v>
      </c>
      <c r="CM183" s="504">
        <f t="shared" ref="CM183" si="105">+CJ183-CL183</f>
        <v>0</v>
      </c>
    </row>
    <row r="184" spans="1:91" s="546" customFormat="1">
      <c r="A184" s="534"/>
      <c r="B184" s="535">
        <v>403</v>
      </c>
      <c r="C184" s="535"/>
      <c r="D184" s="535"/>
      <c r="E184" s="535"/>
      <c r="F184" s="536"/>
      <c r="G184" s="536" t="s">
        <v>447</v>
      </c>
      <c r="H184" s="536"/>
      <c r="I184" s="536"/>
      <c r="J184" s="536"/>
      <c r="K184" s="536"/>
      <c r="L184" s="536"/>
      <c r="M184" s="622"/>
      <c r="N184" s="623"/>
      <c r="O184" s="539"/>
      <c r="P184" s="624"/>
      <c r="Q184" s="541">
        <f t="shared" ref="Q184:AV184" si="106">SUBTOTAL(9,Q185:Q196)</f>
        <v>3530000</v>
      </c>
      <c r="R184" s="541">
        <f t="shared" si="106"/>
        <v>3430000</v>
      </c>
      <c r="S184" s="539">
        <f t="shared" si="106"/>
        <v>0</v>
      </c>
      <c r="T184" s="542">
        <f t="shared" si="106"/>
        <v>0</v>
      </c>
      <c r="U184" s="543">
        <f t="shared" si="106"/>
        <v>0</v>
      </c>
      <c r="V184" s="543">
        <f t="shared" si="106"/>
        <v>0</v>
      </c>
      <c r="W184" s="543">
        <f t="shared" si="106"/>
        <v>0</v>
      </c>
      <c r="X184" s="543">
        <f t="shared" si="106"/>
        <v>0</v>
      </c>
      <c r="Y184" s="543">
        <f t="shared" si="106"/>
        <v>0</v>
      </c>
      <c r="Z184" s="543">
        <f t="shared" si="106"/>
        <v>0</v>
      </c>
      <c r="AA184" s="543">
        <f t="shared" si="106"/>
        <v>0</v>
      </c>
      <c r="AB184" s="543">
        <f t="shared" si="106"/>
        <v>0</v>
      </c>
      <c r="AC184" s="543">
        <f t="shared" si="106"/>
        <v>0</v>
      </c>
      <c r="AD184" s="543">
        <f t="shared" si="106"/>
        <v>0</v>
      </c>
      <c r="AE184" s="544">
        <f t="shared" si="106"/>
        <v>0</v>
      </c>
      <c r="AF184" s="539">
        <f t="shared" si="106"/>
        <v>0</v>
      </c>
      <c r="AG184" s="545">
        <f t="shared" si="106"/>
        <v>0</v>
      </c>
      <c r="AH184" s="543">
        <f t="shared" si="106"/>
        <v>0</v>
      </c>
      <c r="AI184" s="543">
        <f t="shared" si="106"/>
        <v>0</v>
      </c>
      <c r="AJ184" s="543">
        <f t="shared" si="106"/>
        <v>0</v>
      </c>
      <c r="AK184" s="543">
        <f t="shared" si="106"/>
        <v>0</v>
      </c>
      <c r="AL184" s="543">
        <f t="shared" si="106"/>
        <v>0</v>
      </c>
      <c r="AM184" s="543">
        <f t="shared" si="106"/>
        <v>0</v>
      </c>
      <c r="AN184" s="651">
        <f t="shared" si="106"/>
        <v>0</v>
      </c>
      <c r="AO184" s="543">
        <f t="shared" si="106"/>
        <v>0</v>
      </c>
      <c r="AP184" s="543">
        <f t="shared" si="106"/>
        <v>0</v>
      </c>
      <c r="AQ184" s="543">
        <f t="shared" si="106"/>
        <v>0</v>
      </c>
      <c r="AR184" s="544">
        <f t="shared" si="106"/>
        <v>0</v>
      </c>
      <c r="AS184" s="652">
        <f t="shared" si="106"/>
        <v>0</v>
      </c>
      <c r="AT184" s="545">
        <f t="shared" si="106"/>
        <v>0</v>
      </c>
      <c r="AU184" s="543">
        <f t="shared" si="106"/>
        <v>0</v>
      </c>
      <c r="AV184" s="543">
        <f t="shared" si="106"/>
        <v>0</v>
      </c>
      <c r="AW184" s="543">
        <f t="shared" ref="AW184:CB184" si="107">SUBTOTAL(9,AW185:AW196)</f>
        <v>143450</v>
      </c>
      <c r="AX184" s="543">
        <f t="shared" si="107"/>
        <v>0</v>
      </c>
      <c r="AY184" s="543">
        <f t="shared" si="107"/>
        <v>0</v>
      </c>
      <c r="AZ184" s="543">
        <f t="shared" si="107"/>
        <v>223000</v>
      </c>
      <c r="BA184" s="543">
        <f t="shared" si="107"/>
        <v>0</v>
      </c>
      <c r="BB184" s="543">
        <f t="shared" si="107"/>
        <v>0</v>
      </c>
      <c r="BC184" s="543">
        <f t="shared" si="107"/>
        <v>182827.46</v>
      </c>
      <c r="BD184" s="543">
        <f t="shared" si="107"/>
        <v>0</v>
      </c>
      <c r="BE184" s="544">
        <f t="shared" si="107"/>
        <v>0</v>
      </c>
      <c r="BF184" s="539">
        <f t="shared" si="107"/>
        <v>549277.46</v>
      </c>
      <c r="BG184" s="545">
        <f t="shared" si="107"/>
        <v>0</v>
      </c>
      <c r="BH184" s="543">
        <f t="shared" si="107"/>
        <v>0</v>
      </c>
      <c r="BI184" s="543">
        <f t="shared" si="107"/>
        <v>96848.38</v>
      </c>
      <c r="BJ184" s="543">
        <f t="shared" si="107"/>
        <v>1301.6333333333334</v>
      </c>
      <c r="BK184" s="543">
        <f t="shared" si="107"/>
        <v>0</v>
      </c>
      <c r="BL184" s="543">
        <f t="shared" si="107"/>
        <v>0</v>
      </c>
      <c r="BM184" s="543">
        <f t="shared" si="107"/>
        <v>0</v>
      </c>
      <c r="BN184" s="543">
        <f t="shared" si="107"/>
        <v>0</v>
      </c>
      <c r="BO184" s="543">
        <f t="shared" si="107"/>
        <v>0</v>
      </c>
      <c r="BP184" s="543">
        <f t="shared" si="107"/>
        <v>0</v>
      </c>
      <c r="BQ184" s="543">
        <f t="shared" si="107"/>
        <v>0</v>
      </c>
      <c r="BR184" s="544">
        <f t="shared" si="107"/>
        <v>0</v>
      </c>
      <c r="BS184" s="539">
        <f t="shared" si="107"/>
        <v>98150.013333333336</v>
      </c>
      <c r="BT184" s="545">
        <f t="shared" si="107"/>
        <v>0</v>
      </c>
      <c r="BU184" s="543">
        <f t="shared" si="107"/>
        <v>0</v>
      </c>
      <c r="BV184" s="543">
        <f t="shared" si="107"/>
        <v>0</v>
      </c>
      <c r="BW184" s="543">
        <f t="shared" si="107"/>
        <v>0</v>
      </c>
      <c r="BX184" s="543">
        <f t="shared" si="107"/>
        <v>0</v>
      </c>
      <c r="BY184" s="543">
        <f t="shared" si="107"/>
        <v>0</v>
      </c>
      <c r="BZ184" s="543">
        <f t="shared" si="107"/>
        <v>0</v>
      </c>
      <c r="CA184" s="543">
        <f t="shared" si="107"/>
        <v>0</v>
      </c>
      <c r="CB184" s="543">
        <f t="shared" si="107"/>
        <v>0</v>
      </c>
      <c r="CC184" s="543">
        <f t="shared" ref="CC184:CM184" si="108">SUBTOTAL(9,CC185:CC196)</f>
        <v>0</v>
      </c>
      <c r="CD184" s="543">
        <f t="shared" si="108"/>
        <v>0</v>
      </c>
      <c r="CE184" s="544">
        <f t="shared" si="108"/>
        <v>0</v>
      </c>
      <c r="CF184" s="539">
        <f t="shared" si="108"/>
        <v>0</v>
      </c>
      <c r="CG184" s="539">
        <f t="shared" si="108"/>
        <v>0</v>
      </c>
      <c r="CH184" s="539">
        <f t="shared" si="108"/>
        <v>647427.47333333327</v>
      </c>
      <c r="CI184" s="539">
        <f t="shared" si="108"/>
        <v>0</v>
      </c>
      <c r="CJ184" s="539">
        <f t="shared" si="108"/>
        <v>647427.47333333327</v>
      </c>
      <c r="CK184" s="539">
        <f t="shared" si="108"/>
        <v>-2782572.5266666668</v>
      </c>
      <c r="CL184" s="539">
        <f t="shared" si="108"/>
        <v>647687.79999999993</v>
      </c>
      <c r="CM184" s="539">
        <f t="shared" si="108"/>
        <v>-260.3266666666666</v>
      </c>
    </row>
    <row r="185" spans="1:91">
      <c r="A185" s="500"/>
      <c r="B185" s="526"/>
      <c r="C185" s="1423">
        <v>403.01</v>
      </c>
      <c r="D185" s="1423"/>
      <c r="E185" s="1423"/>
      <c r="F185" s="501"/>
      <c r="G185" s="501"/>
      <c r="H185" s="501" t="s">
        <v>448</v>
      </c>
      <c r="I185" s="501"/>
      <c r="J185" s="501"/>
      <c r="K185" s="501"/>
      <c r="L185" s="501"/>
      <c r="M185" s="517"/>
      <c r="N185" s="518">
        <v>6400004490</v>
      </c>
      <c r="O185" s="504">
        <v>562900</v>
      </c>
      <c r="P185" s="519" t="s">
        <v>310</v>
      </c>
      <c r="Q185" s="506">
        <f t="shared" ref="Q185:AV185" si="109">SUBTOTAL(9,Q186:Q189)</f>
        <v>230000</v>
      </c>
      <c r="R185" s="506">
        <f t="shared" si="109"/>
        <v>230000</v>
      </c>
      <c r="S185" s="504">
        <f t="shared" si="109"/>
        <v>0</v>
      </c>
      <c r="T185" s="507">
        <f t="shared" si="109"/>
        <v>0</v>
      </c>
      <c r="U185" s="508">
        <f t="shared" si="109"/>
        <v>0</v>
      </c>
      <c r="V185" s="508">
        <f t="shared" si="109"/>
        <v>0</v>
      </c>
      <c r="W185" s="508">
        <f t="shared" si="109"/>
        <v>0</v>
      </c>
      <c r="X185" s="508">
        <f t="shared" si="109"/>
        <v>0</v>
      </c>
      <c r="Y185" s="508">
        <f t="shared" si="109"/>
        <v>0</v>
      </c>
      <c r="Z185" s="508">
        <f t="shared" si="109"/>
        <v>0</v>
      </c>
      <c r="AA185" s="508">
        <f t="shared" si="109"/>
        <v>0</v>
      </c>
      <c r="AB185" s="508">
        <f t="shared" si="109"/>
        <v>0</v>
      </c>
      <c r="AC185" s="508">
        <f t="shared" si="109"/>
        <v>0</v>
      </c>
      <c r="AD185" s="508">
        <f t="shared" si="109"/>
        <v>0</v>
      </c>
      <c r="AE185" s="509">
        <f t="shared" si="109"/>
        <v>0</v>
      </c>
      <c r="AF185" s="504">
        <f t="shared" si="109"/>
        <v>0</v>
      </c>
      <c r="AG185" s="510">
        <f t="shared" si="109"/>
        <v>0</v>
      </c>
      <c r="AH185" s="508">
        <f t="shared" si="109"/>
        <v>0</v>
      </c>
      <c r="AI185" s="508">
        <f t="shared" si="109"/>
        <v>0</v>
      </c>
      <c r="AJ185" s="508">
        <f t="shared" si="109"/>
        <v>0</v>
      </c>
      <c r="AK185" s="508">
        <f t="shared" si="109"/>
        <v>0</v>
      </c>
      <c r="AL185" s="508">
        <f t="shared" si="109"/>
        <v>0</v>
      </c>
      <c r="AM185" s="508">
        <f t="shared" si="109"/>
        <v>0</v>
      </c>
      <c r="AN185" s="549">
        <f t="shared" si="109"/>
        <v>0</v>
      </c>
      <c r="AO185" s="508">
        <f t="shared" si="109"/>
        <v>0</v>
      </c>
      <c r="AP185" s="508">
        <f t="shared" si="109"/>
        <v>0</v>
      </c>
      <c r="AQ185" s="508">
        <f t="shared" si="109"/>
        <v>0</v>
      </c>
      <c r="AR185" s="509">
        <f t="shared" si="109"/>
        <v>0</v>
      </c>
      <c r="AS185" s="504">
        <f t="shared" si="109"/>
        <v>0</v>
      </c>
      <c r="AT185" s="548">
        <f t="shared" si="109"/>
        <v>0</v>
      </c>
      <c r="AU185" s="549">
        <f t="shared" si="109"/>
        <v>0</v>
      </c>
      <c r="AV185" s="508">
        <f t="shared" si="109"/>
        <v>0</v>
      </c>
      <c r="AW185" s="549">
        <f t="shared" ref="AW185:CB185" si="110">SUBTOTAL(9,AW186:AW189)</f>
        <v>143450</v>
      </c>
      <c r="AX185" s="549">
        <f t="shared" si="110"/>
        <v>0</v>
      </c>
      <c r="AY185" s="549">
        <f t="shared" si="110"/>
        <v>0</v>
      </c>
      <c r="AZ185" s="549">
        <f t="shared" si="110"/>
        <v>223000</v>
      </c>
      <c r="BA185" s="549">
        <f t="shared" si="110"/>
        <v>0</v>
      </c>
      <c r="BB185" s="508">
        <f t="shared" si="110"/>
        <v>0</v>
      </c>
      <c r="BC185" s="549">
        <f t="shared" si="110"/>
        <v>182827.46</v>
      </c>
      <c r="BD185" s="508">
        <f t="shared" si="110"/>
        <v>0</v>
      </c>
      <c r="BE185" s="509">
        <f t="shared" si="110"/>
        <v>0</v>
      </c>
      <c r="BF185" s="504">
        <f t="shared" si="110"/>
        <v>549277.46</v>
      </c>
      <c r="BG185" s="548">
        <f t="shared" si="110"/>
        <v>0</v>
      </c>
      <c r="BH185" s="508">
        <f t="shared" si="110"/>
        <v>0</v>
      </c>
      <c r="BI185" s="508">
        <f t="shared" si="110"/>
        <v>0</v>
      </c>
      <c r="BJ185" s="508">
        <f t="shared" si="110"/>
        <v>0</v>
      </c>
      <c r="BK185" s="508">
        <f t="shared" si="110"/>
        <v>0</v>
      </c>
      <c r="BL185" s="508">
        <f t="shared" si="110"/>
        <v>0</v>
      </c>
      <c r="BM185" s="508">
        <f t="shared" si="110"/>
        <v>0</v>
      </c>
      <c r="BN185" s="508">
        <f t="shared" si="110"/>
        <v>0</v>
      </c>
      <c r="BO185" s="508">
        <f t="shared" si="110"/>
        <v>0</v>
      </c>
      <c r="BP185" s="508">
        <f t="shared" si="110"/>
        <v>0</v>
      </c>
      <c r="BQ185" s="508">
        <f t="shared" si="110"/>
        <v>0</v>
      </c>
      <c r="BR185" s="509">
        <f t="shared" si="110"/>
        <v>0</v>
      </c>
      <c r="BS185" s="504">
        <f t="shared" si="110"/>
        <v>0</v>
      </c>
      <c r="BT185" s="510">
        <f t="shared" si="110"/>
        <v>0</v>
      </c>
      <c r="BU185" s="508">
        <f t="shared" si="110"/>
        <v>0</v>
      </c>
      <c r="BV185" s="508">
        <f t="shared" si="110"/>
        <v>0</v>
      </c>
      <c r="BW185" s="508">
        <f t="shared" si="110"/>
        <v>0</v>
      </c>
      <c r="BX185" s="508">
        <f t="shared" si="110"/>
        <v>0</v>
      </c>
      <c r="BY185" s="508">
        <f t="shared" si="110"/>
        <v>0</v>
      </c>
      <c r="BZ185" s="508">
        <f t="shared" si="110"/>
        <v>0</v>
      </c>
      <c r="CA185" s="508">
        <f t="shared" si="110"/>
        <v>0</v>
      </c>
      <c r="CB185" s="508">
        <f t="shared" si="110"/>
        <v>0</v>
      </c>
      <c r="CC185" s="508">
        <f t="shared" ref="CC185:CM185" si="111">SUBTOTAL(9,CC186:CC189)</f>
        <v>0</v>
      </c>
      <c r="CD185" s="508">
        <f t="shared" si="111"/>
        <v>0</v>
      </c>
      <c r="CE185" s="509">
        <f t="shared" si="111"/>
        <v>0</v>
      </c>
      <c r="CF185" s="504">
        <f t="shared" si="111"/>
        <v>0</v>
      </c>
      <c r="CG185" s="504">
        <f t="shared" si="111"/>
        <v>0</v>
      </c>
      <c r="CH185" s="504">
        <f t="shared" si="111"/>
        <v>549277.46</v>
      </c>
      <c r="CI185" s="504">
        <f t="shared" si="111"/>
        <v>0</v>
      </c>
      <c r="CJ185" s="504">
        <f t="shared" si="111"/>
        <v>549277.46</v>
      </c>
      <c r="CK185" s="504">
        <f t="shared" si="111"/>
        <v>319277.46000000002</v>
      </c>
      <c r="CL185" s="504">
        <f t="shared" si="111"/>
        <v>549277.46</v>
      </c>
      <c r="CM185" s="504">
        <f t="shared" si="111"/>
        <v>0</v>
      </c>
    </row>
    <row r="186" spans="1:91">
      <c r="A186" s="500"/>
      <c r="B186" s="526"/>
      <c r="C186" s="1435"/>
      <c r="D186" s="1435"/>
      <c r="E186" s="1435"/>
      <c r="F186" s="598"/>
      <c r="G186" s="598"/>
      <c r="H186" s="598"/>
      <c r="I186" s="598" t="s">
        <v>449</v>
      </c>
      <c r="J186" s="598"/>
      <c r="K186" s="598"/>
      <c r="L186" s="598"/>
      <c r="M186" s="600"/>
      <c r="N186" s="601"/>
      <c r="O186" s="602"/>
      <c r="P186" s="603"/>
      <c r="Q186" s="604"/>
      <c r="R186" s="604"/>
      <c r="S186" s="602"/>
      <c r="T186" s="605"/>
      <c r="U186" s="606"/>
      <c r="V186" s="606"/>
      <c r="W186" s="606"/>
      <c r="X186" s="606"/>
      <c r="Y186" s="606"/>
      <c r="Z186" s="606"/>
      <c r="AA186" s="606"/>
      <c r="AB186" s="606"/>
      <c r="AC186" s="606"/>
      <c r="AD186" s="606"/>
      <c r="AE186" s="611"/>
      <c r="AF186" s="602">
        <f t="shared" ref="AF186:AF197" si="112">SUM(T186:AE186)</f>
        <v>0</v>
      </c>
      <c r="AG186" s="608"/>
      <c r="AH186" s="606"/>
      <c r="AI186" s="606"/>
      <c r="AJ186" s="606"/>
      <c r="AK186" s="606"/>
      <c r="AL186" s="606"/>
      <c r="AM186" s="606"/>
      <c r="AN186" s="610"/>
      <c r="AO186" s="606"/>
      <c r="AP186" s="606"/>
      <c r="AQ186" s="606"/>
      <c r="AR186" s="611"/>
      <c r="AS186" s="602">
        <f t="shared" ref="AS186:AS197" si="113">SUM(AG186:AR186)</f>
        <v>0</v>
      </c>
      <c r="AT186" s="608"/>
      <c r="AU186" s="606"/>
      <c r="AV186" s="606"/>
      <c r="AW186" s="610">
        <v>12000</v>
      </c>
      <c r="AX186" s="606"/>
      <c r="AY186" s="606"/>
      <c r="AZ186" s="606"/>
      <c r="BA186" s="606"/>
      <c r="BB186" s="606"/>
      <c r="BC186" s="610"/>
      <c r="BD186" s="606"/>
      <c r="BE186" s="611"/>
      <c r="BF186" s="602">
        <f t="shared" ref="BF186:BF197" si="114">SUM(AT186:BE186)</f>
        <v>12000</v>
      </c>
      <c r="BG186" s="608"/>
      <c r="BH186" s="606"/>
      <c r="BI186" s="606"/>
      <c r="BJ186" s="606"/>
      <c r="BK186" s="606"/>
      <c r="BL186" s="606"/>
      <c r="BM186" s="606"/>
      <c r="BN186" s="606"/>
      <c r="BO186" s="606"/>
      <c r="BP186" s="606"/>
      <c r="BQ186" s="606"/>
      <c r="BR186" s="611"/>
      <c r="BS186" s="602">
        <f t="shared" ref="BS186:BS197" si="115">SUM(BG186:BR186)</f>
        <v>0</v>
      </c>
      <c r="BT186" s="608"/>
      <c r="BU186" s="606"/>
      <c r="BV186" s="606"/>
      <c r="BW186" s="606"/>
      <c r="BX186" s="606"/>
      <c r="BY186" s="606"/>
      <c r="BZ186" s="606"/>
      <c r="CA186" s="606"/>
      <c r="CB186" s="606"/>
      <c r="CC186" s="606"/>
      <c r="CD186" s="606"/>
      <c r="CE186" s="611"/>
      <c r="CF186" s="602">
        <f t="shared" ref="CF186:CF197" si="116">SUM(BT186:CE186)</f>
        <v>0</v>
      </c>
      <c r="CG186" s="602"/>
      <c r="CH186" s="602">
        <f t="shared" ref="CH186:CH197" si="117">SUMIF(($S$5:$CG$5),"Actual",(S186:CG186))</f>
        <v>12000</v>
      </c>
      <c r="CI186" s="602">
        <f t="shared" ref="CI186:CI197" si="118">SUMIF(($S$5:$CG$5),"Forecast",(S186:CG186))</f>
        <v>0</v>
      </c>
      <c r="CJ186" s="602">
        <f t="shared" ref="CJ186:CJ197" si="119">+CH186+CI186</f>
        <v>12000</v>
      </c>
      <c r="CK186" s="602">
        <f t="shared" ref="CK186:CK197" si="120">+CJ186-R186</f>
        <v>12000</v>
      </c>
      <c r="CL186" s="602">
        <v>12000</v>
      </c>
      <c r="CM186" s="602">
        <f t="shared" ref="CM186:CM197" si="121">+CJ186-CL186</f>
        <v>0</v>
      </c>
    </row>
    <row r="187" spans="1:91">
      <c r="A187" s="500"/>
      <c r="B187" s="526"/>
      <c r="C187" s="1435"/>
      <c r="D187" s="1435"/>
      <c r="E187" s="1435"/>
      <c r="F187" s="598"/>
      <c r="G187" s="598"/>
      <c r="H187" s="598"/>
      <c r="I187" s="598" t="s">
        <v>450</v>
      </c>
      <c r="J187" s="598"/>
      <c r="K187" s="598"/>
      <c r="L187" s="598"/>
      <c r="M187" s="600"/>
      <c r="N187" s="601"/>
      <c r="O187" s="602"/>
      <c r="P187" s="603"/>
      <c r="Q187" s="604">
        <v>230000</v>
      </c>
      <c r="R187" s="604">
        <v>230000</v>
      </c>
      <c r="S187" s="602"/>
      <c r="T187" s="605"/>
      <c r="U187" s="606"/>
      <c r="V187" s="606"/>
      <c r="W187" s="606"/>
      <c r="X187" s="606"/>
      <c r="Y187" s="606"/>
      <c r="Z187" s="606"/>
      <c r="AA187" s="606"/>
      <c r="AB187" s="606"/>
      <c r="AC187" s="606"/>
      <c r="AD187" s="606"/>
      <c r="AE187" s="611"/>
      <c r="AF187" s="602">
        <f t="shared" si="112"/>
        <v>0</v>
      </c>
      <c r="AG187" s="608"/>
      <c r="AH187" s="606"/>
      <c r="AI187" s="606"/>
      <c r="AJ187" s="606"/>
      <c r="AK187" s="606"/>
      <c r="AL187" s="606"/>
      <c r="AM187" s="606"/>
      <c r="AN187" s="610"/>
      <c r="AO187" s="606"/>
      <c r="AP187" s="606"/>
      <c r="AQ187" s="606"/>
      <c r="AR187" s="611"/>
      <c r="AS187" s="602">
        <f t="shared" si="113"/>
        <v>0</v>
      </c>
      <c r="AT187" s="608"/>
      <c r="AU187" s="606"/>
      <c r="AV187" s="606"/>
      <c r="AW187" s="610">
        <v>111500</v>
      </c>
      <c r="AX187" s="606"/>
      <c r="AY187" s="606"/>
      <c r="AZ187" s="606">
        <f>111500*2</f>
        <v>223000</v>
      </c>
      <c r="BA187" s="606"/>
      <c r="BB187" s="606"/>
      <c r="BC187" s="610">
        <f>135500-0.94</f>
        <v>135499.06</v>
      </c>
      <c r="BD187" s="606"/>
      <c r="BE187" s="611"/>
      <c r="BF187" s="602">
        <f t="shared" si="114"/>
        <v>469999.06</v>
      </c>
      <c r="BG187" s="608"/>
      <c r="BH187" s="606"/>
      <c r="BI187" s="606"/>
      <c r="BJ187" s="606">
        <v>0</v>
      </c>
      <c r="BK187" s="606"/>
      <c r="BL187" s="606"/>
      <c r="BM187" s="606"/>
      <c r="BN187" s="606"/>
      <c r="BO187" s="606"/>
      <c r="BP187" s="606"/>
      <c r="BQ187" s="606"/>
      <c r="BR187" s="611"/>
      <c r="BS187" s="602">
        <f t="shared" si="115"/>
        <v>0</v>
      </c>
      <c r="BT187" s="608"/>
      <c r="BU187" s="606"/>
      <c r="BV187" s="606"/>
      <c r="BW187" s="606"/>
      <c r="BX187" s="606"/>
      <c r="BY187" s="606"/>
      <c r="BZ187" s="606"/>
      <c r="CA187" s="606"/>
      <c r="CB187" s="606"/>
      <c r="CC187" s="606"/>
      <c r="CD187" s="606"/>
      <c r="CE187" s="611"/>
      <c r="CF187" s="602">
        <f t="shared" si="116"/>
        <v>0</v>
      </c>
      <c r="CG187" s="602"/>
      <c r="CH187" s="602">
        <f t="shared" si="117"/>
        <v>469999.06</v>
      </c>
      <c r="CI187" s="602">
        <f t="shared" si="118"/>
        <v>0</v>
      </c>
      <c r="CJ187" s="602">
        <f t="shared" si="119"/>
        <v>469999.06</v>
      </c>
      <c r="CK187" s="602">
        <f t="shared" si="120"/>
        <v>239999.06</v>
      </c>
      <c r="CL187" s="602">
        <v>469999.06</v>
      </c>
      <c r="CM187" s="602">
        <f t="shared" si="121"/>
        <v>0</v>
      </c>
    </row>
    <row r="188" spans="1:91">
      <c r="A188" s="500"/>
      <c r="B188" s="526"/>
      <c r="C188" s="1435"/>
      <c r="D188" s="1435"/>
      <c r="E188" s="1435"/>
      <c r="F188" s="598"/>
      <c r="G188" s="598"/>
      <c r="H188" s="598"/>
      <c r="I188" s="598" t="s">
        <v>451</v>
      </c>
      <c r="J188" s="598"/>
      <c r="K188" s="598"/>
      <c r="L188" s="598"/>
      <c r="M188" s="600"/>
      <c r="N188" s="601"/>
      <c r="O188" s="602"/>
      <c r="P188" s="603"/>
      <c r="Q188" s="604"/>
      <c r="R188" s="604"/>
      <c r="S188" s="602"/>
      <c r="T188" s="605"/>
      <c r="U188" s="606"/>
      <c r="V188" s="606"/>
      <c r="W188" s="606"/>
      <c r="X188" s="606"/>
      <c r="Y188" s="606"/>
      <c r="Z188" s="606"/>
      <c r="AA188" s="606"/>
      <c r="AB188" s="606"/>
      <c r="AC188" s="606"/>
      <c r="AD188" s="606"/>
      <c r="AE188" s="611"/>
      <c r="AF188" s="602">
        <f t="shared" si="112"/>
        <v>0</v>
      </c>
      <c r="AG188" s="608"/>
      <c r="AH188" s="606"/>
      <c r="AI188" s="606"/>
      <c r="AJ188" s="606"/>
      <c r="AK188" s="606"/>
      <c r="AL188" s="606"/>
      <c r="AM188" s="606"/>
      <c r="AN188" s="610"/>
      <c r="AO188" s="606"/>
      <c r="AP188" s="606"/>
      <c r="AQ188" s="606"/>
      <c r="AR188" s="611"/>
      <c r="AS188" s="602">
        <f t="shared" si="113"/>
        <v>0</v>
      </c>
      <c r="AT188" s="608"/>
      <c r="AU188" s="606"/>
      <c r="AV188" s="606"/>
      <c r="AW188" s="606">
        <v>19950</v>
      </c>
      <c r="AX188" s="606"/>
      <c r="AY188" s="606"/>
      <c r="AZ188" s="606"/>
      <c r="BA188" s="606"/>
      <c r="BB188" s="606"/>
      <c r="BC188" s="610"/>
      <c r="BD188" s="606"/>
      <c r="BE188" s="611"/>
      <c r="BF188" s="602">
        <f t="shared" si="114"/>
        <v>19950</v>
      </c>
      <c r="BG188" s="608"/>
      <c r="BH188" s="606"/>
      <c r="BI188" s="606"/>
      <c r="BJ188" s="606"/>
      <c r="BK188" s="606"/>
      <c r="BL188" s="606"/>
      <c r="BM188" s="606"/>
      <c r="BN188" s="606"/>
      <c r="BO188" s="606"/>
      <c r="BP188" s="606"/>
      <c r="BQ188" s="606"/>
      <c r="BR188" s="611"/>
      <c r="BS188" s="602">
        <f t="shared" si="115"/>
        <v>0</v>
      </c>
      <c r="BT188" s="608"/>
      <c r="BU188" s="606"/>
      <c r="BV188" s="606"/>
      <c r="BW188" s="606"/>
      <c r="BX188" s="606"/>
      <c r="BY188" s="606"/>
      <c r="BZ188" s="606"/>
      <c r="CA188" s="606"/>
      <c r="CB188" s="606"/>
      <c r="CC188" s="606"/>
      <c r="CD188" s="606"/>
      <c r="CE188" s="611"/>
      <c r="CF188" s="602">
        <f t="shared" si="116"/>
        <v>0</v>
      </c>
      <c r="CG188" s="602"/>
      <c r="CH188" s="602">
        <f t="shared" si="117"/>
        <v>19950</v>
      </c>
      <c r="CI188" s="602">
        <f t="shared" si="118"/>
        <v>0</v>
      </c>
      <c r="CJ188" s="602">
        <f t="shared" si="119"/>
        <v>19950</v>
      </c>
      <c r="CK188" s="602">
        <f t="shared" si="120"/>
        <v>19950</v>
      </c>
      <c r="CL188" s="602">
        <v>19950</v>
      </c>
      <c r="CM188" s="602">
        <f t="shared" si="121"/>
        <v>0</v>
      </c>
    </row>
    <row r="189" spans="1:91">
      <c r="A189" s="500"/>
      <c r="B189" s="526"/>
      <c r="C189" s="1435"/>
      <c r="D189" s="1435"/>
      <c r="E189" s="1435"/>
      <c r="F189" s="598"/>
      <c r="G189" s="598"/>
      <c r="H189" s="598"/>
      <c r="I189" s="598" t="s">
        <v>452</v>
      </c>
      <c r="J189" s="598"/>
      <c r="K189" s="598"/>
      <c r="L189" s="598"/>
      <c r="M189" s="600"/>
      <c r="N189" s="601"/>
      <c r="O189" s="602"/>
      <c r="P189" s="603"/>
      <c r="Q189" s="604"/>
      <c r="R189" s="604"/>
      <c r="S189" s="602"/>
      <c r="T189" s="605"/>
      <c r="U189" s="606"/>
      <c r="V189" s="606"/>
      <c r="W189" s="606"/>
      <c r="X189" s="606"/>
      <c r="Y189" s="606"/>
      <c r="Z189" s="606"/>
      <c r="AA189" s="606"/>
      <c r="AB189" s="606"/>
      <c r="AC189" s="606"/>
      <c r="AD189" s="606"/>
      <c r="AE189" s="611"/>
      <c r="AF189" s="602">
        <f t="shared" si="112"/>
        <v>0</v>
      </c>
      <c r="AG189" s="608"/>
      <c r="AH189" s="606"/>
      <c r="AI189" s="606"/>
      <c r="AJ189" s="606"/>
      <c r="AK189" s="606"/>
      <c r="AL189" s="606"/>
      <c r="AM189" s="606"/>
      <c r="AN189" s="610"/>
      <c r="AO189" s="606"/>
      <c r="AP189" s="606"/>
      <c r="AQ189" s="606"/>
      <c r="AR189" s="611"/>
      <c r="AS189" s="602">
        <f t="shared" si="113"/>
        <v>0</v>
      </c>
      <c r="AT189" s="608"/>
      <c r="AU189" s="606"/>
      <c r="AV189" s="606"/>
      <c r="AW189" s="606"/>
      <c r="AX189" s="610"/>
      <c r="AY189" s="610"/>
      <c r="AZ189" s="610"/>
      <c r="BA189" s="610"/>
      <c r="BB189" s="606"/>
      <c r="BC189" s="610">
        <f>42922+4406.4</f>
        <v>47328.4</v>
      </c>
      <c r="BD189" s="606"/>
      <c r="BE189" s="611"/>
      <c r="BF189" s="602">
        <f t="shared" si="114"/>
        <v>47328.4</v>
      </c>
      <c r="BG189" s="608"/>
      <c r="BH189" s="606"/>
      <c r="BI189" s="606"/>
      <c r="BJ189" s="606"/>
      <c r="BK189" s="606"/>
      <c r="BL189" s="606"/>
      <c r="BM189" s="606"/>
      <c r="BN189" s="606"/>
      <c r="BO189" s="606"/>
      <c r="BP189" s="606"/>
      <c r="BQ189" s="606"/>
      <c r="BR189" s="611"/>
      <c r="BS189" s="602">
        <f t="shared" si="115"/>
        <v>0</v>
      </c>
      <c r="BT189" s="608"/>
      <c r="BU189" s="606"/>
      <c r="BV189" s="606"/>
      <c r="BW189" s="606"/>
      <c r="BX189" s="606"/>
      <c r="BY189" s="606"/>
      <c r="BZ189" s="606"/>
      <c r="CA189" s="606"/>
      <c r="CB189" s="606"/>
      <c r="CC189" s="606"/>
      <c r="CD189" s="606"/>
      <c r="CE189" s="611"/>
      <c r="CF189" s="602">
        <f t="shared" si="116"/>
        <v>0</v>
      </c>
      <c r="CG189" s="602"/>
      <c r="CH189" s="602">
        <f t="shared" si="117"/>
        <v>47328.4</v>
      </c>
      <c r="CI189" s="602">
        <f t="shared" si="118"/>
        <v>0</v>
      </c>
      <c r="CJ189" s="602">
        <f t="shared" si="119"/>
        <v>47328.4</v>
      </c>
      <c r="CK189" s="602">
        <f t="shared" si="120"/>
        <v>47328.4</v>
      </c>
      <c r="CL189" s="602">
        <v>47328.4</v>
      </c>
      <c r="CM189" s="602">
        <f t="shared" si="121"/>
        <v>0</v>
      </c>
    </row>
    <row r="190" spans="1:91">
      <c r="A190" s="500"/>
      <c r="B190" s="526"/>
      <c r="C190" s="1423">
        <f>+C185+0.01</f>
        <v>403.02</v>
      </c>
      <c r="D190" s="1423"/>
      <c r="E190" s="1423"/>
      <c r="F190" s="501"/>
      <c r="G190" s="501"/>
      <c r="H190" s="501" t="s">
        <v>453</v>
      </c>
      <c r="I190" s="501"/>
      <c r="J190" s="501"/>
      <c r="K190" s="501"/>
      <c r="L190" s="501"/>
      <c r="M190" s="517"/>
      <c r="N190" s="518"/>
      <c r="O190" s="504"/>
      <c r="P190" s="519"/>
      <c r="Q190" s="506">
        <v>3200000</v>
      </c>
      <c r="R190" s="506">
        <v>3200000</v>
      </c>
      <c r="S190" s="504"/>
      <c r="T190" s="507"/>
      <c r="U190" s="508"/>
      <c r="V190" s="508"/>
      <c r="W190" s="508"/>
      <c r="X190" s="508"/>
      <c r="Y190" s="508"/>
      <c r="Z190" s="508"/>
      <c r="AA190" s="508"/>
      <c r="AB190" s="508"/>
      <c r="AC190" s="508"/>
      <c r="AD190" s="508"/>
      <c r="AE190" s="509"/>
      <c r="AF190" s="504">
        <f t="shared" si="112"/>
        <v>0</v>
      </c>
      <c r="AG190" s="510"/>
      <c r="AH190" s="508"/>
      <c r="AI190" s="508"/>
      <c r="AJ190" s="508"/>
      <c r="AK190" s="508"/>
      <c r="AL190" s="508"/>
      <c r="AM190" s="508"/>
      <c r="AN190" s="549"/>
      <c r="AO190" s="508"/>
      <c r="AP190" s="508"/>
      <c r="AQ190" s="508"/>
      <c r="AR190" s="509"/>
      <c r="AS190" s="504">
        <f t="shared" si="113"/>
        <v>0</v>
      </c>
      <c r="AT190" s="510"/>
      <c r="AU190" s="508"/>
      <c r="AV190" s="508"/>
      <c r="AW190" s="508"/>
      <c r="AX190" s="508"/>
      <c r="AY190" s="508"/>
      <c r="AZ190" s="508"/>
      <c r="BA190" s="508"/>
      <c r="BB190" s="508"/>
      <c r="BC190" s="508"/>
      <c r="BD190" s="508"/>
      <c r="BE190" s="509"/>
      <c r="BF190" s="504">
        <f t="shared" si="114"/>
        <v>0</v>
      </c>
      <c r="BG190" s="510"/>
      <c r="BH190" s="508"/>
      <c r="BI190" s="508"/>
      <c r="BJ190" s="508"/>
      <c r="BK190" s="508"/>
      <c r="BL190" s="508"/>
      <c r="BM190" s="508"/>
      <c r="BN190" s="508"/>
      <c r="BO190" s="508"/>
      <c r="BP190" s="508"/>
      <c r="BQ190" s="508"/>
      <c r="BR190" s="509"/>
      <c r="BS190" s="504">
        <f t="shared" si="115"/>
        <v>0</v>
      </c>
      <c r="BT190" s="510"/>
      <c r="BU190" s="508"/>
      <c r="BV190" s="508"/>
      <c r="BW190" s="508"/>
      <c r="BX190" s="508"/>
      <c r="BY190" s="508"/>
      <c r="BZ190" s="508"/>
      <c r="CA190" s="508"/>
      <c r="CB190" s="508"/>
      <c r="CC190" s="508"/>
      <c r="CD190" s="508"/>
      <c r="CE190" s="509"/>
      <c r="CF190" s="504">
        <f t="shared" si="116"/>
        <v>0</v>
      </c>
      <c r="CG190" s="504"/>
      <c r="CH190" s="504">
        <f t="shared" si="117"/>
        <v>0</v>
      </c>
      <c r="CI190" s="504">
        <f t="shared" si="118"/>
        <v>0</v>
      </c>
      <c r="CJ190" s="504">
        <f t="shared" si="119"/>
        <v>0</v>
      </c>
      <c r="CK190" s="504">
        <f t="shared" si="120"/>
        <v>-3200000</v>
      </c>
      <c r="CL190" s="504">
        <v>0</v>
      </c>
      <c r="CM190" s="504">
        <f t="shared" si="121"/>
        <v>0</v>
      </c>
    </row>
    <row r="191" spans="1:91">
      <c r="A191" s="500"/>
      <c r="B191" s="526"/>
      <c r="C191" s="1423">
        <f>+C190+0.01</f>
        <v>403.03</v>
      </c>
      <c r="D191" s="1423"/>
      <c r="E191" s="1423"/>
      <c r="F191" s="501"/>
      <c r="G191" s="501"/>
      <c r="H191" s="501" t="s">
        <v>454</v>
      </c>
      <c r="I191" s="501"/>
      <c r="J191" s="501"/>
      <c r="K191" s="501"/>
      <c r="L191" s="501"/>
      <c r="M191" s="517"/>
      <c r="N191" s="518"/>
      <c r="O191" s="504"/>
      <c r="P191" s="519"/>
      <c r="Q191" s="506">
        <v>100000</v>
      </c>
      <c r="R191" s="506"/>
      <c r="S191" s="504"/>
      <c r="T191" s="507"/>
      <c r="U191" s="508"/>
      <c r="V191" s="508"/>
      <c r="W191" s="508"/>
      <c r="X191" s="508"/>
      <c r="Y191" s="508"/>
      <c r="Z191" s="508"/>
      <c r="AA191" s="508"/>
      <c r="AB191" s="508"/>
      <c r="AC191" s="508"/>
      <c r="AD191" s="508"/>
      <c r="AE191" s="509"/>
      <c r="AF191" s="504">
        <f t="shared" si="112"/>
        <v>0</v>
      </c>
      <c r="AG191" s="510"/>
      <c r="AH191" s="508"/>
      <c r="AI191" s="508"/>
      <c r="AJ191" s="508"/>
      <c r="AK191" s="508"/>
      <c r="AL191" s="508"/>
      <c r="AM191" s="508"/>
      <c r="AN191" s="549"/>
      <c r="AO191" s="508"/>
      <c r="AP191" s="508"/>
      <c r="AQ191" s="508"/>
      <c r="AR191" s="509"/>
      <c r="AS191" s="504">
        <f t="shared" si="113"/>
        <v>0</v>
      </c>
      <c r="AT191" s="510"/>
      <c r="AU191" s="508"/>
      <c r="AV191" s="508"/>
      <c r="AW191" s="508"/>
      <c r="AX191" s="508"/>
      <c r="AY191" s="508"/>
      <c r="AZ191" s="508"/>
      <c r="BA191" s="508"/>
      <c r="BB191" s="508"/>
      <c r="BC191" s="508"/>
      <c r="BD191" s="508"/>
      <c r="BE191" s="509"/>
      <c r="BF191" s="504">
        <f t="shared" si="114"/>
        <v>0</v>
      </c>
      <c r="BG191" s="510"/>
      <c r="BH191" s="508"/>
      <c r="BI191" s="508"/>
      <c r="BJ191" s="508"/>
      <c r="BK191" s="508"/>
      <c r="BL191" s="508"/>
      <c r="BM191" s="508"/>
      <c r="BN191" s="508"/>
      <c r="BO191" s="508"/>
      <c r="BP191" s="508"/>
      <c r="BQ191" s="508"/>
      <c r="BR191" s="509"/>
      <c r="BS191" s="504">
        <f t="shared" si="115"/>
        <v>0</v>
      </c>
      <c r="BT191" s="510"/>
      <c r="BU191" s="508"/>
      <c r="BV191" s="508"/>
      <c r="BW191" s="508"/>
      <c r="BX191" s="508"/>
      <c r="BY191" s="508"/>
      <c r="BZ191" s="508"/>
      <c r="CA191" s="508"/>
      <c r="CB191" s="508"/>
      <c r="CC191" s="508"/>
      <c r="CD191" s="508"/>
      <c r="CE191" s="509"/>
      <c r="CF191" s="504">
        <f t="shared" si="116"/>
        <v>0</v>
      </c>
      <c r="CG191" s="504"/>
      <c r="CH191" s="504">
        <f t="shared" si="117"/>
        <v>0</v>
      </c>
      <c r="CI191" s="504">
        <f t="shared" si="118"/>
        <v>0</v>
      </c>
      <c r="CJ191" s="504">
        <f t="shared" si="119"/>
        <v>0</v>
      </c>
      <c r="CK191" s="504">
        <f t="shared" si="120"/>
        <v>0</v>
      </c>
      <c r="CL191" s="504">
        <v>0</v>
      </c>
      <c r="CM191" s="504">
        <f t="shared" si="121"/>
        <v>0</v>
      </c>
    </row>
    <row r="192" spans="1:91">
      <c r="A192" s="500"/>
      <c r="B192" s="526"/>
      <c r="C192" s="1423">
        <f>+C191+0.01</f>
        <v>403.03999999999996</v>
      </c>
      <c r="D192" s="1423"/>
      <c r="E192" s="1423"/>
      <c r="F192" s="501"/>
      <c r="G192" s="501"/>
      <c r="H192" s="501" t="s">
        <v>455</v>
      </c>
      <c r="I192" s="501"/>
      <c r="J192" s="501"/>
      <c r="K192" s="501"/>
      <c r="L192" s="501"/>
      <c r="M192" s="517"/>
      <c r="N192" s="518"/>
      <c r="O192" s="504"/>
      <c r="P192" s="519"/>
      <c r="Q192" s="506"/>
      <c r="R192" s="506"/>
      <c r="S192" s="504"/>
      <c r="T192" s="507"/>
      <c r="U192" s="508"/>
      <c r="V192" s="508"/>
      <c r="W192" s="508"/>
      <c r="X192" s="508"/>
      <c r="Y192" s="508"/>
      <c r="Z192" s="508"/>
      <c r="AA192" s="508"/>
      <c r="AB192" s="508"/>
      <c r="AC192" s="508"/>
      <c r="AD192" s="508"/>
      <c r="AE192" s="509"/>
      <c r="AF192" s="504">
        <f t="shared" si="112"/>
        <v>0</v>
      </c>
      <c r="AG192" s="510"/>
      <c r="AH192" s="508"/>
      <c r="AI192" s="508"/>
      <c r="AJ192" s="508"/>
      <c r="AK192" s="508"/>
      <c r="AL192" s="508"/>
      <c r="AM192" s="508"/>
      <c r="AN192" s="549"/>
      <c r="AO192" s="508"/>
      <c r="AP192" s="508"/>
      <c r="AQ192" s="508"/>
      <c r="AR192" s="509"/>
      <c r="AS192" s="504">
        <f t="shared" si="113"/>
        <v>0</v>
      </c>
      <c r="AT192" s="510"/>
      <c r="AU192" s="508"/>
      <c r="AV192" s="508"/>
      <c r="AW192" s="508"/>
      <c r="AX192" s="508"/>
      <c r="AY192" s="508"/>
      <c r="AZ192" s="508"/>
      <c r="BA192" s="508"/>
      <c r="BB192" s="508"/>
      <c r="BC192" s="508"/>
      <c r="BD192" s="508"/>
      <c r="BE192" s="509"/>
      <c r="BF192" s="504">
        <f t="shared" si="114"/>
        <v>0</v>
      </c>
      <c r="BG192" s="510"/>
      <c r="BH192" s="508"/>
      <c r="BI192" s="508"/>
      <c r="BJ192" s="1299">
        <f>1561.96*(25/30)</f>
        <v>1301.6333333333334</v>
      </c>
      <c r="BK192" s="508"/>
      <c r="BL192" s="508"/>
      <c r="BM192" s="508"/>
      <c r="BN192" s="508"/>
      <c r="BO192" s="508"/>
      <c r="BP192" s="508"/>
      <c r="BQ192" s="508"/>
      <c r="BR192" s="509"/>
      <c r="BS192" s="504">
        <f t="shared" si="115"/>
        <v>1301.6333333333334</v>
      </c>
      <c r="BT192" s="510"/>
      <c r="BU192" s="508"/>
      <c r="BV192" s="508"/>
      <c r="BW192" s="508"/>
      <c r="BX192" s="508"/>
      <c r="BY192" s="508"/>
      <c r="BZ192" s="508"/>
      <c r="CA192" s="508"/>
      <c r="CB192" s="508"/>
      <c r="CC192" s="508"/>
      <c r="CD192" s="508"/>
      <c r="CE192" s="509"/>
      <c r="CF192" s="504">
        <f t="shared" si="116"/>
        <v>0</v>
      </c>
      <c r="CG192" s="504"/>
      <c r="CH192" s="504">
        <f t="shared" si="117"/>
        <v>1301.6333333333334</v>
      </c>
      <c r="CI192" s="504">
        <f t="shared" si="118"/>
        <v>0</v>
      </c>
      <c r="CJ192" s="504">
        <f t="shared" si="119"/>
        <v>1301.6333333333334</v>
      </c>
      <c r="CK192" s="504">
        <f t="shared" si="120"/>
        <v>1301.6333333333334</v>
      </c>
      <c r="CL192" s="504">
        <v>1561.96</v>
      </c>
      <c r="CM192" s="504">
        <f t="shared" si="121"/>
        <v>-260.3266666666666</v>
      </c>
    </row>
    <row r="193" spans="1:91">
      <c r="A193" s="500"/>
      <c r="B193" s="526"/>
      <c r="C193" s="526">
        <f>+C191+0.01</f>
        <v>403.03999999999996</v>
      </c>
      <c r="D193" s="526"/>
      <c r="E193" s="526"/>
      <c r="F193" s="501"/>
      <c r="G193" s="501"/>
      <c r="H193" s="501" t="s">
        <v>456</v>
      </c>
      <c r="I193" s="501"/>
      <c r="J193" s="501"/>
      <c r="K193" s="501"/>
      <c r="L193" s="501"/>
      <c r="M193" s="517"/>
      <c r="N193" s="518"/>
      <c r="O193" s="504"/>
      <c r="P193" s="519"/>
      <c r="Q193" s="506"/>
      <c r="R193" s="506"/>
      <c r="S193" s="504"/>
      <c r="T193" s="507"/>
      <c r="U193" s="508"/>
      <c r="V193" s="508"/>
      <c r="W193" s="508"/>
      <c r="X193" s="508"/>
      <c r="Y193" s="508"/>
      <c r="Z193" s="508"/>
      <c r="AA193" s="508"/>
      <c r="AB193" s="508"/>
      <c r="AC193" s="508"/>
      <c r="AD193" s="508"/>
      <c r="AE193" s="509"/>
      <c r="AF193" s="504">
        <f t="shared" si="112"/>
        <v>0</v>
      </c>
      <c r="AG193" s="510"/>
      <c r="AH193" s="508"/>
      <c r="AI193" s="508"/>
      <c r="AJ193" s="508"/>
      <c r="AK193" s="508"/>
      <c r="AL193" s="508"/>
      <c r="AM193" s="508"/>
      <c r="AN193" s="549"/>
      <c r="AO193" s="508"/>
      <c r="AP193" s="508"/>
      <c r="AQ193" s="508"/>
      <c r="AR193" s="509"/>
      <c r="AS193" s="504">
        <f t="shared" si="113"/>
        <v>0</v>
      </c>
      <c r="AT193" s="510"/>
      <c r="AU193" s="508"/>
      <c r="AV193" s="508"/>
      <c r="AW193" s="508"/>
      <c r="AX193" s="508"/>
      <c r="AY193" s="508"/>
      <c r="AZ193" s="508"/>
      <c r="BA193" s="508"/>
      <c r="BB193" s="508"/>
      <c r="BC193" s="508"/>
      <c r="BD193" s="508"/>
      <c r="BE193" s="509"/>
      <c r="BF193" s="504">
        <f t="shared" si="114"/>
        <v>0</v>
      </c>
      <c r="BG193" s="510"/>
      <c r="BH193" s="508"/>
      <c r="BI193" s="508">
        <v>58465.88</v>
      </c>
      <c r="BJ193" s="508"/>
      <c r="BK193" s="508"/>
      <c r="BL193" s="508"/>
      <c r="BM193" s="508"/>
      <c r="BN193" s="508"/>
      <c r="BO193" s="508"/>
      <c r="BP193" s="508"/>
      <c r="BQ193" s="508"/>
      <c r="BR193" s="509"/>
      <c r="BS193" s="504">
        <f t="shared" si="115"/>
        <v>58465.88</v>
      </c>
      <c r="BT193" s="510"/>
      <c r="BU193" s="508"/>
      <c r="BV193" s="508"/>
      <c r="BW193" s="508"/>
      <c r="BX193" s="508"/>
      <c r="BY193" s="508"/>
      <c r="BZ193" s="508"/>
      <c r="CA193" s="508"/>
      <c r="CB193" s="508"/>
      <c r="CC193" s="508"/>
      <c r="CD193" s="508"/>
      <c r="CE193" s="509"/>
      <c r="CF193" s="504">
        <f t="shared" si="116"/>
        <v>0</v>
      </c>
      <c r="CG193" s="504"/>
      <c r="CH193" s="504">
        <f t="shared" si="117"/>
        <v>58465.88</v>
      </c>
      <c r="CI193" s="504">
        <f t="shared" si="118"/>
        <v>0</v>
      </c>
      <c r="CJ193" s="504">
        <f t="shared" si="119"/>
        <v>58465.88</v>
      </c>
      <c r="CK193" s="504">
        <f t="shared" si="120"/>
        <v>58465.88</v>
      </c>
      <c r="CL193" s="504">
        <v>58465.88</v>
      </c>
      <c r="CM193" s="504">
        <f t="shared" si="121"/>
        <v>0</v>
      </c>
    </row>
    <row r="194" spans="1:91">
      <c r="A194" s="500"/>
      <c r="B194" s="526"/>
      <c r="C194" s="1423">
        <f>+C193+0.01</f>
        <v>403.04999999999995</v>
      </c>
      <c r="D194" s="1423"/>
      <c r="E194" s="1423"/>
      <c r="F194" s="501"/>
      <c r="G194" s="501"/>
      <c r="H194" s="501" t="s">
        <v>457</v>
      </c>
      <c r="I194" s="501"/>
      <c r="J194" s="501"/>
      <c r="K194" s="501"/>
      <c r="L194" s="501"/>
      <c r="M194" s="517"/>
      <c r="N194" s="518"/>
      <c r="O194" s="504"/>
      <c r="P194" s="519"/>
      <c r="Q194" s="506"/>
      <c r="R194" s="506"/>
      <c r="S194" s="504"/>
      <c r="T194" s="507"/>
      <c r="U194" s="508"/>
      <c r="V194" s="508"/>
      <c r="W194" s="508"/>
      <c r="X194" s="508"/>
      <c r="Y194" s="508"/>
      <c r="Z194" s="508"/>
      <c r="AA194" s="508"/>
      <c r="AB194" s="508"/>
      <c r="AC194" s="508"/>
      <c r="AD194" s="508"/>
      <c r="AE194" s="509"/>
      <c r="AF194" s="504">
        <f t="shared" si="112"/>
        <v>0</v>
      </c>
      <c r="AG194" s="510"/>
      <c r="AH194" s="508"/>
      <c r="AI194" s="508"/>
      <c r="AJ194" s="508"/>
      <c r="AK194" s="508"/>
      <c r="AL194" s="508"/>
      <c r="AM194" s="508"/>
      <c r="AN194" s="549"/>
      <c r="AO194" s="508"/>
      <c r="AP194" s="508"/>
      <c r="AQ194" s="508"/>
      <c r="AR194" s="509"/>
      <c r="AS194" s="504">
        <f t="shared" si="113"/>
        <v>0</v>
      </c>
      <c r="AT194" s="510"/>
      <c r="AU194" s="508"/>
      <c r="AV194" s="508"/>
      <c r="AW194" s="508"/>
      <c r="AX194" s="508"/>
      <c r="AY194" s="508"/>
      <c r="AZ194" s="508"/>
      <c r="BA194" s="508"/>
      <c r="BB194" s="508"/>
      <c r="BC194" s="508"/>
      <c r="BD194" s="508"/>
      <c r="BE194" s="509"/>
      <c r="BF194" s="504">
        <f t="shared" si="114"/>
        <v>0</v>
      </c>
      <c r="BG194" s="510"/>
      <c r="BH194" s="508"/>
      <c r="BI194" s="508">
        <v>382.5</v>
      </c>
      <c r="BJ194" s="508"/>
      <c r="BK194" s="508"/>
      <c r="BL194" s="508"/>
      <c r="BM194" s="508"/>
      <c r="BN194" s="508"/>
      <c r="BO194" s="508"/>
      <c r="BP194" s="508"/>
      <c r="BQ194" s="508"/>
      <c r="BR194" s="509"/>
      <c r="BS194" s="504">
        <f t="shared" si="115"/>
        <v>382.5</v>
      </c>
      <c r="BT194" s="510"/>
      <c r="BU194" s="508"/>
      <c r="BV194" s="508"/>
      <c r="BW194" s="508"/>
      <c r="BX194" s="508"/>
      <c r="BY194" s="508"/>
      <c r="BZ194" s="508"/>
      <c r="CA194" s="508"/>
      <c r="CB194" s="508"/>
      <c r="CC194" s="508"/>
      <c r="CD194" s="508"/>
      <c r="CE194" s="509"/>
      <c r="CF194" s="504">
        <f t="shared" si="116"/>
        <v>0</v>
      </c>
      <c r="CG194" s="504"/>
      <c r="CH194" s="504">
        <f t="shared" si="117"/>
        <v>382.5</v>
      </c>
      <c r="CI194" s="504">
        <f t="shared" si="118"/>
        <v>0</v>
      </c>
      <c r="CJ194" s="504">
        <f t="shared" si="119"/>
        <v>382.5</v>
      </c>
      <c r="CK194" s="504">
        <f t="shared" si="120"/>
        <v>382.5</v>
      </c>
      <c r="CL194" s="504">
        <v>382.5</v>
      </c>
      <c r="CM194" s="504">
        <f t="shared" si="121"/>
        <v>0</v>
      </c>
    </row>
    <row r="195" spans="1:91">
      <c r="A195" s="500"/>
      <c r="B195" s="526"/>
      <c r="C195" s="1423">
        <f>+C194+0.01</f>
        <v>403.05999999999995</v>
      </c>
      <c r="D195" s="1423"/>
      <c r="E195" s="1423"/>
      <c r="F195" s="501"/>
      <c r="G195" s="501"/>
      <c r="H195" s="501" t="s">
        <v>458</v>
      </c>
      <c r="I195" s="501"/>
      <c r="J195" s="501"/>
      <c r="K195" s="501"/>
      <c r="L195" s="501"/>
      <c r="M195" s="517"/>
      <c r="N195" s="518"/>
      <c r="O195" s="504"/>
      <c r="P195" s="519"/>
      <c r="Q195" s="506"/>
      <c r="R195" s="506"/>
      <c r="S195" s="504"/>
      <c r="T195" s="507"/>
      <c r="U195" s="508"/>
      <c r="V195" s="508"/>
      <c r="W195" s="508"/>
      <c r="X195" s="508"/>
      <c r="Y195" s="508"/>
      <c r="Z195" s="508"/>
      <c r="AA195" s="508"/>
      <c r="AB195" s="508"/>
      <c r="AC195" s="508"/>
      <c r="AD195" s="508"/>
      <c r="AE195" s="509"/>
      <c r="AF195" s="504">
        <f t="shared" si="112"/>
        <v>0</v>
      </c>
      <c r="AG195" s="510"/>
      <c r="AH195" s="508"/>
      <c r="AI195" s="508"/>
      <c r="AJ195" s="508"/>
      <c r="AK195" s="508"/>
      <c r="AL195" s="508"/>
      <c r="AM195" s="508"/>
      <c r="AN195" s="549"/>
      <c r="AO195" s="508"/>
      <c r="AP195" s="508"/>
      <c r="AQ195" s="508"/>
      <c r="AR195" s="509"/>
      <c r="AS195" s="504">
        <f t="shared" si="113"/>
        <v>0</v>
      </c>
      <c r="AT195" s="510"/>
      <c r="AU195" s="508"/>
      <c r="AV195" s="508"/>
      <c r="AW195" s="508"/>
      <c r="AX195" s="508"/>
      <c r="AY195" s="508"/>
      <c r="AZ195" s="508"/>
      <c r="BA195" s="508"/>
      <c r="BB195" s="508"/>
      <c r="BC195" s="508"/>
      <c r="BD195" s="508"/>
      <c r="BE195" s="509"/>
      <c r="BF195" s="504">
        <f t="shared" si="114"/>
        <v>0</v>
      </c>
      <c r="BG195" s="510"/>
      <c r="BH195" s="508"/>
      <c r="BI195" s="508"/>
      <c r="BJ195" s="508"/>
      <c r="BK195" s="659"/>
      <c r="BL195" s="508"/>
      <c r="BM195" s="508"/>
      <c r="BN195" s="508"/>
      <c r="BO195" s="508"/>
      <c r="BP195" s="508"/>
      <c r="BQ195" s="508"/>
      <c r="BR195" s="509"/>
      <c r="BS195" s="504">
        <f t="shared" si="115"/>
        <v>0</v>
      </c>
      <c r="BT195" s="510"/>
      <c r="BU195" s="508"/>
      <c r="BV195" s="508"/>
      <c r="BW195" s="508"/>
      <c r="BX195" s="508"/>
      <c r="BY195" s="508"/>
      <c r="BZ195" s="508"/>
      <c r="CA195" s="508"/>
      <c r="CB195" s="508"/>
      <c r="CC195" s="508"/>
      <c r="CD195" s="508"/>
      <c r="CE195" s="509"/>
      <c r="CF195" s="504">
        <f t="shared" si="116"/>
        <v>0</v>
      </c>
      <c r="CG195" s="504"/>
      <c r="CH195" s="504">
        <f t="shared" si="117"/>
        <v>0</v>
      </c>
      <c r="CI195" s="504">
        <f t="shared" si="118"/>
        <v>0</v>
      </c>
      <c r="CJ195" s="504">
        <f t="shared" si="119"/>
        <v>0</v>
      </c>
      <c r="CK195" s="504">
        <f t="shared" si="120"/>
        <v>0</v>
      </c>
      <c r="CL195" s="504">
        <v>0</v>
      </c>
      <c r="CM195" s="504">
        <f t="shared" si="121"/>
        <v>0</v>
      </c>
    </row>
    <row r="196" spans="1:91">
      <c r="A196" s="500"/>
      <c r="B196" s="526"/>
      <c r="C196" s="1423">
        <f>+C195+0.01</f>
        <v>403.06999999999994</v>
      </c>
      <c r="D196" s="1423"/>
      <c r="E196" s="1423"/>
      <c r="F196" s="501"/>
      <c r="G196" s="501"/>
      <c r="H196" s="501" t="s">
        <v>459</v>
      </c>
      <c r="I196" s="501"/>
      <c r="J196" s="501"/>
      <c r="K196" s="501"/>
      <c r="L196" s="501"/>
      <c r="M196" s="517"/>
      <c r="N196" s="518"/>
      <c r="O196" s="504"/>
      <c r="P196" s="519"/>
      <c r="Q196" s="506"/>
      <c r="R196" s="506"/>
      <c r="S196" s="504"/>
      <c r="T196" s="507"/>
      <c r="U196" s="508"/>
      <c r="V196" s="508"/>
      <c r="W196" s="508"/>
      <c r="X196" s="508"/>
      <c r="Y196" s="508"/>
      <c r="Z196" s="508"/>
      <c r="AA196" s="508"/>
      <c r="AB196" s="508"/>
      <c r="AC196" s="508"/>
      <c r="AD196" s="508"/>
      <c r="AE196" s="509"/>
      <c r="AF196" s="504">
        <f t="shared" si="112"/>
        <v>0</v>
      </c>
      <c r="AG196" s="510"/>
      <c r="AH196" s="508"/>
      <c r="AI196" s="508"/>
      <c r="AJ196" s="508"/>
      <c r="AK196" s="508"/>
      <c r="AL196" s="508"/>
      <c r="AM196" s="508"/>
      <c r="AN196" s="549"/>
      <c r="AO196" s="508"/>
      <c r="AP196" s="508"/>
      <c r="AQ196" s="508"/>
      <c r="AR196" s="509"/>
      <c r="AS196" s="504">
        <f t="shared" si="113"/>
        <v>0</v>
      </c>
      <c r="AT196" s="510"/>
      <c r="AU196" s="508"/>
      <c r="AV196" s="508"/>
      <c r="AW196" s="508"/>
      <c r="AX196" s="508"/>
      <c r="AY196" s="508"/>
      <c r="AZ196" s="508"/>
      <c r="BA196" s="508"/>
      <c r="BB196" s="508"/>
      <c r="BC196" s="508"/>
      <c r="BD196" s="508"/>
      <c r="BE196" s="509"/>
      <c r="BF196" s="504">
        <f t="shared" si="114"/>
        <v>0</v>
      </c>
      <c r="BG196" s="510"/>
      <c r="BH196" s="508"/>
      <c r="BI196" s="508">
        <v>38000</v>
      </c>
      <c r="BJ196" s="508"/>
      <c r="BK196" s="659"/>
      <c r="BL196" s="508"/>
      <c r="BM196" s="508"/>
      <c r="BN196" s="508"/>
      <c r="BO196" s="508"/>
      <c r="BP196" s="508"/>
      <c r="BQ196" s="508"/>
      <c r="BR196" s="509"/>
      <c r="BS196" s="504">
        <f t="shared" si="115"/>
        <v>38000</v>
      </c>
      <c r="BT196" s="510"/>
      <c r="BU196" s="508"/>
      <c r="BV196" s="508"/>
      <c r="BW196" s="508"/>
      <c r="BX196" s="508"/>
      <c r="BY196" s="508"/>
      <c r="BZ196" s="508"/>
      <c r="CA196" s="508"/>
      <c r="CB196" s="508"/>
      <c r="CC196" s="508"/>
      <c r="CD196" s="508"/>
      <c r="CE196" s="509"/>
      <c r="CF196" s="504">
        <f t="shared" si="116"/>
        <v>0</v>
      </c>
      <c r="CG196" s="504"/>
      <c r="CH196" s="504">
        <f t="shared" si="117"/>
        <v>38000</v>
      </c>
      <c r="CI196" s="504">
        <f t="shared" si="118"/>
        <v>0</v>
      </c>
      <c r="CJ196" s="504">
        <f t="shared" si="119"/>
        <v>38000</v>
      </c>
      <c r="CK196" s="504">
        <f t="shared" si="120"/>
        <v>38000</v>
      </c>
      <c r="CL196" s="504">
        <v>38000</v>
      </c>
      <c r="CM196" s="504">
        <f t="shared" si="121"/>
        <v>0</v>
      </c>
    </row>
    <row r="197" spans="1:91" outlineLevel="1">
      <c r="A197" s="500"/>
      <c r="B197" s="526"/>
      <c r="C197" s="526"/>
      <c r="D197" s="526"/>
      <c r="E197" s="526"/>
      <c r="F197" s="501"/>
      <c r="G197" s="501"/>
      <c r="H197" s="501"/>
      <c r="I197" s="501"/>
      <c r="J197" s="501"/>
      <c r="K197" s="501"/>
      <c r="L197" s="501"/>
      <c r="M197" s="517"/>
      <c r="N197" s="518"/>
      <c r="O197" s="504"/>
      <c r="P197" s="519"/>
      <c r="Q197" s="506">
        <v>0</v>
      </c>
      <c r="R197" s="506">
        <v>0</v>
      </c>
      <c r="S197" s="504"/>
      <c r="T197" s="507"/>
      <c r="U197" s="508"/>
      <c r="V197" s="508"/>
      <c r="W197" s="508"/>
      <c r="X197" s="508"/>
      <c r="Y197" s="508"/>
      <c r="Z197" s="508"/>
      <c r="AA197" s="508"/>
      <c r="AB197" s="508"/>
      <c r="AC197" s="508"/>
      <c r="AD197" s="508"/>
      <c r="AE197" s="509"/>
      <c r="AF197" s="504">
        <f t="shared" si="112"/>
        <v>0</v>
      </c>
      <c r="AG197" s="510"/>
      <c r="AH197" s="508"/>
      <c r="AI197" s="508"/>
      <c r="AJ197" s="508"/>
      <c r="AK197" s="508"/>
      <c r="AL197" s="508"/>
      <c r="AM197" s="508"/>
      <c r="AN197" s="549"/>
      <c r="AO197" s="508"/>
      <c r="AP197" s="508"/>
      <c r="AQ197" s="508"/>
      <c r="AR197" s="509"/>
      <c r="AS197" s="559">
        <f t="shared" si="113"/>
        <v>0</v>
      </c>
      <c r="AT197" s="510"/>
      <c r="AU197" s="508"/>
      <c r="AV197" s="508"/>
      <c r="AW197" s="508"/>
      <c r="AX197" s="508"/>
      <c r="AY197" s="508"/>
      <c r="AZ197" s="508"/>
      <c r="BA197" s="508"/>
      <c r="BB197" s="508"/>
      <c r="BC197" s="508"/>
      <c r="BD197" s="508"/>
      <c r="BE197" s="509"/>
      <c r="BF197" s="504">
        <f t="shared" si="114"/>
        <v>0</v>
      </c>
      <c r="BG197" s="510"/>
      <c r="BH197" s="508"/>
      <c r="BI197" s="508"/>
      <c r="BJ197" s="508"/>
      <c r="BK197" s="508"/>
      <c r="BL197" s="508"/>
      <c r="BM197" s="508"/>
      <c r="BN197" s="508"/>
      <c r="BO197" s="508"/>
      <c r="BP197" s="508"/>
      <c r="BQ197" s="508"/>
      <c r="BR197" s="509"/>
      <c r="BS197" s="504">
        <f t="shared" si="115"/>
        <v>0</v>
      </c>
      <c r="BT197" s="510"/>
      <c r="BU197" s="508"/>
      <c r="BV197" s="508"/>
      <c r="BW197" s="508"/>
      <c r="BX197" s="508"/>
      <c r="BY197" s="508"/>
      <c r="BZ197" s="508"/>
      <c r="CA197" s="508"/>
      <c r="CB197" s="508"/>
      <c r="CC197" s="508"/>
      <c r="CD197" s="508"/>
      <c r="CE197" s="509"/>
      <c r="CF197" s="504">
        <f t="shared" si="116"/>
        <v>0</v>
      </c>
      <c r="CG197" s="504"/>
      <c r="CH197" s="504">
        <f t="shared" si="117"/>
        <v>0</v>
      </c>
      <c r="CI197" s="504">
        <f t="shared" si="118"/>
        <v>0</v>
      </c>
      <c r="CJ197" s="504">
        <f t="shared" si="119"/>
        <v>0</v>
      </c>
      <c r="CK197" s="504">
        <f t="shared" si="120"/>
        <v>0</v>
      </c>
      <c r="CL197" s="504">
        <v>0</v>
      </c>
      <c r="CM197" s="504">
        <f t="shared" si="121"/>
        <v>0</v>
      </c>
    </row>
    <row r="198" spans="1:91" s="546" customFormat="1" outlineLevel="1">
      <c r="A198" s="534"/>
      <c r="B198" s="535">
        <v>404</v>
      </c>
      <c r="C198" s="535"/>
      <c r="D198" s="535"/>
      <c r="E198" s="535"/>
      <c r="F198" s="536"/>
      <c r="G198" s="536" t="s">
        <v>460</v>
      </c>
      <c r="H198" s="536"/>
      <c r="I198" s="536"/>
      <c r="J198" s="536"/>
      <c r="K198" s="536"/>
      <c r="L198" s="536"/>
      <c r="M198" s="622"/>
      <c r="N198" s="623"/>
      <c r="O198" s="539"/>
      <c r="P198" s="624"/>
      <c r="Q198" s="541">
        <f t="shared" ref="Q198:AV198" si="122">SUBTOTAL(9,Q199)</f>
        <v>141000</v>
      </c>
      <c r="R198" s="541">
        <f t="shared" si="122"/>
        <v>0</v>
      </c>
      <c r="S198" s="539">
        <f t="shared" si="122"/>
        <v>0</v>
      </c>
      <c r="T198" s="542">
        <f t="shared" si="122"/>
        <v>0</v>
      </c>
      <c r="U198" s="543">
        <f t="shared" si="122"/>
        <v>0</v>
      </c>
      <c r="V198" s="543">
        <f t="shared" si="122"/>
        <v>0</v>
      </c>
      <c r="W198" s="543">
        <f t="shared" si="122"/>
        <v>0</v>
      </c>
      <c r="X198" s="543">
        <f t="shared" si="122"/>
        <v>0</v>
      </c>
      <c r="Y198" s="543">
        <f t="shared" si="122"/>
        <v>0</v>
      </c>
      <c r="Z198" s="543">
        <f t="shared" si="122"/>
        <v>0</v>
      </c>
      <c r="AA198" s="543">
        <f t="shared" si="122"/>
        <v>0</v>
      </c>
      <c r="AB198" s="543">
        <f t="shared" si="122"/>
        <v>0</v>
      </c>
      <c r="AC198" s="543">
        <f t="shared" si="122"/>
        <v>0</v>
      </c>
      <c r="AD198" s="543">
        <f t="shared" si="122"/>
        <v>0</v>
      </c>
      <c r="AE198" s="544">
        <f t="shared" si="122"/>
        <v>0</v>
      </c>
      <c r="AF198" s="539">
        <f t="shared" si="122"/>
        <v>0</v>
      </c>
      <c r="AG198" s="545">
        <f t="shared" si="122"/>
        <v>0</v>
      </c>
      <c r="AH198" s="543">
        <f t="shared" si="122"/>
        <v>0</v>
      </c>
      <c r="AI198" s="543">
        <f t="shared" si="122"/>
        <v>0</v>
      </c>
      <c r="AJ198" s="543">
        <f t="shared" si="122"/>
        <v>0</v>
      </c>
      <c r="AK198" s="543">
        <f t="shared" si="122"/>
        <v>0</v>
      </c>
      <c r="AL198" s="543">
        <f t="shared" si="122"/>
        <v>0</v>
      </c>
      <c r="AM198" s="543">
        <f t="shared" si="122"/>
        <v>0</v>
      </c>
      <c r="AN198" s="651">
        <f t="shared" si="122"/>
        <v>0</v>
      </c>
      <c r="AO198" s="543">
        <f t="shared" si="122"/>
        <v>0</v>
      </c>
      <c r="AP198" s="543">
        <f t="shared" si="122"/>
        <v>0</v>
      </c>
      <c r="AQ198" s="543">
        <f t="shared" si="122"/>
        <v>0</v>
      </c>
      <c r="AR198" s="544">
        <f t="shared" si="122"/>
        <v>0</v>
      </c>
      <c r="AS198" s="652">
        <f t="shared" si="122"/>
        <v>0</v>
      </c>
      <c r="AT198" s="545">
        <f t="shared" si="122"/>
        <v>0</v>
      </c>
      <c r="AU198" s="543">
        <f t="shared" si="122"/>
        <v>0</v>
      </c>
      <c r="AV198" s="543">
        <f t="shared" si="122"/>
        <v>0</v>
      </c>
      <c r="AW198" s="543">
        <f t="shared" ref="AW198:CB198" si="123">SUBTOTAL(9,AW199)</f>
        <v>0</v>
      </c>
      <c r="AX198" s="543">
        <f t="shared" si="123"/>
        <v>0</v>
      </c>
      <c r="AY198" s="543">
        <f t="shared" si="123"/>
        <v>0</v>
      </c>
      <c r="AZ198" s="543">
        <f t="shared" si="123"/>
        <v>0</v>
      </c>
      <c r="BA198" s="543">
        <f t="shared" si="123"/>
        <v>0</v>
      </c>
      <c r="BB198" s="543">
        <f t="shared" si="123"/>
        <v>0</v>
      </c>
      <c r="BC198" s="543">
        <f t="shared" si="123"/>
        <v>0</v>
      </c>
      <c r="BD198" s="543">
        <f t="shared" si="123"/>
        <v>0</v>
      </c>
      <c r="BE198" s="544">
        <f t="shared" si="123"/>
        <v>0</v>
      </c>
      <c r="BF198" s="539">
        <f t="shared" si="123"/>
        <v>0</v>
      </c>
      <c r="BG198" s="545">
        <f t="shared" si="123"/>
        <v>0</v>
      </c>
      <c r="BH198" s="543">
        <f t="shared" si="123"/>
        <v>0</v>
      </c>
      <c r="BI198" s="543">
        <f t="shared" si="123"/>
        <v>0</v>
      </c>
      <c r="BJ198" s="543">
        <f t="shared" si="123"/>
        <v>0</v>
      </c>
      <c r="BK198" s="543">
        <f t="shared" si="123"/>
        <v>0</v>
      </c>
      <c r="BL198" s="543">
        <f t="shared" si="123"/>
        <v>0</v>
      </c>
      <c r="BM198" s="543">
        <f t="shared" si="123"/>
        <v>0</v>
      </c>
      <c r="BN198" s="543">
        <f t="shared" si="123"/>
        <v>0</v>
      </c>
      <c r="BO198" s="543">
        <f t="shared" si="123"/>
        <v>0</v>
      </c>
      <c r="BP198" s="543">
        <f t="shared" si="123"/>
        <v>0</v>
      </c>
      <c r="BQ198" s="543">
        <f t="shared" si="123"/>
        <v>0</v>
      </c>
      <c r="BR198" s="544">
        <f t="shared" si="123"/>
        <v>0</v>
      </c>
      <c r="BS198" s="539">
        <f t="shared" si="123"/>
        <v>0</v>
      </c>
      <c r="BT198" s="545">
        <f t="shared" si="123"/>
        <v>0</v>
      </c>
      <c r="BU198" s="543">
        <f t="shared" si="123"/>
        <v>0</v>
      </c>
      <c r="BV198" s="543">
        <f t="shared" si="123"/>
        <v>0</v>
      </c>
      <c r="BW198" s="543">
        <f t="shared" si="123"/>
        <v>0</v>
      </c>
      <c r="BX198" s="543">
        <f t="shared" si="123"/>
        <v>0</v>
      </c>
      <c r="BY198" s="543">
        <f t="shared" si="123"/>
        <v>0</v>
      </c>
      <c r="BZ198" s="543">
        <f t="shared" si="123"/>
        <v>0</v>
      </c>
      <c r="CA198" s="543">
        <f t="shared" si="123"/>
        <v>0</v>
      </c>
      <c r="CB198" s="543">
        <f t="shared" si="123"/>
        <v>0</v>
      </c>
      <c r="CC198" s="543">
        <f t="shared" ref="CC198:CK198" si="124">SUBTOTAL(9,CC199)</f>
        <v>0</v>
      </c>
      <c r="CD198" s="543">
        <f t="shared" si="124"/>
        <v>0</v>
      </c>
      <c r="CE198" s="544">
        <f t="shared" si="124"/>
        <v>0</v>
      </c>
      <c r="CF198" s="539">
        <f t="shared" si="124"/>
        <v>0</v>
      </c>
      <c r="CG198" s="539">
        <f t="shared" si="124"/>
        <v>0</v>
      </c>
      <c r="CH198" s="539">
        <f t="shared" si="124"/>
        <v>0</v>
      </c>
      <c r="CI198" s="539">
        <f t="shared" si="124"/>
        <v>0</v>
      </c>
      <c r="CJ198" s="539">
        <f t="shared" si="124"/>
        <v>0</v>
      </c>
      <c r="CK198" s="539">
        <f t="shared" si="124"/>
        <v>0</v>
      </c>
      <c r="CL198" s="539">
        <v>0</v>
      </c>
      <c r="CM198" s="539">
        <f>SUBTOTAL(9,CM199)</f>
        <v>0</v>
      </c>
    </row>
    <row r="199" spans="1:91" outlineLevel="1">
      <c r="A199" s="500"/>
      <c r="B199" s="526"/>
      <c r="C199" s="593">
        <v>404.01</v>
      </c>
      <c r="D199" s="526"/>
      <c r="E199" s="526"/>
      <c r="F199" s="501"/>
      <c r="H199" s="501" t="s">
        <v>461</v>
      </c>
      <c r="I199" s="501"/>
      <c r="J199" s="501"/>
      <c r="K199" s="501"/>
      <c r="L199" s="501"/>
      <c r="M199" s="517"/>
      <c r="N199" s="518"/>
      <c r="O199" s="504"/>
      <c r="P199" s="519"/>
      <c r="Q199" s="506">
        <v>141000</v>
      </c>
      <c r="R199" s="506">
        <v>0</v>
      </c>
      <c r="S199" s="504"/>
      <c r="T199" s="507"/>
      <c r="U199" s="508"/>
      <c r="V199" s="508"/>
      <c r="W199" s="508"/>
      <c r="X199" s="508"/>
      <c r="Y199" s="508"/>
      <c r="Z199" s="508"/>
      <c r="AA199" s="508"/>
      <c r="AB199" s="508"/>
      <c r="AC199" s="508"/>
      <c r="AD199" s="508"/>
      <c r="AE199" s="509"/>
      <c r="AF199" s="504">
        <f>SUM(T199:AE199)</f>
        <v>0</v>
      </c>
      <c r="AG199" s="510"/>
      <c r="AH199" s="508"/>
      <c r="AI199" s="508"/>
      <c r="AJ199" s="508"/>
      <c r="AK199" s="508"/>
      <c r="AL199" s="508"/>
      <c r="AM199" s="508"/>
      <c r="AN199" s="549"/>
      <c r="AO199" s="508"/>
      <c r="AP199" s="508"/>
      <c r="AQ199" s="508"/>
      <c r="AR199" s="509"/>
      <c r="AS199" s="559">
        <f>SUM(AG199:AR199)</f>
        <v>0</v>
      </c>
      <c r="AT199" s="510"/>
      <c r="AU199" s="508"/>
      <c r="AV199" s="508"/>
      <c r="AW199" s="508"/>
      <c r="AX199" s="508"/>
      <c r="AY199" s="508"/>
      <c r="AZ199" s="508"/>
      <c r="BA199" s="508"/>
      <c r="BB199" s="508"/>
      <c r="BC199" s="508"/>
      <c r="BD199" s="508"/>
      <c r="BE199" s="509"/>
      <c r="BF199" s="504">
        <f>SUM(AT199:BE199)</f>
        <v>0</v>
      </c>
      <c r="BG199" s="510"/>
      <c r="BH199" s="508"/>
      <c r="BI199" s="508"/>
      <c r="BJ199" s="508"/>
      <c r="BK199" s="508"/>
      <c r="BL199" s="508"/>
      <c r="BM199" s="508"/>
      <c r="BN199" s="508"/>
      <c r="BO199" s="508"/>
      <c r="BP199" s="508"/>
      <c r="BQ199" s="508"/>
      <c r="BR199" s="509"/>
      <c r="BS199" s="504">
        <f>SUM(BG199:BR199)</f>
        <v>0</v>
      </c>
      <c r="BT199" s="510"/>
      <c r="BU199" s="508"/>
      <c r="BV199" s="508"/>
      <c r="BW199" s="508"/>
      <c r="BX199" s="508"/>
      <c r="BY199" s="508"/>
      <c r="BZ199" s="508"/>
      <c r="CA199" s="508"/>
      <c r="CB199" s="508"/>
      <c r="CC199" s="508"/>
      <c r="CD199" s="508"/>
      <c r="CE199" s="509"/>
      <c r="CF199" s="504">
        <f>SUM(BT199:CE199)</f>
        <v>0</v>
      </c>
      <c r="CG199" s="504"/>
      <c r="CH199" s="504">
        <f>SUMIF(($S$5:$CG$5),"Actual",(S199:CG199))</f>
        <v>0</v>
      </c>
      <c r="CI199" s="504">
        <f>SUMIF(($S$5:$CG$5),"Forecast",(S199:CG199))</f>
        <v>0</v>
      </c>
      <c r="CJ199" s="504">
        <f>+CH199+CI199</f>
        <v>0</v>
      </c>
      <c r="CK199" s="504">
        <f>+CJ199-R199</f>
        <v>0</v>
      </c>
      <c r="CL199" s="504">
        <v>0</v>
      </c>
      <c r="CM199" s="504">
        <f>+CJ199-CL199</f>
        <v>0</v>
      </c>
    </row>
    <row r="200" spans="1:91">
      <c r="A200" s="500"/>
      <c r="B200" s="526"/>
      <c r="C200" s="526"/>
      <c r="D200" s="526"/>
      <c r="E200" s="526"/>
      <c r="F200" s="501"/>
      <c r="G200" s="501"/>
      <c r="H200" s="501"/>
      <c r="I200" s="501"/>
      <c r="J200" s="501"/>
      <c r="K200" s="501"/>
      <c r="L200" s="501"/>
      <c r="M200" s="517"/>
      <c r="N200" s="518"/>
      <c r="O200" s="504"/>
      <c r="P200" s="519"/>
      <c r="Q200" s="506">
        <v>0</v>
      </c>
      <c r="R200" s="506">
        <v>0</v>
      </c>
      <c r="S200" s="504"/>
      <c r="T200" s="507"/>
      <c r="U200" s="508"/>
      <c r="V200" s="508"/>
      <c r="W200" s="508"/>
      <c r="X200" s="508"/>
      <c r="Y200" s="508"/>
      <c r="Z200" s="508"/>
      <c r="AA200" s="508"/>
      <c r="AB200" s="508"/>
      <c r="AC200" s="508"/>
      <c r="AD200" s="508"/>
      <c r="AE200" s="509"/>
      <c r="AF200" s="504">
        <f>SUM(T200:AE200)</f>
        <v>0</v>
      </c>
      <c r="AG200" s="510"/>
      <c r="AH200" s="508"/>
      <c r="AI200" s="508"/>
      <c r="AJ200" s="508"/>
      <c r="AK200" s="508"/>
      <c r="AL200" s="508"/>
      <c r="AM200" s="508"/>
      <c r="AN200" s="549"/>
      <c r="AO200" s="508"/>
      <c r="AP200" s="508"/>
      <c r="AQ200" s="508"/>
      <c r="AR200" s="509"/>
      <c r="AS200" s="559">
        <f>SUM(AG200:AR200)</f>
        <v>0</v>
      </c>
      <c r="AT200" s="510"/>
      <c r="AU200" s="508"/>
      <c r="AV200" s="508"/>
      <c r="AW200" s="508"/>
      <c r="AX200" s="508"/>
      <c r="AY200" s="508"/>
      <c r="AZ200" s="508"/>
      <c r="BA200" s="508"/>
      <c r="BB200" s="508"/>
      <c r="BC200" s="508"/>
      <c r="BD200" s="508"/>
      <c r="BE200" s="509"/>
      <c r="BF200" s="504">
        <f>SUM(AT200:BE200)</f>
        <v>0</v>
      </c>
      <c r="BG200" s="510"/>
      <c r="BH200" s="508"/>
      <c r="BI200" s="508"/>
      <c r="BJ200" s="508"/>
      <c r="BK200" s="508"/>
      <c r="BL200" s="508"/>
      <c r="BM200" s="508"/>
      <c r="BN200" s="508"/>
      <c r="BO200" s="508"/>
      <c r="BP200" s="508"/>
      <c r="BQ200" s="508"/>
      <c r="BR200" s="509"/>
      <c r="BS200" s="504">
        <f>SUM(BG200:BR200)</f>
        <v>0</v>
      </c>
      <c r="BT200" s="510"/>
      <c r="BU200" s="508"/>
      <c r="BV200" s="508"/>
      <c r="BW200" s="508"/>
      <c r="BX200" s="508"/>
      <c r="BY200" s="508"/>
      <c r="BZ200" s="508"/>
      <c r="CA200" s="508"/>
      <c r="CB200" s="508"/>
      <c r="CC200" s="508"/>
      <c r="CD200" s="508"/>
      <c r="CE200" s="509"/>
      <c r="CF200" s="504">
        <f>SUM(BT200:CE200)</f>
        <v>0</v>
      </c>
      <c r="CG200" s="504"/>
      <c r="CH200" s="504">
        <f>SUMIF(($S$5:$CG$5),"Actual",(S200:CG200))</f>
        <v>0</v>
      </c>
      <c r="CI200" s="504">
        <f>SUMIF(($S$5:$CG$5),"Forecast",(S200:CG200))</f>
        <v>0</v>
      </c>
      <c r="CJ200" s="504">
        <f>+CH200+CI200</f>
        <v>0</v>
      </c>
      <c r="CK200" s="504">
        <f>+CJ200-R200</f>
        <v>0</v>
      </c>
      <c r="CL200" s="504">
        <v>0</v>
      </c>
      <c r="CM200" s="504">
        <f>+CJ200-CL200</f>
        <v>0</v>
      </c>
    </row>
    <row r="201" spans="1:91" s="546" customFormat="1">
      <c r="A201" s="534"/>
      <c r="B201" s="535">
        <v>405</v>
      </c>
      <c r="C201" s="535"/>
      <c r="D201" s="535"/>
      <c r="E201" s="535"/>
      <c r="F201" s="536"/>
      <c r="G201" s="536" t="s">
        <v>462</v>
      </c>
      <c r="H201" s="536"/>
      <c r="I201" s="536"/>
      <c r="J201" s="536"/>
      <c r="K201" s="536"/>
      <c r="L201" s="536"/>
      <c r="M201" s="622"/>
      <c r="N201" s="623"/>
      <c r="O201" s="539"/>
      <c r="P201" s="624"/>
      <c r="Q201" s="541">
        <f t="shared" ref="Q201:AV201" si="125">SUBTOTAL(9,Q202:Q217)</f>
        <v>0</v>
      </c>
      <c r="R201" s="541">
        <f t="shared" si="125"/>
        <v>323482</v>
      </c>
      <c r="S201" s="539">
        <f t="shared" si="125"/>
        <v>0</v>
      </c>
      <c r="T201" s="542">
        <f t="shared" si="125"/>
        <v>0</v>
      </c>
      <c r="U201" s="543">
        <f t="shared" si="125"/>
        <v>0</v>
      </c>
      <c r="V201" s="543">
        <f t="shared" si="125"/>
        <v>0</v>
      </c>
      <c r="W201" s="543">
        <f t="shared" si="125"/>
        <v>0</v>
      </c>
      <c r="X201" s="543">
        <f t="shared" si="125"/>
        <v>0</v>
      </c>
      <c r="Y201" s="543">
        <f t="shared" si="125"/>
        <v>0</v>
      </c>
      <c r="Z201" s="543">
        <f t="shared" si="125"/>
        <v>0</v>
      </c>
      <c r="AA201" s="543">
        <f t="shared" si="125"/>
        <v>0</v>
      </c>
      <c r="AB201" s="543">
        <f t="shared" si="125"/>
        <v>0</v>
      </c>
      <c r="AC201" s="543">
        <f t="shared" si="125"/>
        <v>0</v>
      </c>
      <c r="AD201" s="543">
        <f t="shared" si="125"/>
        <v>0</v>
      </c>
      <c r="AE201" s="544">
        <f t="shared" si="125"/>
        <v>0</v>
      </c>
      <c r="AF201" s="539">
        <f t="shared" si="125"/>
        <v>0</v>
      </c>
      <c r="AG201" s="545">
        <f t="shared" si="125"/>
        <v>0</v>
      </c>
      <c r="AH201" s="543">
        <f t="shared" si="125"/>
        <v>0</v>
      </c>
      <c r="AI201" s="543">
        <f t="shared" si="125"/>
        <v>0</v>
      </c>
      <c r="AJ201" s="543">
        <f t="shared" si="125"/>
        <v>1416</v>
      </c>
      <c r="AK201" s="543">
        <f t="shared" si="125"/>
        <v>0</v>
      </c>
      <c r="AL201" s="543">
        <f t="shared" si="125"/>
        <v>2106</v>
      </c>
      <c r="AM201" s="543">
        <f t="shared" si="125"/>
        <v>0</v>
      </c>
      <c r="AN201" s="651">
        <f t="shared" si="125"/>
        <v>510</v>
      </c>
      <c r="AO201" s="543">
        <f t="shared" si="125"/>
        <v>460</v>
      </c>
      <c r="AP201" s="543">
        <f t="shared" si="125"/>
        <v>690</v>
      </c>
      <c r="AQ201" s="543">
        <f t="shared" si="125"/>
        <v>1523.76</v>
      </c>
      <c r="AR201" s="544">
        <f t="shared" si="125"/>
        <v>850.42</v>
      </c>
      <c r="AS201" s="652">
        <f t="shared" si="125"/>
        <v>7556.18</v>
      </c>
      <c r="AT201" s="545">
        <f t="shared" si="125"/>
        <v>0</v>
      </c>
      <c r="AU201" s="543">
        <f t="shared" si="125"/>
        <v>0</v>
      </c>
      <c r="AV201" s="543">
        <f t="shared" si="125"/>
        <v>2300</v>
      </c>
      <c r="AW201" s="543">
        <f t="shared" ref="AW201:CB201" si="126">SUBTOTAL(9,AW202:AW217)</f>
        <v>0</v>
      </c>
      <c r="AX201" s="543">
        <f t="shared" si="126"/>
        <v>861</v>
      </c>
      <c r="AY201" s="543">
        <f t="shared" si="126"/>
        <v>2569.31</v>
      </c>
      <c r="AZ201" s="543">
        <f t="shared" si="126"/>
        <v>1610</v>
      </c>
      <c r="BA201" s="543">
        <f t="shared" si="126"/>
        <v>1045</v>
      </c>
      <c r="BB201" s="543">
        <f t="shared" si="126"/>
        <v>805</v>
      </c>
      <c r="BC201" s="543">
        <f t="shared" si="126"/>
        <v>0</v>
      </c>
      <c r="BD201" s="543">
        <f t="shared" si="126"/>
        <v>1610</v>
      </c>
      <c r="BE201" s="544">
        <f t="shared" si="126"/>
        <v>17069.59</v>
      </c>
      <c r="BF201" s="539">
        <f t="shared" si="126"/>
        <v>27869.899999999998</v>
      </c>
      <c r="BG201" s="545">
        <f t="shared" si="126"/>
        <v>6946.04</v>
      </c>
      <c r="BH201" s="543">
        <f t="shared" si="126"/>
        <v>5243.84</v>
      </c>
      <c r="BI201" s="543">
        <f t="shared" si="126"/>
        <v>2491.71</v>
      </c>
      <c r="BJ201" s="543">
        <f t="shared" si="126"/>
        <v>0</v>
      </c>
      <c r="BK201" s="543">
        <f t="shared" si="126"/>
        <v>0</v>
      </c>
      <c r="BL201" s="543">
        <f t="shared" si="126"/>
        <v>0</v>
      </c>
      <c r="BM201" s="543">
        <f t="shared" si="126"/>
        <v>0</v>
      </c>
      <c r="BN201" s="543">
        <f t="shared" si="126"/>
        <v>0</v>
      </c>
      <c r="BO201" s="543">
        <f t="shared" si="126"/>
        <v>0</v>
      </c>
      <c r="BP201" s="543">
        <f t="shared" si="126"/>
        <v>0</v>
      </c>
      <c r="BQ201" s="543">
        <f t="shared" si="126"/>
        <v>0</v>
      </c>
      <c r="BR201" s="544">
        <f t="shared" si="126"/>
        <v>0</v>
      </c>
      <c r="BS201" s="539">
        <f t="shared" si="126"/>
        <v>14681.59</v>
      </c>
      <c r="BT201" s="545">
        <f t="shared" si="126"/>
        <v>0</v>
      </c>
      <c r="BU201" s="543">
        <f t="shared" si="126"/>
        <v>0</v>
      </c>
      <c r="BV201" s="543">
        <f t="shared" si="126"/>
        <v>0</v>
      </c>
      <c r="BW201" s="543">
        <f t="shared" si="126"/>
        <v>0</v>
      </c>
      <c r="BX201" s="543">
        <f t="shared" si="126"/>
        <v>0</v>
      </c>
      <c r="BY201" s="543">
        <f t="shared" si="126"/>
        <v>0</v>
      </c>
      <c r="BZ201" s="543">
        <f t="shared" si="126"/>
        <v>0</v>
      </c>
      <c r="CA201" s="543">
        <f t="shared" si="126"/>
        <v>0</v>
      </c>
      <c r="CB201" s="543">
        <f t="shared" si="126"/>
        <v>0</v>
      </c>
      <c r="CC201" s="543">
        <f t="shared" ref="CC201:CM201" si="127">SUBTOTAL(9,CC202:CC217)</f>
        <v>0</v>
      </c>
      <c r="CD201" s="543">
        <f t="shared" si="127"/>
        <v>0</v>
      </c>
      <c r="CE201" s="544">
        <f t="shared" si="127"/>
        <v>0</v>
      </c>
      <c r="CF201" s="539">
        <f t="shared" si="127"/>
        <v>0</v>
      </c>
      <c r="CG201" s="539">
        <f t="shared" si="127"/>
        <v>0</v>
      </c>
      <c r="CH201" s="539">
        <f t="shared" si="127"/>
        <v>50107.67</v>
      </c>
      <c r="CI201" s="652">
        <f t="shared" si="127"/>
        <v>0</v>
      </c>
      <c r="CJ201" s="539">
        <f t="shared" si="127"/>
        <v>50107.67</v>
      </c>
      <c r="CK201" s="539">
        <f t="shared" si="127"/>
        <v>-273374.33</v>
      </c>
      <c r="CL201" s="539">
        <f t="shared" si="127"/>
        <v>210938.67</v>
      </c>
      <c r="CM201" s="539">
        <f t="shared" si="127"/>
        <v>-160831</v>
      </c>
    </row>
    <row r="202" spans="1:91" outlineLevel="1">
      <c r="A202" s="500"/>
      <c r="B202" s="526"/>
      <c r="C202" s="593">
        <v>405.01</v>
      </c>
      <c r="D202" s="526"/>
      <c r="E202" s="526"/>
      <c r="F202" s="501"/>
      <c r="H202" s="501" t="s">
        <v>463</v>
      </c>
      <c r="I202" s="501"/>
      <c r="J202" s="501"/>
      <c r="K202" s="501"/>
      <c r="L202" s="501"/>
      <c r="M202" s="517"/>
      <c r="N202" s="518"/>
      <c r="O202" s="504"/>
      <c r="P202" s="519"/>
      <c r="Q202" s="506">
        <v>0</v>
      </c>
      <c r="R202" s="506">
        <v>22883</v>
      </c>
      <c r="S202" s="504"/>
      <c r="T202" s="507"/>
      <c r="U202" s="508"/>
      <c r="V202" s="508"/>
      <c r="W202" s="508"/>
      <c r="X202" s="508"/>
      <c r="Y202" s="508"/>
      <c r="Z202" s="508"/>
      <c r="AA202" s="508"/>
      <c r="AB202" s="508"/>
      <c r="AC202" s="508"/>
      <c r="AD202" s="508"/>
      <c r="AE202" s="509"/>
      <c r="AF202" s="504">
        <f t="shared" ref="AF202:AF218" si="128">SUM(T202:AE202)</f>
        <v>0</v>
      </c>
      <c r="AG202" s="510"/>
      <c r="AH202" s="508"/>
      <c r="AI202" s="508"/>
      <c r="AJ202" s="508"/>
      <c r="AK202" s="508"/>
      <c r="AL202" s="508"/>
      <c r="AM202" s="508"/>
      <c r="AN202" s="549"/>
      <c r="AO202" s="508"/>
      <c r="AP202" s="508"/>
      <c r="AQ202" s="508"/>
      <c r="AR202" s="509"/>
      <c r="AS202" s="559">
        <f t="shared" ref="AS202:AS218" si="129">SUM(AG202:AR202)</f>
        <v>0</v>
      </c>
      <c r="AT202" s="510"/>
      <c r="AU202" s="508"/>
      <c r="AV202" s="508"/>
      <c r="AW202" s="508"/>
      <c r="AX202" s="508"/>
      <c r="AY202" s="508"/>
      <c r="AZ202" s="549"/>
      <c r="BA202" s="549"/>
      <c r="BB202" s="549"/>
      <c r="BC202" s="508"/>
      <c r="BD202" s="508"/>
      <c r="BE202" s="509"/>
      <c r="BF202" s="504">
        <f t="shared" ref="BF202:BF218" si="130">SUM(AT202:BE202)</f>
        <v>0</v>
      </c>
      <c r="BG202" s="510"/>
      <c r="BH202" s="549"/>
      <c r="BI202" s="549"/>
      <c r="BJ202" s="549"/>
      <c r="BK202" s="508"/>
      <c r="BL202" s="508"/>
      <c r="BM202" s="508"/>
      <c r="BN202" s="508"/>
      <c r="BO202" s="508"/>
      <c r="BP202" s="508"/>
      <c r="BQ202" s="508"/>
      <c r="BR202" s="509"/>
      <c r="BS202" s="504">
        <f t="shared" ref="BS202:BS218" si="131">SUM(BG202:BR202)</f>
        <v>0</v>
      </c>
      <c r="BT202" s="510"/>
      <c r="BU202" s="508"/>
      <c r="BV202" s="508"/>
      <c r="BW202" s="508"/>
      <c r="BX202" s="508"/>
      <c r="BY202" s="508"/>
      <c r="BZ202" s="508"/>
      <c r="CA202" s="508"/>
      <c r="CB202" s="508"/>
      <c r="CC202" s="508"/>
      <c r="CD202" s="508"/>
      <c r="CE202" s="509"/>
      <c r="CF202" s="504">
        <f t="shared" ref="CF202:CF218" si="132">SUM(BT202:CE202)</f>
        <v>0</v>
      </c>
      <c r="CG202" s="504"/>
      <c r="CH202" s="504">
        <f t="shared" ref="CH202:CH218" si="133">SUMIF(($S$5:$CG$5),"Actual",(S202:CG202))</f>
        <v>0</v>
      </c>
      <c r="CI202" s="504">
        <f t="shared" ref="CI202:CI218" si="134">SUMIF(($S$5:$CG$5),"Forecast",(S202:CG202))</f>
        <v>0</v>
      </c>
      <c r="CJ202" s="504">
        <f t="shared" ref="CJ202:CJ218" si="135">+CH202+CI202</f>
        <v>0</v>
      </c>
      <c r="CK202" s="504">
        <f t="shared" ref="CK202:CK218" si="136">+CJ202-R202</f>
        <v>-22883</v>
      </c>
      <c r="CL202" s="504">
        <v>0</v>
      </c>
      <c r="CM202" s="504">
        <f t="shared" ref="CM202:CM218" si="137">+CJ202-CL202</f>
        <v>0</v>
      </c>
    </row>
    <row r="203" spans="1:91" outlineLevel="1">
      <c r="A203" s="500"/>
      <c r="B203" s="526"/>
      <c r="C203" s="593">
        <f t="shared" ref="C203:C216" si="138">+C202+0.01</f>
        <v>405.02</v>
      </c>
      <c r="D203" s="526"/>
      <c r="E203" s="526"/>
      <c r="F203" s="501"/>
      <c r="H203" s="501" t="s">
        <v>464</v>
      </c>
      <c r="I203" s="501"/>
      <c r="J203" s="501"/>
      <c r="K203" s="501"/>
      <c r="L203" s="501"/>
      <c r="M203" s="517"/>
      <c r="N203" s="518"/>
      <c r="O203" s="504"/>
      <c r="P203" s="519"/>
      <c r="Q203" s="506">
        <v>0</v>
      </c>
      <c r="R203" s="506">
        <v>72874</v>
      </c>
      <c r="S203" s="504"/>
      <c r="T203" s="507"/>
      <c r="U203" s="508"/>
      <c r="V203" s="508"/>
      <c r="W203" s="508"/>
      <c r="X203" s="508"/>
      <c r="Y203" s="508"/>
      <c r="Z203" s="508"/>
      <c r="AA203" s="508"/>
      <c r="AB203" s="508"/>
      <c r="AC203" s="508"/>
      <c r="AD203" s="508"/>
      <c r="AE203" s="509"/>
      <c r="AF203" s="504">
        <f t="shared" si="128"/>
        <v>0</v>
      </c>
      <c r="AG203" s="510"/>
      <c r="AH203" s="508"/>
      <c r="AI203" s="508"/>
      <c r="AJ203" s="508"/>
      <c r="AK203" s="508"/>
      <c r="AL203" s="508"/>
      <c r="AM203" s="508"/>
      <c r="AN203" s="549"/>
      <c r="AO203" s="508"/>
      <c r="AP203" s="508"/>
      <c r="AQ203" s="508"/>
      <c r="AR203" s="509"/>
      <c r="AS203" s="559">
        <f t="shared" si="129"/>
        <v>0</v>
      </c>
      <c r="AT203" s="510"/>
      <c r="AU203" s="508"/>
      <c r="AV203" s="508"/>
      <c r="AW203" s="508"/>
      <c r="AX203" s="508"/>
      <c r="AY203" s="508"/>
      <c r="AZ203" s="549"/>
      <c r="BA203" s="549"/>
      <c r="BB203" s="549"/>
      <c r="BC203" s="508"/>
      <c r="BD203" s="508"/>
      <c r="BE203" s="509"/>
      <c r="BF203" s="504">
        <f t="shared" si="130"/>
        <v>0</v>
      </c>
      <c r="BG203" s="510"/>
      <c r="BH203" s="549"/>
      <c r="BI203" s="549"/>
      <c r="BJ203" s="549"/>
      <c r="BK203" s="508"/>
      <c r="BL203" s="508"/>
      <c r="BM203" s="508"/>
      <c r="BN203" s="508"/>
      <c r="BO203" s="508"/>
      <c r="BP203" s="508"/>
      <c r="BQ203" s="508"/>
      <c r="BR203" s="509"/>
      <c r="BS203" s="504">
        <f t="shared" si="131"/>
        <v>0</v>
      </c>
      <c r="BT203" s="510"/>
      <c r="BU203" s="508"/>
      <c r="BV203" s="508"/>
      <c r="BW203" s="508"/>
      <c r="BX203" s="508"/>
      <c r="BY203" s="508"/>
      <c r="BZ203" s="508"/>
      <c r="CA203" s="508"/>
      <c r="CB203" s="508"/>
      <c r="CC203" s="508"/>
      <c r="CD203" s="508"/>
      <c r="CE203" s="509"/>
      <c r="CF203" s="504">
        <f t="shared" si="132"/>
        <v>0</v>
      </c>
      <c r="CG203" s="504"/>
      <c r="CH203" s="504">
        <f t="shared" si="133"/>
        <v>0</v>
      </c>
      <c r="CI203" s="504">
        <f t="shared" si="134"/>
        <v>0</v>
      </c>
      <c r="CJ203" s="504">
        <f t="shared" si="135"/>
        <v>0</v>
      </c>
      <c r="CK203" s="504">
        <f t="shared" si="136"/>
        <v>-72874</v>
      </c>
      <c r="CL203" s="504">
        <v>0</v>
      </c>
      <c r="CM203" s="504">
        <f t="shared" si="137"/>
        <v>0</v>
      </c>
    </row>
    <row r="204" spans="1:91" outlineLevel="1">
      <c r="A204" s="500"/>
      <c r="B204" s="526"/>
      <c r="C204" s="593">
        <f t="shared" si="138"/>
        <v>405.03</v>
      </c>
      <c r="D204" s="526"/>
      <c r="E204" s="526"/>
      <c r="F204" s="501"/>
      <c r="H204" s="501" t="s">
        <v>465</v>
      </c>
      <c r="I204" s="501"/>
      <c r="J204" s="501"/>
      <c r="K204" s="501"/>
      <c r="L204" s="501"/>
      <c r="M204" s="517"/>
      <c r="N204" s="518"/>
      <c r="O204" s="504"/>
      <c r="P204" s="519"/>
      <c r="Q204" s="506">
        <v>0</v>
      </c>
      <c r="R204" s="506">
        <v>14656</v>
      </c>
      <c r="S204" s="504"/>
      <c r="T204" s="507"/>
      <c r="U204" s="508"/>
      <c r="V204" s="508"/>
      <c r="W204" s="508"/>
      <c r="X204" s="508"/>
      <c r="Y204" s="508"/>
      <c r="Z204" s="508"/>
      <c r="AA204" s="508"/>
      <c r="AB204" s="508"/>
      <c r="AC204" s="508"/>
      <c r="AD204" s="508"/>
      <c r="AE204" s="509"/>
      <c r="AF204" s="504">
        <f t="shared" si="128"/>
        <v>0</v>
      </c>
      <c r="AG204" s="510"/>
      <c r="AH204" s="508"/>
      <c r="AI204" s="508"/>
      <c r="AJ204" s="508"/>
      <c r="AK204" s="508"/>
      <c r="AL204" s="508"/>
      <c r="AM204" s="508"/>
      <c r="AN204" s="549"/>
      <c r="AO204" s="508"/>
      <c r="AP204" s="508"/>
      <c r="AQ204" s="508"/>
      <c r="AR204" s="509"/>
      <c r="AS204" s="559">
        <f t="shared" si="129"/>
        <v>0</v>
      </c>
      <c r="AT204" s="510"/>
      <c r="AU204" s="508"/>
      <c r="AV204" s="508"/>
      <c r="AW204" s="508"/>
      <c r="AX204" s="508"/>
      <c r="AY204" s="508"/>
      <c r="AZ204" s="549"/>
      <c r="BA204" s="549"/>
      <c r="BB204" s="549"/>
      <c r="BC204" s="508"/>
      <c r="BD204" s="508"/>
      <c r="BE204" s="509"/>
      <c r="BF204" s="504">
        <f t="shared" si="130"/>
        <v>0</v>
      </c>
      <c r="BG204" s="510"/>
      <c r="BH204" s="549"/>
      <c r="BI204" s="549"/>
      <c r="BJ204" s="549"/>
      <c r="BK204" s="508"/>
      <c r="BL204" s="508"/>
      <c r="BM204" s="508"/>
      <c r="BN204" s="508"/>
      <c r="BO204" s="508"/>
      <c r="BP204" s="508"/>
      <c r="BQ204" s="508"/>
      <c r="BR204" s="509"/>
      <c r="BS204" s="504">
        <f t="shared" si="131"/>
        <v>0</v>
      </c>
      <c r="BT204" s="510"/>
      <c r="BU204" s="508"/>
      <c r="BV204" s="508"/>
      <c r="BW204" s="508"/>
      <c r="BX204" s="508"/>
      <c r="BY204" s="508"/>
      <c r="BZ204" s="508"/>
      <c r="CA204" s="508"/>
      <c r="CB204" s="508"/>
      <c r="CC204" s="508"/>
      <c r="CD204" s="508"/>
      <c r="CE204" s="509"/>
      <c r="CF204" s="504">
        <f t="shared" si="132"/>
        <v>0</v>
      </c>
      <c r="CG204" s="504"/>
      <c r="CH204" s="504">
        <f t="shared" si="133"/>
        <v>0</v>
      </c>
      <c r="CI204" s="504">
        <f t="shared" si="134"/>
        <v>0</v>
      </c>
      <c r="CJ204" s="504">
        <f t="shared" si="135"/>
        <v>0</v>
      </c>
      <c r="CK204" s="504">
        <f t="shared" si="136"/>
        <v>-14656</v>
      </c>
      <c r="CL204" s="504">
        <v>0</v>
      </c>
      <c r="CM204" s="504">
        <f t="shared" si="137"/>
        <v>0</v>
      </c>
    </row>
    <row r="205" spans="1:91" outlineLevel="1">
      <c r="A205" s="500"/>
      <c r="B205" s="526"/>
      <c r="C205" s="593">
        <f t="shared" si="138"/>
        <v>405.03999999999996</v>
      </c>
      <c r="D205" s="526"/>
      <c r="E205" s="526"/>
      <c r="F205" s="501"/>
      <c r="H205" s="501" t="s">
        <v>466</v>
      </c>
      <c r="I205" s="501"/>
      <c r="J205" s="501"/>
      <c r="K205" s="501"/>
      <c r="L205" s="501"/>
      <c r="M205" s="517"/>
      <c r="N205" s="518"/>
      <c r="O205" s="504"/>
      <c r="P205" s="519"/>
      <c r="Q205" s="506">
        <v>0</v>
      </c>
      <c r="R205" s="506">
        <v>0</v>
      </c>
      <c r="S205" s="504"/>
      <c r="T205" s="507"/>
      <c r="U205" s="508"/>
      <c r="V205" s="508"/>
      <c r="W205" s="508"/>
      <c r="X205" s="508"/>
      <c r="Y205" s="508"/>
      <c r="Z205" s="508"/>
      <c r="AA205" s="508"/>
      <c r="AB205" s="508"/>
      <c r="AC205" s="508"/>
      <c r="AD205" s="508"/>
      <c r="AE205" s="509"/>
      <c r="AF205" s="504">
        <f t="shared" si="128"/>
        <v>0</v>
      </c>
      <c r="AG205" s="510"/>
      <c r="AH205" s="508"/>
      <c r="AI205" s="508"/>
      <c r="AJ205" s="508"/>
      <c r="AK205" s="508"/>
      <c r="AL205" s="508"/>
      <c r="AM205" s="508"/>
      <c r="AN205" s="549"/>
      <c r="AO205" s="508"/>
      <c r="AP205" s="508"/>
      <c r="AQ205" s="508"/>
      <c r="AR205" s="509"/>
      <c r="AS205" s="559">
        <f t="shared" si="129"/>
        <v>0</v>
      </c>
      <c r="AT205" s="510"/>
      <c r="AU205" s="508"/>
      <c r="AV205" s="508"/>
      <c r="AW205" s="508"/>
      <c r="AX205" s="508"/>
      <c r="AY205" s="508"/>
      <c r="AZ205" s="549"/>
      <c r="BA205" s="549"/>
      <c r="BB205" s="549"/>
      <c r="BC205" s="508"/>
      <c r="BD205" s="508"/>
      <c r="BE205" s="509"/>
      <c r="BF205" s="504">
        <f t="shared" si="130"/>
        <v>0</v>
      </c>
      <c r="BG205" s="510"/>
      <c r="BH205" s="549"/>
      <c r="BI205" s="549"/>
      <c r="BJ205" s="549"/>
      <c r="BK205" s="508"/>
      <c r="BL205" s="508"/>
      <c r="BM205" s="508"/>
      <c r="BN205" s="508"/>
      <c r="BO205" s="508"/>
      <c r="BP205" s="508"/>
      <c r="BQ205" s="508"/>
      <c r="BR205" s="509"/>
      <c r="BS205" s="504">
        <f t="shared" si="131"/>
        <v>0</v>
      </c>
      <c r="BT205" s="510"/>
      <c r="BU205" s="508"/>
      <c r="BV205" s="508"/>
      <c r="BW205" s="508"/>
      <c r="BX205" s="508"/>
      <c r="BY205" s="508"/>
      <c r="BZ205" s="508"/>
      <c r="CA205" s="508"/>
      <c r="CB205" s="508"/>
      <c r="CC205" s="508"/>
      <c r="CD205" s="508"/>
      <c r="CE205" s="509"/>
      <c r="CF205" s="504">
        <f t="shared" si="132"/>
        <v>0</v>
      </c>
      <c r="CG205" s="504"/>
      <c r="CH205" s="504">
        <f t="shared" si="133"/>
        <v>0</v>
      </c>
      <c r="CI205" s="504">
        <f t="shared" si="134"/>
        <v>0</v>
      </c>
      <c r="CJ205" s="504">
        <f t="shared" si="135"/>
        <v>0</v>
      </c>
      <c r="CK205" s="504">
        <f t="shared" si="136"/>
        <v>0</v>
      </c>
      <c r="CL205" s="504">
        <v>0</v>
      </c>
      <c r="CM205" s="504">
        <f t="shared" si="137"/>
        <v>0</v>
      </c>
    </row>
    <row r="206" spans="1:91" outlineLevel="1">
      <c r="A206" s="500"/>
      <c r="B206" s="526"/>
      <c r="C206" s="593">
        <f t="shared" si="138"/>
        <v>405.04999999999995</v>
      </c>
      <c r="D206" s="526"/>
      <c r="E206" s="526"/>
      <c r="F206" s="501"/>
      <c r="H206" s="501" t="s">
        <v>467</v>
      </c>
      <c r="I206" s="501"/>
      <c r="J206" s="501"/>
      <c r="K206" s="501"/>
      <c r="L206" s="501"/>
      <c r="M206" s="517"/>
      <c r="N206" s="518"/>
      <c r="O206" s="504"/>
      <c r="P206" s="519"/>
      <c r="Q206" s="506">
        <v>0</v>
      </c>
      <c r="R206" s="506">
        <v>6714</v>
      </c>
      <c r="S206" s="504"/>
      <c r="T206" s="507"/>
      <c r="U206" s="508"/>
      <c r="V206" s="508"/>
      <c r="W206" s="508"/>
      <c r="X206" s="508"/>
      <c r="Y206" s="508"/>
      <c r="Z206" s="508"/>
      <c r="AA206" s="508"/>
      <c r="AB206" s="508"/>
      <c r="AC206" s="508"/>
      <c r="AD206" s="508"/>
      <c r="AE206" s="509"/>
      <c r="AF206" s="504">
        <f t="shared" si="128"/>
        <v>0</v>
      </c>
      <c r="AG206" s="510"/>
      <c r="AH206" s="508"/>
      <c r="AI206" s="508"/>
      <c r="AJ206" s="508"/>
      <c r="AK206" s="508"/>
      <c r="AL206" s="508"/>
      <c r="AM206" s="508"/>
      <c r="AN206" s="549"/>
      <c r="AO206" s="508"/>
      <c r="AP206" s="508"/>
      <c r="AQ206" s="508"/>
      <c r="AR206" s="509"/>
      <c r="AS206" s="559">
        <f t="shared" si="129"/>
        <v>0</v>
      </c>
      <c r="AT206" s="510"/>
      <c r="AU206" s="508"/>
      <c r="AV206" s="508"/>
      <c r="AW206" s="508"/>
      <c r="AX206" s="508"/>
      <c r="AY206" s="508"/>
      <c r="AZ206" s="549"/>
      <c r="BA206" s="549"/>
      <c r="BB206" s="549"/>
      <c r="BC206" s="508"/>
      <c r="BD206" s="508"/>
      <c r="BE206" s="509"/>
      <c r="BF206" s="504">
        <f t="shared" si="130"/>
        <v>0</v>
      </c>
      <c r="BG206" s="510"/>
      <c r="BH206" s="549"/>
      <c r="BI206" s="549"/>
      <c r="BJ206" s="549"/>
      <c r="BK206" s="508"/>
      <c r="BL206" s="508"/>
      <c r="BM206" s="508"/>
      <c r="BN206" s="508"/>
      <c r="BO206" s="508"/>
      <c r="BP206" s="508"/>
      <c r="BQ206" s="508"/>
      <c r="BR206" s="509"/>
      <c r="BS206" s="504">
        <f t="shared" si="131"/>
        <v>0</v>
      </c>
      <c r="BT206" s="510"/>
      <c r="BU206" s="508"/>
      <c r="BV206" s="508"/>
      <c r="BW206" s="508"/>
      <c r="BX206" s="508"/>
      <c r="BY206" s="508"/>
      <c r="BZ206" s="508"/>
      <c r="CA206" s="508"/>
      <c r="CB206" s="508"/>
      <c r="CC206" s="508"/>
      <c r="CD206" s="508"/>
      <c r="CE206" s="509"/>
      <c r="CF206" s="504">
        <f t="shared" si="132"/>
        <v>0</v>
      </c>
      <c r="CG206" s="504"/>
      <c r="CH206" s="504">
        <f t="shared" si="133"/>
        <v>0</v>
      </c>
      <c r="CI206" s="504">
        <f t="shared" si="134"/>
        <v>0</v>
      </c>
      <c r="CJ206" s="504">
        <f t="shared" si="135"/>
        <v>0</v>
      </c>
      <c r="CK206" s="504">
        <f t="shared" si="136"/>
        <v>-6714</v>
      </c>
      <c r="CL206" s="504">
        <v>0</v>
      </c>
      <c r="CM206" s="504">
        <f t="shared" si="137"/>
        <v>0</v>
      </c>
    </row>
    <row r="207" spans="1:91" outlineLevel="1">
      <c r="A207" s="500"/>
      <c r="B207" s="526"/>
      <c r="C207" s="593">
        <f t="shared" si="138"/>
        <v>405.05999999999995</v>
      </c>
      <c r="D207" s="526"/>
      <c r="E207" s="526"/>
      <c r="F207" s="501"/>
      <c r="H207" s="501" t="s">
        <v>468</v>
      </c>
      <c r="I207" s="501"/>
      <c r="J207" s="501"/>
      <c r="K207" s="501"/>
      <c r="L207" s="501"/>
      <c r="M207" s="517"/>
      <c r="N207" s="518"/>
      <c r="O207" s="504"/>
      <c r="P207" s="519"/>
      <c r="Q207" s="506">
        <v>0</v>
      </c>
      <c r="R207" s="506">
        <v>96725</v>
      </c>
      <c r="S207" s="504"/>
      <c r="T207" s="507"/>
      <c r="U207" s="508"/>
      <c r="V207" s="508"/>
      <c r="W207" s="508"/>
      <c r="X207" s="508"/>
      <c r="Y207" s="508"/>
      <c r="Z207" s="508"/>
      <c r="AA207" s="508"/>
      <c r="AB207" s="508"/>
      <c r="AC207" s="508"/>
      <c r="AD207" s="508"/>
      <c r="AE207" s="509"/>
      <c r="AF207" s="504">
        <f t="shared" si="128"/>
        <v>0</v>
      </c>
      <c r="AG207" s="510"/>
      <c r="AH207" s="508"/>
      <c r="AI207" s="508"/>
      <c r="AJ207" s="508"/>
      <c r="AK207" s="508"/>
      <c r="AL207" s="508"/>
      <c r="AM207" s="508"/>
      <c r="AN207" s="549"/>
      <c r="AO207" s="508"/>
      <c r="AP207" s="508"/>
      <c r="AQ207" s="508"/>
      <c r="AR207" s="509"/>
      <c r="AS207" s="559">
        <f t="shared" si="129"/>
        <v>0</v>
      </c>
      <c r="AT207" s="510"/>
      <c r="AU207" s="508"/>
      <c r="AV207" s="508"/>
      <c r="AW207" s="508"/>
      <c r="AX207" s="508"/>
      <c r="AY207" s="508"/>
      <c r="AZ207" s="549"/>
      <c r="BA207" s="549"/>
      <c r="BB207" s="549"/>
      <c r="BC207" s="508"/>
      <c r="BD207" s="508"/>
      <c r="BE207" s="509"/>
      <c r="BF207" s="504">
        <f t="shared" si="130"/>
        <v>0</v>
      </c>
      <c r="BG207" s="510"/>
      <c r="BH207" s="549"/>
      <c r="BI207" s="549"/>
      <c r="BJ207" s="549"/>
      <c r="BK207" s="508"/>
      <c r="BL207" s="508"/>
      <c r="BM207" s="508"/>
      <c r="BN207" s="508"/>
      <c r="BO207" s="508"/>
      <c r="BP207" s="508"/>
      <c r="BQ207" s="508"/>
      <c r="BR207" s="509"/>
      <c r="BS207" s="504">
        <f t="shared" si="131"/>
        <v>0</v>
      </c>
      <c r="BT207" s="510"/>
      <c r="BU207" s="508"/>
      <c r="BV207" s="508"/>
      <c r="BW207" s="508"/>
      <c r="BX207" s="508"/>
      <c r="BY207" s="508"/>
      <c r="BZ207" s="508"/>
      <c r="CA207" s="508"/>
      <c r="CB207" s="508"/>
      <c r="CC207" s="508"/>
      <c r="CD207" s="508"/>
      <c r="CE207" s="509"/>
      <c r="CF207" s="504">
        <f t="shared" si="132"/>
        <v>0</v>
      </c>
      <c r="CG207" s="504"/>
      <c r="CH207" s="504">
        <f t="shared" si="133"/>
        <v>0</v>
      </c>
      <c r="CI207" s="504">
        <f t="shared" si="134"/>
        <v>0</v>
      </c>
      <c r="CJ207" s="504">
        <f t="shared" si="135"/>
        <v>0</v>
      </c>
      <c r="CK207" s="504">
        <f t="shared" si="136"/>
        <v>-96725</v>
      </c>
      <c r="CL207" s="504">
        <v>0</v>
      </c>
      <c r="CM207" s="504">
        <f t="shared" si="137"/>
        <v>0</v>
      </c>
    </row>
    <row r="208" spans="1:91" outlineLevel="1">
      <c r="A208" s="500"/>
      <c r="B208" s="526"/>
      <c r="C208" s="593">
        <f t="shared" si="138"/>
        <v>405.06999999999994</v>
      </c>
      <c r="D208" s="526"/>
      <c r="E208" s="526"/>
      <c r="F208" s="501"/>
      <c r="H208" s="501" t="s">
        <v>469</v>
      </c>
      <c r="I208" s="501"/>
      <c r="J208" s="501"/>
      <c r="K208" s="501"/>
      <c r="L208" s="501"/>
      <c r="M208" s="517"/>
      <c r="N208" s="518"/>
      <c r="O208" s="504"/>
      <c r="P208" s="519"/>
      <c r="Q208" s="506">
        <v>0</v>
      </c>
      <c r="R208" s="506">
        <v>0</v>
      </c>
      <c r="S208" s="504"/>
      <c r="T208" s="507"/>
      <c r="U208" s="508"/>
      <c r="V208" s="508"/>
      <c r="W208" s="508"/>
      <c r="X208" s="508"/>
      <c r="Y208" s="508"/>
      <c r="Z208" s="508"/>
      <c r="AA208" s="508"/>
      <c r="AB208" s="508"/>
      <c r="AC208" s="508"/>
      <c r="AD208" s="508"/>
      <c r="AE208" s="509"/>
      <c r="AF208" s="504">
        <f t="shared" si="128"/>
        <v>0</v>
      </c>
      <c r="AG208" s="510"/>
      <c r="AH208" s="508"/>
      <c r="AI208" s="508"/>
      <c r="AJ208" s="508"/>
      <c r="AK208" s="508"/>
      <c r="AL208" s="508"/>
      <c r="AM208" s="508"/>
      <c r="AN208" s="549"/>
      <c r="AO208" s="508"/>
      <c r="AP208" s="508"/>
      <c r="AQ208" s="508"/>
      <c r="AR208" s="509"/>
      <c r="AS208" s="559">
        <f t="shared" si="129"/>
        <v>0</v>
      </c>
      <c r="AT208" s="510"/>
      <c r="AU208" s="508"/>
      <c r="AV208" s="508"/>
      <c r="AW208" s="508"/>
      <c r="AX208" s="508"/>
      <c r="AY208" s="508"/>
      <c r="AZ208" s="549"/>
      <c r="BA208" s="549"/>
      <c r="BB208" s="549"/>
      <c r="BC208" s="508"/>
      <c r="BD208" s="508"/>
      <c r="BE208" s="509"/>
      <c r="BF208" s="504">
        <f t="shared" si="130"/>
        <v>0</v>
      </c>
      <c r="BG208" s="510"/>
      <c r="BH208" s="549"/>
      <c r="BI208" s="549"/>
      <c r="BJ208" s="549"/>
      <c r="BK208" s="508"/>
      <c r="BL208" s="508"/>
      <c r="BM208" s="508"/>
      <c r="BN208" s="508"/>
      <c r="BO208" s="508"/>
      <c r="BP208" s="508"/>
      <c r="BQ208" s="508"/>
      <c r="BR208" s="509"/>
      <c r="BS208" s="504">
        <f t="shared" si="131"/>
        <v>0</v>
      </c>
      <c r="BT208" s="510"/>
      <c r="BU208" s="508"/>
      <c r="BV208" s="508"/>
      <c r="BW208" s="508"/>
      <c r="BX208" s="508"/>
      <c r="BY208" s="508"/>
      <c r="BZ208" s="508"/>
      <c r="CA208" s="508"/>
      <c r="CB208" s="508"/>
      <c r="CC208" s="508"/>
      <c r="CD208" s="508"/>
      <c r="CE208" s="509"/>
      <c r="CF208" s="504">
        <f t="shared" si="132"/>
        <v>0</v>
      </c>
      <c r="CG208" s="504"/>
      <c r="CH208" s="504">
        <f t="shared" si="133"/>
        <v>0</v>
      </c>
      <c r="CI208" s="504">
        <f t="shared" si="134"/>
        <v>0</v>
      </c>
      <c r="CJ208" s="504">
        <f t="shared" si="135"/>
        <v>0</v>
      </c>
      <c r="CK208" s="504">
        <f t="shared" si="136"/>
        <v>0</v>
      </c>
      <c r="CL208" s="504">
        <v>0</v>
      </c>
      <c r="CM208" s="504">
        <f t="shared" si="137"/>
        <v>0</v>
      </c>
    </row>
    <row r="209" spans="1:91" outlineLevel="1">
      <c r="A209" s="500"/>
      <c r="B209" s="526"/>
      <c r="C209" s="593">
        <f t="shared" si="138"/>
        <v>405.07999999999993</v>
      </c>
      <c r="D209" s="526"/>
      <c r="E209" s="526"/>
      <c r="F209" s="501"/>
      <c r="H209" s="501" t="s">
        <v>470</v>
      </c>
      <c r="I209" s="501"/>
      <c r="J209" s="501"/>
      <c r="K209" s="501"/>
      <c r="L209" s="501"/>
      <c r="M209" s="517"/>
      <c r="N209" s="518"/>
      <c r="O209" s="504"/>
      <c r="P209" s="519"/>
      <c r="Q209" s="506">
        <v>0</v>
      </c>
      <c r="R209" s="506">
        <v>74825</v>
      </c>
      <c r="S209" s="504"/>
      <c r="T209" s="507"/>
      <c r="U209" s="508"/>
      <c r="V209" s="508"/>
      <c r="W209" s="508"/>
      <c r="X209" s="508"/>
      <c r="Y209" s="508"/>
      <c r="Z209" s="508"/>
      <c r="AA209" s="508"/>
      <c r="AB209" s="508"/>
      <c r="AC209" s="508"/>
      <c r="AD209" s="508"/>
      <c r="AE209" s="509"/>
      <c r="AF209" s="504">
        <f t="shared" si="128"/>
        <v>0</v>
      </c>
      <c r="AG209" s="510"/>
      <c r="AH209" s="508"/>
      <c r="AI209" s="508"/>
      <c r="AJ209" s="508"/>
      <c r="AK209" s="508"/>
      <c r="AL209" s="508"/>
      <c r="AM209" s="508"/>
      <c r="AN209" s="549"/>
      <c r="AO209" s="508"/>
      <c r="AP209" s="508"/>
      <c r="AQ209" s="508"/>
      <c r="AR209" s="509"/>
      <c r="AS209" s="559">
        <f t="shared" si="129"/>
        <v>0</v>
      </c>
      <c r="AT209" s="510"/>
      <c r="AU209" s="508"/>
      <c r="AV209" s="508"/>
      <c r="AW209" s="508"/>
      <c r="AX209" s="508"/>
      <c r="AY209" s="508"/>
      <c r="AZ209" s="549"/>
      <c r="BA209" s="549"/>
      <c r="BB209" s="549"/>
      <c r="BC209" s="508"/>
      <c r="BD209" s="508"/>
      <c r="BE209" s="509"/>
      <c r="BF209" s="504">
        <f t="shared" si="130"/>
        <v>0</v>
      </c>
      <c r="BG209" s="510"/>
      <c r="BH209" s="549"/>
      <c r="BI209" s="549"/>
      <c r="BJ209" s="549"/>
      <c r="BK209" s="508"/>
      <c r="BL209" s="508"/>
      <c r="BM209" s="508"/>
      <c r="BN209" s="508"/>
      <c r="BO209" s="508"/>
      <c r="BP209" s="508"/>
      <c r="BQ209" s="508"/>
      <c r="BR209" s="509"/>
      <c r="BS209" s="504">
        <f t="shared" si="131"/>
        <v>0</v>
      </c>
      <c r="BT209" s="510"/>
      <c r="BU209" s="508"/>
      <c r="BV209" s="508"/>
      <c r="BW209" s="508"/>
      <c r="BX209" s="508"/>
      <c r="BY209" s="508"/>
      <c r="BZ209" s="508"/>
      <c r="CA209" s="508"/>
      <c r="CB209" s="508"/>
      <c r="CC209" s="508"/>
      <c r="CD209" s="508"/>
      <c r="CE209" s="509"/>
      <c r="CF209" s="504">
        <f t="shared" si="132"/>
        <v>0</v>
      </c>
      <c r="CG209" s="504"/>
      <c r="CH209" s="504">
        <f t="shared" si="133"/>
        <v>0</v>
      </c>
      <c r="CI209" s="504">
        <f t="shared" si="134"/>
        <v>0</v>
      </c>
      <c r="CJ209" s="504">
        <f t="shared" si="135"/>
        <v>0</v>
      </c>
      <c r="CK209" s="504">
        <f t="shared" si="136"/>
        <v>-74825</v>
      </c>
      <c r="CL209" s="504">
        <v>0</v>
      </c>
      <c r="CM209" s="504">
        <f t="shared" si="137"/>
        <v>0</v>
      </c>
    </row>
    <row r="210" spans="1:91" outlineLevel="1">
      <c r="A210" s="500"/>
      <c r="B210" s="526"/>
      <c r="C210" s="593">
        <f t="shared" si="138"/>
        <v>405.08999999999992</v>
      </c>
      <c r="D210" s="526"/>
      <c r="E210" s="526"/>
      <c r="F210" s="501"/>
      <c r="H210" s="501" t="s">
        <v>471</v>
      </c>
      <c r="I210" s="501"/>
      <c r="J210" s="501"/>
      <c r="K210" s="501"/>
      <c r="L210" s="501"/>
      <c r="M210" s="517"/>
      <c r="N210" s="518"/>
      <c r="O210" s="504"/>
      <c r="P210" s="519"/>
      <c r="Q210" s="506">
        <v>0</v>
      </c>
      <c r="R210" s="506">
        <v>9657</v>
      </c>
      <c r="S210" s="504"/>
      <c r="T210" s="507"/>
      <c r="U210" s="508"/>
      <c r="V210" s="508"/>
      <c r="W210" s="508"/>
      <c r="X210" s="508"/>
      <c r="Y210" s="508"/>
      <c r="Z210" s="508"/>
      <c r="AA210" s="508"/>
      <c r="AB210" s="508"/>
      <c r="AC210" s="508"/>
      <c r="AD210" s="508"/>
      <c r="AE210" s="509"/>
      <c r="AF210" s="504">
        <f t="shared" si="128"/>
        <v>0</v>
      </c>
      <c r="AG210" s="510"/>
      <c r="AH210" s="508"/>
      <c r="AI210" s="508"/>
      <c r="AJ210" s="508"/>
      <c r="AK210" s="508"/>
      <c r="AL210" s="508"/>
      <c r="AM210" s="508"/>
      <c r="AN210" s="549"/>
      <c r="AO210" s="508"/>
      <c r="AP210" s="508"/>
      <c r="AQ210" s="508"/>
      <c r="AR210" s="509"/>
      <c r="AS210" s="559">
        <f t="shared" si="129"/>
        <v>0</v>
      </c>
      <c r="AT210" s="510"/>
      <c r="AU210" s="508"/>
      <c r="AV210" s="508"/>
      <c r="AW210" s="508"/>
      <c r="AX210" s="508"/>
      <c r="AY210" s="508"/>
      <c r="AZ210" s="549"/>
      <c r="BA210" s="549"/>
      <c r="BB210" s="549"/>
      <c r="BC210" s="508"/>
      <c r="BD210" s="508"/>
      <c r="BE210" s="509"/>
      <c r="BF210" s="504">
        <f t="shared" si="130"/>
        <v>0</v>
      </c>
      <c r="BG210" s="510"/>
      <c r="BH210" s="508"/>
      <c r="BI210" s="508"/>
      <c r="BJ210" s="508"/>
      <c r="BK210" s="508"/>
      <c r="BL210" s="508"/>
      <c r="BM210" s="508"/>
      <c r="BN210" s="508"/>
      <c r="BO210" s="508"/>
      <c r="BP210" s="508"/>
      <c r="BQ210" s="508"/>
      <c r="BR210" s="509"/>
      <c r="BS210" s="504">
        <f t="shared" si="131"/>
        <v>0</v>
      </c>
      <c r="BT210" s="510"/>
      <c r="BU210" s="508"/>
      <c r="BV210" s="508"/>
      <c r="BW210" s="508"/>
      <c r="BX210" s="508"/>
      <c r="BY210" s="508"/>
      <c r="BZ210" s="508"/>
      <c r="CA210" s="508"/>
      <c r="CB210" s="508"/>
      <c r="CC210" s="508"/>
      <c r="CD210" s="508"/>
      <c r="CE210" s="509"/>
      <c r="CF210" s="504">
        <f t="shared" si="132"/>
        <v>0</v>
      </c>
      <c r="CG210" s="504"/>
      <c r="CH210" s="504">
        <f t="shared" si="133"/>
        <v>0</v>
      </c>
      <c r="CI210" s="504">
        <f t="shared" si="134"/>
        <v>0</v>
      </c>
      <c r="CJ210" s="504">
        <f t="shared" si="135"/>
        <v>0</v>
      </c>
      <c r="CK210" s="504">
        <f t="shared" si="136"/>
        <v>-9657</v>
      </c>
      <c r="CL210" s="504">
        <v>0</v>
      </c>
      <c r="CM210" s="504">
        <f t="shared" si="137"/>
        <v>0</v>
      </c>
    </row>
    <row r="211" spans="1:91" outlineLevel="1">
      <c r="A211" s="500"/>
      <c r="B211" s="526"/>
      <c r="C211" s="593">
        <f t="shared" si="138"/>
        <v>405.09999999999991</v>
      </c>
      <c r="D211" s="526"/>
      <c r="E211" s="526"/>
      <c r="F211" s="501"/>
      <c r="H211" s="501" t="s">
        <v>472</v>
      </c>
      <c r="I211" s="501"/>
      <c r="J211" s="501"/>
      <c r="K211" s="501"/>
      <c r="L211" s="501"/>
      <c r="M211" s="517"/>
      <c r="N211" s="518"/>
      <c r="O211" s="504"/>
      <c r="P211" s="519"/>
      <c r="Q211" s="506">
        <v>0</v>
      </c>
      <c r="R211" s="506">
        <v>25148</v>
      </c>
      <c r="S211" s="504"/>
      <c r="T211" s="507"/>
      <c r="U211" s="508"/>
      <c r="V211" s="508"/>
      <c r="W211" s="508"/>
      <c r="X211" s="508"/>
      <c r="Y211" s="508"/>
      <c r="Z211" s="508"/>
      <c r="AA211" s="508"/>
      <c r="AB211" s="508"/>
      <c r="AC211" s="508"/>
      <c r="AD211" s="508"/>
      <c r="AE211" s="509"/>
      <c r="AF211" s="504">
        <f t="shared" si="128"/>
        <v>0</v>
      </c>
      <c r="AG211" s="510"/>
      <c r="AH211" s="508"/>
      <c r="AI211" s="508"/>
      <c r="AJ211" s="508"/>
      <c r="AK211" s="508"/>
      <c r="AL211" s="508"/>
      <c r="AM211" s="508"/>
      <c r="AN211" s="549"/>
      <c r="AO211" s="508"/>
      <c r="AP211" s="508"/>
      <c r="AQ211" s="508"/>
      <c r="AR211" s="509"/>
      <c r="AS211" s="559">
        <f t="shared" si="129"/>
        <v>0</v>
      </c>
      <c r="AT211" s="510"/>
      <c r="AU211" s="508"/>
      <c r="AV211" s="508"/>
      <c r="AW211" s="508"/>
      <c r="AX211" s="508"/>
      <c r="AY211" s="508"/>
      <c r="AZ211" s="549"/>
      <c r="BA211" s="549"/>
      <c r="BB211" s="549"/>
      <c r="BC211" s="508"/>
      <c r="BD211" s="508"/>
      <c r="BE211" s="509"/>
      <c r="BF211" s="504">
        <f t="shared" si="130"/>
        <v>0</v>
      </c>
      <c r="BG211" s="510"/>
      <c r="BH211" s="508"/>
      <c r="BI211" s="508"/>
      <c r="BJ211" s="549"/>
      <c r="BK211" s="508"/>
      <c r="BL211" s="659"/>
      <c r="BM211" s="508"/>
      <c r="BN211" s="508"/>
      <c r="BO211" s="508"/>
      <c r="BP211" s="508"/>
      <c r="BQ211" s="508"/>
      <c r="BR211" s="509"/>
      <c r="BS211" s="504">
        <f t="shared" si="131"/>
        <v>0</v>
      </c>
      <c r="BT211" s="510"/>
      <c r="BU211" s="508"/>
      <c r="BV211" s="508"/>
      <c r="BW211" s="508"/>
      <c r="BX211" s="508"/>
      <c r="BY211" s="508"/>
      <c r="BZ211" s="508"/>
      <c r="CA211" s="508"/>
      <c r="CB211" s="508"/>
      <c r="CC211" s="508"/>
      <c r="CD211" s="508"/>
      <c r="CE211" s="509"/>
      <c r="CF211" s="504">
        <f t="shared" si="132"/>
        <v>0</v>
      </c>
      <c r="CG211" s="504"/>
      <c r="CH211" s="504">
        <f t="shared" si="133"/>
        <v>0</v>
      </c>
      <c r="CI211" s="504">
        <f t="shared" si="134"/>
        <v>0</v>
      </c>
      <c r="CJ211" s="504">
        <f t="shared" si="135"/>
        <v>0</v>
      </c>
      <c r="CK211" s="504">
        <f t="shared" si="136"/>
        <v>-25148</v>
      </c>
      <c r="CL211" s="504">
        <v>160831</v>
      </c>
      <c r="CM211" s="504">
        <f t="shared" si="137"/>
        <v>-160831</v>
      </c>
    </row>
    <row r="212" spans="1:91" outlineLevel="1">
      <c r="A212" s="500"/>
      <c r="B212" s="551"/>
      <c r="C212" s="593">
        <f t="shared" si="138"/>
        <v>405.1099999999999</v>
      </c>
      <c r="D212" s="551"/>
      <c r="E212" s="551"/>
      <c r="F212" s="501"/>
      <c r="G212" s="501"/>
      <c r="H212" s="653" t="s">
        <v>332</v>
      </c>
      <c r="I212" s="501"/>
      <c r="J212" s="501"/>
      <c r="K212" s="501"/>
      <c r="L212" s="501"/>
      <c r="M212" s="517"/>
      <c r="N212" s="518"/>
      <c r="O212" s="504"/>
      <c r="P212" s="519"/>
      <c r="Q212" s="506"/>
      <c r="R212" s="506"/>
      <c r="S212" s="504"/>
      <c r="T212" s="507"/>
      <c r="U212" s="508"/>
      <c r="V212" s="508"/>
      <c r="W212" s="508"/>
      <c r="X212" s="508"/>
      <c r="Y212" s="508"/>
      <c r="Z212" s="508"/>
      <c r="AA212" s="508"/>
      <c r="AB212" s="508"/>
      <c r="AC212" s="508"/>
      <c r="AD212" s="508"/>
      <c r="AE212" s="550"/>
      <c r="AF212" s="504">
        <f t="shared" si="128"/>
        <v>0</v>
      </c>
      <c r="AG212" s="510"/>
      <c r="AH212" s="508"/>
      <c r="AI212" s="508"/>
      <c r="AJ212" s="508"/>
      <c r="AK212" s="508"/>
      <c r="AL212" s="508"/>
      <c r="AM212" s="508"/>
      <c r="AN212" s="508"/>
      <c r="AO212" s="508"/>
      <c r="AP212" s="508"/>
      <c r="AQ212" s="508"/>
      <c r="AR212" s="509"/>
      <c r="AS212" s="504">
        <f t="shared" si="129"/>
        <v>0</v>
      </c>
      <c r="AT212" s="548"/>
      <c r="AU212" s="549"/>
      <c r="AV212" s="549"/>
      <c r="AW212" s="549"/>
      <c r="AX212" s="549"/>
      <c r="AY212" s="549"/>
      <c r="AZ212" s="508"/>
      <c r="BA212" s="508"/>
      <c r="BB212" s="508"/>
      <c r="BC212" s="508"/>
      <c r="BD212" s="508"/>
      <c r="BE212" s="509"/>
      <c r="BF212" s="504">
        <f t="shared" si="130"/>
        <v>0</v>
      </c>
      <c r="BG212" s="510"/>
      <c r="BH212" s="508">
        <f>321.92-987.68+1309.6</f>
        <v>643.83999999999992</v>
      </c>
      <c r="BI212" s="508">
        <f>41.92-1309.6</f>
        <v>-1267.6799999999998</v>
      </c>
      <c r="BJ212" s="508"/>
      <c r="BK212" s="508"/>
      <c r="BL212" s="508"/>
      <c r="BM212" s="508"/>
      <c r="BN212" s="508"/>
      <c r="BO212" s="508"/>
      <c r="BP212" s="508"/>
      <c r="BQ212" s="508"/>
      <c r="BR212" s="509"/>
      <c r="BS212" s="504">
        <f t="shared" si="131"/>
        <v>-623.83999999999992</v>
      </c>
      <c r="BT212" s="510"/>
      <c r="BU212" s="508"/>
      <c r="BV212" s="508"/>
      <c r="BW212" s="508"/>
      <c r="BX212" s="508"/>
      <c r="BY212" s="508"/>
      <c r="BZ212" s="508"/>
      <c r="CA212" s="508"/>
      <c r="CB212" s="508"/>
      <c r="CC212" s="508"/>
      <c r="CD212" s="508"/>
      <c r="CE212" s="509"/>
      <c r="CF212" s="504">
        <f t="shared" si="132"/>
        <v>0</v>
      </c>
      <c r="CG212" s="504"/>
      <c r="CH212" s="504">
        <f t="shared" si="133"/>
        <v>-623.83999999999992</v>
      </c>
      <c r="CI212" s="559">
        <f t="shared" si="134"/>
        <v>0</v>
      </c>
      <c r="CJ212" s="559">
        <f t="shared" si="135"/>
        <v>-623.83999999999992</v>
      </c>
      <c r="CK212" s="504">
        <f t="shared" si="136"/>
        <v>-623.83999999999992</v>
      </c>
      <c r="CL212" s="504">
        <v>-623.83999999999992</v>
      </c>
      <c r="CM212" s="504">
        <f t="shared" si="137"/>
        <v>0</v>
      </c>
    </row>
    <row r="213" spans="1:91" outlineLevel="1">
      <c r="A213" s="500"/>
      <c r="B213" s="551"/>
      <c r="C213" s="593">
        <f t="shared" si="138"/>
        <v>405.11999999999989</v>
      </c>
      <c r="D213" s="551"/>
      <c r="E213" s="551"/>
      <c r="F213" s="501"/>
      <c r="G213" s="501"/>
      <c r="H213" s="653" t="s">
        <v>473</v>
      </c>
      <c r="I213" s="501"/>
      <c r="J213" s="501"/>
      <c r="K213" s="501"/>
      <c r="L213" s="501"/>
      <c r="M213" s="517"/>
      <c r="N213" s="518"/>
      <c r="O213" s="504"/>
      <c r="P213" s="519"/>
      <c r="Q213" s="506"/>
      <c r="R213" s="506"/>
      <c r="S213" s="504"/>
      <c r="T213" s="507"/>
      <c r="U213" s="508"/>
      <c r="V213" s="508"/>
      <c r="W213" s="508"/>
      <c r="X213" s="508"/>
      <c r="Y213" s="508"/>
      <c r="Z213" s="508"/>
      <c r="AA213" s="508"/>
      <c r="AB213" s="508"/>
      <c r="AC213" s="508"/>
      <c r="AD213" s="508"/>
      <c r="AE213" s="550"/>
      <c r="AF213" s="504">
        <f t="shared" si="128"/>
        <v>0</v>
      </c>
      <c r="AG213" s="510"/>
      <c r="AH213" s="508"/>
      <c r="AI213" s="508"/>
      <c r="AJ213" s="508"/>
      <c r="AK213" s="508"/>
      <c r="AL213" s="508"/>
      <c r="AM213" s="508"/>
      <c r="AN213" s="508"/>
      <c r="AO213" s="508"/>
      <c r="AP213" s="508"/>
      <c r="AQ213" s="508"/>
      <c r="AR213" s="509"/>
      <c r="AS213" s="504">
        <f t="shared" si="129"/>
        <v>0</v>
      </c>
      <c r="AT213" s="548"/>
      <c r="AU213" s="549"/>
      <c r="AV213" s="549"/>
      <c r="AW213" s="549"/>
      <c r="AX213" s="549"/>
      <c r="AY213" s="549"/>
      <c r="AZ213" s="508"/>
      <c r="BA213" s="508"/>
      <c r="BB213" s="508"/>
      <c r="BC213" s="508"/>
      <c r="BD213" s="508"/>
      <c r="BE213" s="509">
        <v>10579.59</v>
      </c>
      <c r="BF213" s="504">
        <f t="shared" si="130"/>
        <v>10579.59</v>
      </c>
      <c r="BG213" s="510"/>
      <c r="BH213" s="508"/>
      <c r="BI213" s="508"/>
      <c r="BJ213" s="508"/>
      <c r="BK213" s="508"/>
      <c r="BL213" s="508"/>
      <c r="BM213" s="508"/>
      <c r="BN213" s="508"/>
      <c r="BO213" s="508"/>
      <c r="BP213" s="508"/>
      <c r="BQ213" s="508"/>
      <c r="BR213" s="509"/>
      <c r="BS213" s="504">
        <f t="shared" si="131"/>
        <v>0</v>
      </c>
      <c r="BT213" s="510"/>
      <c r="BU213" s="508"/>
      <c r="BV213" s="508"/>
      <c r="BW213" s="508"/>
      <c r="BX213" s="508"/>
      <c r="BY213" s="508"/>
      <c r="BZ213" s="508"/>
      <c r="CA213" s="508"/>
      <c r="CB213" s="508"/>
      <c r="CC213" s="508"/>
      <c r="CD213" s="508"/>
      <c r="CE213" s="509"/>
      <c r="CF213" s="504">
        <f t="shared" si="132"/>
        <v>0</v>
      </c>
      <c r="CG213" s="504"/>
      <c r="CH213" s="504">
        <f t="shared" si="133"/>
        <v>10579.59</v>
      </c>
      <c r="CI213" s="559">
        <f t="shared" si="134"/>
        <v>0</v>
      </c>
      <c r="CJ213" s="559">
        <f t="shared" si="135"/>
        <v>10579.59</v>
      </c>
      <c r="CK213" s="504">
        <f t="shared" si="136"/>
        <v>10579.59</v>
      </c>
      <c r="CL213" s="504">
        <v>10579.59</v>
      </c>
      <c r="CM213" s="504">
        <f t="shared" si="137"/>
        <v>0</v>
      </c>
    </row>
    <row r="214" spans="1:91" outlineLevel="1">
      <c r="A214" s="500"/>
      <c r="B214" s="551"/>
      <c r="C214" s="593">
        <f t="shared" si="138"/>
        <v>405.12999999999988</v>
      </c>
      <c r="D214" s="551"/>
      <c r="E214" s="551"/>
      <c r="F214" s="501"/>
      <c r="G214" s="501"/>
      <c r="H214" s="653" t="s">
        <v>474</v>
      </c>
      <c r="I214" s="501"/>
      <c r="J214" s="501"/>
      <c r="K214" s="501"/>
      <c r="L214" s="501"/>
      <c r="M214" s="517"/>
      <c r="N214" s="518"/>
      <c r="O214" s="504"/>
      <c r="P214" s="519"/>
      <c r="Q214" s="506"/>
      <c r="R214" s="506"/>
      <c r="S214" s="504"/>
      <c r="T214" s="507"/>
      <c r="U214" s="508"/>
      <c r="V214" s="508"/>
      <c r="W214" s="508"/>
      <c r="X214" s="508"/>
      <c r="Y214" s="508"/>
      <c r="Z214" s="508"/>
      <c r="AA214" s="508"/>
      <c r="AB214" s="508"/>
      <c r="AC214" s="508"/>
      <c r="AD214" s="508"/>
      <c r="AE214" s="550"/>
      <c r="AF214" s="504">
        <f t="shared" si="128"/>
        <v>0</v>
      </c>
      <c r="AG214" s="510"/>
      <c r="AH214" s="508"/>
      <c r="AI214" s="508"/>
      <c r="AJ214" s="508"/>
      <c r="AK214" s="508"/>
      <c r="AL214" s="508"/>
      <c r="AM214" s="508"/>
      <c r="AN214" s="508"/>
      <c r="AO214" s="508"/>
      <c r="AP214" s="508"/>
      <c r="AQ214" s="508"/>
      <c r="AR214" s="509"/>
      <c r="AS214" s="504">
        <f t="shared" si="129"/>
        <v>0</v>
      </c>
      <c r="AT214" s="548"/>
      <c r="AU214" s="549"/>
      <c r="AV214" s="549"/>
      <c r="AW214" s="549"/>
      <c r="AX214" s="549"/>
      <c r="AY214" s="549"/>
      <c r="AZ214" s="508"/>
      <c r="BA214" s="508"/>
      <c r="BB214" s="508"/>
      <c r="BC214" s="508"/>
      <c r="BD214" s="508"/>
      <c r="BE214" s="509"/>
      <c r="BF214" s="504">
        <f t="shared" si="130"/>
        <v>0</v>
      </c>
      <c r="BG214" s="510"/>
      <c r="BH214" s="508"/>
      <c r="BI214" s="508"/>
      <c r="BJ214" s="508"/>
      <c r="BK214" s="508"/>
      <c r="BL214" s="508"/>
      <c r="BM214" s="508"/>
      <c r="BN214" s="508"/>
      <c r="BO214" s="508"/>
      <c r="BP214" s="508"/>
      <c r="BQ214" s="508"/>
      <c r="BR214" s="509"/>
      <c r="BS214" s="504">
        <f t="shared" si="131"/>
        <v>0</v>
      </c>
      <c r="BT214" s="510"/>
      <c r="BU214" s="508"/>
      <c r="BV214" s="508"/>
      <c r="BW214" s="508"/>
      <c r="BX214" s="508"/>
      <c r="BY214" s="508"/>
      <c r="BZ214" s="508"/>
      <c r="CA214" s="508"/>
      <c r="CB214" s="508"/>
      <c r="CC214" s="508"/>
      <c r="CD214" s="508"/>
      <c r="CE214" s="509"/>
      <c r="CF214" s="504">
        <f t="shared" si="132"/>
        <v>0</v>
      </c>
      <c r="CG214" s="504"/>
      <c r="CH214" s="504">
        <f t="shared" si="133"/>
        <v>0</v>
      </c>
      <c r="CI214" s="559">
        <f t="shared" si="134"/>
        <v>0</v>
      </c>
      <c r="CJ214" s="559">
        <f t="shared" si="135"/>
        <v>0</v>
      </c>
      <c r="CK214" s="504">
        <f t="shared" si="136"/>
        <v>0</v>
      </c>
      <c r="CL214" s="504">
        <v>0</v>
      </c>
      <c r="CM214" s="504">
        <f t="shared" si="137"/>
        <v>0</v>
      </c>
    </row>
    <row r="215" spans="1:91" outlineLevel="1">
      <c r="A215" s="500"/>
      <c r="B215" s="551"/>
      <c r="C215" s="593">
        <f t="shared" si="138"/>
        <v>405.13999999999987</v>
      </c>
      <c r="D215" s="551"/>
      <c r="E215" s="551"/>
      <c r="F215" s="501"/>
      <c r="G215" s="501"/>
      <c r="H215" s="653" t="s">
        <v>329</v>
      </c>
      <c r="I215" s="501"/>
      <c r="J215" s="501"/>
      <c r="K215" s="501"/>
      <c r="L215" s="501"/>
      <c r="M215" s="517"/>
      <c r="N215" s="518">
        <v>4600004941</v>
      </c>
      <c r="O215" s="504">
        <v>1034770</v>
      </c>
      <c r="P215" s="519" t="s">
        <v>314</v>
      </c>
      <c r="Q215" s="506"/>
      <c r="R215" s="506"/>
      <c r="S215" s="504"/>
      <c r="T215" s="507"/>
      <c r="U215" s="508"/>
      <c r="V215" s="508"/>
      <c r="W215" s="508"/>
      <c r="X215" s="508"/>
      <c r="Y215" s="508"/>
      <c r="Z215" s="508"/>
      <c r="AA215" s="508"/>
      <c r="AB215" s="508"/>
      <c r="AC215" s="508"/>
      <c r="AD215" s="508"/>
      <c r="AE215" s="550"/>
      <c r="AF215" s="504">
        <f t="shared" si="128"/>
        <v>0</v>
      </c>
      <c r="AG215" s="510"/>
      <c r="AH215" s="508"/>
      <c r="AI215" s="508"/>
      <c r="AJ215" s="508">
        <v>1416</v>
      </c>
      <c r="AK215" s="508"/>
      <c r="AL215" s="508">
        <v>2106</v>
      </c>
      <c r="AM215" s="508"/>
      <c r="AN215" s="508">
        <v>510</v>
      </c>
      <c r="AO215" s="508">
        <v>460</v>
      </c>
      <c r="AP215" s="508">
        <v>690</v>
      </c>
      <c r="AQ215" s="508">
        <v>1523.76</v>
      </c>
      <c r="AR215" s="509">
        <v>850.42</v>
      </c>
      <c r="AS215" s="504">
        <f t="shared" si="129"/>
        <v>7556.18</v>
      </c>
      <c r="AT215" s="548"/>
      <c r="AU215" s="549"/>
      <c r="AV215" s="549">
        <v>2300</v>
      </c>
      <c r="AW215" s="549"/>
      <c r="AX215" s="549">
        <v>861</v>
      </c>
      <c r="AY215" s="549">
        <v>2569.31</v>
      </c>
      <c r="AZ215" s="508">
        <v>1610</v>
      </c>
      <c r="BA215" s="508">
        <v>1045</v>
      </c>
      <c r="BB215" s="508">
        <v>805</v>
      </c>
      <c r="BC215" s="508"/>
      <c r="BD215" s="508">
        <v>1610</v>
      </c>
      <c r="BE215" s="509">
        <v>6490</v>
      </c>
      <c r="BF215" s="504">
        <f t="shared" si="130"/>
        <v>17290.309999999998</v>
      </c>
      <c r="BG215" s="510"/>
      <c r="BH215" s="508">
        <v>4600</v>
      </c>
      <c r="BI215" s="508">
        <v>3759.39</v>
      </c>
      <c r="BJ215" s="508"/>
      <c r="BK215" s="659"/>
      <c r="BL215" s="508"/>
      <c r="BM215" s="508"/>
      <c r="BN215" s="508"/>
      <c r="BO215" s="508"/>
      <c r="BP215" s="508"/>
      <c r="BQ215" s="508"/>
      <c r="BR215" s="509"/>
      <c r="BS215" s="504">
        <f t="shared" si="131"/>
        <v>8359.39</v>
      </c>
      <c r="BT215" s="510"/>
      <c r="BU215" s="508"/>
      <c r="BV215" s="508"/>
      <c r="BW215" s="508"/>
      <c r="BX215" s="508"/>
      <c r="BY215" s="508"/>
      <c r="BZ215" s="508"/>
      <c r="CA215" s="508"/>
      <c r="CB215" s="508"/>
      <c r="CC215" s="508"/>
      <c r="CD215" s="508"/>
      <c r="CE215" s="509"/>
      <c r="CF215" s="504">
        <f t="shared" si="132"/>
        <v>0</v>
      </c>
      <c r="CG215" s="504"/>
      <c r="CH215" s="504">
        <f t="shared" si="133"/>
        <v>33205.879999999997</v>
      </c>
      <c r="CI215" s="559">
        <f t="shared" si="134"/>
        <v>0</v>
      </c>
      <c r="CJ215" s="559">
        <f t="shared" si="135"/>
        <v>33205.879999999997</v>
      </c>
      <c r="CK215" s="504">
        <f t="shared" si="136"/>
        <v>33205.879999999997</v>
      </c>
      <c r="CL215" s="504">
        <v>33205.879999999997</v>
      </c>
      <c r="CM215" s="504">
        <f t="shared" si="137"/>
        <v>0</v>
      </c>
    </row>
    <row r="216" spans="1:91" outlineLevel="1">
      <c r="A216" s="500"/>
      <c r="B216" s="551"/>
      <c r="C216" s="593">
        <f t="shared" si="138"/>
        <v>405.14999999999986</v>
      </c>
      <c r="D216" s="551"/>
      <c r="E216" s="551"/>
      <c r="F216" s="501"/>
      <c r="G216" s="501"/>
      <c r="H216" s="653" t="s">
        <v>475</v>
      </c>
      <c r="I216" s="501"/>
      <c r="J216" s="501"/>
      <c r="K216" s="501"/>
      <c r="L216" s="501"/>
      <c r="M216" s="517"/>
      <c r="N216" s="518"/>
      <c r="O216" s="504"/>
      <c r="P216" s="519"/>
      <c r="Q216" s="506"/>
      <c r="R216" s="506"/>
      <c r="S216" s="504"/>
      <c r="T216" s="507"/>
      <c r="U216" s="508"/>
      <c r="V216" s="508"/>
      <c r="W216" s="508"/>
      <c r="X216" s="508"/>
      <c r="Y216" s="508"/>
      <c r="Z216" s="508"/>
      <c r="AA216" s="508"/>
      <c r="AB216" s="508"/>
      <c r="AC216" s="508"/>
      <c r="AD216" s="508"/>
      <c r="AE216" s="550"/>
      <c r="AF216" s="504">
        <f t="shared" si="128"/>
        <v>0</v>
      </c>
      <c r="AG216" s="510"/>
      <c r="AH216" s="508"/>
      <c r="AI216" s="508"/>
      <c r="AJ216" s="508"/>
      <c r="AK216" s="508"/>
      <c r="AL216" s="508"/>
      <c r="AM216" s="508"/>
      <c r="AN216" s="508"/>
      <c r="AO216" s="508"/>
      <c r="AP216" s="508"/>
      <c r="AQ216" s="508"/>
      <c r="AR216" s="509"/>
      <c r="AS216" s="504">
        <f t="shared" si="129"/>
        <v>0</v>
      </c>
      <c r="AT216" s="548"/>
      <c r="AU216" s="549"/>
      <c r="AV216" s="549"/>
      <c r="AW216" s="549"/>
      <c r="AX216" s="549"/>
      <c r="AY216" s="549"/>
      <c r="AZ216" s="508"/>
      <c r="BA216" s="508"/>
      <c r="BB216" s="508"/>
      <c r="BC216" s="508"/>
      <c r="BD216" s="508"/>
      <c r="BE216" s="509"/>
      <c r="BF216" s="504">
        <f t="shared" si="130"/>
        <v>0</v>
      </c>
      <c r="BG216" s="510">
        <v>6946.04</v>
      </c>
      <c r="BH216" s="508"/>
      <c r="BI216" s="508"/>
      <c r="BJ216" s="508"/>
      <c r="BK216" s="508"/>
      <c r="BL216" s="508"/>
      <c r="BM216" s="508"/>
      <c r="BN216" s="508"/>
      <c r="BO216" s="508"/>
      <c r="BP216" s="508"/>
      <c r="BQ216" s="508"/>
      <c r="BR216" s="509"/>
      <c r="BS216" s="504">
        <f t="shared" si="131"/>
        <v>6946.04</v>
      </c>
      <c r="BT216" s="510"/>
      <c r="BU216" s="508"/>
      <c r="BV216" s="508"/>
      <c r="BW216" s="508"/>
      <c r="BX216" s="508"/>
      <c r="BY216" s="508"/>
      <c r="BZ216" s="508"/>
      <c r="CA216" s="508"/>
      <c r="CB216" s="508"/>
      <c r="CC216" s="508"/>
      <c r="CD216" s="508"/>
      <c r="CE216" s="509"/>
      <c r="CF216" s="504">
        <f t="shared" si="132"/>
        <v>0</v>
      </c>
      <c r="CG216" s="504"/>
      <c r="CH216" s="504">
        <f t="shared" si="133"/>
        <v>6946.04</v>
      </c>
      <c r="CI216" s="559">
        <f t="shared" si="134"/>
        <v>0</v>
      </c>
      <c r="CJ216" s="559">
        <f t="shared" si="135"/>
        <v>6946.04</v>
      </c>
      <c r="CK216" s="504">
        <f t="shared" si="136"/>
        <v>6946.04</v>
      </c>
      <c r="CL216" s="504">
        <v>6946.04</v>
      </c>
      <c r="CM216" s="504">
        <f t="shared" si="137"/>
        <v>0</v>
      </c>
    </row>
    <row r="217" spans="1:91" outlineLevel="1">
      <c r="A217" s="500"/>
      <c r="B217" s="526"/>
      <c r="C217" s="593"/>
      <c r="D217" s="526"/>
      <c r="E217" s="526"/>
      <c r="F217" s="501"/>
      <c r="H217" s="501"/>
      <c r="I217" s="501"/>
      <c r="J217" s="501"/>
      <c r="K217" s="501"/>
      <c r="L217" s="501"/>
      <c r="M217" s="517"/>
      <c r="N217" s="518"/>
      <c r="O217" s="504"/>
      <c r="P217" s="519"/>
      <c r="Q217" s="506">
        <v>0</v>
      </c>
      <c r="R217" s="506"/>
      <c r="S217" s="504"/>
      <c r="T217" s="507"/>
      <c r="U217" s="508"/>
      <c r="V217" s="508"/>
      <c r="W217" s="508"/>
      <c r="X217" s="508"/>
      <c r="Y217" s="508"/>
      <c r="Z217" s="508"/>
      <c r="AA217" s="508"/>
      <c r="AB217" s="508"/>
      <c r="AC217" s="508"/>
      <c r="AD217" s="508"/>
      <c r="AE217" s="509"/>
      <c r="AF217" s="504">
        <f t="shared" si="128"/>
        <v>0</v>
      </c>
      <c r="AG217" s="510"/>
      <c r="AH217" s="508"/>
      <c r="AI217" s="508"/>
      <c r="AJ217" s="508"/>
      <c r="AK217" s="508"/>
      <c r="AL217" s="508"/>
      <c r="AM217" s="508"/>
      <c r="AN217" s="549"/>
      <c r="AO217" s="508"/>
      <c r="AP217" s="508"/>
      <c r="AQ217" s="508"/>
      <c r="AR217" s="509"/>
      <c r="AS217" s="559">
        <f t="shared" si="129"/>
        <v>0</v>
      </c>
      <c r="AT217" s="510"/>
      <c r="AU217" s="508"/>
      <c r="AV217" s="508"/>
      <c r="AW217" s="508"/>
      <c r="AX217" s="508"/>
      <c r="AY217" s="508"/>
      <c r="AZ217" s="508"/>
      <c r="BA217" s="508"/>
      <c r="BB217" s="508"/>
      <c r="BC217" s="508"/>
      <c r="BD217" s="508"/>
      <c r="BE217" s="509"/>
      <c r="BF217" s="504">
        <f t="shared" si="130"/>
        <v>0</v>
      </c>
      <c r="BG217" s="510"/>
      <c r="BH217" s="508"/>
      <c r="BI217" s="508"/>
      <c r="BJ217" s="508"/>
      <c r="BK217" s="508"/>
      <c r="BL217" s="508"/>
      <c r="BM217" s="508"/>
      <c r="BN217" s="508"/>
      <c r="BO217" s="508"/>
      <c r="BP217" s="508"/>
      <c r="BQ217" s="508"/>
      <c r="BR217" s="509"/>
      <c r="BS217" s="504">
        <f t="shared" si="131"/>
        <v>0</v>
      </c>
      <c r="BT217" s="510"/>
      <c r="BU217" s="508"/>
      <c r="BV217" s="508"/>
      <c r="BW217" s="508"/>
      <c r="BX217" s="508"/>
      <c r="BY217" s="508"/>
      <c r="BZ217" s="508"/>
      <c r="CA217" s="508"/>
      <c r="CB217" s="508"/>
      <c r="CC217" s="508"/>
      <c r="CD217" s="508"/>
      <c r="CE217" s="509"/>
      <c r="CF217" s="504">
        <f t="shared" si="132"/>
        <v>0</v>
      </c>
      <c r="CG217" s="504"/>
      <c r="CH217" s="504">
        <f t="shared" si="133"/>
        <v>0</v>
      </c>
      <c r="CI217" s="504">
        <f t="shared" si="134"/>
        <v>0</v>
      </c>
      <c r="CJ217" s="504">
        <f t="shared" si="135"/>
        <v>0</v>
      </c>
      <c r="CK217" s="504">
        <f t="shared" si="136"/>
        <v>0</v>
      </c>
      <c r="CL217" s="504"/>
      <c r="CM217" s="504">
        <f t="shared" si="137"/>
        <v>0</v>
      </c>
    </row>
    <row r="218" spans="1:91">
      <c r="A218" s="500"/>
      <c r="B218" s="526"/>
      <c r="C218" s="526"/>
      <c r="D218" s="526"/>
      <c r="E218" s="526"/>
      <c r="F218" s="501"/>
      <c r="G218" s="501"/>
      <c r="H218" s="501"/>
      <c r="I218" s="501"/>
      <c r="J218" s="501"/>
      <c r="K218" s="501"/>
      <c r="L218" s="501"/>
      <c r="M218" s="517"/>
      <c r="N218" s="518"/>
      <c r="O218" s="504"/>
      <c r="P218" s="519"/>
      <c r="Q218" s="506">
        <v>0</v>
      </c>
      <c r="R218" s="506">
        <v>0</v>
      </c>
      <c r="S218" s="504"/>
      <c r="T218" s="507"/>
      <c r="U218" s="508"/>
      <c r="V218" s="508"/>
      <c r="W218" s="508"/>
      <c r="X218" s="508"/>
      <c r="Y218" s="508"/>
      <c r="Z218" s="508"/>
      <c r="AA218" s="508"/>
      <c r="AB218" s="508"/>
      <c r="AC218" s="508"/>
      <c r="AD218" s="508"/>
      <c r="AE218" s="509"/>
      <c r="AF218" s="504">
        <f t="shared" si="128"/>
        <v>0</v>
      </c>
      <c r="AG218" s="510"/>
      <c r="AH218" s="508"/>
      <c r="AI218" s="508"/>
      <c r="AJ218" s="508"/>
      <c r="AK218" s="508"/>
      <c r="AL218" s="508"/>
      <c r="AM218" s="508"/>
      <c r="AN218" s="549"/>
      <c r="AO218" s="508"/>
      <c r="AP218" s="508"/>
      <c r="AQ218" s="508"/>
      <c r="AR218" s="509"/>
      <c r="AS218" s="559">
        <f t="shared" si="129"/>
        <v>0</v>
      </c>
      <c r="AT218" s="510"/>
      <c r="AU218" s="508"/>
      <c r="AV218" s="508"/>
      <c r="AW218" s="508"/>
      <c r="AX218" s="508"/>
      <c r="AY218" s="508"/>
      <c r="AZ218" s="508"/>
      <c r="BA218" s="508"/>
      <c r="BB218" s="508"/>
      <c r="BC218" s="508"/>
      <c r="BD218" s="508"/>
      <c r="BE218" s="509"/>
      <c r="BF218" s="504">
        <f t="shared" si="130"/>
        <v>0</v>
      </c>
      <c r="BG218" s="510"/>
      <c r="BH218" s="508"/>
      <c r="BI218" s="508"/>
      <c r="BJ218" s="508"/>
      <c r="BK218" s="508"/>
      <c r="BL218" s="508"/>
      <c r="BM218" s="508"/>
      <c r="BN218" s="508"/>
      <c r="BO218" s="508"/>
      <c r="BP218" s="508"/>
      <c r="BQ218" s="508"/>
      <c r="BR218" s="509"/>
      <c r="BS218" s="504">
        <f t="shared" si="131"/>
        <v>0</v>
      </c>
      <c r="BT218" s="510"/>
      <c r="BU218" s="508"/>
      <c r="BV218" s="508"/>
      <c r="BW218" s="508"/>
      <c r="BX218" s="508"/>
      <c r="BY218" s="508"/>
      <c r="BZ218" s="508"/>
      <c r="CA218" s="508"/>
      <c r="CB218" s="508"/>
      <c r="CC218" s="508"/>
      <c r="CD218" s="508"/>
      <c r="CE218" s="509"/>
      <c r="CF218" s="504">
        <f t="shared" si="132"/>
        <v>0</v>
      </c>
      <c r="CG218" s="504"/>
      <c r="CH218" s="504">
        <f t="shared" si="133"/>
        <v>0</v>
      </c>
      <c r="CI218" s="504">
        <f t="shared" si="134"/>
        <v>0</v>
      </c>
      <c r="CJ218" s="504">
        <f t="shared" si="135"/>
        <v>0</v>
      </c>
      <c r="CK218" s="504">
        <f t="shared" si="136"/>
        <v>0</v>
      </c>
      <c r="CL218" s="504">
        <v>0</v>
      </c>
      <c r="CM218" s="504">
        <f t="shared" si="137"/>
        <v>0</v>
      </c>
    </row>
    <row r="219" spans="1:91" s="546" customFormat="1">
      <c r="A219" s="534"/>
      <c r="B219" s="535">
        <v>406</v>
      </c>
      <c r="C219" s="535"/>
      <c r="D219" s="535"/>
      <c r="E219" s="535"/>
      <c r="F219" s="536"/>
      <c r="G219" s="536" t="s">
        <v>476</v>
      </c>
      <c r="H219" s="536"/>
      <c r="I219" s="536"/>
      <c r="J219" s="536"/>
      <c r="K219" s="536"/>
      <c r="L219" s="536"/>
      <c r="M219" s="622"/>
      <c r="N219" s="623"/>
      <c r="O219" s="539"/>
      <c r="P219" s="624"/>
      <c r="Q219" s="541">
        <f t="shared" ref="Q219:AV219" si="139">SUBTOTAL(9,Q220:Q223)</f>
        <v>0</v>
      </c>
      <c r="R219" s="541">
        <f t="shared" si="139"/>
        <v>0</v>
      </c>
      <c r="S219" s="539">
        <f t="shared" si="139"/>
        <v>0</v>
      </c>
      <c r="T219" s="542">
        <f t="shared" si="139"/>
        <v>0</v>
      </c>
      <c r="U219" s="543">
        <f t="shared" si="139"/>
        <v>0</v>
      </c>
      <c r="V219" s="543">
        <f t="shared" si="139"/>
        <v>0</v>
      </c>
      <c r="W219" s="543">
        <f t="shared" si="139"/>
        <v>0</v>
      </c>
      <c r="X219" s="543">
        <f t="shared" si="139"/>
        <v>0</v>
      </c>
      <c r="Y219" s="543">
        <f t="shared" si="139"/>
        <v>0</v>
      </c>
      <c r="Z219" s="543">
        <f t="shared" si="139"/>
        <v>0</v>
      </c>
      <c r="AA219" s="543">
        <f t="shared" si="139"/>
        <v>0</v>
      </c>
      <c r="AB219" s="543">
        <f t="shared" si="139"/>
        <v>0</v>
      </c>
      <c r="AC219" s="543">
        <f t="shared" si="139"/>
        <v>0</v>
      </c>
      <c r="AD219" s="543">
        <f t="shared" si="139"/>
        <v>0</v>
      </c>
      <c r="AE219" s="544">
        <f t="shared" si="139"/>
        <v>0</v>
      </c>
      <c r="AF219" s="539">
        <f t="shared" si="139"/>
        <v>0</v>
      </c>
      <c r="AG219" s="545">
        <f t="shared" si="139"/>
        <v>0</v>
      </c>
      <c r="AH219" s="543">
        <f t="shared" si="139"/>
        <v>0</v>
      </c>
      <c r="AI219" s="543">
        <f t="shared" si="139"/>
        <v>0</v>
      </c>
      <c r="AJ219" s="543">
        <f t="shared" si="139"/>
        <v>0</v>
      </c>
      <c r="AK219" s="543">
        <f t="shared" si="139"/>
        <v>0</v>
      </c>
      <c r="AL219" s="543">
        <f t="shared" si="139"/>
        <v>0</v>
      </c>
      <c r="AM219" s="543">
        <f t="shared" si="139"/>
        <v>0</v>
      </c>
      <c r="AN219" s="651">
        <f t="shared" si="139"/>
        <v>0</v>
      </c>
      <c r="AO219" s="543">
        <f t="shared" si="139"/>
        <v>0</v>
      </c>
      <c r="AP219" s="543">
        <f t="shared" si="139"/>
        <v>0</v>
      </c>
      <c r="AQ219" s="543">
        <f t="shared" si="139"/>
        <v>0</v>
      </c>
      <c r="AR219" s="544">
        <f t="shared" si="139"/>
        <v>0</v>
      </c>
      <c r="AS219" s="652">
        <f t="shared" si="139"/>
        <v>0</v>
      </c>
      <c r="AT219" s="545">
        <f t="shared" si="139"/>
        <v>0</v>
      </c>
      <c r="AU219" s="543">
        <f t="shared" si="139"/>
        <v>0</v>
      </c>
      <c r="AV219" s="543">
        <f t="shared" si="139"/>
        <v>0</v>
      </c>
      <c r="AW219" s="543">
        <f t="shared" ref="AW219:CB219" si="140">SUBTOTAL(9,AW220:AW223)</f>
        <v>0</v>
      </c>
      <c r="AX219" s="543">
        <f t="shared" si="140"/>
        <v>0</v>
      </c>
      <c r="AY219" s="543">
        <f t="shared" si="140"/>
        <v>0</v>
      </c>
      <c r="AZ219" s="543">
        <f t="shared" si="140"/>
        <v>3485.85</v>
      </c>
      <c r="BA219" s="543">
        <f t="shared" si="140"/>
        <v>0</v>
      </c>
      <c r="BB219" s="543">
        <f t="shared" si="140"/>
        <v>0</v>
      </c>
      <c r="BC219" s="543">
        <f t="shared" si="140"/>
        <v>0</v>
      </c>
      <c r="BD219" s="543">
        <f t="shared" si="140"/>
        <v>0</v>
      </c>
      <c r="BE219" s="544">
        <f t="shared" si="140"/>
        <v>0</v>
      </c>
      <c r="BF219" s="539">
        <f t="shared" si="140"/>
        <v>3485.85</v>
      </c>
      <c r="BG219" s="545">
        <f t="shared" si="140"/>
        <v>0</v>
      </c>
      <c r="BH219" s="543">
        <f t="shared" si="140"/>
        <v>0</v>
      </c>
      <c r="BI219" s="543">
        <f t="shared" si="140"/>
        <v>42176.83</v>
      </c>
      <c r="BJ219" s="543">
        <f t="shared" si="140"/>
        <v>17357.083333333336</v>
      </c>
      <c r="BK219" s="543">
        <f t="shared" si="140"/>
        <v>0</v>
      </c>
      <c r="BL219" s="543">
        <f t="shared" si="140"/>
        <v>0</v>
      </c>
      <c r="BM219" s="543">
        <f t="shared" si="140"/>
        <v>0</v>
      </c>
      <c r="BN219" s="543">
        <f t="shared" si="140"/>
        <v>0</v>
      </c>
      <c r="BO219" s="543">
        <f t="shared" si="140"/>
        <v>0</v>
      </c>
      <c r="BP219" s="543">
        <f t="shared" si="140"/>
        <v>0</v>
      </c>
      <c r="BQ219" s="543">
        <f t="shared" si="140"/>
        <v>0</v>
      </c>
      <c r="BR219" s="544">
        <f t="shared" si="140"/>
        <v>0</v>
      </c>
      <c r="BS219" s="539">
        <f t="shared" si="140"/>
        <v>59533.913333333338</v>
      </c>
      <c r="BT219" s="545">
        <f t="shared" si="140"/>
        <v>0</v>
      </c>
      <c r="BU219" s="543">
        <f t="shared" si="140"/>
        <v>0</v>
      </c>
      <c r="BV219" s="543">
        <f t="shared" si="140"/>
        <v>0</v>
      </c>
      <c r="BW219" s="543">
        <f t="shared" si="140"/>
        <v>0</v>
      </c>
      <c r="BX219" s="543">
        <f t="shared" si="140"/>
        <v>0</v>
      </c>
      <c r="BY219" s="543">
        <f t="shared" si="140"/>
        <v>0</v>
      </c>
      <c r="BZ219" s="543">
        <f t="shared" si="140"/>
        <v>0</v>
      </c>
      <c r="CA219" s="543">
        <f t="shared" si="140"/>
        <v>0</v>
      </c>
      <c r="CB219" s="543">
        <f t="shared" si="140"/>
        <v>0</v>
      </c>
      <c r="CC219" s="543">
        <f t="shared" ref="CC219:CM219" si="141">SUBTOTAL(9,CC220:CC223)</f>
        <v>0</v>
      </c>
      <c r="CD219" s="543">
        <f t="shared" si="141"/>
        <v>0</v>
      </c>
      <c r="CE219" s="544">
        <f t="shared" si="141"/>
        <v>0</v>
      </c>
      <c r="CF219" s="539">
        <f t="shared" si="141"/>
        <v>0</v>
      </c>
      <c r="CG219" s="539">
        <f t="shared" si="141"/>
        <v>0</v>
      </c>
      <c r="CH219" s="539">
        <f t="shared" si="141"/>
        <v>63019.763333333336</v>
      </c>
      <c r="CI219" s="652">
        <f t="shared" si="141"/>
        <v>0</v>
      </c>
      <c r="CJ219" s="539">
        <f t="shared" si="141"/>
        <v>63019.763333333336</v>
      </c>
      <c r="CK219" s="539">
        <f t="shared" si="141"/>
        <v>63019.763333333336</v>
      </c>
      <c r="CL219" s="539">
        <f t="shared" si="141"/>
        <v>196000.18000000002</v>
      </c>
      <c r="CM219" s="539">
        <f t="shared" si="141"/>
        <v>-132980.41666666666</v>
      </c>
    </row>
    <row r="220" spans="1:91" outlineLevel="1">
      <c r="A220" s="500"/>
      <c r="B220" s="526"/>
      <c r="C220" s="593">
        <v>406.01</v>
      </c>
      <c r="D220" s="526"/>
      <c r="E220" s="526"/>
      <c r="F220" s="501"/>
      <c r="H220" s="501" t="s">
        <v>477</v>
      </c>
      <c r="I220" s="501"/>
      <c r="J220" s="501"/>
      <c r="K220" s="501"/>
      <c r="L220" s="501"/>
      <c r="M220" s="517"/>
      <c r="N220" s="518"/>
      <c r="O220" s="504"/>
      <c r="P220" s="519"/>
      <c r="Q220" s="506">
        <v>0</v>
      </c>
      <c r="R220" s="506"/>
      <c r="S220" s="504"/>
      <c r="T220" s="507"/>
      <c r="U220" s="508"/>
      <c r="V220" s="508"/>
      <c r="W220" s="508"/>
      <c r="X220" s="508"/>
      <c r="Y220" s="508"/>
      <c r="Z220" s="508"/>
      <c r="AA220" s="508"/>
      <c r="AB220" s="508"/>
      <c r="AC220" s="508"/>
      <c r="AD220" s="508"/>
      <c r="AE220" s="509"/>
      <c r="AF220" s="504">
        <f t="shared" ref="AF220:AF229" si="142">SUM(T220:AE220)</f>
        <v>0</v>
      </c>
      <c r="AG220" s="510"/>
      <c r="AH220" s="508"/>
      <c r="AI220" s="508"/>
      <c r="AJ220" s="508"/>
      <c r="AK220" s="508"/>
      <c r="AL220" s="508"/>
      <c r="AM220" s="508"/>
      <c r="AN220" s="549"/>
      <c r="AO220" s="508"/>
      <c r="AP220" s="508"/>
      <c r="AQ220" s="508"/>
      <c r="AR220" s="509"/>
      <c r="AS220" s="559">
        <f t="shared" ref="AS220:AS229" si="143">SUM(AG220:AR220)</f>
        <v>0</v>
      </c>
      <c r="AT220" s="510"/>
      <c r="AU220" s="508"/>
      <c r="AV220" s="508"/>
      <c r="AW220" s="508"/>
      <c r="AX220" s="508"/>
      <c r="AY220" s="508"/>
      <c r="AZ220" s="508"/>
      <c r="BA220" s="508"/>
      <c r="BB220" s="549"/>
      <c r="BC220" s="549"/>
      <c r="BD220" s="549"/>
      <c r="BE220" s="509"/>
      <c r="BF220" s="504">
        <f t="shared" ref="BF220:BF229" si="144">SUM(AT220:BE220)</f>
        <v>0</v>
      </c>
      <c r="BG220" s="548"/>
      <c r="BH220" s="549"/>
      <c r="BI220" s="548"/>
      <c r="BJ220" s="548"/>
      <c r="BK220" s="549"/>
      <c r="BL220" s="1301"/>
      <c r="BM220" s="508"/>
      <c r="BN220" s="508"/>
      <c r="BO220" s="508"/>
      <c r="BP220" s="508"/>
      <c r="BQ220" s="508"/>
      <c r="BR220" s="509"/>
      <c r="BS220" s="504">
        <f t="shared" ref="BS220:BS229" si="145">SUM(BG220:BR220)</f>
        <v>0</v>
      </c>
      <c r="BT220" s="510"/>
      <c r="BU220" s="508"/>
      <c r="BV220" s="508"/>
      <c r="BW220" s="508"/>
      <c r="BX220" s="508"/>
      <c r="BY220" s="508"/>
      <c r="BZ220" s="508"/>
      <c r="CA220" s="508"/>
      <c r="CB220" s="508"/>
      <c r="CC220" s="508"/>
      <c r="CD220" s="508"/>
      <c r="CE220" s="509"/>
      <c r="CF220" s="504">
        <f t="shared" ref="CF220:CF229" si="146">SUM(BT220:CE220)</f>
        <v>0</v>
      </c>
      <c r="CG220" s="504"/>
      <c r="CH220" s="504">
        <f t="shared" ref="CH220:CH229" si="147">SUMIF(($S$5:$CG$5),"Actual",(S220:CG220))</f>
        <v>0</v>
      </c>
      <c r="CI220" s="504">
        <f t="shared" ref="CI220:CI229" si="148">SUMIF(($S$5:$CG$5),"Forecast",(S220:CG220))</f>
        <v>0</v>
      </c>
      <c r="CJ220" s="504">
        <f t="shared" ref="CJ220:CJ229" si="149">+CH220+CI220</f>
        <v>0</v>
      </c>
      <c r="CK220" s="504">
        <f t="shared" ref="CK220:CK229" si="150">+CJ220-R220</f>
        <v>0</v>
      </c>
      <c r="CL220" s="504">
        <v>129509</v>
      </c>
      <c r="CM220" s="504">
        <f t="shared" ref="CM220:CM229" si="151">+CJ220-CL220</f>
        <v>-129509</v>
      </c>
    </row>
    <row r="221" spans="1:91" outlineLevel="1">
      <c r="A221" s="500"/>
      <c r="B221" s="526"/>
      <c r="C221" s="593">
        <f>+C220+0.01</f>
        <v>406.02</v>
      </c>
      <c r="D221" s="526"/>
      <c r="E221" s="526"/>
      <c r="F221" s="501"/>
      <c r="H221" s="501" t="s">
        <v>478</v>
      </c>
      <c r="I221" s="501"/>
      <c r="J221" s="501"/>
      <c r="K221" s="501"/>
      <c r="L221" s="501"/>
      <c r="M221" s="517"/>
      <c r="N221" s="518"/>
      <c r="O221" s="504"/>
      <c r="P221" s="519"/>
      <c r="Q221" s="506">
        <v>0</v>
      </c>
      <c r="R221" s="506"/>
      <c r="S221" s="504"/>
      <c r="T221" s="507"/>
      <c r="U221" s="508"/>
      <c r="V221" s="508"/>
      <c r="W221" s="508"/>
      <c r="X221" s="508"/>
      <c r="Y221" s="508"/>
      <c r="Z221" s="508"/>
      <c r="AA221" s="508"/>
      <c r="AB221" s="508"/>
      <c r="AC221" s="508"/>
      <c r="AD221" s="508"/>
      <c r="AE221" s="509"/>
      <c r="AF221" s="504">
        <f t="shared" si="142"/>
        <v>0</v>
      </c>
      <c r="AG221" s="510"/>
      <c r="AH221" s="508"/>
      <c r="AI221" s="508"/>
      <c r="AJ221" s="508"/>
      <c r="AK221" s="508"/>
      <c r="AL221" s="508"/>
      <c r="AM221" s="508"/>
      <c r="AN221" s="549"/>
      <c r="AO221" s="508"/>
      <c r="AP221" s="508"/>
      <c r="AQ221" s="508"/>
      <c r="AR221" s="509"/>
      <c r="AS221" s="559">
        <f t="shared" si="143"/>
        <v>0</v>
      </c>
      <c r="AT221" s="510"/>
      <c r="AU221" s="508"/>
      <c r="AV221" s="508"/>
      <c r="AW221" s="508"/>
      <c r="AX221" s="508"/>
      <c r="AY221" s="508"/>
      <c r="AZ221" s="508"/>
      <c r="BA221" s="508"/>
      <c r="BB221" s="549"/>
      <c r="BC221" s="549"/>
      <c r="BD221" s="549"/>
      <c r="BE221" s="509"/>
      <c r="BF221" s="504">
        <f t="shared" si="144"/>
        <v>0</v>
      </c>
      <c r="BG221" s="548"/>
      <c r="BH221" s="508"/>
      <c r="BI221" s="548"/>
      <c r="BJ221" s="548"/>
      <c r="BK221" s="508"/>
      <c r="BL221" s="508"/>
      <c r="BM221" s="508"/>
      <c r="BN221" s="508"/>
      <c r="BO221" s="508"/>
      <c r="BP221" s="508"/>
      <c r="BQ221" s="508"/>
      <c r="BR221" s="509"/>
      <c r="BS221" s="504">
        <f t="shared" si="145"/>
        <v>0</v>
      </c>
      <c r="BT221" s="510"/>
      <c r="BU221" s="508"/>
      <c r="BV221" s="508"/>
      <c r="BW221" s="508"/>
      <c r="BX221" s="508"/>
      <c r="BY221" s="508"/>
      <c r="BZ221" s="508"/>
      <c r="CA221" s="508"/>
      <c r="CB221" s="508"/>
      <c r="CC221" s="508"/>
      <c r="CD221" s="508"/>
      <c r="CE221" s="509"/>
      <c r="CF221" s="504">
        <f t="shared" si="146"/>
        <v>0</v>
      </c>
      <c r="CG221" s="504"/>
      <c r="CH221" s="504">
        <f t="shared" si="147"/>
        <v>0</v>
      </c>
      <c r="CI221" s="504">
        <f t="shared" si="148"/>
        <v>0</v>
      </c>
      <c r="CJ221" s="504">
        <f t="shared" si="149"/>
        <v>0</v>
      </c>
      <c r="CK221" s="504">
        <f t="shared" si="150"/>
        <v>0</v>
      </c>
      <c r="CL221" s="504">
        <v>0</v>
      </c>
      <c r="CM221" s="504">
        <f t="shared" si="151"/>
        <v>0</v>
      </c>
    </row>
    <row r="222" spans="1:91" outlineLevel="1">
      <c r="A222" s="500"/>
      <c r="B222" s="526"/>
      <c r="C222" s="593">
        <f>+C221+0.01</f>
        <v>406.03</v>
      </c>
      <c r="D222" s="526"/>
      <c r="E222" s="526"/>
      <c r="F222" s="501"/>
      <c r="H222" s="501"/>
      <c r="I222" s="501" t="s">
        <v>479</v>
      </c>
      <c r="J222" s="501"/>
      <c r="K222" s="501"/>
      <c r="L222" s="501"/>
      <c r="M222" s="517"/>
      <c r="N222" s="518"/>
      <c r="O222" s="504"/>
      <c r="P222" s="519"/>
      <c r="Q222" s="506">
        <v>0</v>
      </c>
      <c r="R222" s="506"/>
      <c r="S222" s="504"/>
      <c r="T222" s="507"/>
      <c r="U222" s="508"/>
      <c r="V222" s="508"/>
      <c r="W222" s="508"/>
      <c r="X222" s="508"/>
      <c r="Y222" s="508"/>
      <c r="Z222" s="508"/>
      <c r="AA222" s="508"/>
      <c r="AB222" s="508"/>
      <c r="AC222" s="508"/>
      <c r="AD222" s="508"/>
      <c r="AE222" s="509"/>
      <c r="AF222" s="504">
        <f t="shared" si="142"/>
        <v>0</v>
      </c>
      <c r="AG222" s="510"/>
      <c r="AH222" s="508"/>
      <c r="AI222" s="508"/>
      <c r="AJ222" s="508"/>
      <c r="AK222" s="508"/>
      <c r="AL222" s="508"/>
      <c r="AM222" s="508"/>
      <c r="AN222" s="549"/>
      <c r="AO222" s="508"/>
      <c r="AP222" s="508"/>
      <c r="AQ222" s="508"/>
      <c r="AR222" s="509"/>
      <c r="AS222" s="559">
        <f t="shared" si="143"/>
        <v>0</v>
      </c>
      <c r="AT222" s="510"/>
      <c r="AU222" s="508"/>
      <c r="AV222" s="508"/>
      <c r="AW222" s="508"/>
      <c r="AX222" s="508"/>
      <c r="AY222" s="508"/>
      <c r="AZ222" s="508"/>
      <c r="BA222" s="508"/>
      <c r="BB222" s="549"/>
      <c r="BC222" s="549"/>
      <c r="BD222" s="549"/>
      <c r="BE222" s="509"/>
      <c r="BF222" s="504">
        <f t="shared" si="144"/>
        <v>0</v>
      </c>
      <c r="BG222" s="548"/>
      <c r="BH222" s="508"/>
      <c r="BI222" s="508">
        <v>34043.08</v>
      </c>
      <c r="BJ222" s="1299">
        <f>20828.5*(25/30)</f>
        <v>17357.083333333336</v>
      </c>
      <c r="BK222" s="659"/>
      <c r="BL222" s="508"/>
      <c r="BM222" s="508"/>
      <c r="BN222" s="508"/>
      <c r="BO222" s="508"/>
      <c r="BP222" s="508"/>
      <c r="BQ222" s="508"/>
      <c r="BR222" s="509"/>
      <c r="BS222" s="504">
        <f t="shared" si="145"/>
        <v>51400.163333333338</v>
      </c>
      <c r="BT222" s="510"/>
      <c r="BU222" s="508"/>
      <c r="BV222" s="508"/>
      <c r="BW222" s="508"/>
      <c r="BX222" s="508"/>
      <c r="BY222" s="508"/>
      <c r="BZ222" s="508"/>
      <c r="CA222" s="508"/>
      <c r="CB222" s="508"/>
      <c r="CC222" s="508"/>
      <c r="CD222" s="508"/>
      <c r="CE222" s="509"/>
      <c r="CF222" s="504">
        <f t="shared" si="146"/>
        <v>0</v>
      </c>
      <c r="CG222" s="504"/>
      <c r="CH222" s="504">
        <f t="shared" si="147"/>
        <v>51400.163333333338</v>
      </c>
      <c r="CI222" s="504">
        <f t="shared" si="148"/>
        <v>0</v>
      </c>
      <c r="CJ222" s="504">
        <f t="shared" si="149"/>
        <v>51400.163333333338</v>
      </c>
      <c r="CK222" s="504">
        <f t="shared" si="150"/>
        <v>51400.163333333338</v>
      </c>
      <c r="CL222" s="504">
        <v>54871.58</v>
      </c>
      <c r="CM222" s="504">
        <f t="shared" si="151"/>
        <v>-3471.4166666666642</v>
      </c>
    </row>
    <row r="223" spans="1:91" outlineLevel="1">
      <c r="A223" s="500"/>
      <c r="B223" s="526"/>
      <c r="C223" s="593">
        <f>+C222+0.01</f>
        <v>406.03999999999996</v>
      </c>
      <c r="D223" s="526"/>
      <c r="E223" s="526"/>
      <c r="F223" s="501"/>
      <c r="H223" s="501"/>
      <c r="I223" s="501" t="s">
        <v>480</v>
      </c>
      <c r="J223" s="501"/>
      <c r="K223" s="501"/>
      <c r="L223" s="501"/>
      <c r="M223" s="517"/>
      <c r="N223" s="518"/>
      <c r="O223" s="504"/>
      <c r="P223" s="519"/>
      <c r="Q223" s="506">
        <v>0</v>
      </c>
      <c r="R223" s="506"/>
      <c r="S223" s="504"/>
      <c r="T223" s="507"/>
      <c r="U223" s="508"/>
      <c r="V223" s="508"/>
      <c r="W223" s="508"/>
      <c r="X223" s="508"/>
      <c r="Y223" s="508"/>
      <c r="Z223" s="508"/>
      <c r="AA223" s="508"/>
      <c r="AB223" s="508"/>
      <c r="AC223" s="508"/>
      <c r="AD223" s="508"/>
      <c r="AE223" s="509"/>
      <c r="AF223" s="504">
        <f t="shared" si="142"/>
        <v>0</v>
      </c>
      <c r="AG223" s="510"/>
      <c r="AH223" s="508"/>
      <c r="AI223" s="508"/>
      <c r="AJ223" s="508"/>
      <c r="AK223" s="508"/>
      <c r="AL223" s="508"/>
      <c r="AM223" s="508"/>
      <c r="AN223" s="549"/>
      <c r="AO223" s="508"/>
      <c r="AP223" s="508"/>
      <c r="AQ223" s="508"/>
      <c r="AR223" s="509"/>
      <c r="AS223" s="559">
        <f t="shared" si="143"/>
        <v>0</v>
      </c>
      <c r="AT223" s="510"/>
      <c r="AU223" s="508"/>
      <c r="AV223" s="508"/>
      <c r="AW223" s="508"/>
      <c r="AX223" s="508"/>
      <c r="AY223" s="508"/>
      <c r="AZ223" s="508">
        <v>3485.85</v>
      </c>
      <c r="BA223" s="508"/>
      <c r="BB223" s="549"/>
      <c r="BC223" s="549"/>
      <c r="BD223" s="549"/>
      <c r="BE223" s="509"/>
      <c r="BF223" s="504">
        <f t="shared" si="144"/>
        <v>3485.85</v>
      </c>
      <c r="BG223" s="548"/>
      <c r="BH223" s="508"/>
      <c r="BI223" s="548">
        <v>8133.75</v>
      </c>
      <c r="BJ223" s="508"/>
      <c r="BK223" s="508"/>
      <c r="BL223" s="508"/>
      <c r="BM223" s="508"/>
      <c r="BN223" s="508"/>
      <c r="BO223" s="508"/>
      <c r="BP223" s="508"/>
      <c r="BQ223" s="508"/>
      <c r="BR223" s="509"/>
      <c r="BS223" s="504">
        <f t="shared" si="145"/>
        <v>8133.75</v>
      </c>
      <c r="BT223" s="510"/>
      <c r="BU223" s="508"/>
      <c r="BV223" s="508"/>
      <c r="BW223" s="508"/>
      <c r="BX223" s="508"/>
      <c r="BY223" s="508"/>
      <c r="BZ223" s="508"/>
      <c r="CA223" s="508"/>
      <c r="CB223" s="508"/>
      <c r="CC223" s="508"/>
      <c r="CD223" s="508"/>
      <c r="CE223" s="509"/>
      <c r="CF223" s="504">
        <f t="shared" si="146"/>
        <v>0</v>
      </c>
      <c r="CG223" s="504"/>
      <c r="CH223" s="504">
        <f t="shared" si="147"/>
        <v>11619.6</v>
      </c>
      <c r="CI223" s="504">
        <f t="shared" si="148"/>
        <v>0</v>
      </c>
      <c r="CJ223" s="504">
        <f t="shared" si="149"/>
        <v>11619.6</v>
      </c>
      <c r="CK223" s="504">
        <f t="shared" si="150"/>
        <v>11619.6</v>
      </c>
      <c r="CL223" s="504">
        <v>11619.6</v>
      </c>
      <c r="CM223" s="504">
        <f t="shared" si="151"/>
        <v>0</v>
      </c>
    </row>
    <row r="224" spans="1:91">
      <c r="A224" s="500"/>
      <c r="B224" s="526"/>
      <c r="C224" s="526"/>
      <c r="D224" s="526"/>
      <c r="E224" s="526"/>
      <c r="F224" s="501"/>
      <c r="G224" s="501"/>
      <c r="H224" s="501"/>
      <c r="I224" s="501"/>
      <c r="J224" s="501"/>
      <c r="K224" s="501"/>
      <c r="L224" s="501"/>
      <c r="M224" s="517"/>
      <c r="N224" s="518"/>
      <c r="O224" s="504"/>
      <c r="P224" s="519"/>
      <c r="Q224" s="506">
        <v>0</v>
      </c>
      <c r="R224" s="506">
        <v>0</v>
      </c>
      <c r="S224" s="504"/>
      <c r="T224" s="507"/>
      <c r="U224" s="508"/>
      <c r="V224" s="508"/>
      <c r="W224" s="508"/>
      <c r="X224" s="508"/>
      <c r="Y224" s="508"/>
      <c r="Z224" s="508"/>
      <c r="AA224" s="508"/>
      <c r="AB224" s="508"/>
      <c r="AC224" s="508"/>
      <c r="AD224" s="508"/>
      <c r="AE224" s="509"/>
      <c r="AF224" s="504">
        <f t="shared" si="142"/>
        <v>0</v>
      </c>
      <c r="AG224" s="510"/>
      <c r="AH224" s="508"/>
      <c r="AI224" s="508"/>
      <c r="AJ224" s="508"/>
      <c r="AK224" s="508"/>
      <c r="AL224" s="508"/>
      <c r="AM224" s="508"/>
      <c r="AN224" s="549"/>
      <c r="AO224" s="508"/>
      <c r="AP224" s="508"/>
      <c r="AQ224" s="508"/>
      <c r="AR224" s="509"/>
      <c r="AS224" s="559">
        <f t="shared" si="143"/>
        <v>0</v>
      </c>
      <c r="AT224" s="510"/>
      <c r="AU224" s="508"/>
      <c r="AV224" s="508"/>
      <c r="AW224" s="508"/>
      <c r="AX224" s="508"/>
      <c r="AY224" s="508"/>
      <c r="AZ224" s="508"/>
      <c r="BA224" s="508"/>
      <c r="BB224" s="508"/>
      <c r="BC224" s="508"/>
      <c r="BD224" s="508"/>
      <c r="BE224" s="509"/>
      <c r="BF224" s="504">
        <f t="shared" si="144"/>
        <v>0</v>
      </c>
      <c r="BG224" s="510"/>
      <c r="BH224" s="508"/>
      <c r="BI224" s="508"/>
      <c r="BJ224" s="508"/>
      <c r="BK224" s="508"/>
      <c r="BL224" s="508"/>
      <c r="BM224" s="508"/>
      <c r="BN224" s="508"/>
      <c r="BO224" s="508"/>
      <c r="BP224" s="508"/>
      <c r="BQ224" s="508"/>
      <c r="BR224" s="509"/>
      <c r="BS224" s="504">
        <f t="shared" si="145"/>
        <v>0</v>
      </c>
      <c r="BT224" s="510"/>
      <c r="BU224" s="508"/>
      <c r="BV224" s="508"/>
      <c r="BW224" s="508"/>
      <c r="BX224" s="508"/>
      <c r="BY224" s="508"/>
      <c r="BZ224" s="508"/>
      <c r="CA224" s="508"/>
      <c r="CB224" s="508"/>
      <c r="CC224" s="508"/>
      <c r="CD224" s="508"/>
      <c r="CE224" s="509"/>
      <c r="CF224" s="504">
        <f t="shared" si="146"/>
        <v>0</v>
      </c>
      <c r="CG224" s="504"/>
      <c r="CH224" s="504">
        <f t="shared" si="147"/>
        <v>0</v>
      </c>
      <c r="CI224" s="504">
        <f t="shared" si="148"/>
        <v>0</v>
      </c>
      <c r="CJ224" s="504">
        <f t="shared" si="149"/>
        <v>0</v>
      </c>
      <c r="CK224" s="504">
        <f t="shared" si="150"/>
        <v>0</v>
      </c>
      <c r="CL224" s="504">
        <v>0</v>
      </c>
      <c r="CM224" s="504">
        <f t="shared" si="151"/>
        <v>0</v>
      </c>
    </row>
    <row r="225" spans="1:93">
      <c r="A225" s="500"/>
      <c r="B225" s="1423">
        <v>409.01</v>
      </c>
      <c r="C225" s="1424"/>
      <c r="D225" s="1424"/>
      <c r="E225" s="501"/>
      <c r="F225" s="501"/>
      <c r="G225" s="501" t="s">
        <v>481</v>
      </c>
      <c r="H225" s="501"/>
      <c r="I225" s="501"/>
      <c r="J225" s="501"/>
      <c r="K225" s="501"/>
      <c r="L225" s="501"/>
      <c r="M225" s="517"/>
      <c r="N225" s="518"/>
      <c r="O225" s="504"/>
      <c r="P225" s="519"/>
      <c r="Q225" s="506"/>
      <c r="R225" s="506"/>
      <c r="S225" s="504"/>
      <c r="T225" s="507"/>
      <c r="U225" s="508"/>
      <c r="V225" s="508"/>
      <c r="W225" s="508"/>
      <c r="X225" s="508"/>
      <c r="Y225" s="508"/>
      <c r="Z225" s="508"/>
      <c r="AA225" s="508"/>
      <c r="AB225" s="508"/>
      <c r="AC225" s="508"/>
      <c r="AD225" s="508"/>
      <c r="AE225" s="509"/>
      <c r="AF225" s="504">
        <f t="shared" si="142"/>
        <v>0</v>
      </c>
      <c r="AG225" s="510"/>
      <c r="AH225" s="508"/>
      <c r="AI225" s="508"/>
      <c r="AJ225" s="508"/>
      <c r="AK225" s="508"/>
      <c r="AL225" s="549"/>
      <c r="AM225" s="549"/>
      <c r="AN225" s="549"/>
      <c r="AO225" s="508"/>
      <c r="AP225" s="508"/>
      <c r="AQ225" s="508"/>
      <c r="AR225" s="509"/>
      <c r="AS225" s="504">
        <f t="shared" si="143"/>
        <v>0</v>
      </c>
      <c r="AT225" s="510"/>
      <c r="AU225" s="508"/>
      <c r="AV225" s="508"/>
      <c r="AW225" s="508"/>
      <c r="AX225" s="508"/>
      <c r="AY225" s="508"/>
      <c r="AZ225" s="508"/>
      <c r="BA225" s="508"/>
      <c r="BB225" s="508"/>
      <c r="BC225" s="508"/>
      <c r="BD225" s="508"/>
      <c r="BE225" s="509"/>
      <c r="BF225" s="504">
        <f t="shared" si="144"/>
        <v>0</v>
      </c>
      <c r="BG225" s="510"/>
      <c r="BH225" s="508"/>
      <c r="BI225" s="508"/>
      <c r="BJ225" s="508"/>
      <c r="BK225" s="508"/>
      <c r="BL225" s="508"/>
      <c r="BM225" s="508"/>
      <c r="BN225" s="508"/>
      <c r="BO225" s="508"/>
      <c r="BP225" s="508"/>
      <c r="BQ225" s="508"/>
      <c r="BR225" s="509"/>
      <c r="BS225" s="504">
        <f t="shared" si="145"/>
        <v>0</v>
      </c>
      <c r="BT225" s="510"/>
      <c r="BU225" s="508"/>
      <c r="BV225" s="508"/>
      <c r="BW225" s="508"/>
      <c r="BX225" s="508"/>
      <c r="BY225" s="508"/>
      <c r="BZ225" s="508"/>
      <c r="CA225" s="508"/>
      <c r="CB225" s="508"/>
      <c r="CC225" s="508"/>
      <c r="CD225" s="508"/>
      <c r="CE225" s="509"/>
      <c r="CF225" s="504">
        <f t="shared" si="146"/>
        <v>0</v>
      </c>
      <c r="CG225" s="504"/>
      <c r="CH225" s="504">
        <f t="shared" si="147"/>
        <v>0</v>
      </c>
      <c r="CI225" s="504">
        <f t="shared" si="148"/>
        <v>0</v>
      </c>
      <c r="CJ225" s="504">
        <f t="shared" si="149"/>
        <v>0</v>
      </c>
      <c r="CK225" s="504">
        <f t="shared" si="150"/>
        <v>0</v>
      </c>
      <c r="CL225" s="504">
        <v>0</v>
      </c>
      <c r="CM225" s="504">
        <f t="shared" si="151"/>
        <v>0</v>
      </c>
    </row>
    <row r="226" spans="1:93">
      <c r="A226" s="500"/>
      <c r="B226" s="1423">
        <v>409.02</v>
      </c>
      <c r="C226" s="1424"/>
      <c r="D226" s="1424"/>
      <c r="E226" s="501"/>
      <c r="F226" s="501"/>
      <c r="G226" s="501" t="s">
        <v>482</v>
      </c>
      <c r="H226" s="501"/>
      <c r="I226" s="501"/>
      <c r="J226" s="501"/>
      <c r="K226" s="501"/>
      <c r="L226" s="501"/>
      <c r="M226" s="517"/>
      <c r="N226" s="518"/>
      <c r="O226" s="504"/>
      <c r="P226" s="519"/>
      <c r="Q226" s="506">
        <v>2999721.5800196608</v>
      </c>
      <c r="R226" s="506">
        <f>2792386</f>
        <v>2792386</v>
      </c>
      <c r="S226" s="504"/>
      <c r="T226" s="507"/>
      <c r="U226" s="508"/>
      <c r="V226" s="508"/>
      <c r="W226" s="508"/>
      <c r="X226" s="508"/>
      <c r="Y226" s="508"/>
      <c r="Z226" s="508"/>
      <c r="AA226" s="508"/>
      <c r="AB226" s="508"/>
      <c r="AC226" s="508"/>
      <c r="AD226" s="508"/>
      <c r="AE226" s="509"/>
      <c r="AF226" s="504">
        <f t="shared" si="142"/>
        <v>0</v>
      </c>
      <c r="AG226" s="510"/>
      <c r="AH226" s="508"/>
      <c r="AI226" s="508"/>
      <c r="AJ226" s="549">
        <v>0</v>
      </c>
      <c r="AK226" s="549">
        <f>12090.9+71344.51</f>
        <v>83435.409999999989</v>
      </c>
      <c r="AL226" s="549">
        <v>117241.47</v>
      </c>
      <c r="AM226" s="549">
        <v>87911</v>
      </c>
      <c r="AN226" s="549">
        <v>124420.08</v>
      </c>
      <c r="AO226" s="549">
        <f>134740.1+112767.55</f>
        <v>247507.65000000002</v>
      </c>
      <c r="AP226" s="549"/>
      <c r="AQ226" s="549">
        <v>154468.07</v>
      </c>
      <c r="AR226" s="550">
        <v>228314.73</v>
      </c>
      <c r="AS226" s="504">
        <f t="shared" si="143"/>
        <v>1043298.4100000001</v>
      </c>
      <c r="AT226" s="548">
        <v>180351.05</v>
      </c>
      <c r="AU226" s="549">
        <v>213216.65</v>
      </c>
      <c r="AV226" s="549">
        <v>264477.962</v>
      </c>
      <c r="AW226" s="549">
        <f>(+AW185)*0.082+130250.93</f>
        <v>142013.82999999999</v>
      </c>
      <c r="AX226" s="549">
        <f>(+AX118-AX120-AX121+AX185)*0.082</f>
        <v>85021.453999999998</v>
      </c>
      <c r="AY226" s="549">
        <v>124644.67</v>
      </c>
      <c r="AZ226" s="549">
        <f>(+AZ118-AZ120-AZ121+AZ185)*0.082+381.55</f>
        <v>223211.05190000002</v>
      </c>
      <c r="BA226" s="549">
        <v>210143.36800000002</v>
      </c>
      <c r="BB226" s="549">
        <v>82284.38</v>
      </c>
      <c r="BC226" s="549">
        <v>187826.53</v>
      </c>
      <c r="BD226" s="549">
        <v>125956.04</v>
      </c>
      <c r="BE226" s="550">
        <v>76022.86</v>
      </c>
      <c r="BF226" s="504">
        <f t="shared" si="144"/>
        <v>1915169.8459000001</v>
      </c>
      <c r="BG226" s="548">
        <v>29763.32</v>
      </c>
      <c r="BH226" s="549">
        <v>77015.56</v>
      </c>
      <c r="BI226" s="549">
        <v>23719.57</v>
      </c>
      <c r="BJ226" s="508"/>
      <c r="BK226" s="508">
        <f>(+BK118-BK120-BK121+BK185+BK182-BK159)*0.078</f>
        <v>0</v>
      </c>
      <c r="BL226" s="508"/>
      <c r="BM226" s="508"/>
      <c r="BN226" s="508"/>
      <c r="BO226" s="508"/>
      <c r="BP226" s="508"/>
      <c r="BQ226" s="508"/>
      <c r="BR226" s="509"/>
      <c r="BS226" s="504">
        <f t="shared" si="145"/>
        <v>130498.45000000001</v>
      </c>
      <c r="BT226" s="510"/>
      <c r="BU226" s="508"/>
      <c r="BV226" s="508"/>
      <c r="BW226" s="508"/>
      <c r="BX226" s="508"/>
      <c r="BY226" s="508"/>
      <c r="BZ226" s="508"/>
      <c r="CA226" s="508"/>
      <c r="CB226" s="508"/>
      <c r="CC226" s="508"/>
      <c r="CD226" s="508"/>
      <c r="CE226" s="509"/>
      <c r="CF226" s="504">
        <f t="shared" si="146"/>
        <v>0</v>
      </c>
      <c r="CG226" s="504"/>
      <c r="CH226" s="504">
        <f t="shared" si="147"/>
        <v>3088966.705899999</v>
      </c>
      <c r="CI226" s="504">
        <f t="shared" si="148"/>
        <v>0</v>
      </c>
      <c r="CJ226" s="559">
        <f t="shared" si="149"/>
        <v>3088966.705899999</v>
      </c>
      <c r="CK226" s="559">
        <f t="shared" si="150"/>
        <v>296580.70589999901</v>
      </c>
      <c r="CL226" s="559">
        <v>3088966.705899999</v>
      </c>
      <c r="CM226" s="559">
        <f t="shared" si="151"/>
        <v>0</v>
      </c>
      <c r="CN226" s="439">
        <f>+CJ118*0.082</f>
        <v>3062904.5578833329</v>
      </c>
      <c r="CO226" s="439">
        <f>+CN226-CJ226</f>
        <v>-26062.148016666062</v>
      </c>
    </row>
    <row r="227" spans="1:93">
      <c r="A227" s="500"/>
      <c r="B227" s="1423"/>
      <c r="C227" s="1424"/>
      <c r="D227" s="1424"/>
      <c r="E227" s="501"/>
      <c r="F227" s="501"/>
      <c r="G227" s="501"/>
      <c r="H227" s="501" t="s">
        <v>483</v>
      </c>
      <c r="I227" s="501"/>
      <c r="J227" s="501"/>
      <c r="K227" s="501"/>
      <c r="L227" s="501"/>
      <c r="M227" s="517"/>
      <c r="N227" s="518"/>
      <c r="O227" s="504"/>
      <c r="P227" s="519"/>
      <c r="Q227" s="506"/>
      <c r="R227" s="506"/>
      <c r="S227" s="504"/>
      <c r="T227" s="507"/>
      <c r="U227" s="508"/>
      <c r="V227" s="508"/>
      <c r="W227" s="508"/>
      <c r="X227" s="508"/>
      <c r="Y227" s="508"/>
      <c r="Z227" s="508"/>
      <c r="AA227" s="508"/>
      <c r="AB227" s="508"/>
      <c r="AC227" s="508"/>
      <c r="AD227" s="508"/>
      <c r="AE227" s="509"/>
      <c r="AF227" s="504">
        <f t="shared" si="142"/>
        <v>0</v>
      </c>
      <c r="AG227" s="510"/>
      <c r="AH227" s="508"/>
      <c r="AI227" s="508"/>
      <c r="AJ227" s="508"/>
      <c r="AK227" s="508"/>
      <c r="AL227" s="549"/>
      <c r="AM227" s="549"/>
      <c r="AN227" s="549"/>
      <c r="AO227" s="508"/>
      <c r="AP227" s="508"/>
      <c r="AQ227" s="508"/>
      <c r="AR227" s="509"/>
      <c r="AS227" s="504">
        <f t="shared" si="143"/>
        <v>0</v>
      </c>
      <c r="AT227" s="510"/>
      <c r="AU227" s="508"/>
      <c r="AV227" s="508"/>
      <c r="AW227" s="508">
        <f>+AW185*0.013</f>
        <v>1864.85</v>
      </c>
      <c r="AX227" s="549"/>
      <c r="AY227" s="549"/>
      <c r="AZ227" s="549">
        <f>+AZ187*0.013</f>
        <v>2899</v>
      </c>
      <c r="BA227" s="508"/>
      <c r="BB227" s="508"/>
      <c r="BC227" s="549"/>
      <c r="BD227" s="549"/>
      <c r="BE227" s="509"/>
      <c r="BF227" s="504">
        <f t="shared" si="144"/>
        <v>4763.8500000000004</v>
      </c>
      <c r="BG227" s="510"/>
      <c r="BH227" s="508"/>
      <c r="BI227" s="508"/>
      <c r="BJ227" s="508"/>
      <c r="BK227" s="508"/>
      <c r="BL227" s="508"/>
      <c r="BM227" s="508"/>
      <c r="BN227" s="508"/>
      <c r="BO227" s="508"/>
      <c r="BP227" s="508"/>
      <c r="BQ227" s="508"/>
      <c r="BR227" s="509"/>
      <c r="BS227" s="504">
        <f t="shared" si="145"/>
        <v>0</v>
      </c>
      <c r="BT227" s="510"/>
      <c r="BU227" s="508"/>
      <c r="BV227" s="508"/>
      <c r="BW227" s="508"/>
      <c r="BX227" s="508"/>
      <c r="BY227" s="508"/>
      <c r="BZ227" s="508"/>
      <c r="CA227" s="508"/>
      <c r="CB227" s="508"/>
      <c r="CC227" s="508"/>
      <c r="CD227" s="508"/>
      <c r="CE227" s="509"/>
      <c r="CF227" s="504">
        <f t="shared" si="146"/>
        <v>0</v>
      </c>
      <c r="CG227" s="504"/>
      <c r="CH227" s="504">
        <f t="shared" si="147"/>
        <v>4763.8500000000004</v>
      </c>
      <c r="CI227" s="504">
        <f t="shared" si="148"/>
        <v>0</v>
      </c>
      <c r="CJ227" s="504">
        <f t="shared" si="149"/>
        <v>4763.8500000000004</v>
      </c>
      <c r="CK227" s="504">
        <f t="shared" si="150"/>
        <v>4763.8500000000004</v>
      </c>
      <c r="CL227" s="504">
        <v>4763.8500000000004</v>
      </c>
      <c r="CM227" s="504">
        <f t="shared" si="151"/>
        <v>0</v>
      </c>
    </row>
    <row r="228" spans="1:93">
      <c r="A228" s="500"/>
      <c r="B228" s="1423">
        <v>409.03</v>
      </c>
      <c r="C228" s="1424"/>
      <c r="D228" s="1424"/>
      <c r="E228" s="501"/>
      <c r="F228" s="501"/>
      <c r="G228" s="501" t="s">
        <v>484</v>
      </c>
      <c r="H228" s="501"/>
      <c r="I228" s="501"/>
      <c r="J228" s="501"/>
      <c r="K228" s="501"/>
      <c r="L228" s="501"/>
      <c r="M228" s="517"/>
      <c r="N228" s="518"/>
      <c r="O228" s="504"/>
      <c r="P228" s="519"/>
      <c r="Q228" s="506">
        <v>0</v>
      </c>
      <c r="R228" s="506">
        <v>0</v>
      </c>
      <c r="S228" s="504"/>
      <c r="T228" s="507"/>
      <c r="U228" s="508"/>
      <c r="V228" s="508"/>
      <c r="W228" s="508"/>
      <c r="X228" s="508"/>
      <c r="Y228" s="508"/>
      <c r="Z228" s="508"/>
      <c r="AA228" s="508"/>
      <c r="AB228" s="508"/>
      <c r="AC228" s="508"/>
      <c r="AD228" s="508"/>
      <c r="AE228" s="509"/>
      <c r="AF228" s="504">
        <f t="shared" si="142"/>
        <v>0</v>
      </c>
      <c r="AG228" s="510"/>
      <c r="AH228" s="508"/>
      <c r="AI228" s="508"/>
      <c r="AJ228" s="508"/>
      <c r="AK228" s="508"/>
      <c r="AL228" s="549"/>
      <c r="AM228" s="549"/>
      <c r="AN228" s="508"/>
      <c r="AO228" s="508"/>
      <c r="AP228" s="508"/>
      <c r="AQ228" s="508"/>
      <c r="AR228" s="509"/>
      <c r="AS228" s="504">
        <f t="shared" si="143"/>
        <v>0</v>
      </c>
      <c r="AT228" s="510"/>
      <c r="AU228" s="508"/>
      <c r="AV228" s="508"/>
      <c r="AW228" s="508"/>
      <c r="AX228" s="508"/>
      <c r="AY228" s="508"/>
      <c r="AZ228" s="508"/>
      <c r="BA228" s="508"/>
      <c r="BB228" s="508"/>
      <c r="BC228" s="508"/>
      <c r="BD228" s="508"/>
      <c r="BE228" s="509"/>
      <c r="BF228" s="504">
        <f t="shared" si="144"/>
        <v>0</v>
      </c>
      <c r="BG228" s="510"/>
      <c r="BH228" s="508"/>
      <c r="BI228" s="508"/>
      <c r="BJ228" s="508"/>
      <c r="BK228" s="508"/>
      <c r="BL228" s="508"/>
      <c r="BM228" s="508"/>
      <c r="BN228" s="508"/>
      <c r="BO228" s="508"/>
      <c r="BP228" s="508"/>
      <c r="BQ228" s="508"/>
      <c r="BR228" s="509"/>
      <c r="BS228" s="504">
        <f t="shared" si="145"/>
        <v>0</v>
      </c>
      <c r="BT228" s="510"/>
      <c r="BU228" s="508"/>
      <c r="BV228" s="508"/>
      <c r="BW228" s="508"/>
      <c r="BX228" s="508"/>
      <c r="BY228" s="508"/>
      <c r="BZ228" s="508"/>
      <c r="CA228" s="508"/>
      <c r="CB228" s="508"/>
      <c r="CC228" s="508"/>
      <c r="CD228" s="508"/>
      <c r="CE228" s="509"/>
      <c r="CF228" s="504">
        <f t="shared" si="146"/>
        <v>0</v>
      </c>
      <c r="CG228" s="504"/>
      <c r="CH228" s="504">
        <f t="shared" si="147"/>
        <v>0</v>
      </c>
      <c r="CI228" s="504">
        <f t="shared" si="148"/>
        <v>0</v>
      </c>
      <c r="CJ228" s="504">
        <f t="shared" si="149"/>
        <v>0</v>
      </c>
      <c r="CK228" s="504">
        <f t="shared" si="150"/>
        <v>0</v>
      </c>
      <c r="CL228" s="504">
        <f>+CK228-S228</f>
        <v>0</v>
      </c>
      <c r="CM228" s="504">
        <f t="shared" si="151"/>
        <v>0</v>
      </c>
    </row>
    <row r="229" spans="1:93">
      <c r="A229" s="500"/>
      <c r="B229" s="526"/>
      <c r="C229" s="516"/>
      <c r="D229" s="516"/>
      <c r="E229" s="516"/>
      <c r="F229" s="516"/>
      <c r="G229" s="501"/>
      <c r="H229" s="501"/>
      <c r="I229" s="501"/>
      <c r="J229" s="501"/>
      <c r="K229" s="501"/>
      <c r="L229" s="501"/>
      <c r="M229" s="517"/>
      <c r="N229" s="518"/>
      <c r="O229" s="504"/>
      <c r="P229" s="519"/>
      <c r="Q229" s="506">
        <v>0</v>
      </c>
      <c r="R229" s="506">
        <v>0</v>
      </c>
      <c r="S229" s="504"/>
      <c r="T229" s="507"/>
      <c r="U229" s="508"/>
      <c r="V229" s="508"/>
      <c r="W229" s="508"/>
      <c r="X229" s="508"/>
      <c r="Y229" s="508"/>
      <c r="Z229" s="508"/>
      <c r="AA229" s="508"/>
      <c r="AB229" s="508"/>
      <c r="AC229" s="508"/>
      <c r="AD229" s="508"/>
      <c r="AE229" s="509"/>
      <c r="AF229" s="504">
        <f t="shared" si="142"/>
        <v>0</v>
      </c>
      <c r="AG229" s="510"/>
      <c r="AH229" s="508"/>
      <c r="AI229" s="508"/>
      <c r="AJ229" s="508"/>
      <c r="AK229" s="508"/>
      <c r="AL229" s="508"/>
      <c r="AM229" s="508"/>
      <c r="AN229" s="508"/>
      <c r="AO229" s="508"/>
      <c r="AP229" s="508"/>
      <c r="AQ229" s="508"/>
      <c r="AR229" s="509"/>
      <c r="AS229" s="504">
        <f t="shared" si="143"/>
        <v>0</v>
      </c>
      <c r="AT229" s="510"/>
      <c r="AU229" s="508"/>
      <c r="AV229" s="508"/>
      <c r="AW229" s="508"/>
      <c r="AX229" s="508"/>
      <c r="AY229" s="508"/>
      <c r="AZ229" s="508"/>
      <c r="BA229" s="508"/>
      <c r="BB229" s="508"/>
      <c r="BC229" s="508"/>
      <c r="BD229" s="508"/>
      <c r="BE229" s="509"/>
      <c r="BF229" s="504">
        <f t="shared" si="144"/>
        <v>0</v>
      </c>
      <c r="BG229" s="510"/>
      <c r="BH229" s="508"/>
      <c r="BI229" s="508"/>
      <c r="BJ229" s="508"/>
      <c r="BK229" s="508"/>
      <c r="BL229" s="508"/>
      <c r="BM229" s="508"/>
      <c r="BN229" s="508"/>
      <c r="BO229" s="508"/>
      <c r="BP229" s="508"/>
      <c r="BQ229" s="508"/>
      <c r="BR229" s="509"/>
      <c r="BS229" s="504">
        <f t="shared" si="145"/>
        <v>0</v>
      </c>
      <c r="BT229" s="510"/>
      <c r="BU229" s="508"/>
      <c r="BV229" s="508"/>
      <c r="BW229" s="508"/>
      <c r="BX229" s="508"/>
      <c r="BY229" s="508"/>
      <c r="BZ229" s="508"/>
      <c r="CA229" s="508"/>
      <c r="CB229" s="508"/>
      <c r="CC229" s="508"/>
      <c r="CD229" s="508"/>
      <c r="CE229" s="509"/>
      <c r="CF229" s="504">
        <f t="shared" si="146"/>
        <v>0</v>
      </c>
      <c r="CG229" s="504"/>
      <c r="CH229" s="504">
        <f t="shared" si="147"/>
        <v>0</v>
      </c>
      <c r="CI229" s="504">
        <f t="shared" si="148"/>
        <v>0</v>
      </c>
      <c r="CJ229" s="504">
        <f t="shared" si="149"/>
        <v>0</v>
      </c>
      <c r="CK229" s="504">
        <f t="shared" si="150"/>
        <v>0</v>
      </c>
      <c r="CL229" s="504">
        <f>+CK229-S229</f>
        <v>0</v>
      </c>
      <c r="CM229" s="504">
        <f t="shared" si="151"/>
        <v>0</v>
      </c>
    </row>
    <row r="230" spans="1:93">
      <c r="A230" s="481" t="s">
        <v>485</v>
      </c>
      <c r="B230" s="1430">
        <v>200</v>
      </c>
      <c r="C230" s="1431"/>
      <c r="D230" s="1431"/>
      <c r="E230" s="1432"/>
      <c r="F230" s="527"/>
      <c r="G230" s="482" t="s">
        <v>486</v>
      </c>
      <c r="H230" s="482"/>
      <c r="I230" s="482"/>
      <c r="J230" s="482"/>
      <c r="K230" s="482"/>
      <c r="L230" s="482"/>
      <c r="M230" s="484"/>
      <c r="N230" s="485"/>
      <c r="O230" s="486"/>
      <c r="P230" s="487"/>
      <c r="Q230" s="528">
        <f t="shared" ref="Q230:AV230" si="152">SUBTOTAL(9,Q231:Q238)</f>
        <v>0</v>
      </c>
      <c r="R230" s="528">
        <f t="shared" si="152"/>
        <v>0</v>
      </c>
      <c r="S230" s="529">
        <f t="shared" si="152"/>
        <v>0</v>
      </c>
      <c r="T230" s="530">
        <f t="shared" si="152"/>
        <v>0</v>
      </c>
      <c r="U230" s="531">
        <f t="shared" si="152"/>
        <v>0</v>
      </c>
      <c r="V230" s="531">
        <f t="shared" si="152"/>
        <v>0</v>
      </c>
      <c r="W230" s="531">
        <f t="shared" si="152"/>
        <v>0</v>
      </c>
      <c r="X230" s="531">
        <f t="shared" si="152"/>
        <v>0</v>
      </c>
      <c r="Y230" s="531">
        <f t="shared" si="152"/>
        <v>0</v>
      </c>
      <c r="Z230" s="531">
        <f t="shared" si="152"/>
        <v>0</v>
      </c>
      <c r="AA230" s="531">
        <f t="shared" si="152"/>
        <v>0</v>
      </c>
      <c r="AB230" s="531">
        <f t="shared" si="152"/>
        <v>0</v>
      </c>
      <c r="AC230" s="531">
        <f t="shared" si="152"/>
        <v>0</v>
      </c>
      <c r="AD230" s="531">
        <f t="shared" si="152"/>
        <v>0</v>
      </c>
      <c r="AE230" s="532">
        <f t="shared" si="152"/>
        <v>0</v>
      </c>
      <c r="AF230" s="529">
        <f t="shared" si="152"/>
        <v>0</v>
      </c>
      <c r="AG230" s="533">
        <f t="shared" si="152"/>
        <v>0</v>
      </c>
      <c r="AH230" s="531">
        <f t="shared" si="152"/>
        <v>0</v>
      </c>
      <c r="AI230" s="531">
        <f t="shared" si="152"/>
        <v>0</v>
      </c>
      <c r="AJ230" s="531">
        <f t="shared" si="152"/>
        <v>0</v>
      </c>
      <c r="AK230" s="531">
        <f t="shared" si="152"/>
        <v>0</v>
      </c>
      <c r="AL230" s="531">
        <f t="shared" si="152"/>
        <v>0</v>
      </c>
      <c r="AM230" s="531">
        <f t="shared" si="152"/>
        <v>0</v>
      </c>
      <c r="AN230" s="531">
        <f t="shared" si="152"/>
        <v>0</v>
      </c>
      <c r="AO230" s="531">
        <f t="shared" si="152"/>
        <v>0</v>
      </c>
      <c r="AP230" s="531">
        <f t="shared" si="152"/>
        <v>0</v>
      </c>
      <c r="AQ230" s="531">
        <f t="shared" si="152"/>
        <v>0</v>
      </c>
      <c r="AR230" s="532">
        <f t="shared" si="152"/>
        <v>0</v>
      </c>
      <c r="AS230" s="529">
        <f t="shared" si="152"/>
        <v>0</v>
      </c>
      <c r="AT230" s="533">
        <f t="shared" si="152"/>
        <v>0</v>
      </c>
      <c r="AU230" s="531">
        <f t="shared" si="152"/>
        <v>0</v>
      </c>
      <c r="AV230" s="531">
        <f t="shared" si="152"/>
        <v>0</v>
      </c>
      <c r="AW230" s="531">
        <f t="shared" ref="AW230:CB230" si="153">SUBTOTAL(9,AW231:AW238)</f>
        <v>0</v>
      </c>
      <c r="AX230" s="531">
        <f t="shared" si="153"/>
        <v>0</v>
      </c>
      <c r="AY230" s="531">
        <f t="shared" si="153"/>
        <v>0</v>
      </c>
      <c r="AZ230" s="531">
        <f t="shared" si="153"/>
        <v>0</v>
      </c>
      <c r="BA230" s="531">
        <f t="shared" si="153"/>
        <v>0</v>
      </c>
      <c r="BB230" s="531">
        <f t="shared" si="153"/>
        <v>0</v>
      </c>
      <c r="BC230" s="531">
        <f t="shared" si="153"/>
        <v>0</v>
      </c>
      <c r="BD230" s="531">
        <f t="shared" si="153"/>
        <v>0</v>
      </c>
      <c r="BE230" s="532">
        <f t="shared" si="153"/>
        <v>0</v>
      </c>
      <c r="BF230" s="529">
        <f t="shared" si="153"/>
        <v>0</v>
      </c>
      <c r="BG230" s="533">
        <f t="shared" si="153"/>
        <v>0</v>
      </c>
      <c r="BH230" s="531">
        <f t="shared" si="153"/>
        <v>0</v>
      </c>
      <c r="BI230" s="531">
        <f t="shared" si="153"/>
        <v>0</v>
      </c>
      <c r="BJ230" s="531">
        <f t="shared" si="153"/>
        <v>0</v>
      </c>
      <c r="BK230" s="531">
        <f t="shared" si="153"/>
        <v>0</v>
      </c>
      <c r="BL230" s="531">
        <f t="shared" si="153"/>
        <v>0</v>
      </c>
      <c r="BM230" s="531">
        <f t="shared" si="153"/>
        <v>0</v>
      </c>
      <c r="BN230" s="531">
        <f t="shared" si="153"/>
        <v>0</v>
      </c>
      <c r="BO230" s="531">
        <f t="shared" si="153"/>
        <v>0</v>
      </c>
      <c r="BP230" s="531">
        <f t="shared" si="153"/>
        <v>0</v>
      </c>
      <c r="BQ230" s="531">
        <f t="shared" si="153"/>
        <v>0</v>
      </c>
      <c r="BR230" s="532">
        <f t="shared" si="153"/>
        <v>0</v>
      </c>
      <c r="BS230" s="529">
        <f t="shared" si="153"/>
        <v>0</v>
      </c>
      <c r="BT230" s="533">
        <f t="shared" si="153"/>
        <v>0</v>
      </c>
      <c r="BU230" s="531">
        <f t="shared" si="153"/>
        <v>0</v>
      </c>
      <c r="BV230" s="531">
        <f t="shared" si="153"/>
        <v>0</v>
      </c>
      <c r="BW230" s="531">
        <f t="shared" si="153"/>
        <v>0</v>
      </c>
      <c r="BX230" s="531">
        <f t="shared" si="153"/>
        <v>0</v>
      </c>
      <c r="BY230" s="531">
        <f t="shared" si="153"/>
        <v>0</v>
      </c>
      <c r="BZ230" s="531">
        <f t="shared" si="153"/>
        <v>0</v>
      </c>
      <c r="CA230" s="531">
        <f t="shared" si="153"/>
        <v>0</v>
      </c>
      <c r="CB230" s="531">
        <f t="shared" si="153"/>
        <v>0</v>
      </c>
      <c r="CC230" s="531">
        <f t="shared" ref="CC230:CM230" si="154">SUBTOTAL(9,CC231:CC238)</f>
        <v>0</v>
      </c>
      <c r="CD230" s="531">
        <f t="shared" si="154"/>
        <v>0</v>
      </c>
      <c r="CE230" s="532">
        <f t="shared" si="154"/>
        <v>0</v>
      </c>
      <c r="CF230" s="529">
        <f t="shared" si="154"/>
        <v>0</v>
      </c>
      <c r="CG230" s="529">
        <f t="shared" si="154"/>
        <v>0</v>
      </c>
      <c r="CH230" s="529">
        <f t="shared" si="154"/>
        <v>0</v>
      </c>
      <c r="CI230" s="529">
        <f t="shared" si="154"/>
        <v>0</v>
      </c>
      <c r="CJ230" s="529">
        <f t="shared" si="154"/>
        <v>0</v>
      </c>
      <c r="CK230" s="529">
        <f t="shared" si="154"/>
        <v>0</v>
      </c>
      <c r="CL230" s="529">
        <f t="shared" si="154"/>
        <v>0</v>
      </c>
      <c r="CM230" s="529">
        <f t="shared" si="154"/>
        <v>0</v>
      </c>
    </row>
    <row r="231" spans="1:93" outlineLevel="1">
      <c r="A231" s="500"/>
      <c r="B231" s="526">
        <v>201</v>
      </c>
      <c r="C231" s="501"/>
      <c r="D231" s="501"/>
      <c r="E231" s="501"/>
      <c r="F231" s="501"/>
      <c r="G231" s="525" t="s">
        <v>487</v>
      </c>
      <c r="H231" s="525"/>
      <c r="I231" s="525"/>
      <c r="J231" s="501"/>
      <c r="K231" s="501"/>
      <c r="L231" s="501"/>
      <c r="M231" s="517"/>
      <c r="N231" s="518"/>
      <c r="O231" s="504"/>
      <c r="P231" s="519"/>
      <c r="Q231" s="506">
        <v>0</v>
      </c>
      <c r="R231" s="506">
        <v>0</v>
      </c>
      <c r="S231" s="504"/>
      <c r="T231" s="507"/>
      <c r="U231" s="508"/>
      <c r="V231" s="508"/>
      <c r="W231" s="508"/>
      <c r="X231" s="508"/>
      <c r="Y231" s="508"/>
      <c r="Z231" s="508"/>
      <c r="AA231" s="508"/>
      <c r="AB231" s="508"/>
      <c r="AC231" s="508"/>
      <c r="AD231" s="508"/>
      <c r="AE231" s="509"/>
      <c r="AF231" s="504">
        <f t="shared" ref="AF231:AF238" si="155">SUM(T231:AE231)</f>
        <v>0</v>
      </c>
      <c r="AG231" s="510"/>
      <c r="AH231" s="508"/>
      <c r="AI231" s="508"/>
      <c r="AJ231" s="508"/>
      <c r="AK231" s="508"/>
      <c r="AL231" s="508"/>
      <c r="AM231" s="508"/>
      <c r="AN231" s="508"/>
      <c r="AO231" s="508"/>
      <c r="AP231" s="508"/>
      <c r="AQ231" s="508"/>
      <c r="AR231" s="509"/>
      <c r="AS231" s="504">
        <f t="shared" ref="AS231:AS238" si="156">SUM(AG231:AR231)</f>
        <v>0</v>
      </c>
      <c r="AT231" s="510"/>
      <c r="AU231" s="508"/>
      <c r="AV231" s="508"/>
      <c r="AW231" s="508"/>
      <c r="AX231" s="508"/>
      <c r="AY231" s="508"/>
      <c r="AZ231" s="508"/>
      <c r="BA231" s="508"/>
      <c r="BB231" s="508"/>
      <c r="BC231" s="508"/>
      <c r="BD231" s="508"/>
      <c r="BE231" s="509"/>
      <c r="BF231" s="504">
        <f t="shared" ref="BF231:BF238" si="157">SUM(AT231:BE231)</f>
        <v>0</v>
      </c>
      <c r="BG231" s="510"/>
      <c r="BH231" s="508"/>
      <c r="BI231" s="508"/>
      <c r="BJ231" s="508"/>
      <c r="BK231" s="508"/>
      <c r="BL231" s="508"/>
      <c r="BM231" s="508"/>
      <c r="BN231" s="508"/>
      <c r="BO231" s="508"/>
      <c r="BP231" s="508"/>
      <c r="BQ231" s="508"/>
      <c r="BR231" s="509"/>
      <c r="BS231" s="504">
        <f t="shared" ref="BS231:BS238" si="158">SUM(BG231:BR231)</f>
        <v>0</v>
      </c>
      <c r="BT231" s="510"/>
      <c r="BU231" s="508"/>
      <c r="BV231" s="508"/>
      <c r="BW231" s="508"/>
      <c r="BX231" s="508"/>
      <c r="BY231" s="508"/>
      <c r="BZ231" s="508"/>
      <c r="CA231" s="508"/>
      <c r="CB231" s="508"/>
      <c r="CC231" s="508"/>
      <c r="CD231" s="508"/>
      <c r="CE231" s="509"/>
      <c r="CF231" s="504">
        <f t="shared" ref="CF231:CF238" si="159">SUM(BT231:CE231)</f>
        <v>0</v>
      </c>
      <c r="CG231" s="504"/>
      <c r="CH231" s="504">
        <f t="shared" ref="CH231:CH238" si="160">SUMIF(($S$5:$CG$5),"Actual",(S231:CG231))</f>
        <v>0</v>
      </c>
      <c r="CI231" s="504">
        <f t="shared" ref="CI231:CI238" si="161">SUMIF(($S$5:$CG$5),"Forecast",(S231:CG231))</f>
        <v>0</v>
      </c>
      <c r="CJ231" s="504">
        <f t="shared" ref="CJ231:CJ238" si="162">+CH231+CI231</f>
        <v>0</v>
      </c>
      <c r="CK231" s="504">
        <f t="shared" ref="CK231:CK238" si="163">+CJ231-R231</f>
        <v>0</v>
      </c>
      <c r="CL231" s="504">
        <v>0</v>
      </c>
      <c r="CM231" s="504">
        <f t="shared" ref="CM231:CM238" si="164">+CJ231-CL231</f>
        <v>0</v>
      </c>
    </row>
    <row r="232" spans="1:93" outlineLevel="1">
      <c r="A232" s="500"/>
      <c r="B232" s="526">
        <v>202</v>
      </c>
      <c r="C232" s="501"/>
      <c r="D232" s="501"/>
      <c r="E232" s="501"/>
      <c r="F232" s="501"/>
      <c r="G232" s="525" t="s">
        <v>488</v>
      </c>
      <c r="H232" s="525"/>
      <c r="I232" s="525"/>
      <c r="J232" s="501"/>
      <c r="K232" s="501"/>
      <c r="L232" s="501"/>
      <c r="M232" s="517"/>
      <c r="N232" s="518"/>
      <c r="O232" s="504"/>
      <c r="P232" s="519"/>
      <c r="Q232" s="506">
        <v>0</v>
      </c>
      <c r="R232" s="506">
        <v>0</v>
      </c>
      <c r="S232" s="504"/>
      <c r="T232" s="507"/>
      <c r="U232" s="508"/>
      <c r="V232" s="508"/>
      <c r="W232" s="508"/>
      <c r="X232" s="508"/>
      <c r="Y232" s="508"/>
      <c r="Z232" s="508"/>
      <c r="AA232" s="508"/>
      <c r="AB232" s="508"/>
      <c r="AC232" s="508"/>
      <c r="AD232" s="508"/>
      <c r="AE232" s="509"/>
      <c r="AF232" s="504">
        <f t="shared" si="155"/>
        <v>0</v>
      </c>
      <c r="AG232" s="510"/>
      <c r="AH232" s="508"/>
      <c r="AI232" s="508"/>
      <c r="AJ232" s="508"/>
      <c r="AK232" s="508"/>
      <c r="AL232" s="508"/>
      <c r="AM232" s="508"/>
      <c r="AN232" s="508"/>
      <c r="AO232" s="508"/>
      <c r="AP232" s="508"/>
      <c r="AQ232" s="508"/>
      <c r="AR232" s="509"/>
      <c r="AS232" s="504">
        <f t="shared" si="156"/>
        <v>0</v>
      </c>
      <c r="AT232" s="510"/>
      <c r="AU232" s="508"/>
      <c r="AV232" s="508"/>
      <c r="AW232" s="508"/>
      <c r="AX232" s="508"/>
      <c r="AY232" s="508"/>
      <c r="AZ232" s="508"/>
      <c r="BA232" s="508"/>
      <c r="BB232" s="508"/>
      <c r="BC232" s="508"/>
      <c r="BD232" s="508"/>
      <c r="BE232" s="509"/>
      <c r="BF232" s="504">
        <f t="shared" si="157"/>
        <v>0</v>
      </c>
      <c r="BG232" s="510"/>
      <c r="BH232" s="508"/>
      <c r="BI232" s="508"/>
      <c r="BJ232" s="508"/>
      <c r="BK232" s="508"/>
      <c r="BL232" s="508"/>
      <c r="BM232" s="508"/>
      <c r="BN232" s="508"/>
      <c r="BO232" s="508"/>
      <c r="BP232" s="508"/>
      <c r="BQ232" s="508"/>
      <c r="BR232" s="509"/>
      <c r="BS232" s="504">
        <f t="shared" si="158"/>
        <v>0</v>
      </c>
      <c r="BT232" s="510"/>
      <c r="BU232" s="508"/>
      <c r="BV232" s="508"/>
      <c r="BW232" s="508"/>
      <c r="BX232" s="508"/>
      <c r="BY232" s="508"/>
      <c r="BZ232" s="508"/>
      <c r="CA232" s="508"/>
      <c r="CB232" s="508"/>
      <c r="CC232" s="508"/>
      <c r="CD232" s="508"/>
      <c r="CE232" s="509"/>
      <c r="CF232" s="504">
        <f t="shared" si="159"/>
        <v>0</v>
      </c>
      <c r="CG232" s="504"/>
      <c r="CH232" s="504">
        <f t="shared" si="160"/>
        <v>0</v>
      </c>
      <c r="CI232" s="504">
        <f t="shared" si="161"/>
        <v>0</v>
      </c>
      <c r="CJ232" s="504">
        <f t="shared" si="162"/>
        <v>0</v>
      </c>
      <c r="CK232" s="504">
        <f t="shared" si="163"/>
        <v>0</v>
      </c>
      <c r="CL232" s="504">
        <v>0</v>
      </c>
      <c r="CM232" s="504">
        <f t="shared" si="164"/>
        <v>0</v>
      </c>
    </row>
    <row r="233" spans="1:93" outlineLevel="1">
      <c r="A233" s="500"/>
      <c r="B233" s="526"/>
      <c r="C233" s="526"/>
      <c r="D233" s="526"/>
      <c r="E233" s="526"/>
      <c r="F233" s="501"/>
      <c r="G233" s="501"/>
      <c r="H233" s="501"/>
      <c r="I233" s="501"/>
      <c r="J233" s="501"/>
      <c r="K233" s="501"/>
      <c r="L233" s="501"/>
      <c r="M233" s="517"/>
      <c r="N233" s="518"/>
      <c r="O233" s="504"/>
      <c r="P233" s="519"/>
      <c r="Q233" s="506">
        <v>0</v>
      </c>
      <c r="R233" s="506">
        <v>0</v>
      </c>
      <c r="S233" s="504"/>
      <c r="T233" s="507"/>
      <c r="U233" s="508"/>
      <c r="V233" s="508"/>
      <c r="W233" s="508"/>
      <c r="X233" s="508"/>
      <c r="Y233" s="508"/>
      <c r="Z233" s="508"/>
      <c r="AA233" s="508"/>
      <c r="AB233" s="508"/>
      <c r="AC233" s="508"/>
      <c r="AD233" s="508"/>
      <c r="AE233" s="509"/>
      <c r="AF233" s="504">
        <f t="shared" si="155"/>
        <v>0</v>
      </c>
      <c r="AG233" s="510"/>
      <c r="AH233" s="508"/>
      <c r="AI233" s="508"/>
      <c r="AJ233" s="508"/>
      <c r="AK233" s="508"/>
      <c r="AL233" s="508"/>
      <c r="AM233" s="508"/>
      <c r="AN233" s="508"/>
      <c r="AO233" s="508"/>
      <c r="AP233" s="508"/>
      <c r="AQ233" s="508"/>
      <c r="AR233" s="509"/>
      <c r="AS233" s="559">
        <f t="shared" si="156"/>
        <v>0</v>
      </c>
      <c r="AT233" s="510"/>
      <c r="AU233" s="508"/>
      <c r="AV233" s="508"/>
      <c r="AW233" s="508"/>
      <c r="AX233" s="508"/>
      <c r="AY233" s="508"/>
      <c r="AZ233" s="508"/>
      <c r="BA233" s="508"/>
      <c r="BB233" s="508"/>
      <c r="BC233" s="508"/>
      <c r="BD233" s="508"/>
      <c r="BE233" s="509"/>
      <c r="BF233" s="504">
        <f t="shared" si="157"/>
        <v>0</v>
      </c>
      <c r="BG233" s="510"/>
      <c r="BH233" s="508"/>
      <c r="BI233" s="508"/>
      <c r="BJ233" s="508"/>
      <c r="BK233" s="508"/>
      <c r="BL233" s="508"/>
      <c r="BM233" s="508"/>
      <c r="BN233" s="508"/>
      <c r="BO233" s="508"/>
      <c r="BP233" s="508"/>
      <c r="BQ233" s="508"/>
      <c r="BR233" s="509"/>
      <c r="BS233" s="504">
        <f t="shared" si="158"/>
        <v>0</v>
      </c>
      <c r="BT233" s="510"/>
      <c r="BU233" s="508"/>
      <c r="BV233" s="508"/>
      <c r="BW233" s="508"/>
      <c r="BX233" s="508"/>
      <c r="BY233" s="508"/>
      <c r="BZ233" s="508"/>
      <c r="CA233" s="508"/>
      <c r="CB233" s="508"/>
      <c r="CC233" s="508"/>
      <c r="CD233" s="508"/>
      <c r="CE233" s="509"/>
      <c r="CF233" s="504">
        <f t="shared" si="159"/>
        <v>0</v>
      </c>
      <c r="CG233" s="504"/>
      <c r="CH233" s="504">
        <f t="shared" si="160"/>
        <v>0</v>
      </c>
      <c r="CI233" s="504">
        <f t="shared" si="161"/>
        <v>0</v>
      </c>
      <c r="CJ233" s="504">
        <f t="shared" si="162"/>
        <v>0</v>
      </c>
      <c r="CK233" s="504">
        <f t="shared" si="163"/>
        <v>0</v>
      </c>
      <c r="CL233" s="504">
        <v>0</v>
      </c>
      <c r="CM233" s="504">
        <f t="shared" si="164"/>
        <v>0</v>
      </c>
    </row>
    <row r="234" spans="1:93" outlineLevel="1">
      <c r="A234" s="500"/>
      <c r="B234" s="526">
        <v>203</v>
      </c>
      <c r="C234" s="526"/>
      <c r="D234" s="526"/>
      <c r="E234" s="526"/>
      <c r="F234" s="501"/>
      <c r="G234" s="501" t="s">
        <v>489</v>
      </c>
      <c r="H234" s="501"/>
      <c r="I234" s="501"/>
      <c r="J234" s="501"/>
      <c r="K234" s="501"/>
      <c r="L234" s="501"/>
      <c r="M234" s="517"/>
      <c r="N234" s="518"/>
      <c r="O234" s="504"/>
      <c r="P234" s="519"/>
      <c r="Q234" s="506">
        <v>0</v>
      </c>
      <c r="R234" s="506">
        <v>0</v>
      </c>
      <c r="S234" s="504"/>
      <c r="T234" s="507"/>
      <c r="U234" s="508"/>
      <c r="V234" s="508"/>
      <c r="W234" s="508"/>
      <c r="X234" s="508"/>
      <c r="Y234" s="508"/>
      <c r="Z234" s="508"/>
      <c r="AA234" s="508"/>
      <c r="AB234" s="508"/>
      <c r="AC234" s="508"/>
      <c r="AD234" s="508"/>
      <c r="AE234" s="509"/>
      <c r="AF234" s="504">
        <f t="shared" si="155"/>
        <v>0</v>
      </c>
      <c r="AG234" s="510"/>
      <c r="AH234" s="508"/>
      <c r="AI234" s="508"/>
      <c r="AJ234" s="508"/>
      <c r="AK234" s="508"/>
      <c r="AL234" s="508"/>
      <c r="AM234" s="508"/>
      <c r="AN234" s="508"/>
      <c r="AO234" s="508"/>
      <c r="AP234" s="508"/>
      <c r="AQ234" s="508"/>
      <c r="AR234" s="509"/>
      <c r="AS234" s="559">
        <f t="shared" si="156"/>
        <v>0</v>
      </c>
      <c r="AT234" s="510"/>
      <c r="AU234" s="508"/>
      <c r="AV234" s="508"/>
      <c r="AW234" s="508"/>
      <c r="AX234" s="508"/>
      <c r="AY234" s="508"/>
      <c r="AZ234" s="508"/>
      <c r="BA234" s="508"/>
      <c r="BB234" s="508"/>
      <c r="BC234" s="508"/>
      <c r="BD234" s="508"/>
      <c r="BE234" s="509"/>
      <c r="BF234" s="504">
        <f t="shared" si="157"/>
        <v>0</v>
      </c>
      <c r="BG234" s="510"/>
      <c r="BH234" s="508"/>
      <c r="BI234" s="508"/>
      <c r="BJ234" s="508"/>
      <c r="BK234" s="508"/>
      <c r="BL234" s="508"/>
      <c r="BM234" s="508"/>
      <c r="BN234" s="508"/>
      <c r="BO234" s="508"/>
      <c r="BP234" s="508"/>
      <c r="BQ234" s="508"/>
      <c r="BR234" s="509"/>
      <c r="BS234" s="504">
        <f t="shared" si="158"/>
        <v>0</v>
      </c>
      <c r="BT234" s="510"/>
      <c r="BU234" s="508"/>
      <c r="BV234" s="508"/>
      <c r="BW234" s="508"/>
      <c r="BX234" s="508"/>
      <c r="BY234" s="508"/>
      <c r="BZ234" s="508"/>
      <c r="CA234" s="508"/>
      <c r="CB234" s="508"/>
      <c r="CC234" s="508"/>
      <c r="CD234" s="508"/>
      <c r="CE234" s="509"/>
      <c r="CF234" s="504">
        <f t="shared" si="159"/>
        <v>0</v>
      </c>
      <c r="CG234" s="504"/>
      <c r="CH234" s="504">
        <f t="shared" si="160"/>
        <v>0</v>
      </c>
      <c r="CI234" s="504">
        <f t="shared" si="161"/>
        <v>0</v>
      </c>
      <c r="CJ234" s="504">
        <f t="shared" si="162"/>
        <v>0</v>
      </c>
      <c r="CK234" s="504">
        <f t="shared" si="163"/>
        <v>0</v>
      </c>
      <c r="CL234" s="504">
        <v>0</v>
      </c>
      <c r="CM234" s="504">
        <f t="shared" si="164"/>
        <v>0</v>
      </c>
    </row>
    <row r="235" spans="1:93" outlineLevel="1">
      <c r="A235" s="500"/>
      <c r="B235" s="438"/>
      <c r="C235" s="593">
        <v>203.01</v>
      </c>
      <c r="D235" s="552"/>
      <c r="E235" s="501"/>
      <c r="F235" s="501"/>
      <c r="H235" s="525" t="s">
        <v>490</v>
      </c>
      <c r="I235" s="525"/>
      <c r="J235" s="501"/>
      <c r="K235" s="501"/>
      <c r="L235" s="501"/>
      <c r="M235" s="517"/>
      <c r="N235" s="518"/>
      <c r="O235" s="504"/>
      <c r="P235" s="519"/>
      <c r="Q235" s="506">
        <v>0</v>
      </c>
      <c r="R235" s="506">
        <v>0</v>
      </c>
      <c r="S235" s="504"/>
      <c r="T235" s="507"/>
      <c r="U235" s="508"/>
      <c r="V235" s="508"/>
      <c r="W235" s="508"/>
      <c r="X235" s="508"/>
      <c r="Y235" s="508"/>
      <c r="Z235" s="508"/>
      <c r="AA235" s="508"/>
      <c r="AB235" s="508"/>
      <c r="AC235" s="508"/>
      <c r="AD235" s="508"/>
      <c r="AE235" s="509"/>
      <c r="AF235" s="504">
        <f t="shared" si="155"/>
        <v>0</v>
      </c>
      <c r="AG235" s="510"/>
      <c r="AH235" s="508"/>
      <c r="AI235" s="508"/>
      <c r="AJ235" s="508"/>
      <c r="AK235" s="508"/>
      <c r="AL235" s="508"/>
      <c r="AM235" s="508"/>
      <c r="AN235" s="508"/>
      <c r="AO235" s="508"/>
      <c r="AP235" s="508"/>
      <c r="AQ235" s="508"/>
      <c r="AR235" s="509"/>
      <c r="AS235" s="504">
        <f t="shared" si="156"/>
        <v>0</v>
      </c>
      <c r="AT235" s="510"/>
      <c r="AU235" s="508"/>
      <c r="AV235" s="508"/>
      <c r="AW235" s="508"/>
      <c r="AX235" s="508"/>
      <c r="AY235" s="508"/>
      <c r="AZ235" s="508"/>
      <c r="BA235" s="508"/>
      <c r="BB235" s="508"/>
      <c r="BC235" s="508"/>
      <c r="BD235" s="508"/>
      <c r="BE235" s="509"/>
      <c r="BF235" s="504">
        <f t="shared" si="157"/>
        <v>0</v>
      </c>
      <c r="BG235" s="510"/>
      <c r="BH235" s="508"/>
      <c r="BI235" s="508"/>
      <c r="BJ235" s="508"/>
      <c r="BK235" s="508"/>
      <c r="BL235" s="508"/>
      <c r="BM235" s="508"/>
      <c r="BN235" s="508"/>
      <c r="BO235" s="508"/>
      <c r="BP235" s="508"/>
      <c r="BQ235" s="508"/>
      <c r="BR235" s="509"/>
      <c r="BS235" s="504">
        <f t="shared" si="158"/>
        <v>0</v>
      </c>
      <c r="BT235" s="510"/>
      <c r="BU235" s="508"/>
      <c r="BV235" s="508"/>
      <c r="BW235" s="508"/>
      <c r="BX235" s="508"/>
      <c r="BY235" s="508"/>
      <c r="BZ235" s="508"/>
      <c r="CA235" s="508"/>
      <c r="CB235" s="508"/>
      <c r="CC235" s="508"/>
      <c r="CD235" s="508"/>
      <c r="CE235" s="509"/>
      <c r="CF235" s="504">
        <f t="shared" si="159"/>
        <v>0</v>
      </c>
      <c r="CG235" s="504"/>
      <c r="CH235" s="504">
        <f t="shared" si="160"/>
        <v>0</v>
      </c>
      <c r="CI235" s="504">
        <f t="shared" si="161"/>
        <v>0</v>
      </c>
      <c r="CJ235" s="504">
        <f t="shared" si="162"/>
        <v>0</v>
      </c>
      <c r="CK235" s="504">
        <f t="shared" si="163"/>
        <v>0</v>
      </c>
      <c r="CL235" s="504">
        <v>0</v>
      </c>
      <c r="CM235" s="504">
        <f t="shared" si="164"/>
        <v>0</v>
      </c>
    </row>
    <row r="236" spans="1:93" outlineLevel="1">
      <c r="A236" s="500"/>
      <c r="B236" s="438"/>
      <c r="C236" s="593">
        <f>+C235+0.01</f>
        <v>203.01999999999998</v>
      </c>
      <c r="D236" s="552"/>
      <c r="E236" s="501"/>
      <c r="F236" s="501"/>
      <c r="H236" s="525" t="s">
        <v>491</v>
      </c>
      <c r="I236" s="525"/>
      <c r="J236" s="501"/>
      <c r="K236" s="501"/>
      <c r="L236" s="501"/>
      <c r="M236" s="517"/>
      <c r="N236" s="518"/>
      <c r="O236" s="504"/>
      <c r="P236" s="519"/>
      <c r="Q236" s="506">
        <v>0</v>
      </c>
      <c r="R236" s="506">
        <v>0</v>
      </c>
      <c r="S236" s="504"/>
      <c r="T236" s="507"/>
      <c r="U236" s="508"/>
      <c r="V236" s="508"/>
      <c r="W236" s="508"/>
      <c r="X236" s="508"/>
      <c r="Y236" s="508"/>
      <c r="Z236" s="508"/>
      <c r="AA236" s="508"/>
      <c r="AB236" s="508"/>
      <c r="AC236" s="508"/>
      <c r="AD236" s="508"/>
      <c r="AE236" s="509"/>
      <c r="AF236" s="504">
        <f t="shared" si="155"/>
        <v>0</v>
      </c>
      <c r="AG236" s="510"/>
      <c r="AH236" s="508"/>
      <c r="AI236" s="508"/>
      <c r="AJ236" s="508"/>
      <c r="AK236" s="508"/>
      <c r="AL236" s="508"/>
      <c r="AM236" s="508"/>
      <c r="AN236" s="508"/>
      <c r="AO236" s="508"/>
      <c r="AP236" s="508"/>
      <c r="AQ236" s="508"/>
      <c r="AR236" s="509"/>
      <c r="AS236" s="504">
        <f t="shared" si="156"/>
        <v>0</v>
      </c>
      <c r="AT236" s="510"/>
      <c r="AU236" s="508"/>
      <c r="AV236" s="508"/>
      <c r="AW236" s="508"/>
      <c r="AX236" s="508"/>
      <c r="AY236" s="508"/>
      <c r="AZ236" s="508"/>
      <c r="BA236" s="508"/>
      <c r="BB236" s="508"/>
      <c r="BC236" s="508"/>
      <c r="BD236" s="508"/>
      <c r="BE236" s="509"/>
      <c r="BF236" s="504">
        <f t="shared" si="157"/>
        <v>0</v>
      </c>
      <c r="BG236" s="510"/>
      <c r="BH236" s="508"/>
      <c r="BI236" s="508"/>
      <c r="BJ236" s="508"/>
      <c r="BK236" s="508"/>
      <c r="BL236" s="508"/>
      <c r="BM236" s="508"/>
      <c r="BN236" s="508"/>
      <c r="BO236" s="508"/>
      <c r="BP236" s="508"/>
      <c r="BQ236" s="508"/>
      <c r="BR236" s="509"/>
      <c r="BS236" s="504">
        <f t="shared" si="158"/>
        <v>0</v>
      </c>
      <c r="BT236" s="510"/>
      <c r="BU236" s="508"/>
      <c r="BV236" s="508"/>
      <c r="BW236" s="508"/>
      <c r="BX236" s="508"/>
      <c r="BY236" s="508"/>
      <c r="BZ236" s="508"/>
      <c r="CA236" s="508"/>
      <c r="CB236" s="508"/>
      <c r="CC236" s="508"/>
      <c r="CD236" s="508"/>
      <c r="CE236" s="509"/>
      <c r="CF236" s="504">
        <f t="shared" si="159"/>
        <v>0</v>
      </c>
      <c r="CG236" s="504"/>
      <c r="CH236" s="504">
        <f t="shared" si="160"/>
        <v>0</v>
      </c>
      <c r="CI236" s="504">
        <f t="shared" si="161"/>
        <v>0</v>
      </c>
      <c r="CJ236" s="504">
        <f t="shared" si="162"/>
        <v>0</v>
      </c>
      <c r="CK236" s="504">
        <f t="shared" si="163"/>
        <v>0</v>
      </c>
      <c r="CL236" s="504">
        <v>0</v>
      </c>
      <c r="CM236" s="504">
        <f t="shared" si="164"/>
        <v>0</v>
      </c>
    </row>
    <row r="237" spans="1:93" outlineLevel="1">
      <c r="A237" s="500"/>
      <c r="B237" s="438"/>
      <c r="C237" s="593">
        <f>+C236+0.01</f>
        <v>203.02999999999997</v>
      </c>
      <c r="D237" s="552"/>
      <c r="E237" s="501"/>
      <c r="F237" s="501"/>
      <c r="H237" s="525" t="s">
        <v>492</v>
      </c>
      <c r="I237" s="525"/>
      <c r="J237" s="501"/>
      <c r="K237" s="501"/>
      <c r="L237" s="501"/>
      <c r="M237" s="517"/>
      <c r="N237" s="518"/>
      <c r="O237" s="504"/>
      <c r="P237" s="519"/>
      <c r="Q237" s="506">
        <v>0</v>
      </c>
      <c r="R237" s="506">
        <v>0</v>
      </c>
      <c r="S237" s="504"/>
      <c r="T237" s="507"/>
      <c r="U237" s="508"/>
      <c r="V237" s="508"/>
      <c r="W237" s="508"/>
      <c r="X237" s="508"/>
      <c r="Y237" s="508"/>
      <c r="Z237" s="508"/>
      <c r="AA237" s="508"/>
      <c r="AB237" s="508"/>
      <c r="AC237" s="508"/>
      <c r="AD237" s="508"/>
      <c r="AE237" s="509"/>
      <c r="AF237" s="504">
        <f t="shared" si="155"/>
        <v>0</v>
      </c>
      <c r="AG237" s="510"/>
      <c r="AH237" s="508"/>
      <c r="AI237" s="508"/>
      <c r="AJ237" s="508"/>
      <c r="AK237" s="508"/>
      <c r="AL237" s="508"/>
      <c r="AM237" s="508"/>
      <c r="AN237" s="508"/>
      <c r="AO237" s="508"/>
      <c r="AP237" s="508"/>
      <c r="AQ237" s="508"/>
      <c r="AR237" s="509"/>
      <c r="AS237" s="504">
        <f t="shared" si="156"/>
        <v>0</v>
      </c>
      <c r="AT237" s="510"/>
      <c r="AU237" s="508"/>
      <c r="AV237" s="508"/>
      <c r="AW237" s="508"/>
      <c r="AX237" s="508"/>
      <c r="AY237" s="508"/>
      <c r="AZ237" s="508"/>
      <c r="BA237" s="508"/>
      <c r="BB237" s="508"/>
      <c r="BC237" s="508"/>
      <c r="BD237" s="508"/>
      <c r="BE237" s="509"/>
      <c r="BF237" s="504">
        <f t="shared" si="157"/>
        <v>0</v>
      </c>
      <c r="BG237" s="510"/>
      <c r="BH237" s="508"/>
      <c r="BI237" s="508"/>
      <c r="BJ237" s="508"/>
      <c r="BK237" s="508"/>
      <c r="BL237" s="508"/>
      <c r="BM237" s="508"/>
      <c r="BN237" s="508"/>
      <c r="BO237" s="508"/>
      <c r="BP237" s="508"/>
      <c r="BQ237" s="508"/>
      <c r="BR237" s="509"/>
      <c r="BS237" s="504">
        <f t="shared" si="158"/>
        <v>0</v>
      </c>
      <c r="BT237" s="510"/>
      <c r="BU237" s="508"/>
      <c r="BV237" s="508"/>
      <c r="BW237" s="508"/>
      <c r="BX237" s="508"/>
      <c r="BY237" s="508"/>
      <c r="BZ237" s="508"/>
      <c r="CA237" s="508"/>
      <c r="CB237" s="508"/>
      <c r="CC237" s="508"/>
      <c r="CD237" s="508"/>
      <c r="CE237" s="509"/>
      <c r="CF237" s="504">
        <f t="shared" si="159"/>
        <v>0</v>
      </c>
      <c r="CG237" s="504"/>
      <c r="CH237" s="504">
        <f t="shared" si="160"/>
        <v>0</v>
      </c>
      <c r="CI237" s="504">
        <f t="shared" si="161"/>
        <v>0</v>
      </c>
      <c r="CJ237" s="504">
        <f t="shared" si="162"/>
        <v>0</v>
      </c>
      <c r="CK237" s="504">
        <f t="shared" si="163"/>
        <v>0</v>
      </c>
      <c r="CL237" s="504">
        <v>0</v>
      </c>
      <c r="CM237" s="504">
        <f t="shared" si="164"/>
        <v>0</v>
      </c>
    </row>
    <row r="238" spans="1:93">
      <c r="A238" s="500"/>
      <c r="B238" s="526"/>
      <c r="C238" s="516"/>
      <c r="D238" s="1423"/>
      <c r="E238" s="1423"/>
      <c r="F238" s="1423"/>
      <c r="G238" s="501"/>
      <c r="H238" s="501"/>
      <c r="I238" s="501"/>
      <c r="J238" s="501"/>
      <c r="K238" s="501"/>
      <c r="L238" s="501"/>
      <c r="M238" s="517"/>
      <c r="N238" s="518"/>
      <c r="O238" s="504"/>
      <c r="P238" s="519"/>
      <c r="Q238" s="506">
        <v>0</v>
      </c>
      <c r="R238" s="506">
        <v>0</v>
      </c>
      <c r="S238" s="504"/>
      <c r="T238" s="507"/>
      <c r="U238" s="508"/>
      <c r="V238" s="508"/>
      <c r="W238" s="508"/>
      <c r="X238" s="508"/>
      <c r="Y238" s="508"/>
      <c r="Z238" s="508"/>
      <c r="AA238" s="508"/>
      <c r="AB238" s="508"/>
      <c r="AC238" s="508"/>
      <c r="AD238" s="508"/>
      <c r="AE238" s="509"/>
      <c r="AF238" s="504">
        <f t="shared" si="155"/>
        <v>0</v>
      </c>
      <c r="AG238" s="510"/>
      <c r="AH238" s="508"/>
      <c r="AI238" s="508"/>
      <c r="AJ238" s="508"/>
      <c r="AK238" s="508"/>
      <c r="AL238" s="508"/>
      <c r="AM238" s="508"/>
      <c r="AN238" s="508"/>
      <c r="AO238" s="508"/>
      <c r="AP238" s="508"/>
      <c r="AQ238" s="508"/>
      <c r="AR238" s="509"/>
      <c r="AS238" s="504">
        <f t="shared" si="156"/>
        <v>0</v>
      </c>
      <c r="AT238" s="510"/>
      <c r="AU238" s="508"/>
      <c r="AV238" s="508"/>
      <c r="AW238" s="508"/>
      <c r="AX238" s="508"/>
      <c r="AY238" s="508"/>
      <c r="AZ238" s="508"/>
      <c r="BA238" s="508"/>
      <c r="BB238" s="508"/>
      <c r="BC238" s="508"/>
      <c r="BD238" s="508"/>
      <c r="BE238" s="509"/>
      <c r="BF238" s="504">
        <f t="shared" si="157"/>
        <v>0</v>
      </c>
      <c r="BG238" s="510"/>
      <c r="BH238" s="508"/>
      <c r="BI238" s="508"/>
      <c r="BJ238" s="508"/>
      <c r="BK238" s="508"/>
      <c r="BL238" s="508"/>
      <c r="BM238" s="508"/>
      <c r="BN238" s="508"/>
      <c r="BO238" s="508"/>
      <c r="BP238" s="508"/>
      <c r="BQ238" s="508"/>
      <c r="BR238" s="509"/>
      <c r="BS238" s="504">
        <f t="shared" si="158"/>
        <v>0</v>
      </c>
      <c r="BT238" s="510"/>
      <c r="BU238" s="508"/>
      <c r="BV238" s="508"/>
      <c r="BW238" s="508"/>
      <c r="BX238" s="508"/>
      <c r="BY238" s="508"/>
      <c r="BZ238" s="508"/>
      <c r="CA238" s="508"/>
      <c r="CB238" s="508"/>
      <c r="CC238" s="508"/>
      <c r="CD238" s="508"/>
      <c r="CE238" s="509"/>
      <c r="CF238" s="504">
        <f t="shared" si="159"/>
        <v>0</v>
      </c>
      <c r="CG238" s="504"/>
      <c r="CH238" s="504">
        <f t="shared" si="160"/>
        <v>0</v>
      </c>
      <c r="CI238" s="504">
        <f t="shared" si="161"/>
        <v>0</v>
      </c>
      <c r="CJ238" s="504">
        <f t="shared" si="162"/>
        <v>0</v>
      </c>
      <c r="CK238" s="504">
        <f t="shared" si="163"/>
        <v>0</v>
      </c>
      <c r="CL238" s="504">
        <v>0</v>
      </c>
      <c r="CM238" s="504">
        <f t="shared" si="164"/>
        <v>0</v>
      </c>
    </row>
    <row r="239" spans="1:93">
      <c r="A239" s="481" t="s">
        <v>493</v>
      </c>
      <c r="B239" s="1430">
        <v>500</v>
      </c>
      <c r="C239" s="1431"/>
      <c r="D239" s="1431"/>
      <c r="E239" s="1432"/>
      <c r="F239" s="527"/>
      <c r="G239" s="482" t="s">
        <v>494</v>
      </c>
      <c r="H239" s="482"/>
      <c r="I239" s="482"/>
      <c r="J239" s="482"/>
      <c r="K239" s="482"/>
      <c r="L239" s="482"/>
      <c r="M239" s="560"/>
      <c r="N239" s="561"/>
      <c r="O239" s="562"/>
      <c r="P239" s="563"/>
      <c r="Q239" s="528">
        <f t="shared" ref="Q239:AV239" si="165">SUBTOTAL(9,Q240:Q265)</f>
        <v>1206161.93</v>
      </c>
      <c r="R239" s="528">
        <f t="shared" si="165"/>
        <v>992142</v>
      </c>
      <c r="S239" s="529">
        <f t="shared" si="165"/>
        <v>0</v>
      </c>
      <c r="T239" s="530">
        <f t="shared" si="165"/>
        <v>3710</v>
      </c>
      <c r="U239" s="531">
        <f t="shared" si="165"/>
        <v>8148.75</v>
      </c>
      <c r="V239" s="531">
        <f t="shared" si="165"/>
        <v>18269.849999999999</v>
      </c>
      <c r="W239" s="531">
        <f t="shared" si="165"/>
        <v>429</v>
      </c>
      <c r="X239" s="531">
        <f t="shared" si="165"/>
        <v>10712.5</v>
      </c>
      <c r="Y239" s="531">
        <f t="shared" si="165"/>
        <v>1365</v>
      </c>
      <c r="Z239" s="531">
        <f t="shared" si="165"/>
        <v>5952</v>
      </c>
      <c r="AA239" s="531">
        <f t="shared" si="165"/>
        <v>0</v>
      </c>
      <c r="AB239" s="531">
        <f t="shared" si="165"/>
        <v>3244.5</v>
      </c>
      <c r="AC239" s="531">
        <f t="shared" si="165"/>
        <v>7016</v>
      </c>
      <c r="AD239" s="531">
        <f t="shared" si="165"/>
        <v>18314.580000000002</v>
      </c>
      <c r="AE239" s="532">
        <f t="shared" si="165"/>
        <v>32872.99</v>
      </c>
      <c r="AF239" s="529">
        <f t="shared" si="165"/>
        <v>110035.17</v>
      </c>
      <c r="AG239" s="533">
        <f t="shared" si="165"/>
        <v>0</v>
      </c>
      <c r="AH239" s="531">
        <f t="shared" si="165"/>
        <v>-19915</v>
      </c>
      <c r="AI239" s="531">
        <f t="shared" si="165"/>
        <v>1194.9100000000001</v>
      </c>
      <c r="AJ239" s="531">
        <f t="shared" si="165"/>
        <v>5981.83</v>
      </c>
      <c r="AK239" s="531">
        <f t="shared" si="165"/>
        <v>25253.27</v>
      </c>
      <c r="AL239" s="531">
        <f t="shared" si="165"/>
        <v>7166.09</v>
      </c>
      <c r="AM239" s="531">
        <f t="shared" si="165"/>
        <v>3008.36</v>
      </c>
      <c r="AN239" s="531">
        <f t="shared" si="165"/>
        <v>2064.67</v>
      </c>
      <c r="AO239" s="531">
        <f t="shared" si="165"/>
        <v>0</v>
      </c>
      <c r="AP239" s="531">
        <f t="shared" si="165"/>
        <v>3787.92</v>
      </c>
      <c r="AQ239" s="531">
        <f t="shared" si="165"/>
        <v>0</v>
      </c>
      <c r="AR239" s="532">
        <f t="shared" si="165"/>
        <v>16562.310000000001</v>
      </c>
      <c r="AS239" s="529">
        <f t="shared" si="165"/>
        <v>45104.36</v>
      </c>
      <c r="AT239" s="533">
        <f t="shared" si="165"/>
        <v>1908.2</v>
      </c>
      <c r="AU239" s="531">
        <f t="shared" si="165"/>
        <v>27406.69</v>
      </c>
      <c r="AV239" s="531">
        <f t="shared" si="165"/>
        <v>-21.93</v>
      </c>
      <c r="AW239" s="531">
        <f t="shared" ref="AW239:CB239" si="166">SUBTOTAL(9,AW240:AW265)</f>
        <v>38548.07</v>
      </c>
      <c r="AX239" s="531">
        <f t="shared" si="166"/>
        <v>20946.79</v>
      </c>
      <c r="AY239" s="531">
        <f t="shared" si="166"/>
        <v>14606.3</v>
      </c>
      <c r="AZ239" s="531">
        <f t="shared" si="166"/>
        <v>0</v>
      </c>
      <c r="BA239" s="531">
        <f t="shared" si="166"/>
        <v>13170.09</v>
      </c>
      <c r="BB239" s="531">
        <f t="shared" si="166"/>
        <v>0</v>
      </c>
      <c r="BC239" s="531">
        <f t="shared" si="166"/>
        <v>3699.76</v>
      </c>
      <c r="BD239" s="531">
        <f t="shared" si="166"/>
        <v>2693.47</v>
      </c>
      <c r="BE239" s="532">
        <f t="shared" si="166"/>
        <v>65648.489999999991</v>
      </c>
      <c r="BF239" s="529">
        <f t="shared" si="166"/>
        <v>188605.93</v>
      </c>
      <c r="BG239" s="533">
        <f t="shared" si="166"/>
        <v>3889.86</v>
      </c>
      <c r="BH239" s="531">
        <f t="shared" si="166"/>
        <v>13944.34</v>
      </c>
      <c r="BI239" s="531">
        <f t="shared" si="166"/>
        <v>3203.73</v>
      </c>
      <c r="BJ239" s="531">
        <f t="shared" si="166"/>
        <v>6551.3250000000007</v>
      </c>
      <c r="BK239" s="531">
        <f t="shared" si="166"/>
        <v>0</v>
      </c>
      <c r="BL239" s="531">
        <f t="shared" si="166"/>
        <v>0</v>
      </c>
      <c r="BM239" s="531">
        <f t="shared" si="166"/>
        <v>0</v>
      </c>
      <c r="BN239" s="531">
        <f t="shared" si="166"/>
        <v>0</v>
      </c>
      <c r="BO239" s="531">
        <f t="shared" si="166"/>
        <v>0</v>
      </c>
      <c r="BP239" s="531">
        <f t="shared" si="166"/>
        <v>0</v>
      </c>
      <c r="BQ239" s="531">
        <f t="shared" si="166"/>
        <v>0</v>
      </c>
      <c r="BR239" s="532">
        <f t="shared" si="166"/>
        <v>0</v>
      </c>
      <c r="BS239" s="529">
        <f t="shared" si="166"/>
        <v>27589.255000000001</v>
      </c>
      <c r="BT239" s="533">
        <f t="shared" si="166"/>
        <v>0</v>
      </c>
      <c r="BU239" s="531">
        <f t="shared" si="166"/>
        <v>0</v>
      </c>
      <c r="BV239" s="531">
        <f t="shared" si="166"/>
        <v>0</v>
      </c>
      <c r="BW239" s="531">
        <f t="shared" si="166"/>
        <v>0</v>
      </c>
      <c r="BX239" s="531">
        <f t="shared" si="166"/>
        <v>0</v>
      </c>
      <c r="BY239" s="531">
        <f t="shared" si="166"/>
        <v>0</v>
      </c>
      <c r="BZ239" s="531">
        <f t="shared" si="166"/>
        <v>0</v>
      </c>
      <c r="CA239" s="531">
        <f t="shared" si="166"/>
        <v>0</v>
      </c>
      <c r="CB239" s="531">
        <f t="shared" si="166"/>
        <v>0</v>
      </c>
      <c r="CC239" s="531">
        <f t="shared" ref="CC239:CM239" si="167">SUBTOTAL(9,CC240:CC265)</f>
        <v>0</v>
      </c>
      <c r="CD239" s="531">
        <f t="shared" si="167"/>
        <v>0</v>
      </c>
      <c r="CE239" s="532">
        <f t="shared" si="167"/>
        <v>0</v>
      </c>
      <c r="CF239" s="529">
        <f t="shared" si="167"/>
        <v>0</v>
      </c>
      <c r="CG239" s="529">
        <f t="shared" si="167"/>
        <v>0</v>
      </c>
      <c r="CH239" s="529">
        <f t="shared" si="167"/>
        <v>371334.71499999997</v>
      </c>
      <c r="CI239" s="529">
        <f t="shared" si="167"/>
        <v>0</v>
      </c>
      <c r="CJ239" s="529">
        <f t="shared" si="167"/>
        <v>371334.71499999997</v>
      </c>
      <c r="CK239" s="529">
        <f t="shared" si="167"/>
        <v>-620807.28499999992</v>
      </c>
      <c r="CL239" s="529">
        <f t="shared" si="167"/>
        <v>838117.47</v>
      </c>
      <c r="CM239" s="529">
        <f t="shared" si="167"/>
        <v>-466782.755</v>
      </c>
    </row>
    <row r="240" spans="1:93" outlineLevel="1">
      <c r="A240" s="500"/>
      <c r="B240" s="1423">
        <v>501</v>
      </c>
      <c r="C240" s="1424"/>
      <c r="D240" s="1424"/>
      <c r="E240" s="525"/>
      <c r="F240" s="501"/>
      <c r="G240" s="501" t="s">
        <v>495</v>
      </c>
      <c r="H240" s="501"/>
      <c r="I240" s="501"/>
      <c r="J240" s="501"/>
      <c r="K240" s="501"/>
      <c r="L240" s="501"/>
      <c r="M240" s="502"/>
      <c r="N240" s="503"/>
      <c r="O240" s="504"/>
      <c r="P240" s="505"/>
      <c r="Q240" s="506">
        <v>0</v>
      </c>
      <c r="R240" s="506">
        <v>0</v>
      </c>
      <c r="S240" s="504"/>
      <c r="T240" s="507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9"/>
      <c r="AF240" s="504">
        <f t="shared" ref="AF240:AF251" si="168">SUM(T240:AE240)</f>
        <v>0</v>
      </c>
      <c r="AG240" s="510"/>
      <c r="AH240" s="508"/>
      <c r="AI240" s="508"/>
      <c r="AJ240" s="508"/>
      <c r="AK240" s="508"/>
      <c r="AL240" s="508"/>
      <c r="AM240" s="508"/>
      <c r="AN240" s="508"/>
      <c r="AO240" s="508"/>
      <c r="AP240" s="508"/>
      <c r="AQ240" s="508"/>
      <c r="AR240" s="509"/>
      <c r="AS240" s="504">
        <f t="shared" ref="AS240:AS251" si="169">SUM(AG240:AR240)</f>
        <v>0</v>
      </c>
      <c r="AT240" s="510"/>
      <c r="AU240" s="508"/>
      <c r="AV240" s="508"/>
      <c r="AW240" s="508"/>
      <c r="AX240" s="508"/>
      <c r="AY240" s="508"/>
      <c r="AZ240" s="508"/>
      <c r="BA240" s="508"/>
      <c r="BB240" s="508"/>
      <c r="BC240" s="508"/>
      <c r="BD240" s="508"/>
      <c r="BE240" s="509"/>
      <c r="BF240" s="504">
        <f t="shared" ref="BF240:BF251" si="170">SUM(AT240:BE240)</f>
        <v>0</v>
      </c>
      <c r="BG240" s="510"/>
      <c r="BH240" s="508"/>
      <c r="BI240" s="508"/>
      <c r="BJ240" s="508"/>
      <c r="BK240" s="508"/>
      <c r="BL240" s="508"/>
      <c r="BM240" s="508"/>
      <c r="BN240" s="508"/>
      <c r="BO240" s="508"/>
      <c r="BP240" s="508"/>
      <c r="BQ240" s="508"/>
      <c r="BR240" s="509"/>
      <c r="BS240" s="504">
        <f t="shared" ref="BS240:BS251" si="171">SUM(BG240:BR240)</f>
        <v>0</v>
      </c>
      <c r="BT240" s="510"/>
      <c r="BU240" s="508"/>
      <c r="BV240" s="508"/>
      <c r="BW240" s="508"/>
      <c r="BX240" s="508"/>
      <c r="BY240" s="508"/>
      <c r="BZ240" s="508"/>
      <c r="CA240" s="508"/>
      <c r="CB240" s="508"/>
      <c r="CC240" s="508"/>
      <c r="CD240" s="508"/>
      <c r="CE240" s="509"/>
      <c r="CF240" s="504">
        <f t="shared" ref="CF240:CF251" si="172">SUM(BT240:CE240)</f>
        <v>0</v>
      </c>
      <c r="CG240" s="504"/>
      <c r="CH240" s="504">
        <f t="shared" ref="CH240:CH251" si="173">SUMIF(($S$5:$CG$5),"Actual",(S240:CG240))</f>
        <v>0</v>
      </c>
      <c r="CI240" s="504">
        <f t="shared" ref="CI240:CI251" si="174">SUMIF(($S$5:$CG$5),"Forecast",(S240:CG240))</f>
        <v>0</v>
      </c>
      <c r="CJ240" s="504">
        <f t="shared" ref="CJ240:CJ251" si="175">+CH240+CI240</f>
        <v>0</v>
      </c>
      <c r="CK240" s="504">
        <f>+CJ240-R240</f>
        <v>0</v>
      </c>
      <c r="CL240" s="504">
        <f>+CK240-S240</f>
        <v>0</v>
      </c>
      <c r="CM240" s="504">
        <f t="shared" ref="CM240:CM251" si="176">+CJ240-CL240</f>
        <v>0</v>
      </c>
    </row>
    <row r="241" spans="1:91" outlineLevel="1">
      <c r="A241" s="500"/>
      <c r="B241" s="516"/>
      <c r="C241" s="1423">
        <v>501.01</v>
      </c>
      <c r="D241" s="1424"/>
      <c r="E241" s="1424"/>
      <c r="F241" s="501"/>
      <c r="G241" s="501"/>
      <c r="H241" s="501" t="s">
        <v>496</v>
      </c>
      <c r="I241" s="501"/>
      <c r="J241" s="501"/>
      <c r="K241" s="501"/>
      <c r="L241" s="501"/>
      <c r="M241" s="517"/>
      <c r="N241" s="518"/>
      <c r="O241" s="504"/>
      <c r="P241" s="519"/>
      <c r="Q241" s="506">
        <v>30000</v>
      </c>
      <c r="R241" s="506">
        <v>30000</v>
      </c>
      <c r="S241" s="504"/>
      <c r="T241" s="507"/>
      <c r="U241" s="508"/>
      <c r="V241" s="508"/>
      <c r="W241" s="508"/>
      <c r="X241" s="508"/>
      <c r="Y241" s="508"/>
      <c r="Z241" s="508"/>
      <c r="AA241" s="508"/>
      <c r="AB241" s="508"/>
      <c r="AC241" s="508"/>
      <c r="AD241" s="508"/>
      <c r="AE241" s="509"/>
      <c r="AF241" s="504">
        <f t="shared" si="168"/>
        <v>0</v>
      </c>
      <c r="AG241" s="510"/>
      <c r="AH241" s="549"/>
      <c r="AI241" s="549"/>
      <c r="AJ241" s="549"/>
      <c r="AK241" s="549"/>
      <c r="AL241" s="549"/>
      <c r="AM241" s="549"/>
      <c r="AN241" s="549"/>
      <c r="AO241" s="549"/>
      <c r="AP241" s="549"/>
      <c r="AQ241" s="508"/>
      <c r="AR241" s="509"/>
      <c r="AS241" s="504">
        <f t="shared" si="169"/>
        <v>0</v>
      </c>
      <c r="AT241" s="510"/>
      <c r="AU241" s="508"/>
      <c r="AV241" s="508"/>
      <c r="AW241" s="508"/>
      <c r="AX241" s="508"/>
      <c r="AY241" s="508"/>
      <c r="AZ241" s="508"/>
      <c r="BA241" s="508"/>
      <c r="BB241" s="508"/>
      <c r="BC241" s="508"/>
      <c r="BD241" s="508"/>
      <c r="BE241" s="509"/>
      <c r="BF241" s="504">
        <f t="shared" si="170"/>
        <v>0</v>
      </c>
      <c r="BG241" s="510"/>
      <c r="BH241" s="508"/>
      <c r="BI241" s="508"/>
      <c r="BJ241" s="508"/>
      <c r="BK241" s="508"/>
      <c r="BL241" s="508"/>
      <c r="BM241" s="508"/>
      <c r="BN241" s="508"/>
      <c r="BO241" s="508"/>
      <c r="BP241" s="508"/>
      <c r="BQ241" s="508"/>
      <c r="BR241" s="509"/>
      <c r="BS241" s="504">
        <f t="shared" si="171"/>
        <v>0</v>
      </c>
      <c r="BT241" s="510"/>
      <c r="BU241" s="508"/>
      <c r="BV241" s="508"/>
      <c r="BW241" s="508"/>
      <c r="BX241" s="508"/>
      <c r="BY241" s="508"/>
      <c r="BZ241" s="508"/>
      <c r="CA241" s="508"/>
      <c r="CB241" s="508"/>
      <c r="CC241" s="508"/>
      <c r="CD241" s="508"/>
      <c r="CE241" s="509"/>
      <c r="CF241" s="504">
        <f t="shared" si="172"/>
        <v>0</v>
      </c>
      <c r="CG241" s="504"/>
      <c r="CH241" s="504">
        <f t="shared" si="173"/>
        <v>0</v>
      </c>
      <c r="CI241" s="559">
        <f t="shared" si="174"/>
        <v>0</v>
      </c>
      <c r="CJ241" s="504">
        <f t="shared" si="175"/>
        <v>0</v>
      </c>
      <c r="CK241" s="504">
        <f t="shared" ref="CK241:CK251" si="177">+CJ241-R241</f>
        <v>-30000</v>
      </c>
      <c r="CL241" s="504">
        <v>0</v>
      </c>
      <c r="CM241" s="504">
        <f t="shared" si="176"/>
        <v>0</v>
      </c>
    </row>
    <row r="242" spans="1:91" outlineLevel="1">
      <c r="A242" s="654"/>
      <c r="B242" s="655"/>
      <c r="C242" s="1423">
        <v>501.02</v>
      </c>
      <c r="D242" s="1424"/>
      <c r="E242" s="1424"/>
      <c r="F242" s="656"/>
      <c r="G242" s="501"/>
      <c r="H242" s="501" t="s">
        <v>497</v>
      </c>
      <c r="I242" s="656"/>
      <c r="J242" s="656"/>
      <c r="K242" s="501"/>
      <c r="L242" s="501"/>
      <c r="M242" s="517"/>
      <c r="N242" s="518"/>
      <c r="O242" s="504"/>
      <c r="P242" s="519"/>
      <c r="Q242" s="506">
        <v>100000</v>
      </c>
      <c r="R242" s="506">
        <v>0</v>
      </c>
      <c r="S242" s="504"/>
      <c r="T242" s="507"/>
      <c r="U242" s="508"/>
      <c r="V242" s="508"/>
      <c r="W242" s="508"/>
      <c r="X242" s="508"/>
      <c r="Y242" s="508"/>
      <c r="Z242" s="508"/>
      <c r="AA242" s="508"/>
      <c r="AB242" s="508"/>
      <c r="AC242" s="508"/>
      <c r="AD242" s="508"/>
      <c r="AE242" s="509"/>
      <c r="AF242" s="504">
        <f t="shared" si="168"/>
        <v>0</v>
      </c>
      <c r="AG242" s="510"/>
      <c r="AH242" s="549"/>
      <c r="AI242" s="508"/>
      <c r="AJ242" s="508"/>
      <c r="AK242" s="508"/>
      <c r="AL242" s="508"/>
      <c r="AM242" s="508"/>
      <c r="AN242" s="508"/>
      <c r="AO242" s="508"/>
      <c r="AP242" s="508"/>
      <c r="AQ242" s="508"/>
      <c r="AR242" s="509"/>
      <c r="AS242" s="504">
        <f t="shared" si="169"/>
        <v>0</v>
      </c>
      <c r="AT242" s="510"/>
      <c r="AU242" s="508"/>
      <c r="AV242" s="508"/>
      <c r="AW242" s="508"/>
      <c r="AX242" s="508"/>
      <c r="AY242" s="508"/>
      <c r="AZ242" s="508"/>
      <c r="BA242" s="508"/>
      <c r="BB242" s="508"/>
      <c r="BC242" s="508"/>
      <c r="BD242" s="508"/>
      <c r="BE242" s="509"/>
      <c r="BF242" s="504">
        <f t="shared" si="170"/>
        <v>0</v>
      </c>
      <c r="BG242" s="510"/>
      <c r="BH242" s="508"/>
      <c r="BI242" s="508"/>
      <c r="BJ242" s="508"/>
      <c r="BK242" s="508"/>
      <c r="BL242" s="508"/>
      <c r="BM242" s="508"/>
      <c r="BN242" s="508"/>
      <c r="BO242" s="508"/>
      <c r="BP242" s="508"/>
      <c r="BQ242" s="508"/>
      <c r="BR242" s="509"/>
      <c r="BS242" s="504">
        <f t="shared" si="171"/>
        <v>0</v>
      </c>
      <c r="BT242" s="510"/>
      <c r="BU242" s="508"/>
      <c r="BV242" s="508"/>
      <c r="BW242" s="508"/>
      <c r="BX242" s="508"/>
      <c r="BY242" s="508"/>
      <c r="BZ242" s="508"/>
      <c r="CA242" s="508"/>
      <c r="CB242" s="508"/>
      <c r="CC242" s="508"/>
      <c r="CD242" s="508"/>
      <c r="CE242" s="509"/>
      <c r="CF242" s="504">
        <f t="shared" si="172"/>
        <v>0</v>
      </c>
      <c r="CG242" s="504"/>
      <c r="CH242" s="504">
        <f t="shared" si="173"/>
        <v>0</v>
      </c>
      <c r="CI242" s="559">
        <f t="shared" si="174"/>
        <v>0</v>
      </c>
      <c r="CJ242" s="504">
        <f t="shared" si="175"/>
        <v>0</v>
      </c>
      <c r="CK242" s="504">
        <f t="shared" si="177"/>
        <v>0</v>
      </c>
      <c r="CL242" s="504">
        <v>0</v>
      </c>
      <c r="CM242" s="504">
        <f t="shared" si="176"/>
        <v>0</v>
      </c>
    </row>
    <row r="243" spans="1:91" outlineLevel="1">
      <c r="A243" s="500"/>
      <c r="B243" s="516"/>
      <c r="C243" s="1423">
        <v>501.03</v>
      </c>
      <c r="D243" s="1424"/>
      <c r="E243" s="1424"/>
      <c r="F243" s="501"/>
      <c r="G243" s="501"/>
      <c r="H243" s="501" t="s">
        <v>498</v>
      </c>
      <c r="I243" s="501"/>
      <c r="J243" s="501"/>
      <c r="K243" s="501"/>
      <c r="L243" s="501"/>
      <c r="M243" s="517"/>
      <c r="N243" s="518"/>
      <c r="O243" s="504"/>
      <c r="P243" s="519"/>
      <c r="Q243" s="506">
        <v>182359</v>
      </c>
      <c r="R243" s="506">
        <v>37659</v>
      </c>
      <c r="S243" s="504"/>
      <c r="T243" s="507">
        <v>3710</v>
      </c>
      <c r="U243" s="508">
        <v>7686.75</v>
      </c>
      <c r="V243" s="508">
        <v>4950</v>
      </c>
      <c r="W243" s="508"/>
      <c r="X243" s="508">
        <v>10712.5</v>
      </c>
      <c r="Y243" s="508"/>
      <c r="Z243" s="508"/>
      <c r="AA243" s="508"/>
      <c r="AB243" s="508"/>
      <c r="AC243" s="508">
        <v>5300</v>
      </c>
      <c r="AD243" s="508"/>
      <c r="AE243" s="509">
        <v>5300</v>
      </c>
      <c r="AF243" s="504">
        <f t="shared" si="168"/>
        <v>37659.25</v>
      </c>
      <c r="AG243" s="510"/>
      <c r="AH243" s="549"/>
      <c r="AI243" s="508"/>
      <c r="AJ243" s="508"/>
      <c r="AK243" s="508"/>
      <c r="AL243" s="508"/>
      <c r="AM243" s="508"/>
      <c r="AN243" s="508"/>
      <c r="AO243" s="508"/>
      <c r="AP243" s="508"/>
      <c r="AQ243" s="508"/>
      <c r="AR243" s="509"/>
      <c r="AS243" s="504">
        <f t="shared" si="169"/>
        <v>0</v>
      </c>
      <c r="AT243" s="510"/>
      <c r="AU243" s="508"/>
      <c r="AV243" s="508"/>
      <c r="AW243" s="508"/>
      <c r="AX243" s="508"/>
      <c r="AY243" s="508"/>
      <c r="AZ243" s="508"/>
      <c r="BA243" s="508"/>
      <c r="BB243" s="508"/>
      <c r="BC243" s="508"/>
      <c r="BD243" s="508"/>
      <c r="BE243" s="509"/>
      <c r="BF243" s="504">
        <f t="shared" si="170"/>
        <v>0</v>
      </c>
      <c r="BG243" s="510"/>
      <c r="BH243" s="508"/>
      <c r="BI243" s="508"/>
      <c r="BJ243" s="508"/>
      <c r="BK243" s="508"/>
      <c r="BL243" s="508"/>
      <c r="BM243" s="508"/>
      <c r="BN243" s="508"/>
      <c r="BO243" s="508"/>
      <c r="BP243" s="508"/>
      <c r="BQ243" s="508"/>
      <c r="BR243" s="509"/>
      <c r="BS243" s="504">
        <f t="shared" si="171"/>
        <v>0</v>
      </c>
      <c r="BT243" s="510"/>
      <c r="BU243" s="508"/>
      <c r="BV243" s="508"/>
      <c r="BW243" s="508"/>
      <c r="BX243" s="508"/>
      <c r="BY243" s="508"/>
      <c r="BZ243" s="508"/>
      <c r="CA243" s="508"/>
      <c r="CB243" s="508"/>
      <c r="CC243" s="508"/>
      <c r="CD243" s="508"/>
      <c r="CE243" s="509"/>
      <c r="CF243" s="504">
        <f t="shared" si="172"/>
        <v>0</v>
      </c>
      <c r="CG243" s="504"/>
      <c r="CH243" s="504">
        <f t="shared" si="173"/>
        <v>37659.25</v>
      </c>
      <c r="CI243" s="559">
        <f t="shared" si="174"/>
        <v>0</v>
      </c>
      <c r="CJ243" s="504">
        <f t="shared" si="175"/>
        <v>37659.25</v>
      </c>
      <c r="CK243" s="504">
        <f t="shared" si="177"/>
        <v>0.25</v>
      </c>
      <c r="CL243" s="504">
        <v>37659.25</v>
      </c>
      <c r="CM243" s="504">
        <f t="shared" si="176"/>
        <v>0</v>
      </c>
    </row>
    <row r="244" spans="1:91" outlineLevel="1">
      <c r="A244" s="500"/>
      <c r="B244" s="516"/>
      <c r="C244" s="1423">
        <v>501.04</v>
      </c>
      <c r="D244" s="1424"/>
      <c r="E244" s="1424"/>
      <c r="F244" s="501"/>
      <c r="G244" s="501"/>
      <c r="H244" s="501" t="s">
        <v>499</v>
      </c>
      <c r="I244" s="501"/>
      <c r="J244" s="501"/>
      <c r="K244" s="501"/>
      <c r="L244" s="501"/>
      <c r="M244" s="517"/>
      <c r="N244" s="518"/>
      <c r="O244" s="504"/>
      <c r="P244" s="519"/>
      <c r="Q244" s="506"/>
      <c r="R244" s="506">
        <v>41827</v>
      </c>
      <c r="S244" s="504"/>
      <c r="T244" s="507"/>
      <c r="U244" s="508"/>
      <c r="V244" s="508"/>
      <c r="W244" s="508"/>
      <c r="X244" s="508"/>
      <c r="Y244" s="508"/>
      <c r="Z244" s="508"/>
      <c r="AA244" s="508"/>
      <c r="AB244" s="508"/>
      <c r="AC244" s="508"/>
      <c r="AD244" s="508"/>
      <c r="AE244" s="509"/>
      <c r="AF244" s="504">
        <f t="shared" si="168"/>
        <v>0</v>
      </c>
      <c r="AG244" s="510"/>
      <c r="AH244" s="549"/>
      <c r="AI244" s="508"/>
      <c r="AJ244" s="508"/>
      <c r="AK244" s="508">
        <f>19106+3370</f>
        <v>22476</v>
      </c>
      <c r="AL244" s="508"/>
      <c r="AM244" s="508"/>
      <c r="AN244" s="508"/>
      <c r="AO244" s="508"/>
      <c r="AP244" s="508"/>
      <c r="AQ244" s="508"/>
      <c r="AR244" s="509"/>
      <c r="AS244" s="504">
        <f t="shared" si="169"/>
        <v>22476</v>
      </c>
      <c r="AT244" s="510"/>
      <c r="AU244" s="508"/>
      <c r="AV244" s="508"/>
      <c r="AW244" s="508"/>
      <c r="AX244" s="508"/>
      <c r="AY244" s="508"/>
      <c r="AZ244" s="508"/>
      <c r="BA244" s="508"/>
      <c r="BB244" s="508"/>
      <c r="BC244" s="508"/>
      <c r="BD244" s="508"/>
      <c r="BE244" s="509"/>
      <c r="BF244" s="504">
        <f t="shared" si="170"/>
        <v>0</v>
      </c>
      <c r="BG244" s="510"/>
      <c r="BH244" s="508"/>
      <c r="BI244" s="508"/>
      <c r="BJ244" s="508"/>
      <c r="BK244" s="508"/>
      <c r="BL244" s="508"/>
      <c r="BM244" s="508"/>
      <c r="BN244" s="508"/>
      <c r="BO244" s="508"/>
      <c r="BP244" s="508"/>
      <c r="BQ244" s="508"/>
      <c r="BR244" s="509"/>
      <c r="BS244" s="504">
        <f t="shared" si="171"/>
        <v>0</v>
      </c>
      <c r="BT244" s="510"/>
      <c r="BU244" s="508"/>
      <c r="BV244" s="508"/>
      <c r="BW244" s="508"/>
      <c r="BX244" s="508"/>
      <c r="BY244" s="508"/>
      <c r="BZ244" s="508"/>
      <c r="CA244" s="508"/>
      <c r="CB244" s="508"/>
      <c r="CC244" s="508"/>
      <c r="CD244" s="508"/>
      <c r="CE244" s="509"/>
      <c r="CF244" s="504">
        <f t="shared" si="172"/>
        <v>0</v>
      </c>
      <c r="CG244" s="504"/>
      <c r="CH244" s="504">
        <f t="shared" si="173"/>
        <v>22476</v>
      </c>
      <c r="CI244" s="559">
        <f t="shared" si="174"/>
        <v>0</v>
      </c>
      <c r="CJ244" s="504">
        <f t="shared" si="175"/>
        <v>22476</v>
      </c>
      <c r="CK244" s="504">
        <f t="shared" si="177"/>
        <v>-19351</v>
      </c>
      <c r="CL244" s="504">
        <v>22476</v>
      </c>
      <c r="CM244" s="504">
        <f t="shared" si="176"/>
        <v>0</v>
      </c>
    </row>
    <row r="245" spans="1:91" outlineLevel="1">
      <c r="A245" s="654"/>
      <c r="B245" s="655"/>
      <c r="C245" s="516"/>
      <c r="D245" s="516"/>
      <c r="E245" s="657"/>
      <c r="F245" s="656"/>
      <c r="G245" s="501"/>
      <c r="H245" s="501"/>
      <c r="I245" s="501"/>
      <c r="J245" s="656"/>
      <c r="K245" s="501"/>
      <c r="L245" s="501"/>
      <c r="M245" s="517"/>
      <c r="N245" s="518"/>
      <c r="O245" s="504"/>
      <c r="P245" s="519"/>
      <c r="Q245" s="506">
        <v>0</v>
      </c>
      <c r="R245" s="506">
        <v>0</v>
      </c>
      <c r="S245" s="504"/>
      <c r="T245" s="507"/>
      <c r="U245" s="508"/>
      <c r="V245" s="508"/>
      <c r="W245" s="508"/>
      <c r="X245" s="508"/>
      <c r="Y245" s="508"/>
      <c r="Z245" s="508"/>
      <c r="AA245" s="508"/>
      <c r="AB245" s="508"/>
      <c r="AC245" s="508"/>
      <c r="AD245" s="508"/>
      <c r="AE245" s="509"/>
      <c r="AF245" s="504">
        <f t="shared" si="168"/>
        <v>0</v>
      </c>
      <c r="AG245" s="510"/>
      <c r="AH245" s="508"/>
      <c r="AI245" s="508"/>
      <c r="AJ245" s="508"/>
      <c r="AK245" s="508"/>
      <c r="AL245" s="508"/>
      <c r="AM245" s="508"/>
      <c r="AN245" s="508"/>
      <c r="AO245" s="508"/>
      <c r="AP245" s="508"/>
      <c r="AQ245" s="508"/>
      <c r="AR245" s="509"/>
      <c r="AS245" s="504">
        <f t="shared" si="169"/>
        <v>0</v>
      </c>
      <c r="AT245" s="510"/>
      <c r="AU245" s="508"/>
      <c r="AV245" s="508"/>
      <c r="AW245" s="508"/>
      <c r="AX245" s="508"/>
      <c r="AY245" s="508"/>
      <c r="AZ245" s="508"/>
      <c r="BA245" s="508"/>
      <c r="BB245" s="508"/>
      <c r="BC245" s="508"/>
      <c r="BD245" s="508"/>
      <c r="BE245" s="509"/>
      <c r="BF245" s="504">
        <f t="shared" si="170"/>
        <v>0</v>
      </c>
      <c r="BG245" s="510"/>
      <c r="BH245" s="508"/>
      <c r="BI245" s="508"/>
      <c r="BJ245" s="508"/>
      <c r="BK245" s="508"/>
      <c r="BL245" s="508"/>
      <c r="BM245" s="508"/>
      <c r="BN245" s="508"/>
      <c r="BO245" s="508"/>
      <c r="BP245" s="508"/>
      <c r="BQ245" s="508"/>
      <c r="BR245" s="509"/>
      <c r="BS245" s="504">
        <f t="shared" si="171"/>
        <v>0</v>
      </c>
      <c r="BT245" s="510"/>
      <c r="BU245" s="508"/>
      <c r="BV245" s="508"/>
      <c r="BW245" s="508"/>
      <c r="BX245" s="508"/>
      <c r="BY245" s="508"/>
      <c r="BZ245" s="508"/>
      <c r="CA245" s="508"/>
      <c r="CB245" s="508"/>
      <c r="CC245" s="508"/>
      <c r="CD245" s="508"/>
      <c r="CE245" s="509"/>
      <c r="CF245" s="504">
        <f t="shared" si="172"/>
        <v>0</v>
      </c>
      <c r="CG245" s="504"/>
      <c r="CH245" s="504">
        <f t="shared" si="173"/>
        <v>0</v>
      </c>
      <c r="CI245" s="559">
        <f t="shared" si="174"/>
        <v>0</v>
      </c>
      <c r="CJ245" s="504">
        <f t="shared" si="175"/>
        <v>0</v>
      </c>
      <c r="CK245" s="504">
        <f t="shared" si="177"/>
        <v>0</v>
      </c>
      <c r="CL245" s="504">
        <v>0</v>
      </c>
      <c r="CM245" s="504">
        <f t="shared" si="176"/>
        <v>0</v>
      </c>
    </row>
    <row r="246" spans="1:91" outlineLevel="1">
      <c r="A246" s="500"/>
      <c r="B246" s="1423">
        <v>502</v>
      </c>
      <c r="C246" s="1424"/>
      <c r="D246" s="1424"/>
      <c r="E246" s="525"/>
      <c r="F246" s="501"/>
      <c r="G246" s="501" t="s">
        <v>500</v>
      </c>
      <c r="H246" s="501"/>
      <c r="I246" s="501"/>
      <c r="J246" s="501"/>
      <c r="K246" s="501"/>
      <c r="L246" s="501"/>
      <c r="M246" s="502"/>
      <c r="N246" s="503"/>
      <c r="O246" s="504"/>
      <c r="P246" s="505"/>
      <c r="Q246" s="506">
        <v>0</v>
      </c>
      <c r="R246" s="506">
        <v>0</v>
      </c>
      <c r="S246" s="504"/>
      <c r="T246" s="507"/>
      <c r="U246" s="508"/>
      <c r="V246" s="508"/>
      <c r="W246" s="508"/>
      <c r="X246" s="508"/>
      <c r="Y246" s="508"/>
      <c r="Z246" s="508"/>
      <c r="AA246" s="508"/>
      <c r="AB246" s="508"/>
      <c r="AC246" s="508"/>
      <c r="AD246" s="508"/>
      <c r="AE246" s="509"/>
      <c r="AF246" s="504">
        <f t="shared" si="168"/>
        <v>0</v>
      </c>
      <c r="AG246" s="510"/>
      <c r="AH246" s="508"/>
      <c r="AI246" s="508"/>
      <c r="AJ246" s="508"/>
      <c r="AK246" s="508"/>
      <c r="AL246" s="508"/>
      <c r="AM246" s="508"/>
      <c r="AN246" s="508"/>
      <c r="AO246" s="508"/>
      <c r="AP246" s="508"/>
      <c r="AQ246" s="508"/>
      <c r="AR246" s="509"/>
      <c r="AS246" s="504">
        <f t="shared" si="169"/>
        <v>0</v>
      </c>
      <c r="AT246" s="510"/>
      <c r="AU246" s="508"/>
      <c r="AV246" s="508"/>
      <c r="AW246" s="508"/>
      <c r="AX246" s="508"/>
      <c r="AY246" s="508"/>
      <c r="AZ246" s="508"/>
      <c r="BA246" s="508"/>
      <c r="BB246" s="508"/>
      <c r="BC246" s="508"/>
      <c r="BD246" s="508"/>
      <c r="BE246" s="509"/>
      <c r="BF246" s="504">
        <f t="shared" si="170"/>
        <v>0</v>
      </c>
      <c r="BG246" s="510"/>
      <c r="BH246" s="508"/>
      <c r="BI246" s="508"/>
      <c r="BJ246" s="508"/>
      <c r="BK246" s="508"/>
      <c r="BL246" s="508"/>
      <c r="BM246" s="508"/>
      <c r="BN246" s="508"/>
      <c r="BO246" s="508"/>
      <c r="BP246" s="508"/>
      <c r="BQ246" s="508"/>
      <c r="BR246" s="509"/>
      <c r="BS246" s="504">
        <f t="shared" si="171"/>
        <v>0</v>
      </c>
      <c r="BT246" s="510"/>
      <c r="BU246" s="508"/>
      <c r="BV246" s="508"/>
      <c r="BW246" s="508"/>
      <c r="BX246" s="508"/>
      <c r="BY246" s="508"/>
      <c r="BZ246" s="508"/>
      <c r="CA246" s="508"/>
      <c r="CB246" s="508"/>
      <c r="CC246" s="508"/>
      <c r="CD246" s="508"/>
      <c r="CE246" s="509"/>
      <c r="CF246" s="504">
        <f t="shared" si="172"/>
        <v>0</v>
      </c>
      <c r="CG246" s="504"/>
      <c r="CH246" s="504">
        <f t="shared" si="173"/>
        <v>0</v>
      </c>
      <c r="CI246" s="559">
        <f t="shared" si="174"/>
        <v>0</v>
      </c>
      <c r="CJ246" s="504">
        <f t="shared" si="175"/>
        <v>0</v>
      </c>
      <c r="CK246" s="504">
        <f t="shared" si="177"/>
        <v>0</v>
      </c>
      <c r="CL246" s="504">
        <v>0</v>
      </c>
      <c r="CM246" s="504">
        <f t="shared" si="176"/>
        <v>0</v>
      </c>
    </row>
    <row r="247" spans="1:91" outlineLevel="1">
      <c r="A247" s="500"/>
      <c r="B247" s="516"/>
      <c r="C247" s="1423">
        <v>502.01</v>
      </c>
      <c r="D247" s="1424"/>
      <c r="E247" s="1424"/>
      <c r="F247" s="501"/>
      <c r="G247" s="501"/>
      <c r="H247" s="501" t="s">
        <v>501</v>
      </c>
      <c r="I247" s="501"/>
      <c r="J247" s="501"/>
      <c r="K247" s="501"/>
      <c r="L247" s="501"/>
      <c r="M247" s="517"/>
      <c r="N247" s="518"/>
      <c r="O247" s="504"/>
      <c r="P247" s="519"/>
      <c r="Q247" s="506">
        <v>67408.350000000006</v>
      </c>
      <c r="R247" s="506">
        <v>68453</v>
      </c>
      <c r="S247" s="504"/>
      <c r="T247" s="507"/>
      <c r="U247" s="508">
        <v>462</v>
      </c>
      <c r="V247" s="508">
        <v>13319.85</v>
      </c>
      <c r="W247" s="508">
        <v>429</v>
      </c>
      <c r="X247" s="508"/>
      <c r="Y247" s="508">
        <v>1365</v>
      </c>
      <c r="Z247" s="508">
        <v>5952</v>
      </c>
      <c r="AA247" s="508"/>
      <c r="AB247" s="508">
        <v>3244.5</v>
      </c>
      <c r="AC247" s="508">
        <v>1716</v>
      </c>
      <c r="AD247" s="508">
        <v>920</v>
      </c>
      <c r="AE247" s="509">
        <v>960</v>
      </c>
      <c r="AF247" s="504">
        <f t="shared" si="168"/>
        <v>28368.35</v>
      </c>
      <c r="AG247" s="510"/>
      <c r="AH247" s="549">
        <v>85</v>
      </c>
      <c r="AI247" s="508"/>
      <c r="AJ247" s="549"/>
      <c r="AK247" s="549"/>
      <c r="AL247" s="549"/>
      <c r="AM247" s="549"/>
      <c r="AN247" s="549"/>
      <c r="AO247" s="549"/>
      <c r="AP247" s="549"/>
      <c r="AQ247" s="508"/>
      <c r="AR247" s="509"/>
      <c r="AS247" s="504">
        <f t="shared" si="169"/>
        <v>85</v>
      </c>
      <c r="AT247" s="510"/>
      <c r="AU247" s="508"/>
      <c r="AV247" s="508"/>
      <c r="AW247" s="508"/>
      <c r="AX247" s="508"/>
      <c r="AY247" s="508"/>
      <c r="AZ247" s="508"/>
      <c r="BA247" s="508"/>
      <c r="BB247" s="508"/>
      <c r="BC247" s="508"/>
      <c r="BD247" s="508"/>
      <c r="BE247" s="509"/>
      <c r="BF247" s="504">
        <f t="shared" si="170"/>
        <v>0</v>
      </c>
      <c r="BG247" s="510"/>
      <c r="BH247" s="508"/>
      <c r="BI247" s="508"/>
      <c r="BJ247" s="508"/>
      <c r="BK247" s="508"/>
      <c r="BL247" s="508"/>
      <c r="BM247" s="508"/>
      <c r="BN247" s="508"/>
      <c r="BO247" s="508"/>
      <c r="BP247" s="508"/>
      <c r="BQ247" s="508"/>
      <c r="BR247" s="509"/>
      <c r="BS247" s="504">
        <f t="shared" si="171"/>
        <v>0</v>
      </c>
      <c r="BT247" s="510"/>
      <c r="BU247" s="508"/>
      <c r="BV247" s="508"/>
      <c r="BW247" s="508"/>
      <c r="BX247" s="508"/>
      <c r="BY247" s="508"/>
      <c r="BZ247" s="508"/>
      <c r="CA247" s="508"/>
      <c r="CB247" s="508"/>
      <c r="CC247" s="508"/>
      <c r="CD247" s="508"/>
      <c r="CE247" s="509"/>
      <c r="CF247" s="504">
        <f t="shared" si="172"/>
        <v>0</v>
      </c>
      <c r="CG247" s="504"/>
      <c r="CH247" s="504">
        <f t="shared" si="173"/>
        <v>28453.35</v>
      </c>
      <c r="CI247" s="559">
        <f t="shared" si="174"/>
        <v>0</v>
      </c>
      <c r="CJ247" s="504">
        <f t="shared" si="175"/>
        <v>28453.35</v>
      </c>
      <c r="CK247" s="504">
        <f t="shared" si="177"/>
        <v>-39999.65</v>
      </c>
      <c r="CL247" s="504">
        <v>28453.35</v>
      </c>
      <c r="CM247" s="504">
        <f t="shared" si="176"/>
        <v>0</v>
      </c>
    </row>
    <row r="248" spans="1:91" outlineLevel="1">
      <c r="A248" s="654"/>
      <c r="B248" s="655"/>
      <c r="C248" s="1423">
        <v>502.02</v>
      </c>
      <c r="D248" s="1424"/>
      <c r="E248" s="1424"/>
      <c r="F248" s="656"/>
      <c r="G248" s="501"/>
      <c r="H248" s="501" t="s">
        <v>502</v>
      </c>
      <c r="I248" s="656"/>
      <c r="J248" s="656"/>
      <c r="K248" s="501"/>
      <c r="L248" s="501"/>
      <c r="M248" s="517"/>
      <c r="N248" s="518"/>
      <c r="O248" s="504"/>
      <c r="P248" s="519"/>
      <c r="Q248" s="506">
        <v>100000</v>
      </c>
      <c r="R248" s="506">
        <v>100000</v>
      </c>
      <c r="S248" s="504"/>
      <c r="T248" s="507"/>
      <c r="U248" s="508"/>
      <c r="V248" s="508"/>
      <c r="W248" s="508"/>
      <c r="X248" s="508"/>
      <c r="Y248" s="508"/>
      <c r="Z248" s="508"/>
      <c r="AA248" s="508"/>
      <c r="AB248" s="508"/>
      <c r="AC248" s="508"/>
      <c r="AD248" s="508"/>
      <c r="AE248" s="509"/>
      <c r="AF248" s="504">
        <f t="shared" si="168"/>
        <v>0</v>
      </c>
      <c r="AG248" s="510"/>
      <c r="AH248" s="549">
        <v>0</v>
      </c>
      <c r="AI248" s="508"/>
      <c r="AJ248" s="549"/>
      <c r="AK248" s="549"/>
      <c r="AL248" s="549"/>
      <c r="AM248" s="508"/>
      <c r="AN248" s="549"/>
      <c r="AO248" s="549"/>
      <c r="AP248" s="549"/>
      <c r="AQ248" s="508"/>
      <c r="AR248" s="509"/>
      <c r="AS248" s="504">
        <f t="shared" si="169"/>
        <v>0</v>
      </c>
      <c r="AT248" s="510"/>
      <c r="AU248" s="508"/>
      <c r="AV248" s="508"/>
      <c r="AW248" s="508"/>
      <c r="AX248" s="508"/>
      <c r="AY248" s="508"/>
      <c r="AZ248" s="508"/>
      <c r="BA248" s="508"/>
      <c r="BB248" s="508"/>
      <c r="BC248" s="508"/>
      <c r="BD248" s="508"/>
      <c r="BE248" s="509"/>
      <c r="BF248" s="504">
        <f t="shared" si="170"/>
        <v>0</v>
      </c>
      <c r="BG248" s="510"/>
      <c r="BH248" s="508"/>
      <c r="BI248" s="508"/>
      <c r="BJ248" s="508"/>
      <c r="BK248" s="508"/>
      <c r="BL248" s="508"/>
      <c r="BM248" s="508"/>
      <c r="BN248" s="508"/>
      <c r="BO248" s="508"/>
      <c r="BP248" s="508"/>
      <c r="BQ248" s="508"/>
      <c r="BR248" s="509"/>
      <c r="BS248" s="504">
        <f t="shared" si="171"/>
        <v>0</v>
      </c>
      <c r="BT248" s="510"/>
      <c r="BU248" s="508"/>
      <c r="BV248" s="508"/>
      <c r="BW248" s="508"/>
      <c r="BX248" s="508"/>
      <c r="BY248" s="508"/>
      <c r="BZ248" s="508"/>
      <c r="CA248" s="508"/>
      <c r="CB248" s="508"/>
      <c r="CC248" s="508"/>
      <c r="CD248" s="508"/>
      <c r="CE248" s="509"/>
      <c r="CF248" s="504">
        <f t="shared" si="172"/>
        <v>0</v>
      </c>
      <c r="CG248" s="504"/>
      <c r="CH248" s="504">
        <f t="shared" si="173"/>
        <v>0</v>
      </c>
      <c r="CI248" s="559">
        <f t="shared" si="174"/>
        <v>0</v>
      </c>
      <c r="CJ248" s="504">
        <f t="shared" si="175"/>
        <v>0</v>
      </c>
      <c r="CK248" s="504">
        <f t="shared" si="177"/>
        <v>-100000</v>
      </c>
      <c r="CL248" s="504">
        <v>0</v>
      </c>
      <c r="CM248" s="504">
        <f t="shared" si="176"/>
        <v>0</v>
      </c>
    </row>
    <row r="249" spans="1:91" outlineLevel="1">
      <c r="A249" s="654"/>
      <c r="B249" s="655"/>
      <c r="C249" s="1423">
        <v>502.03</v>
      </c>
      <c r="D249" s="1424"/>
      <c r="E249" s="1424"/>
      <c r="F249" s="656"/>
      <c r="G249" s="501"/>
      <c r="H249" s="501" t="s">
        <v>503</v>
      </c>
      <c r="I249" s="656"/>
      <c r="J249" s="656"/>
      <c r="K249" s="501"/>
      <c r="L249" s="501"/>
      <c r="M249" s="517"/>
      <c r="N249" s="518"/>
      <c r="O249" s="504"/>
      <c r="P249" s="519"/>
      <c r="Q249" s="506">
        <v>37394.58</v>
      </c>
      <c r="R249" s="506">
        <v>24013</v>
      </c>
      <c r="S249" s="504"/>
      <c r="T249" s="507"/>
      <c r="U249" s="508"/>
      <c r="V249" s="508"/>
      <c r="W249" s="508"/>
      <c r="X249" s="508"/>
      <c r="Y249" s="508"/>
      <c r="Z249" s="508"/>
      <c r="AA249" s="508"/>
      <c r="AB249" s="508"/>
      <c r="AC249" s="508"/>
      <c r="AD249" s="508">
        <v>17394.580000000002</v>
      </c>
      <c r="AE249" s="550">
        <f>6617.95+20000</f>
        <v>26617.95</v>
      </c>
      <c r="AF249" s="504">
        <f t="shared" si="168"/>
        <v>44012.53</v>
      </c>
      <c r="AG249" s="510">
        <f>-20000+20000</f>
        <v>0</v>
      </c>
      <c r="AH249" s="508">
        <v>-20000</v>
      </c>
      <c r="AI249" s="508"/>
      <c r="AJ249" s="549"/>
      <c r="AK249" s="508"/>
      <c r="AL249" s="508"/>
      <c r="AM249" s="508"/>
      <c r="AN249" s="508"/>
      <c r="AO249" s="508"/>
      <c r="AP249" s="508"/>
      <c r="AQ249" s="508"/>
      <c r="AR249" s="509"/>
      <c r="AS249" s="504">
        <f t="shared" si="169"/>
        <v>-20000</v>
      </c>
      <c r="AT249" s="510"/>
      <c r="AU249" s="508"/>
      <c r="AV249" s="508"/>
      <c r="AW249" s="508"/>
      <c r="AX249" s="508"/>
      <c r="AY249" s="508"/>
      <c r="AZ249" s="508"/>
      <c r="BA249" s="508"/>
      <c r="BB249" s="508"/>
      <c r="BC249" s="508"/>
      <c r="BD249" s="508"/>
      <c r="BE249" s="509"/>
      <c r="BF249" s="504">
        <f t="shared" si="170"/>
        <v>0</v>
      </c>
      <c r="BG249" s="510"/>
      <c r="BH249" s="508"/>
      <c r="BI249" s="508"/>
      <c r="BJ249" s="508"/>
      <c r="BK249" s="508"/>
      <c r="BL249" s="508"/>
      <c r="BM249" s="508"/>
      <c r="BN249" s="508"/>
      <c r="BO249" s="508"/>
      <c r="BP249" s="508"/>
      <c r="BQ249" s="508"/>
      <c r="BR249" s="509"/>
      <c r="BS249" s="504">
        <f t="shared" si="171"/>
        <v>0</v>
      </c>
      <c r="BT249" s="510"/>
      <c r="BU249" s="508"/>
      <c r="BV249" s="508"/>
      <c r="BW249" s="508"/>
      <c r="BX249" s="508"/>
      <c r="BY249" s="508"/>
      <c r="BZ249" s="508"/>
      <c r="CA249" s="508"/>
      <c r="CB249" s="508"/>
      <c r="CC249" s="508"/>
      <c r="CD249" s="508"/>
      <c r="CE249" s="509"/>
      <c r="CF249" s="504">
        <f t="shared" si="172"/>
        <v>0</v>
      </c>
      <c r="CG249" s="504"/>
      <c r="CH249" s="504">
        <f t="shared" si="173"/>
        <v>24012.53</v>
      </c>
      <c r="CI249" s="504">
        <f t="shared" si="174"/>
        <v>0</v>
      </c>
      <c r="CJ249" s="504">
        <f t="shared" si="175"/>
        <v>24012.53</v>
      </c>
      <c r="CK249" s="504">
        <f t="shared" si="177"/>
        <v>-0.47000000000116415</v>
      </c>
      <c r="CL249" s="504">
        <v>24012.53</v>
      </c>
      <c r="CM249" s="504">
        <f t="shared" si="176"/>
        <v>0</v>
      </c>
    </row>
    <row r="250" spans="1:91" outlineLevel="1">
      <c r="A250" s="654"/>
      <c r="B250" s="655"/>
      <c r="C250" s="1423">
        <v>502.04</v>
      </c>
      <c r="D250" s="1424"/>
      <c r="E250" s="1424"/>
      <c r="F250" s="656"/>
      <c r="G250" s="501"/>
      <c r="H250" s="501" t="s">
        <v>504</v>
      </c>
      <c r="I250" s="656"/>
      <c r="J250" s="656"/>
      <c r="K250" s="501"/>
      <c r="L250" s="501"/>
      <c r="M250" s="517"/>
      <c r="N250" s="518"/>
      <c r="O250" s="504"/>
      <c r="P250" s="519"/>
      <c r="Q250" s="506">
        <v>0</v>
      </c>
      <c r="R250" s="506">
        <v>1190</v>
      </c>
      <c r="S250" s="504"/>
      <c r="T250" s="507"/>
      <c r="U250" s="508"/>
      <c r="V250" s="508"/>
      <c r="W250" s="508"/>
      <c r="X250" s="508"/>
      <c r="Y250" s="508"/>
      <c r="Z250" s="508"/>
      <c r="AA250" s="508"/>
      <c r="AB250" s="508"/>
      <c r="AC250" s="508"/>
      <c r="AD250" s="508"/>
      <c r="AE250" s="550">
        <f>303.63-308.59</f>
        <v>-4.9599999999999795</v>
      </c>
      <c r="AF250" s="504">
        <f t="shared" si="168"/>
        <v>-4.9599999999999795</v>
      </c>
      <c r="AG250" s="510"/>
      <c r="AH250" s="508"/>
      <c r="AI250" s="508">
        <v>1194.9100000000001</v>
      </c>
      <c r="AJ250" s="508"/>
      <c r="AK250" s="508"/>
      <c r="AL250" s="508"/>
      <c r="AM250" s="508"/>
      <c r="AN250" s="508"/>
      <c r="AO250" s="508"/>
      <c r="AP250" s="508"/>
      <c r="AQ250" s="508"/>
      <c r="AR250" s="509">
        <f>2127.5+4074.78</f>
        <v>6202.2800000000007</v>
      </c>
      <c r="AS250" s="504">
        <f t="shared" si="169"/>
        <v>7397.1900000000005</v>
      </c>
      <c r="AT250" s="510">
        <f>-4152.5+4152.5+1908.2</f>
        <v>1908.2</v>
      </c>
      <c r="AU250" s="508"/>
      <c r="AV250" s="508">
        <v>-21.93</v>
      </c>
      <c r="AW250" s="508"/>
      <c r="AX250" s="508"/>
      <c r="AY250" s="508"/>
      <c r="AZ250" s="508"/>
      <c r="BA250" s="508"/>
      <c r="BB250" s="508"/>
      <c r="BC250" s="508"/>
      <c r="BD250" s="508"/>
      <c r="BE250" s="509"/>
      <c r="BF250" s="504">
        <f t="shared" si="170"/>
        <v>1886.27</v>
      </c>
      <c r="BG250" s="510"/>
      <c r="BH250" s="508"/>
      <c r="BI250" s="508"/>
      <c r="BJ250" s="508"/>
      <c r="BK250" s="508"/>
      <c r="BL250" s="508"/>
      <c r="BM250" s="508"/>
      <c r="BN250" s="508"/>
      <c r="BO250" s="508"/>
      <c r="BP250" s="508"/>
      <c r="BQ250" s="508"/>
      <c r="BR250" s="509"/>
      <c r="BS250" s="504">
        <f t="shared" si="171"/>
        <v>0</v>
      </c>
      <c r="BT250" s="510"/>
      <c r="BU250" s="508"/>
      <c r="BV250" s="508"/>
      <c r="BW250" s="508"/>
      <c r="BX250" s="508"/>
      <c r="BY250" s="508"/>
      <c r="BZ250" s="508"/>
      <c r="CA250" s="508"/>
      <c r="CB250" s="508"/>
      <c r="CC250" s="508"/>
      <c r="CD250" s="508"/>
      <c r="CE250" s="509"/>
      <c r="CF250" s="504">
        <f t="shared" si="172"/>
        <v>0</v>
      </c>
      <c r="CG250" s="504"/>
      <c r="CH250" s="504">
        <f t="shared" si="173"/>
        <v>9278.5</v>
      </c>
      <c r="CI250" s="559">
        <f t="shared" si="174"/>
        <v>0</v>
      </c>
      <c r="CJ250" s="504">
        <f t="shared" si="175"/>
        <v>9278.5</v>
      </c>
      <c r="CK250" s="504">
        <f t="shared" si="177"/>
        <v>8088.5</v>
      </c>
      <c r="CL250" s="504">
        <v>9278.5</v>
      </c>
      <c r="CM250" s="504">
        <f t="shared" si="176"/>
        <v>0</v>
      </c>
    </row>
    <row r="251" spans="1:91" outlineLevel="1">
      <c r="A251" s="500"/>
      <c r="B251" s="526"/>
      <c r="C251" s="526"/>
      <c r="D251" s="501"/>
      <c r="E251" s="501"/>
      <c r="F251" s="501"/>
      <c r="G251" s="501"/>
      <c r="H251" s="501"/>
      <c r="I251" s="501"/>
      <c r="J251" s="501"/>
      <c r="K251" s="501"/>
      <c r="L251" s="501"/>
      <c r="M251" s="517"/>
      <c r="N251" s="518"/>
      <c r="O251" s="504"/>
      <c r="P251" s="519"/>
      <c r="Q251" s="506">
        <v>0</v>
      </c>
      <c r="R251" s="506">
        <v>0</v>
      </c>
      <c r="S251" s="504"/>
      <c r="T251" s="507"/>
      <c r="U251" s="508"/>
      <c r="V251" s="508"/>
      <c r="W251" s="508"/>
      <c r="X251" s="508"/>
      <c r="Y251" s="508"/>
      <c r="Z251" s="508"/>
      <c r="AA251" s="508"/>
      <c r="AB251" s="508"/>
      <c r="AC251" s="508"/>
      <c r="AD251" s="508"/>
      <c r="AE251" s="509"/>
      <c r="AF251" s="504">
        <f t="shared" si="168"/>
        <v>0</v>
      </c>
      <c r="AG251" s="510"/>
      <c r="AH251" s="508"/>
      <c r="AI251" s="508"/>
      <c r="AJ251" s="508"/>
      <c r="AK251" s="508"/>
      <c r="AL251" s="508"/>
      <c r="AM251" s="508"/>
      <c r="AN251" s="508"/>
      <c r="AO251" s="508"/>
      <c r="AP251" s="508"/>
      <c r="AQ251" s="508"/>
      <c r="AR251" s="509"/>
      <c r="AS251" s="504">
        <f t="shared" si="169"/>
        <v>0</v>
      </c>
      <c r="AT251" s="510"/>
      <c r="AU251" s="508"/>
      <c r="AV251" s="508"/>
      <c r="AW251" s="508"/>
      <c r="AX251" s="508"/>
      <c r="AY251" s="508"/>
      <c r="AZ251" s="508"/>
      <c r="BA251" s="508"/>
      <c r="BB251" s="508"/>
      <c r="BC251" s="508"/>
      <c r="BD251" s="508"/>
      <c r="BE251" s="509"/>
      <c r="BF251" s="504">
        <f t="shared" si="170"/>
        <v>0</v>
      </c>
      <c r="BG251" s="510"/>
      <c r="BH251" s="508"/>
      <c r="BI251" s="508"/>
      <c r="BJ251" s="508"/>
      <c r="BK251" s="508"/>
      <c r="BL251" s="549"/>
      <c r="BM251" s="508"/>
      <c r="BN251" s="508"/>
      <c r="BO251" s="508"/>
      <c r="BP251" s="508"/>
      <c r="BQ251" s="508"/>
      <c r="BR251" s="509"/>
      <c r="BS251" s="504">
        <f t="shared" si="171"/>
        <v>0</v>
      </c>
      <c r="BT251" s="510"/>
      <c r="BU251" s="508"/>
      <c r="BV251" s="508"/>
      <c r="BW251" s="508"/>
      <c r="BX251" s="508"/>
      <c r="BY251" s="508"/>
      <c r="BZ251" s="508"/>
      <c r="CA251" s="508"/>
      <c r="CB251" s="508"/>
      <c r="CC251" s="508"/>
      <c r="CD251" s="508"/>
      <c r="CE251" s="509"/>
      <c r="CF251" s="504">
        <f t="shared" si="172"/>
        <v>0</v>
      </c>
      <c r="CG251" s="504"/>
      <c r="CH251" s="504">
        <f t="shared" si="173"/>
        <v>0</v>
      </c>
      <c r="CI251" s="504">
        <f t="shared" si="174"/>
        <v>0</v>
      </c>
      <c r="CJ251" s="504">
        <f t="shared" si="175"/>
        <v>0</v>
      </c>
      <c r="CK251" s="504">
        <f t="shared" si="177"/>
        <v>0</v>
      </c>
      <c r="CL251" s="504">
        <v>0</v>
      </c>
      <c r="CM251" s="504">
        <f t="shared" si="176"/>
        <v>0</v>
      </c>
    </row>
    <row r="252" spans="1:91" outlineLevel="1">
      <c r="A252" s="500"/>
      <c r="B252" s="1423">
        <v>503</v>
      </c>
      <c r="C252" s="1424"/>
      <c r="D252" s="1424"/>
      <c r="E252" s="525"/>
      <c r="F252" s="501"/>
      <c r="G252" s="501" t="s">
        <v>505</v>
      </c>
      <c r="H252" s="501"/>
      <c r="I252" s="501"/>
      <c r="J252" s="501"/>
      <c r="K252" s="501"/>
      <c r="L252" s="501"/>
      <c r="M252" s="502"/>
      <c r="N252" s="503"/>
      <c r="O252" s="504"/>
      <c r="P252" s="505"/>
      <c r="Q252" s="506">
        <f t="shared" ref="Q252:AV252" si="178">SUBTOTAL(9,Q253:Q263)</f>
        <v>689000</v>
      </c>
      <c r="R252" s="541">
        <f t="shared" si="178"/>
        <v>689000</v>
      </c>
      <c r="S252" s="539">
        <f t="shared" si="178"/>
        <v>0</v>
      </c>
      <c r="T252" s="542">
        <f t="shared" si="178"/>
        <v>0</v>
      </c>
      <c r="U252" s="543">
        <f t="shared" si="178"/>
        <v>0</v>
      </c>
      <c r="V252" s="543">
        <f t="shared" si="178"/>
        <v>0</v>
      </c>
      <c r="W252" s="543">
        <f t="shared" si="178"/>
        <v>0</v>
      </c>
      <c r="X252" s="543">
        <f t="shared" si="178"/>
        <v>0</v>
      </c>
      <c r="Y252" s="543">
        <f t="shared" si="178"/>
        <v>0</v>
      </c>
      <c r="Z252" s="543">
        <f t="shared" si="178"/>
        <v>0</v>
      </c>
      <c r="AA252" s="543">
        <f t="shared" si="178"/>
        <v>0</v>
      </c>
      <c r="AB252" s="543">
        <f t="shared" si="178"/>
        <v>0</v>
      </c>
      <c r="AC252" s="543">
        <f t="shared" si="178"/>
        <v>0</v>
      </c>
      <c r="AD252" s="543">
        <f t="shared" si="178"/>
        <v>0</v>
      </c>
      <c r="AE252" s="544">
        <f t="shared" si="178"/>
        <v>0</v>
      </c>
      <c r="AF252" s="539">
        <f t="shared" si="178"/>
        <v>0</v>
      </c>
      <c r="AG252" s="545">
        <f t="shared" si="178"/>
        <v>0</v>
      </c>
      <c r="AH252" s="543">
        <f t="shared" si="178"/>
        <v>0</v>
      </c>
      <c r="AI252" s="543">
        <f t="shared" si="178"/>
        <v>0</v>
      </c>
      <c r="AJ252" s="543">
        <f t="shared" si="178"/>
        <v>5981.83</v>
      </c>
      <c r="AK252" s="543">
        <f t="shared" si="178"/>
        <v>2777.27</v>
      </c>
      <c r="AL252" s="543">
        <f t="shared" si="178"/>
        <v>7166.09</v>
      </c>
      <c r="AM252" s="543">
        <f t="shared" si="178"/>
        <v>3008.36</v>
      </c>
      <c r="AN252" s="543">
        <f t="shared" si="178"/>
        <v>2064.67</v>
      </c>
      <c r="AO252" s="543">
        <f t="shared" si="178"/>
        <v>0</v>
      </c>
      <c r="AP252" s="543">
        <f t="shared" si="178"/>
        <v>3787.92</v>
      </c>
      <c r="AQ252" s="543">
        <f t="shared" si="178"/>
        <v>0</v>
      </c>
      <c r="AR252" s="544">
        <f t="shared" si="178"/>
        <v>10360.030000000001</v>
      </c>
      <c r="AS252" s="539">
        <f t="shared" si="178"/>
        <v>35146.17</v>
      </c>
      <c r="AT252" s="545">
        <f t="shared" si="178"/>
        <v>0</v>
      </c>
      <c r="AU252" s="543">
        <f t="shared" si="178"/>
        <v>27406.69</v>
      </c>
      <c r="AV252" s="543">
        <f t="shared" si="178"/>
        <v>0</v>
      </c>
      <c r="AW252" s="543">
        <f t="shared" ref="AW252:CB252" si="179">SUBTOTAL(9,AW253:AW263)</f>
        <v>38548.07</v>
      </c>
      <c r="AX252" s="543">
        <f t="shared" si="179"/>
        <v>20946.79</v>
      </c>
      <c r="AY252" s="543">
        <f t="shared" si="179"/>
        <v>14606.3</v>
      </c>
      <c r="AZ252" s="543">
        <f t="shared" si="179"/>
        <v>0</v>
      </c>
      <c r="BA252" s="543">
        <f t="shared" si="179"/>
        <v>13170.09</v>
      </c>
      <c r="BB252" s="543">
        <f t="shared" si="179"/>
        <v>0</v>
      </c>
      <c r="BC252" s="543">
        <f t="shared" si="179"/>
        <v>3699.76</v>
      </c>
      <c r="BD252" s="543">
        <f t="shared" si="179"/>
        <v>2693.47</v>
      </c>
      <c r="BE252" s="544">
        <f t="shared" si="179"/>
        <v>65648.489999999991</v>
      </c>
      <c r="BF252" s="539">
        <f t="shared" si="179"/>
        <v>186719.65999999997</v>
      </c>
      <c r="BG252" s="545">
        <f t="shared" si="179"/>
        <v>3889.86</v>
      </c>
      <c r="BH252" s="543">
        <f t="shared" si="179"/>
        <v>13944.34</v>
      </c>
      <c r="BI252" s="543">
        <f t="shared" si="179"/>
        <v>3203.73</v>
      </c>
      <c r="BJ252" s="543">
        <f t="shared" si="179"/>
        <v>6551.3250000000007</v>
      </c>
      <c r="BK252" s="543">
        <f t="shared" si="179"/>
        <v>0</v>
      </c>
      <c r="BL252" s="651">
        <f t="shared" si="179"/>
        <v>0</v>
      </c>
      <c r="BM252" s="543">
        <f t="shared" si="179"/>
        <v>0</v>
      </c>
      <c r="BN252" s="543">
        <f t="shared" si="179"/>
        <v>0</v>
      </c>
      <c r="BO252" s="543">
        <f t="shared" si="179"/>
        <v>0</v>
      </c>
      <c r="BP252" s="543">
        <f t="shared" si="179"/>
        <v>0</v>
      </c>
      <c r="BQ252" s="543">
        <f t="shared" si="179"/>
        <v>0</v>
      </c>
      <c r="BR252" s="544">
        <f t="shared" si="179"/>
        <v>0</v>
      </c>
      <c r="BS252" s="539">
        <f t="shared" si="179"/>
        <v>27589.255000000001</v>
      </c>
      <c r="BT252" s="545">
        <f t="shared" si="179"/>
        <v>0</v>
      </c>
      <c r="BU252" s="543">
        <f t="shared" si="179"/>
        <v>0</v>
      </c>
      <c r="BV252" s="543">
        <f t="shared" si="179"/>
        <v>0</v>
      </c>
      <c r="BW252" s="543">
        <f t="shared" si="179"/>
        <v>0</v>
      </c>
      <c r="BX252" s="543">
        <f t="shared" si="179"/>
        <v>0</v>
      </c>
      <c r="BY252" s="543">
        <f t="shared" si="179"/>
        <v>0</v>
      </c>
      <c r="BZ252" s="543">
        <f t="shared" si="179"/>
        <v>0</v>
      </c>
      <c r="CA252" s="543">
        <f t="shared" si="179"/>
        <v>0</v>
      </c>
      <c r="CB252" s="543">
        <f t="shared" si="179"/>
        <v>0</v>
      </c>
      <c r="CC252" s="543">
        <f t="shared" ref="CC252:CM252" si="180">SUBTOTAL(9,CC253:CC263)</f>
        <v>0</v>
      </c>
      <c r="CD252" s="543">
        <f t="shared" si="180"/>
        <v>0</v>
      </c>
      <c r="CE252" s="544">
        <f t="shared" si="180"/>
        <v>0</v>
      </c>
      <c r="CF252" s="539">
        <f t="shared" si="180"/>
        <v>0</v>
      </c>
      <c r="CG252" s="539">
        <f t="shared" si="180"/>
        <v>0</v>
      </c>
      <c r="CH252" s="539">
        <f t="shared" si="180"/>
        <v>249455.08499999996</v>
      </c>
      <c r="CI252" s="658">
        <f t="shared" si="180"/>
        <v>0</v>
      </c>
      <c r="CJ252" s="539">
        <f t="shared" si="180"/>
        <v>249455.08499999996</v>
      </c>
      <c r="CK252" s="539">
        <f t="shared" si="180"/>
        <v>-439544.91500000004</v>
      </c>
      <c r="CL252" s="539">
        <f t="shared" si="180"/>
        <v>716237.84</v>
      </c>
      <c r="CM252" s="539">
        <f t="shared" si="180"/>
        <v>-466782.755</v>
      </c>
    </row>
    <row r="253" spans="1:91" outlineLevel="1">
      <c r="A253" s="500"/>
      <c r="B253" s="516"/>
      <c r="C253" s="593">
        <v>503.01</v>
      </c>
      <c r="D253" s="501"/>
      <c r="E253" s="501"/>
      <c r="F253" s="501"/>
      <c r="G253" s="501"/>
      <c r="H253" s="501" t="s">
        <v>506</v>
      </c>
      <c r="I253" s="501"/>
      <c r="J253" s="501"/>
      <c r="K253" s="501"/>
      <c r="L253" s="501"/>
      <c r="M253" s="517"/>
      <c r="N253" s="518"/>
      <c r="O253" s="504"/>
      <c r="P253" s="519"/>
      <c r="Q253" s="506">
        <v>430000</v>
      </c>
      <c r="R253" s="506">
        <v>430000</v>
      </c>
      <c r="S253" s="504"/>
      <c r="T253" s="507"/>
      <c r="U253" s="508"/>
      <c r="V253" s="508"/>
      <c r="W253" s="508"/>
      <c r="X253" s="508"/>
      <c r="Y253" s="508"/>
      <c r="Z253" s="508"/>
      <c r="AA253" s="508"/>
      <c r="AB253" s="508"/>
      <c r="AC253" s="508"/>
      <c r="AD253" s="508"/>
      <c r="AE253" s="509"/>
      <c r="AF253" s="504">
        <f t="shared" ref="AF253:AF265" si="181">SUM(T253:AE253)</f>
        <v>0</v>
      </c>
      <c r="AG253" s="510"/>
      <c r="AH253" s="508"/>
      <c r="AI253" s="508"/>
      <c r="AJ253" s="508"/>
      <c r="AK253" s="508"/>
      <c r="AL253" s="508"/>
      <c r="AM253" s="508"/>
      <c r="AN253" s="508"/>
      <c r="AO253" s="508"/>
      <c r="AP253" s="508"/>
      <c r="AQ253" s="508"/>
      <c r="AR253" s="509"/>
      <c r="AS253" s="504">
        <f t="shared" ref="AS253:AS265" si="182">SUM(AG253:AR253)</f>
        <v>0</v>
      </c>
      <c r="AT253" s="510"/>
      <c r="AU253" s="508"/>
      <c r="AV253" s="508"/>
      <c r="AW253" s="508"/>
      <c r="AX253" s="508"/>
      <c r="AY253" s="508"/>
      <c r="AZ253" s="508"/>
      <c r="BA253" s="508"/>
      <c r="BB253" s="508"/>
      <c r="BC253" s="508"/>
      <c r="BD253" s="508"/>
      <c r="BE253" s="509"/>
      <c r="BF253" s="504">
        <f t="shared" ref="BF253:BF265" si="183">SUM(AT253:BE253)</f>
        <v>0</v>
      </c>
      <c r="BG253" s="548"/>
      <c r="BH253" s="549"/>
      <c r="BI253" s="549"/>
      <c r="BJ253" s="549"/>
      <c r="BK253" s="659"/>
      <c r="BL253" s="592"/>
      <c r="BM253" s="1298"/>
      <c r="BN253" s="659"/>
      <c r="BO253" s="659"/>
      <c r="BP253" s="508"/>
      <c r="BQ253" s="508"/>
      <c r="BR253" s="509"/>
      <c r="BS253" s="504">
        <f t="shared" ref="BS253:BS265" si="184">SUM(BG253:BR253)</f>
        <v>0</v>
      </c>
      <c r="BT253" s="510"/>
      <c r="BU253" s="508"/>
      <c r="BV253" s="508"/>
      <c r="BW253" s="508"/>
      <c r="BX253" s="508"/>
      <c r="BY253" s="508"/>
      <c r="BZ253" s="508"/>
      <c r="CA253" s="508"/>
      <c r="CB253" s="508"/>
      <c r="CC253" s="508"/>
      <c r="CD253" s="508"/>
      <c r="CE253" s="509"/>
      <c r="CF253" s="504">
        <f t="shared" ref="CF253:CF265" si="185">SUM(BT253:CE253)</f>
        <v>0</v>
      </c>
      <c r="CG253" s="504"/>
      <c r="CH253" s="504">
        <f t="shared" ref="CH253:CH265" si="186">SUMIF(($S$5:$CG$5),"Actual",(S253:CG253))</f>
        <v>0</v>
      </c>
      <c r="CI253" s="556">
        <f t="shared" ref="CI253:CI265" si="187">SUMIF(($S$5:$CG$5),"Forecast",(S253:CG253))</f>
        <v>0</v>
      </c>
      <c r="CJ253" s="504">
        <f t="shared" ref="CJ253:CJ265" si="188">+CH253+CI253</f>
        <v>0</v>
      </c>
      <c r="CK253" s="504">
        <f t="shared" ref="CK253:CK265" si="189">+CJ253-R253</f>
        <v>-430000</v>
      </c>
      <c r="CL253" s="504">
        <v>380000</v>
      </c>
      <c r="CM253" s="504">
        <f t="shared" ref="CM253:CM265" si="190">+CJ253-CL253</f>
        <v>-380000</v>
      </c>
    </row>
    <row r="254" spans="1:91" outlineLevel="1">
      <c r="A254" s="500"/>
      <c r="B254" s="516"/>
      <c r="C254" s="593">
        <v>503.02</v>
      </c>
      <c r="D254" s="501"/>
      <c r="E254" s="501"/>
      <c r="F254" s="501"/>
      <c r="G254" s="501"/>
      <c r="H254" s="501" t="s">
        <v>507</v>
      </c>
      <c r="I254" s="501"/>
      <c r="J254" s="501"/>
      <c r="K254" s="501"/>
      <c r="L254" s="501"/>
      <c r="M254" s="517"/>
      <c r="N254" s="518"/>
      <c r="O254" s="504"/>
      <c r="P254" s="519"/>
      <c r="Q254" s="506">
        <v>20000</v>
      </c>
      <c r="R254" s="506">
        <v>20000</v>
      </c>
      <c r="S254" s="504"/>
      <c r="T254" s="507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9"/>
      <c r="AF254" s="504">
        <f t="shared" si="181"/>
        <v>0</v>
      </c>
      <c r="AG254" s="510"/>
      <c r="AH254" s="508"/>
      <c r="AI254" s="508"/>
      <c r="AJ254" s="508"/>
      <c r="AK254" s="508"/>
      <c r="AL254" s="508"/>
      <c r="AM254" s="508"/>
      <c r="AN254" s="508"/>
      <c r="AO254" s="508"/>
      <c r="AP254" s="508"/>
      <c r="AQ254" s="508"/>
      <c r="AR254" s="509"/>
      <c r="AS254" s="504">
        <f t="shared" si="182"/>
        <v>0</v>
      </c>
      <c r="AT254" s="510"/>
      <c r="AU254" s="508"/>
      <c r="AV254" s="508"/>
      <c r="AW254" s="508"/>
      <c r="AX254" s="508"/>
      <c r="AY254" s="508"/>
      <c r="AZ254" s="508"/>
      <c r="BA254" s="508"/>
      <c r="BB254" s="508"/>
      <c r="BC254" s="508"/>
      <c r="BD254" s="508"/>
      <c r="BE254" s="509">
        <v>48712.17</v>
      </c>
      <c r="BF254" s="504">
        <f t="shared" si="183"/>
        <v>48712.17</v>
      </c>
      <c r="BG254" s="548"/>
      <c r="BH254" s="549"/>
      <c r="BI254" s="549"/>
      <c r="BJ254" s="549"/>
      <c r="BK254" s="592"/>
      <c r="BL254" s="592"/>
      <c r="BM254" s="1298"/>
      <c r="BN254" s="659"/>
      <c r="BO254" s="659"/>
      <c r="BP254" s="508"/>
      <c r="BQ254" s="508"/>
      <c r="BR254" s="509"/>
      <c r="BS254" s="504">
        <f t="shared" si="184"/>
        <v>0</v>
      </c>
      <c r="BT254" s="510"/>
      <c r="BU254" s="508"/>
      <c r="BV254" s="508"/>
      <c r="BW254" s="508"/>
      <c r="BX254" s="508"/>
      <c r="BY254" s="508"/>
      <c r="BZ254" s="508"/>
      <c r="CA254" s="508"/>
      <c r="CB254" s="508"/>
      <c r="CC254" s="508"/>
      <c r="CD254" s="508"/>
      <c r="CE254" s="509"/>
      <c r="CF254" s="504">
        <f t="shared" si="185"/>
        <v>0</v>
      </c>
      <c r="CG254" s="504"/>
      <c r="CH254" s="504">
        <f t="shared" si="186"/>
        <v>48712.17</v>
      </c>
      <c r="CI254" s="556">
        <f t="shared" si="187"/>
        <v>0</v>
      </c>
      <c r="CJ254" s="504">
        <f t="shared" si="188"/>
        <v>48712.17</v>
      </c>
      <c r="CK254" s="504">
        <f t="shared" si="189"/>
        <v>28712.17</v>
      </c>
      <c r="CL254" s="504">
        <v>48712.17</v>
      </c>
      <c r="CM254" s="504">
        <f t="shared" si="190"/>
        <v>0</v>
      </c>
    </row>
    <row r="255" spans="1:91" outlineLevel="1">
      <c r="A255" s="500"/>
      <c r="B255" s="516"/>
      <c r="C255" s="593">
        <f t="shared" ref="C255:C263" si="191">+C254+0.01</f>
        <v>503.03</v>
      </c>
      <c r="D255" s="501"/>
      <c r="E255" s="501"/>
      <c r="F255" s="501"/>
      <c r="G255" s="501"/>
      <c r="H255" s="501" t="s">
        <v>508</v>
      </c>
      <c r="I255" s="501"/>
      <c r="J255" s="501"/>
      <c r="K255" s="501"/>
      <c r="L255" s="501"/>
      <c r="M255" s="517"/>
      <c r="N255" s="518"/>
      <c r="O255" s="504"/>
      <c r="P255" s="519"/>
      <c r="Q255" s="506">
        <v>3000</v>
      </c>
      <c r="R255" s="506">
        <v>3000</v>
      </c>
      <c r="S255" s="504"/>
      <c r="T255" s="507"/>
      <c r="U255" s="508"/>
      <c r="V255" s="508"/>
      <c r="W255" s="508"/>
      <c r="X255" s="508"/>
      <c r="Y255" s="508"/>
      <c r="Z255" s="508"/>
      <c r="AA255" s="508"/>
      <c r="AB255" s="508"/>
      <c r="AC255" s="508"/>
      <c r="AD255" s="508"/>
      <c r="AE255" s="509"/>
      <c r="AF255" s="504">
        <f t="shared" si="181"/>
        <v>0</v>
      </c>
      <c r="AG255" s="510"/>
      <c r="AH255" s="508"/>
      <c r="AI255" s="508"/>
      <c r="AJ255" s="508"/>
      <c r="AK255" s="508"/>
      <c r="AL255" s="508"/>
      <c r="AM255" s="508"/>
      <c r="AN255" s="508"/>
      <c r="AO255" s="508"/>
      <c r="AP255" s="508"/>
      <c r="AQ255" s="508"/>
      <c r="AR255" s="509"/>
      <c r="AS255" s="504">
        <f t="shared" si="182"/>
        <v>0</v>
      </c>
      <c r="AT255" s="510"/>
      <c r="AU255" s="508"/>
      <c r="AV255" s="508"/>
      <c r="AW255" s="508"/>
      <c r="AX255" s="508"/>
      <c r="AY255" s="508"/>
      <c r="AZ255" s="508"/>
      <c r="BA255" s="508"/>
      <c r="BB255" s="508"/>
      <c r="BC255" s="508"/>
      <c r="BD255" s="508"/>
      <c r="BE255" s="509"/>
      <c r="BF255" s="504">
        <f t="shared" si="183"/>
        <v>0</v>
      </c>
      <c r="BG255" s="548"/>
      <c r="BH255" s="549"/>
      <c r="BI255" s="549"/>
      <c r="BJ255" s="549"/>
      <c r="BK255" s="592"/>
      <c r="BL255" s="592"/>
      <c r="BM255" s="1298"/>
      <c r="BN255" s="659"/>
      <c r="BO255" s="659"/>
      <c r="BP255" s="508"/>
      <c r="BQ255" s="508"/>
      <c r="BR255" s="509"/>
      <c r="BS255" s="504">
        <f t="shared" si="184"/>
        <v>0</v>
      </c>
      <c r="BT255" s="510"/>
      <c r="BU255" s="508"/>
      <c r="BV255" s="508"/>
      <c r="BW255" s="508"/>
      <c r="BX255" s="508"/>
      <c r="BY255" s="508"/>
      <c r="BZ255" s="508"/>
      <c r="CA255" s="508"/>
      <c r="CB255" s="508"/>
      <c r="CC255" s="508"/>
      <c r="CD255" s="508"/>
      <c r="CE255" s="509"/>
      <c r="CF255" s="504">
        <f t="shared" si="185"/>
        <v>0</v>
      </c>
      <c r="CG255" s="504"/>
      <c r="CH255" s="504">
        <f t="shared" si="186"/>
        <v>0</v>
      </c>
      <c r="CI255" s="556">
        <f t="shared" si="187"/>
        <v>0</v>
      </c>
      <c r="CJ255" s="504">
        <f t="shared" si="188"/>
        <v>0</v>
      </c>
      <c r="CK255" s="504">
        <f t="shared" si="189"/>
        <v>-3000</v>
      </c>
      <c r="CL255" s="504">
        <v>3000</v>
      </c>
      <c r="CM255" s="504">
        <f t="shared" si="190"/>
        <v>-3000</v>
      </c>
    </row>
    <row r="256" spans="1:91" outlineLevel="1">
      <c r="A256" s="500"/>
      <c r="B256" s="516"/>
      <c r="C256" s="593">
        <f t="shared" si="191"/>
        <v>503.03999999999996</v>
      </c>
      <c r="D256" s="501"/>
      <c r="E256" s="501"/>
      <c r="F256" s="501"/>
      <c r="G256" s="501"/>
      <c r="H256" s="501" t="s">
        <v>509</v>
      </c>
      <c r="I256" s="501"/>
      <c r="J256" s="501"/>
      <c r="K256" s="501"/>
      <c r="L256" s="501"/>
      <c r="M256" s="517"/>
      <c r="N256" s="518"/>
      <c r="O256" s="504"/>
      <c r="P256" s="519"/>
      <c r="Q256" s="506">
        <v>24000</v>
      </c>
      <c r="R256" s="506">
        <v>24000</v>
      </c>
      <c r="S256" s="504"/>
      <c r="T256" s="507"/>
      <c r="U256" s="508"/>
      <c r="V256" s="508"/>
      <c r="W256" s="508"/>
      <c r="X256" s="508"/>
      <c r="Y256" s="508"/>
      <c r="Z256" s="508"/>
      <c r="AA256" s="508"/>
      <c r="AB256" s="508"/>
      <c r="AC256" s="508"/>
      <c r="AD256" s="508"/>
      <c r="AE256" s="509"/>
      <c r="AF256" s="504">
        <f t="shared" si="181"/>
        <v>0</v>
      </c>
      <c r="AG256" s="510"/>
      <c r="AH256" s="508"/>
      <c r="AI256" s="508"/>
      <c r="AJ256" s="508"/>
      <c r="AK256" s="508"/>
      <c r="AL256" s="508"/>
      <c r="AM256" s="508"/>
      <c r="AN256" s="508"/>
      <c r="AO256" s="508"/>
      <c r="AP256" s="508"/>
      <c r="AQ256" s="508"/>
      <c r="AR256" s="509"/>
      <c r="AS256" s="504">
        <f t="shared" si="182"/>
        <v>0</v>
      </c>
      <c r="AT256" s="510"/>
      <c r="AU256" s="508">
        <v>22525.25</v>
      </c>
      <c r="AV256" s="508"/>
      <c r="AW256" s="508"/>
      <c r="AX256" s="508"/>
      <c r="AY256" s="508"/>
      <c r="AZ256" s="508"/>
      <c r="BA256" s="508"/>
      <c r="BB256" s="508"/>
      <c r="BC256" s="508"/>
      <c r="BD256" s="508"/>
      <c r="BE256" s="550"/>
      <c r="BF256" s="504">
        <f t="shared" si="183"/>
        <v>22525.25</v>
      </c>
      <c r="BG256" s="548"/>
      <c r="BH256" s="549"/>
      <c r="BI256" s="549"/>
      <c r="BJ256" s="549"/>
      <c r="BK256" s="592"/>
      <c r="BL256" s="592"/>
      <c r="BM256" s="1298"/>
      <c r="BN256" s="659"/>
      <c r="BO256" s="659"/>
      <c r="BP256" s="508"/>
      <c r="BQ256" s="508"/>
      <c r="BR256" s="509"/>
      <c r="BS256" s="504">
        <f t="shared" si="184"/>
        <v>0</v>
      </c>
      <c r="BT256" s="510"/>
      <c r="BU256" s="508"/>
      <c r="BV256" s="508"/>
      <c r="BW256" s="508"/>
      <c r="BX256" s="508"/>
      <c r="BY256" s="508"/>
      <c r="BZ256" s="508"/>
      <c r="CA256" s="508"/>
      <c r="CB256" s="508"/>
      <c r="CC256" s="508"/>
      <c r="CD256" s="508"/>
      <c r="CE256" s="509"/>
      <c r="CF256" s="504">
        <f t="shared" si="185"/>
        <v>0</v>
      </c>
      <c r="CG256" s="504"/>
      <c r="CH256" s="504">
        <f t="shared" si="186"/>
        <v>22525.25</v>
      </c>
      <c r="CI256" s="556">
        <f t="shared" si="187"/>
        <v>0</v>
      </c>
      <c r="CJ256" s="504">
        <f t="shared" si="188"/>
        <v>22525.25</v>
      </c>
      <c r="CK256" s="504">
        <f t="shared" si="189"/>
        <v>-1474.75</v>
      </c>
      <c r="CL256" s="504">
        <v>22525.25</v>
      </c>
      <c r="CM256" s="504">
        <f t="shared" si="190"/>
        <v>0</v>
      </c>
    </row>
    <row r="257" spans="1:91" outlineLevel="1">
      <c r="A257" s="500"/>
      <c r="B257" s="516"/>
      <c r="C257" s="593">
        <f t="shared" si="191"/>
        <v>503.04999999999995</v>
      </c>
      <c r="D257" s="501"/>
      <c r="E257" s="501"/>
      <c r="F257" s="501"/>
      <c r="G257" s="501"/>
      <c r="H257" s="501" t="s">
        <v>510</v>
      </c>
      <c r="I257" s="501"/>
      <c r="J257" s="501"/>
      <c r="K257" s="501"/>
      <c r="L257" s="501"/>
      <c r="M257" s="517"/>
      <c r="N257" s="518"/>
      <c r="O257" s="504"/>
      <c r="P257" s="519"/>
      <c r="Q257" s="506">
        <v>8000</v>
      </c>
      <c r="R257" s="506">
        <v>8000</v>
      </c>
      <c r="S257" s="504"/>
      <c r="T257" s="507"/>
      <c r="U257" s="508"/>
      <c r="V257" s="508"/>
      <c r="W257" s="508"/>
      <c r="X257" s="508"/>
      <c r="Y257" s="508"/>
      <c r="Z257" s="508"/>
      <c r="AA257" s="508"/>
      <c r="AB257" s="508"/>
      <c r="AC257" s="508"/>
      <c r="AD257" s="508"/>
      <c r="AE257" s="509"/>
      <c r="AF257" s="504">
        <f t="shared" si="181"/>
        <v>0</v>
      </c>
      <c r="AG257" s="510"/>
      <c r="AH257" s="508"/>
      <c r="AI257" s="508"/>
      <c r="AJ257" s="508"/>
      <c r="AK257" s="508"/>
      <c r="AL257" s="508"/>
      <c r="AM257" s="508"/>
      <c r="AN257" s="508"/>
      <c r="AO257" s="508"/>
      <c r="AP257" s="508"/>
      <c r="AQ257" s="508"/>
      <c r="AR257" s="509"/>
      <c r="AS257" s="504">
        <f t="shared" si="182"/>
        <v>0</v>
      </c>
      <c r="AT257" s="510"/>
      <c r="AU257" s="508"/>
      <c r="AV257" s="508"/>
      <c r="AW257" s="508"/>
      <c r="AX257" s="508">
        <v>7211.53</v>
      </c>
      <c r="AY257" s="508"/>
      <c r="AZ257" s="508"/>
      <c r="BA257" s="508"/>
      <c r="BB257" s="508"/>
      <c r="BC257" s="508"/>
      <c r="BD257" s="508"/>
      <c r="BE257" s="550"/>
      <c r="BF257" s="504">
        <f t="shared" si="183"/>
        <v>7211.53</v>
      </c>
      <c r="BG257" s="548"/>
      <c r="BH257" s="549"/>
      <c r="BI257" s="549"/>
      <c r="BJ257" s="549"/>
      <c r="BK257" s="592"/>
      <c r="BL257" s="592"/>
      <c r="BM257" s="1298"/>
      <c r="BN257" s="659"/>
      <c r="BO257" s="659"/>
      <c r="BP257" s="508"/>
      <c r="BQ257" s="508"/>
      <c r="BR257" s="509"/>
      <c r="BS257" s="504">
        <f t="shared" si="184"/>
        <v>0</v>
      </c>
      <c r="BT257" s="510"/>
      <c r="BU257" s="508"/>
      <c r="BV257" s="508"/>
      <c r="BW257" s="508"/>
      <c r="BX257" s="508"/>
      <c r="BY257" s="508"/>
      <c r="BZ257" s="508"/>
      <c r="CA257" s="508"/>
      <c r="CB257" s="508"/>
      <c r="CC257" s="508"/>
      <c r="CD257" s="508"/>
      <c r="CE257" s="509"/>
      <c r="CF257" s="504">
        <f t="shared" si="185"/>
        <v>0</v>
      </c>
      <c r="CG257" s="504"/>
      <c r="CH257" s="504">
        <f t="shared" si="186"/>
        <v>7211.53</v>
      </c>
      <c r="CI257" s="556">
        <f t="shared" si="187"/>
        <v>0</v>
      </c>
      <c r="CJ257" s="504">
        <f t="shared" si="188"/>
        <v>7211.53</v>
      </c>
      <c r="CK257" s="504">
        <f t="shared" si="189"/>
        <v>-788.47000000000025</v>
      </c>
      <c r="CL257" s="504">
        <v>7999.53</v>
      </c>
      <c r="CM257" s="504">
        <f t="shared" si="190"/>
        <v>-788</v>
      </c>
    </row>
    <row r="258" spans="1:91" outlineLevel="1">
      <c r="A258" s="500"/>
      <c r="B258" s="516"/>
      <c r="C258" s="593">
        <f t="shared" si="191"/>
        <v>503.05999999999995</v>
      </c>
      <c r="D258" s="501"/>
      <c r="E258" s="501"/>
      <c r="F258" s="501"/>
      <c r="G258" s="501"/>
      <c r="H258" s="501" t="s">
        <v>511</v>
      </c>
      <c r="I258" s="501"/>
      <c r="J258" s="501"/>
      <c r="K258" s="501"/>
      <c r="L258" s="501"/>
      <c r="M258" s="517"/>
      <c r="N258" s="518"/>
      <c r="O258" s="504"/>
      <c r="P258" s="519"/>
      <c r="Q258" s="506">
        <v>20000</v>
      </c>
      <c r="R258" s="506">
        <v>20000</v>
      </c>
      <c r="S258" s="504"/>
      <c r="T258" s="507"/>
      <c r="U258" s="508"/>
      <c r="V258" s="508"/>
      <c r="W258" s="508"/>
      <c r="X258" s="508"/>
      <c r="Y258" s="508"/>
      <c r="Z258" s="508"/>
      <c r="AA258" s="508"/>
      <c r="AB258" s="508"/>
      <c r="AC258" s="508"/>
      <c r="AD258" s="508"/>
      <c r="AE258" s="509"/>
      <c r="AF258" s="504">
        <f t="shared" si="181"/>
        <v>0</v>
      </c>
      <c r="AG258" s="510"/>
      <c r="AH258" s="508"/>
      <c r="AI258" s="508"/>
      <c r="AJ258" s="508"/>
      <c r="AK258" s="508"/>
      <c r="AL258" s="508"/>
      <c r="AM258" s="508"/>
      <c r="AN258" s="508"/>
      <c r="AO258" s="508"/>
      <c r="AP258" s="508"/>
      <c r="AQ258" s="508"/>
      <c r="AR258" s="509"/>
      <c r="AS258" s="504">
        <f t="shared" si="182"/>
        <v>0</v>
      </c>
      <c r="AT258" s="510"/>
      <c r="AU258" s="508"/>
      <c r="AV258" s="508"/>
      <c r="AW258" s="508"/>
      <c r="AX258" s="508"/>
      <c r="AY258" s="508"/>
      <c r="AZ258" s="508"/>
      <c r="BA258" s="508"/>
      <c r="BB258" s="508"/>
      <c r="BC258" s="508"/>
      <c r="BD258" s="508"/>
      <c r="BE258" s="509"/>
      <c r="BF258" s="504">
        <f t="shared" si="183"/>
        <v>0</v>
      </c>
      <c r="BG258" s="548"/>
      <c r="BH258" s="549"/>
      <c r="BI258" s="549"/>
      <c r="BJ258" s="549"/>
      <c r="BK258" s="592"/>
      <c r="BL258" s="592"/>
      <c r="BM258" s="1298"/>
      <c r="BN258" s="659"/>
      <c r="BO258" s="659"/>
      <c r="BP258" s="508"/>
      <c r="BQ258" s="508"/>
      <c r="BR258" s="509"/>
      <c r="BS258" s="504">
        <f t="shared" si="184"/>
        <v>0</v>
      </c>
      <c r="BT258" s="510"/>
      <c r="BU258" s="508"/>
      <c r="BV258" s="508"/>
      <c r="BW258" s="508"/>
      <c r="BX258" s="508"/>
      <c r="BY258" s="508"/>
      <c r="BZ258" s="508"/>
      <c r="CA258" s="508"/>
      <c r="CB258" s="508"/>
      <c r="CC258" s="508"/>
      <c r="CD258" s="508"/>
      <c r="CE258" s="509"/>
      <c r="CF258" s="504">
        <f t="shared" si="185"/>
        <v>0</v>
      </c>
      <c r="CG258" s="504"/>
      <c r="CH258" s="504">
        <f t="shared" si="186"/>
        <v>0</v>
      </c>
      <c r="CI258" s="556">
        <f t="shared" si="187"/>
        <v>0</v>
      </c>
      <c r="CJ258" s="504">
        <f t="shared" si="188"/>
        <v>0</v>
      </c>
      <c r="CK258" s="504">
        <f t="shared" si="189"/>
        <v>-20000</v>
      </c>
      <c r="CL258" s="504">
        <v>20000</v>
      </c>
      <c r="CM258" s="504">
        <f t="shared" si="190"/>
        <v>-20000</v>
      </c>
    </row>
    <row r="259" spans="1:91" outlineLevel="1">
      <c r="A259" s="500"/>
      <c r="B259" s="516"/>
      <c r="C259" s="593">
        <f t="shared" si="191"/>
        <v>503.06999999999994</v>
      </c>
      <c r="D259" s="501"/>
      <c r="E259" s="501"/>
      <c r="F259" s="501"/>
      <c r="G259" s="501"/>
      <c r="H259" s="501" t="s">
        <v>512</v>
      </c>
      <c r="I259" s="501"/>
      <c r="J259" s="501"/>
      <c r="K259" s="501"/>
      <c r="L259" s="501"/>
      <c r="M259" s="517"/>
      <c r="N259" s="518"/>
      <c r="O259" s="504"/>
      <c r="P259" s="519"/>
      <c r="Q259" s="506">
        <v>2000</v>
      </c>
      <c r="R259" s="506">
        <v>2000</v>
      </c>
      <c r="S259" s="504"/>
      <c r="T259" s="507"/>
      <c r="U259" s="508"/>
      <c r="V259" s="508"/>
      <c r="W259" s="508"/>
      <c r="X259" s="508"/>
      <c r="Y259" s="508"/>
      <c r="Z259" s="508"/>
      <c r="AA259" s="508"/>
      <c r="AB259" s="508"/>
      <c r="AC259" s="508"/>
      <c r="AD259" s="508"/>
      <c r="AE259" s="509"/>
      <c r="AF259" s="504">
        <f t="shared" si="181"/>
        <v>0</v>
      </c>
      <c r="AG259" s="510"/>
      <c r="AH259" s="508"/>
      <c r="AI259" s="508"/>
      <c r="AJ259" s="508"/>
      <c r="AK259" s="508"/>
      <c r="AL259" s="508"/>
      <c r="AM259" s="508"/>
      <c r="AN259" s="508"/>
      <c r="AO259" s="508"/>
      <c r="AP259" s="508"/>
      <c r="AQ259" s="508"/>
      <c r="AR259" s="509"/>
      <c r="AS259" s="504">
        <f t="shared" si="182"/>
        <v>0</v>
      </c>
      <c r="AT259" s="510"/>
      <c r="AU259" s="508"/>
      <c r="AV259" s="508"/>
      <c r="AW259" s="508"/>
      <c r="AX259" s="508"/>
      <c r="AY259" s="508"/>
      <c r="AZ259" s="508"/>
      <c r="BA259" s="508"/>
      <c r="BB259" s="508"/>
      <c r="BC259" s="508"/>
      <c r="BD259" s="508"/>
      <c r="BE259" s="509"/>
      <c r="BF259" s="504">
        <f t="shared" si="183"/>
        <v>0</v>
      </c>
      <c r="BG259" s="548"/>
      <c r="BH259" s="549"/>
      <c r="BI259" s="549"/>
      <c r="BJ259" s="549"/>
      <c r="BK259" s="592"/>
      <c r="BL259" s="592"/>
      <c r="BM259" s="1298"/>
      <c r="BN259" s="659"/>
      <c r="BO259" s="659"/>
      <c r="BP259" s="508"/>
      <c r="BQ259" s="508"/>
      <c r="BR259" s="509"/>
      <c r="BS259" s="504">
        <f t="shared" si="184"/>
        <v>0</v>
      </c>
      <c r="BT259" s="510"/>
      <c r="BU259" s="508"/>
      <c r="BV259" s="508"/>
      <c r="BW259" s="508"/>
      <c r="BX259" s="508"/>
      <c r="BY259" s="508"/>
      <c r="BZ259" s="508"/>
      <c r="CA259" s="508"/>
      <c r="CB259" s="508"/>
      <c r="CC259" s="508"/>
      <c r="CD259" s="508"/>
      <c r="CE259" s="509"/>
      <c r="CF259" s="504">
        <f t="shared" si="185"/>
        <v>0</v>
      </c>
      <c r="CG259" s="504"/>
      <c r="CH259" s="504">
        <f t="shared" si="186"/>
        <v>0</v>
      </c>
      <c r="CI259" s="556">
        <f t="shared" si="187"/>
        <v>0</v>
      </c>
      <c r="CJ259" s="504">
        <f t="shared" si="188"/>
        <v>0</v>
      </c>
      <c r="CK259" s="504">
        <f t="shared" si="189"/>
        <v>-2000</v>
      </c>
      <c r="CL259" s="504">
        <v>2000</v>
      </c>
      <c r="CM259" s="504">
        <f t="shared" si="190"/>
        <v>-2000</v>
      </c>
    </row>
    <row r="260" spans="1:91" outlineLevel="1">
      <c r="A260" s="500"/>
      <c r="B260" s="516"/>
      <c r="C260" s="593">
        <f t="shared" si="191"/>
        <v>503.07999999999993</v>
      </c>
      <c r="D260" s="501"/>
      <c r="E260" s="501"/>
      <c r="F260" s="501"/>
      <c r="G260" s="501"/>
      <c r="H260" s="501" t="s">
        <v>513</v>
      </c>
      <c r="I260" s="501"/>
      <c r="J260" s="501"/>
      <c r="K260" s="501"/>
      <c r="L260" s="501"/>
      <c r="M260" s="517"/>
      <c r="N260" s="518"/>
      <c r="O260" s="504"/>
      <c r="P260" s="519"/>
      <c r="Q260" s="506">
        <v>12000</v>
      </c>
      <c r="R260" s="506">
        <v>12000</v>
      </c>
      <c r="S260" s="504"/>
      <c r="T260" s="507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9"/>
      <c r="AF260" s="504">
        <f t="shared" si="181"/>
        <v>0</v>
      </c>
      <c r="AG260" s="510"/>
      <c r="AH260" s="508"/>
      <c r="AI260" s="508"/>
      <c r="AJ260" s="508"/>
      <c r="AK260" s="508"/>
      <c r="AL260" s="508"/>
      <c r="AM260" s="508"/>
      <c r="AN260" s="508"/>
      <c r="AO260" s="508"/>
      <c r="AP260" s="508"/>
      <c r="AQ260" s="508"/>
      <c r="AR260" s="509"/>
      <c r="AS260" s="504">
        <f t="shared" si="182"/>
        <v>0</v>
      </c>
      <c r="AT260" s="510"/>
      <c r="AU260" s="508"/>
      <c r="AV260" s="508"/>
      <c r="AW260" s="508"/>
      <c r="AX260" s="508"/>
      <c r="AY260" s="508"/>
      <c r="AZ260" s="508"/>
      <c r="BA260" s="508"/>
      <c r="BB260" s="508"/>
      <c r="BC260" s="508"/>
      <c r="BD260" s="508"/>
      <c r="BE260" s="509"/>
      <c r="BF260" s="504">
        <f t="shared" si="183"/>
        <v>0</v>
      </c>
      <c r="BG260" s="548"/>
      <c r="BH260" s="549"/>
      <c r="BI260" s="549"/>
      <c r="BJ260" s="549"/>
      <c r="BK260" s="592"/>
      <c r="BL260" s="592"/>
      <c r="BM260" s="1298"/>
      <c r="BN260" s="659"/>
      <c r="BO260" s="659"/>
      <c r="BP260" s="508"/>
      <c r="BQ260" s="508"/>
      <c r="BR260" s="509"/>
      <c r="BS260" s="504">
        <f t="shared" si="184"/>
        <v>0</v>
      </c>
      <c r="BT260" s="510"/>
      <c r="BU260" s="508"/>
      <c r="BV260" s="508"/>
      <c r="BW260" s="508"/>
      <c r="BX260" s="508"/>
      <c r="BY260" s="508"/>
      <c r="BZ260" s="508"/>
      <c r="CA260" s="508"/>
      <c r="CB260" s="508"/>
      <c r="CC260" s="508"/>
      <c r="CD260" s="508"/>
      <c r="CE260" s="509"/>
      <c r="CF260" s="504">
        <f t="shared" si="185"/>
        <v>0</v>
      </c>
      <c r="CG260" s="504"/>
      <c r="CH260" s="504">
        <f t="shared" si="186"/>
        <v>0</v>
      </c>
      <c r="CI260" s="556">
        <f t="shared" si="187"/>
        <v>0</v>
      </c>
      <c r="CJ260" s="504">
        <f t="shared" si="188"/>
        <v>0</v>
      </c>
      <c r="CK260" s="504">
        <f t="shared" si="189"/>
        <v>-12000</v>
      </c>
      <c r="CL260" s="504">
        <v>12000</v>
      </c>
      <c r="CM260" s="504">
        <f t="shared" si="190"/>
        <v>-12000</v>
      </c>
    </row>
    <row r="261" spans="1:91" outlineLevel="1">
      <c r="A261" s="500"/>
      <c r="B261" s="516"/>
      <c r="C261" s="593">
        <f t="shared" si="191"/>
        <v>503.08999999999992</v>
      </c>
      <c r="D261" s="501"/>
      <c r="E261" s="501"/>
      <c r="F261" s="501"/>
      <c r="G261" s="501"/>
      <c r="H261" s="501" t="s">
        <v>514</v>
      </c>
      <c r="I261" s="501"/>
      <c r="J261" s="501"/>
      <c r="K261" s="501"/>
      <c r="L261" s="501"/>
      <c r="M261" s="517"/>
      <c r="N261" s="518"/>
      <c r="O261" s="504"/>
      <c r="P261" s="519"/>
      <c r="Q261" s="506">
        <v>10000</v>
      </c>
      <c r="R261" s="506">
        <v>10000</v>
      </c>
      <c r="S261" s="504"/>
      <c r="T261" s="507"/>
      <c r="U261" s="508"/>
      <c r="V261" s="508"/>
      <c r="W261" s="508"/>
      <c r="X261" s="508"/>
      <c r="Y261" s="508"/>
      <c r="Z261" s="508"/>
      <c r="AA261" s="508"/>
      <c r="AB261" s="508"/>
      <c r="AC261" s="508"/>
      <c r="AD261" s="508"/>
      <c r="AE261" s="509"/>
      <c r="AF261" s="504">
        <f t="shared" si="181"/>
        <v>0</v>
      </c>
      <c r="AG261" s="510"/>
      <c r="AH261" s="508"/>
      <c r="AI261" s="508"/>
      <c r="AJ261" s="508"/>
      <c r="AK261" s="508"/>
      <c r="AL261" s="508"/>
      <c r="AM261" s="508"/>
      <c r="AN261" s="508"/>
      <c r="AO261" s="508"/>
      <c r="AP261" s="508"/>
      <c r="AQ261" s="508"/>
      <c r="AR261" s="509"/>
      <c r="AS261" s="504">
        <f t="shared" si="182"/>
        <v>0</v>
      </c>
      <c r="AT261" s="510"/>
      <c r="AU261" s="508"/>
      <c r="AV261" s="508"/>
      <c r="AW261" s="508"/>
      <c r="AX261" s="508"/>
      <c r="AY261" s="508"/>
      <c r="AZ261" s="508"/>
      <c r="BA261" s="508"/>
      <c r="BB261" s="508"/>
      <c r="BC261" s="508"/>
      <c r="BD261" s="508"/>
      <c r="BE261" s="509"/>
      <c r="BF261" s="504">
        <f t="shared" si="183"/>
        <v>0</v>
      </c>
      <c r="BG261" s="548"/>
      <c r="BH261" s="549"/>
      <c r="BI261" s="549"/>
      <c r="BJ261" s="549"/>
      <c r="BK261" s="592"/>
      <c r="BL261" s="592"/>
      <c r="BM261" s="1298"/>
      <c r="BN261" s="659"/>
      <c r="BO261" s="659"/>
      <c r="BP261" s="508"/>
      <c r="BQ261" s="508"/>
      <c r="BR261" s="509"/>
      <c r="BS261" s="504">
        <f t="shared" si="184"/>
        <v>0</v>
      </c>
      <c r="BT261" s="510"/>
      <c r="BU261" s="508"/>
      <c r="BV261" s="508"/>
      <c r="BW261" s="508"/>
      <c r="BX261" s="508"/>
      <c r="BY261" s="508"/>
      <c r="BZ261" s="508"/>
      <c r="CA261" s="508"/>
      <c r="CB261" s="508"/>
      <c r="CC261" s="508"/>
      <c r="CD261" s="508"/>
      <c r="CE261" s="509"/>
      <c r="CF261" s="504">
        <f t="shared" si="185"/>
        <v>0</v>
      </c>
      <c r="CG261" s="504"/>
      <c r="CH261" s="504">
        <f t="shared" si="186"/>
        <v>0</v>
      </c>
      <c r="CI261" s="556">
        <f t="shared" si="187"/>
        <v>0</v>
      </c>
      <c r="CJ261" s="504">
        <f t="shared" si="188"/>
        <v>0</v>
      </c>
      <c r="CK261" s="504">
        <f t="shared" si="189"/>
        <v>-10000</v>
      </c>
      <c r="CL261" s="504">
        <v>10000</v>
      </c>
      <c r="CM261" s="504">
        <f t="shared" si="190"/>
        <v>-10000</v>
      </c>
    </row>
    <row r="262" spans="1:91" outlineLevel="1">
      <c r="A262" s="500"/>
      <c r="B262" s="516"/>
      <c r="C262" s="593">
        <f t="shared" si="191"/>
        <v>503.09999999999991</v>
      </c>
      <c r="D262" s="501"/>
      <c r="E262" s="501"/>
      <c r="F262" s="501"/>
      <c r="G262" s="501"/>
      <c r="H262" s="501" t="s">
        <v>515</v>
      </c>
      <c r="I262" s="501"/>
      <c r="J262" s="501"/>
      <c r="K262" s="501"/>
      <c r="L262" s="501"/>
      <c r="M262" s="517"/>
      <c r="N262" s="518"/>
      <c r="O262" s="504"/>
      <c r="P262" s="519"/>
      <c r="Q262" s="506">
        <v>10000</v>
      </c>
      <c r="R262" s="506">
        <v>10000</v>
      </c>
      <c r="S262" s="504"/>
      <c r="T262" s="507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9"/>
      <c r="AF262" s="504">
        <f t="shared" si="181"/>
        <v>0</v>
      </c>
      <c r="AG262" s="510"/>
      <c r="AH262" s="508"/>
      <c r="AI262" s="508"/>
      <c r="AJ262" s="508"/>
      <c r="AK262" s="508"/>
      <c r="AL262" s="508"/>
      <c r="AM262" s="508"/>
      <c r="AN262" s="508"/>
      <c r="AO262" s="508"/>
      <c r="AP262" s="508"/>
      <c r="AQ262" s="508"/>
      <c r="AR262" s="509"/>
      <c r="AS262" s="504">
        <f t="shared" si="182"/>
        <v>0</v>
      </c>
      <c r="AT262" s="510"/>
      <c r="AU262" s="508"/>
      <c r="AV262" s="508"/>
      <c r="AW262" s="508"/>
      <c r="AX262" s="508"/>
      <c r="AY262" s="508"/>
      <c r="AZ262" s="508"/>
      <c r="BA262" s="508"/>
      <c r="BB262" s="508"/>
      <c r="BC262" s="508"/>
      <c r="BD262" s="508"/>
      <c r="BE262" s="509"/>
      <c r="BF262" s="504">
        <f t="shared" si="183"/>
        <v>0</v>
      </c>
      <c r="BG262" s="548"/>
      <c r="BH262" s="549"/>
      <c r="BI262" s="508"/>
      <c r="BJ262" s="549"/>
      <c r="BK262" s="592"/>
      <c r="BL262" s="592"/>
      <c r="BM262" s="1299"/>
      <c r="BN262" s="659"/>
      <c r="BO262" s="659"/>
      <c r="BP262" s="508"/>
      <c r="BQ262" s="508"/>
      <c r="BR262" s="509"/>
      <c r="BS262" s="504">
        <f t="shared" si="184"/>
        <v>0</v>
      </c>
      <c r="BT262" s="510"/>
      <c r="BU262" s="508"/>
      <c r="BV262" s="508"/>
      <c r="BW262" s="508"/>
      <c r="BX262" s="508"/>
      <c r="BY262" s="508"/>
      <c r="BZ262" s="508"/>
      <c r="CA262" s="508"/>
      <c r="CB262" s="508"/>
      <c r="CC262" s="508"/>
      <c r="CD262" s="508"/>
      <c r="CE262" s="509"/>
      <c r="CF262" s="504">
        <f t="shared" si="185"/>
        <v>0</v>
      </c>
      <c r="CG262" s="504"/>
      <c r="CH262" s="504">
        <f t="shared" si="186"/>
        <v>0</v>
      </c>
      <c r="CI262" s="556">
        <f t="shared" si="187"/>
        <v>0</v>
      </c>
      <c r="CJ262" s="559">
        <f t="shared" si="188"/>
        <v>0</v>
      </c>
      <c r="CK262" s="504">
        <f t="shared" si="189"/>
        <v>-10000</v>
      </c>
      <c r="CL262" s="504">
        <v>0</v>
      </c>
      <c r="CM262" s="504">
        <f t="shared" si="190"/>
        <v>0</v>
      </c>
    </row>
    <row r="263" spans="1:91" outlineLevel="1">
      <c r="A263" s="500"/>
      <c r="B263" s="516"/>
      <c r="C263" s="593">
        <f t="shared" si="191"/>
        <v>503.1099999999999</v>
      </c>
      <c r="D263" s="501"/>
      <c r="E263" s="501"/>
      <c r="F263" s="501"/>
      <c r="G263" s="501"/>
      <c r="H263" s="501" t="s">
        <v>516</v>
      </c>
      <c r="I263" s="501"/>
      <c r="J263" s="501"/>
      <c r="K263" s="501"/>
      <c r="L263" s="501"/>
      <c r="M263" s="517"/>
      <c r="N263" s="518">
        <v>6400001827</v>
      </c>
      <c r="O263" s="504">
        <v>800000</v>
      </c>
      <c r="P263" s="519" t="s">
        <v>314</v>
      </c>
      <c r="Q263" s="506">
        <v>150000</v>
      </c>
      <c r="R263" s="506">
        <v>150000</v>
      </c>
      <c r="S263" s="504"/>
      <c r="T263" s="507"/>
      <c r="U263" s="508"/>
      <c r="V263" s="508"/>
      <c r="W263" s="508"/>
      <c r="X263" s="508"/>
      <c r="Y263" s="508"/>
      <c r="Z263" s="508"/>
      <c r="AA263" s="508"/>
      <c r="AB263" s="508"/>
      <c r="AC263" s="508"/>
      <c r="AD263" s="508"/>
      <c r="AE263" s="509"/>
      <c r="AF263" s="504">
        <f t="shared" si="181"/>
        <v>0</v>
      </c>
      <c r="AG263" s="510"/>
      <c r="AH263" s="508"/>
      <c r="AI263" s="508"/>
      <c r="AJ263" s="508">
        <v>5981.83</v>
      </c>
      <c r="AK263" s="508">
        <v>2777.27</v>
      </c>
      <c r="AL263" s="508">
        <v>7166.09</v>
      </c>
      <c r="AM263" s="508">
        <v>3008.36</v>
      </c>
      <c r="AN263" s="508">
        <v>2064.67</v>
      </c>
      <c r="AO263" s="508"/>
      <c r="AP263" s="508">
        <f>2520.57+1267.35</f>
        <v>3787.92</v>
      </c>
      <c r="AQ263" s="508"/>
      <c r="AR263" s="550">
        <v>10360.030000000001</v>
      </c>
      <c r="AS263" s="504">
        <f t="shared" si="182"/>
        <v>35146.17</v>
      </c>
      <c r="AT263" s="548"/>
      <c r="AU263" s="549">
        <v>4881.4399999999996</v>
      </c>
      <c r="AV263" s="549"/>
      <c r="AW263" s="549">
        <v>38548.07</v>
      </c>
      <c r="AX263" s="549">
        <v>13735.26</v>
      </c>
      <c r="AY263" s="508">
        <v>14606.3</v>
      </c>
      <c r="AZ263" s="549"/>
      <c r="BA263" s="549">
        <v>13170.09</v>
      </c>
      <c r="BB263" s="549"/>
      <c r="BC263" s="549">
        <v>3699.76</v>
      </c>
      <c r="BD263" s="549">
        <v>2693.47</v>
      </c>
      <c r="BE263" s="550">
        <v>16936.32</v>
      </c>
      <c r="BF263" s="504">
        <f t="shared" si="183"/>
        <v>108270.70999999999</v>
      </c>
      <c r="BG263" s="548">
        <v>3889.86</v>
      </c>
      <c r="BH263" s="549">
        <v>13944.34</v>
      </c>
      <c r="BI263" s="549">
        <v>3203.73</v>
      </c>
      <c r="BJ263" s="1300">
        <f>7861.59*(25/30)</f>
        <v>6551.3250000000007</v>
      </c>
      <c r="BK263" s="592"/>
      <c r="BL263" s="592"/>
      <c r="BM263" s="1298"/>
      <c r="BN263" s="659"/>
      <c r="BO263" s="659"/>
      <c r="BP263" s="508"/>
      <c r="BQ263" s="508"/>
      <c r="BR263" s="509"/>
      <c r="BS263" s="504">
        <f t="shared" si="184"/>
        <v>27589.255000000001</v>
      </c>
      <c r="BT263" s="510"/>
      <c r="BU263" s="508"/>
      <c r="BV263" s="508"/>
      <c r="BW263" s="508"/>
      <c r="BX263" s="508"/>
      <c r="BY263" s="508"/>
      <c r="BZ263" s="508"/>
      <c r="CA263" s="508"/>
      <c r="CB263" s="508"/>
      <c r="CC263" s="508"/>
      <c r="CD263" s="508"/>
      <c r="CE263" s="509"/>
      <c r="CF263" s="504">
        <f t="shared" si="185"/>
        <v>0</v>
      </c>
      <c r="CG263" s="504"/>
      <c r="CH263" s="504">
        <f t="shared" si="186"/>
        <v>171006.13499999998</v>
      </c>
      <c r="CI263" s="556">
        <f t="shared" si="187"/>
        <v>0</v>
      </c>
      <c r="CJ263" s="559">
        <f t="shared" si="188"/>
        <v>171006.13499999998</v>
      </c>
      <c r="CK263" s="504">
        <f t="shared" si="189"/>
        <v>21006.13499999998</v>
      </c>
      <c r="CL263" s="504">
        <v>210000.88999999996</v>
      </c>
      <c r="CM263" s="504">
        <f t="shared" si="190"/>
        <v>-38994.754999999976</v>
      </c>
    </row>
    <row r="264" spans="1:91" outlineLevel="1">
      <c r="A264" s="500"/>
      <c r="B264" s="526"/>
      <c r="C264" s="526"/>
      <c r="D264" s="501"/>
      <c r="E264" s="501"/>
      <c r="F264" s="501"/>
      <c r="G264" s="501"/>
      <c r="H264" s="501"/>
      <c r="I264" s="501"/>
      <c r="J264" s="501"/>
      <c r="K264" s="501"/>
      <c r="L264" s="501"/>
      <c r="M264" s="517"/>
      <c r="N264" s="518"/>
      <c r="O264" s="504"/>
      <c r="P264" s="519"/>
      <c r="Q264" s="506">
        <v>0</v>
      </c>
      <c r="R264" s="506">
        <v>0</v>
      </c>
      <c r="S264" s="504"/>
      <c r="T264" s="507"/>
      <c r="U264" s="508"/>
      <c r="V264" s="508"/>
      <c r="W264" s="508"/>
      <c r="X264" s="508"/>
      <c r="Y264" s="508"/>
      <c r="Z264" s="508"/>
      <c r="AA264" s="508"/>
      <c r="AB264" s="508"/>
      <c r="AC264" s="508"/>
      <c r="AD264" s="508"/>
      <c r="AE264" s="509"/>
      <c r="AF264" s="504">
        <f t="shared" si="181"/>
        <v>0</v>
      </c>
      <c r="AG264" s="510"/>
      <c r="AH264" s="508"/>
      <c r="AI264" s="508"/>
      <c r="AJ264" s="508"/>
      <c r="AK264" s="508"/>
      <c r="AL264" s="508"/>
      <c r="AM264" s="508"/>
      <c r="AN264" s="508"/>
      <c r="AO264" s="508"/>
      <c r="AP264" s="508"/>
      <c r="AQ264" s="508"/>
      <c r="AR264" s="509"/>
      <c r="AS264" s="504">
        <f t="shared" si="182"/>
        <v>0</v>
      </c>
      <c r="AT264" s="510"/>
      <c r="AU264" s="508"/>
      <c r="AV264" s="508"/>
      <c r="AW264" s="508"/>
      <c r="AX264" s="508"/>
      <c r="AY264" s="508"/>
      <c r="AZ264" s="508"/>
      <c r="BA264" s="508"/>
      <c r="BB264" s="508"/>
      <c r="BC264" s="508"/>
      <c r="BD264" s="508"/>
      <c r="BE264" s="509"/>
      <c r="BF264" s="504">
        <f t="shared" si="183"/>
        <v>0</v>
      </c>
      <c r="BG264" s="510"/>
      <c r="BH264" s="508"/>
      <c r="BI264" s="508"/>
      <c r="BJ264" s="508"/>
      <c r="BK264" s="508"/>
      <c r="BL264" s="508"/>
      <c r="BM264" s="508"/>
      <c r="BN264" s="508"/>
      <c r="BO264" s="508"/>
      <c r="BP264" s="508"/>
      <c r="BQ264" s="508"/>
      <c r="BR264" s="509"/>
      <c r="BS264" s="504">
        <f t="shared" si="184"/>
        <v>0</v>
      </c>
      <c r="BT264" s="510"/>
      <c r="BU264" s="508"/>
      <c r="BV264" s="508"/>
      <c r="BW264" s="508"/>
      <c r="BX264" s="508"/>
      <c r="BY264" s="508"/>
      <c r="BZ264" s="508"/>
      <c r="CA264" s="508"/>
      <c r="CB264" s="508"/>
      <c r="CC264" s="508"/>
      <c r="CD264" s="508"/>
      <c r="CE264" s="509"/>
      <c r="CF264" s="504">
        <f t="shared" si="185"/>
        <v>0</v>
      </c>
      <c r="CG264" s="504"/>
      <c r="CH264" s="504">
        <f t="shared" si="186"/>
        <v>0</v>
      </c>
      <c r="CI264" s="504">
        <f t="shared" si="187"/>
        <v>0</v>
      </c>
      <c r="CJ264" s="559">
        <f t="shared" si="188"/>
        <v>0</v>
      </c>
      <c r="CK264" s="504">
        <f t="shared" si="189"/>
        <v>0</v>
      </c>
      <c r="CL264" s="504">
        <f>+CK264-S264</f>
        <v>0</v>
      </c>
      <c r="CM264" s="504">
        <f t="shared" si="190"/>
        <v>0</v>
      </c>
    </row>
    <row r="265" spans="1:91">
      <c r="A265" s="500"/>
      <c r="B265" s="526"/>
      <c r="C265" s="526"/>
      <c r="D265" s="501"/>
      <c r="E265" s="501"/>
      <c r="F265" s="501"/>
      <c r="G265" s="501"/>
      <c r="H265" s="501"/>
      <c r="I265" s="501"/>
      <c r="J265" s="501"/>
      <c r="K265" s="501"/>
      <c r="L265" s="501"/>
      <c r="M265" s="517"/>
      <c r="N265" s="518"/>
      <c r="O265" s="504"/>
      <c r="P265" s="519"/>
      <c r="Q265" s="506">
        <v>0</v>
      </c>
      <c r="R265" s="506">
        <v>0</v>
      </c>
      <c r="S265" s="504"/>
      <c r="T265" s="507"/>
      <c r="U265" s="508"/>
      <c r="V265" s="508"/>
      <c r="W265" s="508"/>
      <c r="X265" s="508"/>
      <c r="Y265" s="508"/>
      <c r="Z265" s="508"/>
      <c r="AA265" s="508"/>
      <c r="AB265" s="508"/>
      <c r="AC265" s="508"/>
      <c r="AD265" s="508"/>
      <c r="AE265" s="509"/>
      <c r="AF265" s="504">
        <f t="shared" si="181"/>
        <v>0</v>
      </c>
      <c r="AG265" s="510"/>
      <c r="AH265" s="508"/>
      <c r="AI265" s="508"/>
      <c r="AJ265" s="508"/>
      <c r="AK265" s="508"/>
      <c r="AL265" s="508"/>
      <c r="AM265" s="508"/>
      <c r="AN265" s="508"/>
      <c r="AO265" s="508"/>
      <c r="AP265" s="508"/>
      <c r="AQ265" s="508"/>
      <c r="AR265" s="509"/>
      <c r="AS265" s="504">
        <f t="shared" si="182"/>
        <v>0</v>
      </c>
      <c r="AT265" s="510"/>
      <c r="AU265" s="508"/>
      <c r="AV265" s="508"/>
      <c r="AW265" s="508"/>
      <c r="AX265" s="508"/>
      <c r="AY265" s="508"/>
      <c r="AZ265" s="508"/>
      <c r="BA265" s="508"/>
      <c r="BB265" s="508"/>
      <c r="BC265" s="508"/>
      <c r="BD265" s="508"/>
      <c r="BE265" s="509"/>
      <c r="BF265" s="504">
        <f t="shared" si="183"/>
        <v>0</v>
      </c>
      <c r="BG265" s="510"/>
      <c r="BH265" s="508"/>
      <c r="BI265" s="508"/>
      <c r="BJ265" s="508"/>
      <c r="BK265" s="508"/>
      <c r="BL265" s="508"/>
      <c r="BM265" s="508"/>
      <c r="BN265" s="508"/>
      <c r="BO265" s="508"/>
      <c r="BP265" s="508"/>
      <c r="BQ265" s="508"/>
      <c r="BR265" s="509"/>
      <c r="BS265" s="504">
        <f t="shared" si="184"/>
        <v>0</v>
      </c>
      <c r="BT265" s="510"/>
      <c r="BU265" s="508"/>
      <c r="BV265" s="508"/>
      <c r="BW265" s="508"/>
      <c r="BX265" s="508"/>
      <c r="BY265" s="508"/>
      <c r="BZ265" s="508"/>
      <c r="CA265" s="508"/>
      <c r="CB265" s="508"/>
      <c r="CC265" s="508"/>
      <c r="CD265" s="508"/>
      <c r="CE265" s="509"/>
      <c r="CF265" s="504">
        <f t="shared" si="185"/>
        <v>0</v>
      </c>
      <c r="CG265" s="504"/>
      <c r="CH265" s="504">
        <f t="shared" si="186"/>
        <v>0</v>
      </c>
      <c r="CI265" s="504">
        <f t="shared" si="187"/>
        <v>0</v>
      </c>
      <c r="CJ265" s="504">
        <f t="shared" si="188"/>
        <v>0</v>
      </c>
      <c r="CK265" s="504">
        <f t="shared" si="189"/>
        <v>0</v>
      </c>
      <c r="CL265" s="504">
        <f>+CK265-S265</f>
        <v>0</v>
      </c>
      <c r="CM265" s="504">
        <f t="shared" si="190"/>
        <v>0</v>
      </c>
    </row>
    <row r="266" spans="1:91">
      <c r="A266" s="481" t="s">
        <v>517</v>
      </c>
      <c r="B266" s="1430">
        <v>900</v>
      </c>
      <c r="C266" s="1431"/>
      <c r="D266" s="1431"/>
      <c r="E266" s="1432"/>
      <c r="F266" s="527"/>
      <c r="G266" s="482" t="s">
        <v>518</v>
      </c>
      <c r="H266" s="482"/>
      <c r="I266" s="482"/>
      <c r="J266" s="482"/>
      <c r="K266" s="482"/>
      <c r="L266" s="482"/>
      <c r="M266" s="484"/>
      <c r="N266" s="485"/>
      <c r="O266" s="486"/>
      <c r="P266" s="487"/>
      <c r="Q266" s="528">
        <f t="shared" ref="Q266:AV266" si="192">SUBTOTAL(9,Q267:Q273)</f>
        <v>588243.6069083449</v>
      </c>
      <c r="R266" s="528">
        <f t="shared" si="192"/>
        <v>637939</v>
      </c>
      <c r="S266" s="529">
        <f t="shared" si="192"/>
        <v>0</v>
      </c>
      <c r="T266" s="530">
        <f t="shared" si="192"/>
        <v>19041.740000000002</v>
      </c>
      <c r="U266" s="531">
        <f t="shared" si="192"/>
        <v>19792.309999999998</v>
      </c>
      <c r="V266" s="531">
        <f t="shared" si="192"/>
        <v>14923.84</v>
      </c>
      <c r="W266" s="531">
        <f t="shared" si="192"/>
        <v>16464.510000000002</v>
      </c>
      <c r="X266" s="531">
        <f t="shared" si="192"/>
        <v>17910.37</v>
      </c>
      <c r="Y266" s="531">
        <f t="shared" si="192"/>
        <v>24983.83</v>
      </c>
      <c r="Z266" s="531">
        <f t="shared" si="192"/>
        <v>17745.36</v>
      </c>
      <c r="AA266" s="531">
        <f t="shared" si="192"/>
        <v>26407.9</v>
      </c>
      <c r="AB266" s="531">
        <f t="shared" si="192"/>
        <v>30690.420000000002</v>
      </c>
      <c r="AC266" s="531">
        <f t="shared" si="192"/>
        <v>38841.649999999994</v>
      </c>
      <c r="AD266" s="531">
        <f t="shared" si="192"/>
        <v>57011.45</v>
      </c>
      <c r="AE266" s="532">
        <f t="shared" si="192"/>
        <v>59911.360000000001</v>
      </c>
      <c r="AF266" s="529">
        <f t="shared" si="192"/>
        <v>343724.74</v>
      </c>
      <c r="AG266" s="533">
        <f t="shared" si="192"/>
        <v>34368.949999999997</v>
      </c>
      <c r="AH266" s="531">
        <f t="shared" si="192"/>
        <v>30180.639999999999</v>
      </c>
      <c r="AI266" s="531">
        <f t="shared" si="192"/>
        <v>43684.29</v>
      </c>
      <c r="AJ266" s="531">
        <f t="shared" si="192"/>
        <v>55660.72</v>
      </c>
      <c r="AK266" s="531">
        <f t="shared" si="192"/>
        <v>74088.39</v>
      </c>
      <c r="AL266" s="531">
        <f t="shared" si="192"/>
        <v>47087.360000000001</v>
      </c>
      <c r="AM266" s="531">
        <f t="shared" si="192"/>
        <v>60891.850000000006</v>
      </c>
      <c r="AN266" s="531">
        <f t="shared" si="192"/>
        <v>61205.679999999993</v>
      </c>
      <c r="AO266" s="531">
        <f t="shared" si="192"/>
        <v>50647.69</v>
      </c>
      <c r="AP266" s="531">
        <f t="shared" si="192"/>
        <v>49327.71</v>
      </c>
      <c r="AQ266" s="531">
        <f t="shared" si="192"/>
        <v>63244.020000000004</v>
      </c>
      <c r="AR266" s="532">
        <f t="shared" si="192"/>
        <v>78197.06</v>
      </c>
      <c r="AS266" s="529">
        <f t="shared" si="192"/>
        <v>648584.36</v>
      </c>
      <c r="AT266" s="533">
        <f t="shared" si="192"/>
        <v>67662.880000000005</v>
      </c>
      <c r="AU266" s="531">
        <f t="shared" si="192"/>
        <v>95054.38</v>
      </c>
      <c r="AV266" s="531">
        <f t="shared" si="192"/>
        <v>70807.679999999993</v>
      </c>
      <c r="AW266" s="531">
        <f t="shared" ref="AW266:CB266" si="193">SUBTOTAL(9,AW267:AW273)</f>
        <v>74588.03</v>
      </c>
      <c r="AX266" s="531">
        <f t="shared" si="193"/>
        <v>65570.149999999994</v>
      </c>
      <c r="AY266" s="531">
        <f t="shared" si="193"/>
        <v>78718.929999999993</v>
      </c>
      <c r="AZ266" s="531">
        <f t="shared" si="193"/>
        <v>80641.239999999991</v>
      </c>
      <c r="BA266" s="531">
        <f t="shared" si="193"/>
        <v>55644.32</v>
      </c>
      <c r="BB266" s="531">
        <f t="shared" si="193"/>
        <v>57305.42</v>
      </c>
      <c r="BC266" s="531">
        <f t="shared" si="193"/>
        <v>62580.810000000005</v>
      </c>
      <c r="BD266" s="531">
        <f t="shared" si="193"/>
        <v>69899.399999999994</v>
      </c>
      <c r="BE266" s="532">
        <f t="shared" si="193"/>
        <v>61559.259999999995</v>
      </c>
      <c r="BF266" s="529">
        <f t="shared" si="193"/>
        <v>840032.5</v>
      </c>
      <c r="BG266" s="533">
        <f t="shared" si="193"/>
        <v>85617.760000000009</v>
      </c>
      <c r="BH266" s="531">
        <f t="shared" si="193"/>
        <v>69545.11</v>
      </c>
      <c r="BI266" s="531">
        <f t="shared" si="193"/>
        <v>78289.149999999994</v>
      </c>
      <c r="BJ266" s="531">
        <f t="shared" si="193"/>
        <v>45660.65</v>
      </c>
      <c r="BK266" s="531">
        <f t="shared" si="193"/>
        <v>0</v>
      </c>
      <c r="BL266" s="531">
        <f t="shared" si="193"/>
        <v>0</v>
      </c>
      <c r="BM266" s="531">
        <f t="shared" si="193"/>
        <v>0</v>
      </c>
      <c r="BN266" s="531">
        <f t="shared" si="193"/>
        <v>0</v>
      </c>
      <c r="BO266" s="531">
        <f t="shared" si="193"/>
        <v>0</v>
      </c>
      <c r="BP266" s="531">
        <f t="shared" si="193"/>
        <v>0</v>
      </c>
      <c r="BQ266" s="531">
        <f t="shared" si="193"/>
        <v>0</v>
      </c>
      <c r="BR266" s="532">
        <f t="shared" si="193"/>
        <v>0</v>
      </c>
      <c r="BS266" s="529">
        <f t="shared" si="193"/>
        <v>279112.67000000004</v>
      </c>
      <c r="BT266" s="533">
        <f t="shared" si="193"/>
        <v>0</v>
      </c>
      <c r="BU266" s="531">
        <f t="shared" si="193"/>
        <v>0</v>
      </c>
      <c r="BV266" s="531">
        <f t="shared" si="193"/>
        <v>0</v>
      </c>
      <c r="BW266" s="531">
        <f t="shared" si="193"/>
        <v>0</v>
      </c>
      <c r="BX266" s="531">
        <f t="shared" si="193"/>
        <v>0</v>
      </c>
      <c r="BY266" s="531">
        <f t="shared" si="193"/>
        <v>0</v>
      </c>
      <c r="BZ266" s="531">
        <f t="shared" si="193"/>
        <v>0</v>
      </c>
      <c r="CA266" s="531">
        <f t="shared" si="193"/>
        <v>0</v>
      </c>
      <c r="CB266" s="531">
        <f t="shared" si="193"/>
        <v>0</v>
      </c>
      <c r="CC266" s="531">
        <f t="shared" ref="CC266:CM266" si="194">SUBTOTAL(9,CC267:CC273)</f>
        <v>0</v>
      </c>
      <c r="CD266" s="531">
        <f t="shared" si="194"/>
        <v>0</v>
      </c>
      <c r="CE266" s="532">
        <f t="shared" si="194"/>
        <v>0</v>
      </c>
      <c r="CF266" s="529">
        <f t="shared" si="194"/>
        <v>0</v>
      </c>
      <c r="CG266" s="529">
        <f t="shared" si="194"/>
        <v>0</v>
      </c>
      <c r="CH266" s="529">
        <f t="shared" si="194"/>
        <v>2111454.27</v>
      </c>
      <c r="CI266" s="529">
        <f t="shared" si="194"/>
        <v>0</v>
      </c>
      <c r="CJ266" s="529">
        <f t="shared" si="194"/>
        <v>2111454.27</v>
      </c>
      <c r="CK266" s="529">
        <f t="shared" si="194"/>
        <v>1473515.27</v>
      </c>
      <c r="CL266" s="529">
        <f t="shared" si="194"/>
        <v>2185636.1896000002</v>
      </c>
      <c r="CM266" s="529">
        <f t="shared" si="194"/>
        <v>-74181.91959999979</v>
      </c>
    </row>
    <row r="267" spans="1:91" outlineLevel="1">
      <c r="A267" s="500"/>
      <c r="B267" s="1423">
        <v>901</v>
      </c>
      <c r="C267" s="1424"/>
      <c r="D267" s="1424"/>
      <c r="E267" s="525"/>
      <c r="F267" s="501"/>
      <c r="G267" s="501" t="s">
        <v>519</v>
      </c>
      <c r="H267" s="501"/>
      <c r="I267" s="501"/>
      <c r="J267" s="501"/>
      <c r="K267" s="501"/>
      <c r="L267" s="501"/>
      <c r="M267" s="517"/>
      <c r="N267" s="518"/>
      <c r="O267" s="504"/>
      <c r="P267" s="519"/>
      <c r="Q267" s="506"/>
      <c r="R267" s="506"/>
      <c r="S267" s="504"/>
      <c r="T267" s="507"/>
      <c r="U267" s="508"/>
      <c r="V267" s="508"/>
      <c r="W267" s="508"/>
      <c r="X267" s="508"/>
      <c r="Y267" s="508"/>
      <c r="Z267" s="508"/>
      <c r="AA267" s="508"/>
      <c r="AB267" s="508"/>
      <c r="AC267" s="508"/>
      <c r="AD267" s="508"/>
      <c r="AE267" s="509"/>
      <c r="AF267" s="504">
        <f t="shared" ref="AF267:AF274" si="195">SUM(T267:AE267)</f>
        <v>0</v>
      </c>
      <c r="AG267" s="510"/>
      <c r="AH267" s="508"/>
      <c r="AI267" s="508"/>
      <c r="AJ267" s="508"/>
      <c r="AK267" s="508"/>
      <c r="AL267" s="508"/>
      <c r="AM267" s="508"/>
      <c r="AN267" s="508"/>
      <c r="AO267" s="508"/>
      <c r="AP267" s="508"/>
      <c r="AQ267" s="508"/>
      <c r="AR267" s="509"/>
      <c r="AS267" s="504">
        <f t="shared" ref="AS267:AS274" si="196">SUM(AG267:AR267)</f>
        <v>0</v>
      </c>
      <c r="AT267" s="510"/>
      <c r="AU267" s="508"/>
      <c r="AV267" s="508"/>
      <c r="AW267" s="508"/>
      <c r="AX267" s="508"/>
      <c r="AY267" s="508"/>
      <c r="AZ267" s="508"/>
      <c r="BA267" s="508"/>
      <c r="BB267" s="508"/>
      <c r="BC267" s="508"/>
      <c r="BD267" s="508"/>
      <c r="BE267" s="509"/>
      <c r="BF267" s="504">
        <f t="shared" ref="BF267:BF274" si="197">SUM(AT267:BE267)</f>
        <v>0</v>
      </c>
      <c r="BG267" s="510"/>
      <c r="BH267" s="508"/>
      <c r="BI267" s="508"/>
      <c r="BJ267" s="508"/>
      <c r="BK267" s="508"/>
      <c r="BL267" s="508"/>
      <c r="BM267" s="508"/>
      <c r="BN267" s="508"/>
      <c r="BO267" s="508"/>
      <c r="BP267" s="508"/>
      <c r="BQ267" s="508"/>
      <c r="BR267" s="509"/>
      <c r="BS267" s="504">
        <f t="shared" ref="BS267:BS274" si="198">SUM(BG267:BR267)</f>
        <v>0</v>
      </c>
      <c r="BT267" s="510"/>
      <c r="BU267" s="508"/>
      <c r="BV267" s="508"/>
      <c r="BW267" s="508"/>
      <c r="BX267" s="508"/>
      <c r="BY267" s="508"/>
      <c r="BZ267" s="508"/>
      <c r="CA267" s="508"/>
      <c r="CB267" s="508"/>
      <c r="CC267" s="508"/>
      <c r="CD267" s="508"/>
      <c r="CE267" s="509"/>
      <c r="CF267" s="504">
        <f t="shared" ref="CF267:CF274" si="199">SUM(BT267:CE267)</f>
        <v>0</v>
      </c>
      <c r="CG267" s="504"/>
      <c r="CH267" s="504">
        <f t="shared" ref="CH267:CH274" si="200">SUMIF(($S$5:$CG$5),"Actual",(S267:CG267))</f>
        <v>0</v>
      </c>
      <c r="CI267" s="504">
        <f t="shared" ref="CI267:CI274" si="201">SUMIF(($S$5:$CG$5),"Forecast",(S267:CG267))</f>
        <v>0</v>
      </c>
      <c r="CJ267" s="504">
        <f t="shared" ref="CJ267:CJ274" si="202">+CH267+CI267</f>
        <v>0</v>
      </c>
      <c r="CK267" s="504">
        <f t="shared" ref="CK267:CL271" si="203">+CJ267-R267</f>
        <v>0</v>
      </c>
      <c r="CL267" s="504">
        <f t="shared" si="203"/>
        <v>0</v>
      </c>
      <c r="CM267" s="504">
        <f t="shared" ref="CM267:CM274" si="204">+CJ267-CL267</f>
        <v>0</v>
      </c>
    </row>
    <row r="268" spans="1:91" outlineLevel="1">
      <c r="A268" s="500"/>
      <c r="B268" s="516"/>
      <c r="C268" s="525"/>
      <c r="D268" s="525"/>
      <c r="E268" s="525"/>
      <c r="F268" s="501"/>
      <c r="G268" s="501"/>
      <c r="H268" s="501"/>
      <c r="I268" s="501"/>
      <c r="J268" s="501"/>
      <c r="K268" s="501"/>
      <c r="L268" s="501"/>
      <c r="M268" s="517"/>
      <c r="N268" s="518"/>
      <c r="O268" s="504"/>
      <c r="P268" s="519"/>
      <c r="Q268" s="506">
        <v>0</v>
      </c>
      <c r="R268" s="506">
        <v>0</v>
      </c>
      <c r="S268" s="504"/>
      <c r="T268" s="507"/>
      <c r="U268" s="508"/>
      <c r="V268" s="508"/>
      <c r="W268" s="508"/>
      <c r="X268" s="508"/>
      <c r="Y268" s="508"/>
      <c r="Z268" s="508"/>
      <c r="AA268" s="508"/>
      <c r="AB268" s="508"/>
      <c r="AC268" s="508"/>
      <c r="AD268" s="508"/>
      <c r="AE268" s="509"/>
      <c r="AF268" s="504">
        <f t="shared" si="195"/>
        <v>0</v>
      </c>
      <c r="AG268" s="510"/>
      <c r="AH268" s="508"/>
      <c r="AI268" s="508"/>
      <c r="AJ268" s="508"/>
      <c r="AK268" s="508"/>
      <c r="AL268" s="508"/>
      <c r="AM268" s="508"/>
      <c r="AN268" s="508"/>
      <c r="AO268" s="508"/>
      <c r="AP268" s="508"/>
      <c r="AQ268" s="508"/>
      <c r="AR268" s="509"/>
      <c r="AS268" s="504">
        <f t="shared" si="196"/>
        <v>0</v>
      </c>
      <c r="AT268" s="510"/>
      <c r="AU268" s="508"/>
      <c r="AV268" s="508"/>
      <c r="AW268" s="508"/>
      <c r="AX268" s="508"/>
      <c r="AY268" s="508"/>
      <c r="AZ268" s="508"/>
      <c r="BA268" s="508"/>
      <c r="BB268" s="508"/>
      <c r="BC268" s="508"/>
      <c r="BD268" s="508"/>
      <c r="BE268" s="509"/>
      <c r="BF268" s="504">
        <f t="shared" si="197"/>
        <v>0</v>
      </c>
      <c r="BG268" s="510"/>
      <c r="BH268" s="508"/>
      <c r="BI268" s="508"/>
      <c r="BJ268" s="508"/>
      <c r="BK268" s="508"/>
      <c r="BL268" s="508"/>
      <c r="BM268" s="508"/>
      <c r="BN268" s="508"/>
      <c r="BO268" s="508"/>
      <c r="BP268" s="508"/>
      <c r="BQ268" s="508"/>
      <c r="BR268" s="509"/>
      <c r="BS268" s="504">
        <f t="shared" si="198"/>
        <v>0</v>
      </c>
      <c r="BT268" s="510"/>
      <c r="BU268" s="508"/>
      <c r="BV268" s="508"/>
      <c r="BW268" s="508"/>
      <c r="BX268" s="508"/>
      <c r="BY268" s="508"/>
      <c r="BZ268" s="508"/>
      <c r="CA268" s="508"/>
      <c r="CB268" s="508"/>
      <c r="CC268" s="508"/>
      <c r="CD268" s="508"/>
      <c r="CE268" s="509"/>
      <c r="CF268" s="504">
        <f t="shared" si="199"/>
        <v>0</v>
      </c>
      <c r="CG268" s="504"/>
      <c r="CH268" s="504">
        <f t="shared" si="200"/>
        <v>0</v>
      </c>
      <c r="CI268" s="504">
        <f t="shared" si="201"/>
        <v>0</v>
      </c>
      <c r="CJ268" s="504">
        <f t="shared" si="202"/>
        <v>0</v>
      </c>
      <c r="CK268" s="504">
        <f t="shared" si="203"/>
        <v>0</v>
      </c>
      <c r="CL268" s="504">
        <f t="shared" si="203"/>
        <v>0</v>
      </c>
      <c r="CM268" s="504">
        <f t="shared" si="204"/>
        <v>0</v>
      </c>
    </row>
    <row r="269" spans="1:91" outlineLevel="1">
      <c r="A269" s="500"/>
      <c r="B269" s="1423">
        <v>902</v>
      </c>
      <c r="C269" s="1424"/>
      <c r="D269" s="1424"/>
      <c r="E269" s="525"/>
      <c r="F269" s="501"/>
      <c r="G269" s="501" t="s">
        <v>520</v>
      </c>
      <c r="H269" s="501"/>
      <c r="I269" s="501"/>
      <c r="J269" s="501"/>
      <c r="K269" s="501"/>
      <c r="L269" s="501"/>
      <c r="M269" s="517"/>
      <c r="N269" s="518"/>
      <c r="O269" s="504"/>
      <c r="P269" s="519"/>
      <c r="Q269" s="506">
        <v>0</v>
      </c>
      <c r="R269" s="506">
        <v>0</v>
      </c>
      <c r="S269" s="504"/>
      <c r="T269" s="507"/>
      <c r="U269" s="508"/>
      <c r="V269" s="508"/>
      <c r="W269" s="508"/>
      <c r="X269" s="508"/>
      <c r="Y269" s="508"/>
      <c r="Z269" s="508"/>
      <c r="AA269" s="508"/>
      <c r="AB269" s="508"/>
      <c r="AC269" s="508"/>
      <c r="AD269" s="508"/>
      <c r="AE269" s="509"/>
      <c r="AF269" s="504">
        <f t="shared" si="195"/>
        <v>0</v>
      </c>
      <c r="AG269" s="510"/>
      <c r="AH269" s="508"/>
      <c r="AI269" s="508"/>
      <c r="AJ269" s="508"/>
      <c r="AK269" s="508"/>
      <c r="AL269" s="508"/>
      <c r="AM269" s="508"/>
      <c r="AN269" s="508"/>
      <c r="AO269" s="508"/>
      <c r="AP269" s="508"/>
      <c r="AQ269" s="508"/>
      <c r="AR269" s="509"/>
      <c r="AS269" s="504">
        <f t="shared" si="196"/>
        <v>0</v>
      </c>
      <c r="AT269" s="510"/>
      <c r="AU269" s="508"/>
      <c r="AV269" s="508"/>
      <c r="AW269" s="508"/>
      <c r="AX269" s="508"/>
      <c r="AY269" s="508"/>
      <c r="AZ269" s="508"/>
      <c r="BA269" s="508"/>
      <c r="BB269" s="508"/>
      <c r="BC269" s="508"/>
      <c r="BD269" s="508"/>
      <c r="BE269" s="509"/>
      <c r="BF269" s="504">
        <f t="shared" si="197"/>
        <v>0</v>
      </c>
      <c r="BG269" s="510"/>
      <c r="BH269" s="508"/>
      <c r="BI269" s="508"/>
      <c r="BJ269" s="508"/>
      <c r="BK269" s="508"/>
      <c r="BL269" s="508"/>
      <c r="BM269" s="508"/>
      <c r="BN269" s="508"/>
      <c r="BO269" s="508"/>
      <c r="BP269" s="508"/>
      <c r="BQ269" s="508"/>
      <c r="BR269" s="509"/>
      <c r="BS269" s="504">
        <f t="shared" si="198"/>
        <v>0</v>
      </c>
      <c r="BT269" s="510"/>
      <c r="BU269" s="508"/>
      <c r="BV269" s="508"/>
      <c r="BW269" s="508"/>
      <c r="BX269" s="508"/>
      <c r="BY269" s="508"/>
      <c r="BZ269" s="508"/>
      <c r="CA269" s="508"/>
      <c r="CB269" s="508"/>
      <c r="CC269" s="508"/>
      <c r="CD269" s="508"/>
      <c r="CE269" s="509"/>
      <c r="CF269" s="504">
        <f t="shared" si="199"/>
        <v>0</v>
      </c>
      <c r="CG269" s="504"/>
      <c r="CH269" s="504">
        <f t="shared" si="200"/>
        <v>0</v>
      </c>
      <c r="CI269" s="504">
        <f t="shared" si="201"/>
        <v>0</v>
      </c>
      <c r="CJ269" s="504">
        <f t="shared" si="202"/>
        <v>0</v>
      </c>
      <c r="CK269" s="504">
        <f t="shared" si="203"/>
        <v>0</v>
      </c>
      <c r="CL269" s="504">
        <f t="shared" si="203"/>
        <v>0</v>
      </c>
      <c r="CM269" s="504">
        <f t="shared" si="204"/>
        <v>0</v>
      </c>
    </row>
    <row r="270" spans="1:91" outlineLevel="1">
      <c r="A270" s="500"/>
      <c r="B270" s="516"/>
      <c r="C270" s="1423">
        <v>902.01</v>
      </c>
      <c r="D270" s="1424"/>
      <c r="E270" s="1424"/>
      <c r="F270" s="501"/>
      <c r="G270" s="501"/>
      <c r="H270" s="501" t="s">
        <v>521</v>
      </c>
      <c r="I270" s="501"/>
      <c r="J270" s="501"/>
      <c r="K270" s="501"/>
      <c r="L270" s="501"/>
      <c r="M270" s="517"/>
      <c r="N270" s="518"/>
      <c r="O270" s="504"/>
      <c r="P270" s="519"/>
      <c r="Q270" s="506">
        <v>0</v>
      </c>
      <c r="R270" s="506">
        <v>0</v>
      </c>
      <c r="S270" s="504"/>
      <c r="T270" s="507"/>
      <c r="U270" s="508"/>
      <c r="V270" s="508"/>
      <c r="W270" s="508"/>
      <c r="X270" s="508"/>
      <c r="Y270" s="508"/>
      <c r="Z270" s="508"/>
      <c r="AA270" s="508"/>
      <c r="AB270" s="508"/>
      <c r="AC270" s="508"/>
      <c r="AD270" s="508"/>
      <c r="AE270" s="509"/>
      <c r="AF270" s="504">
        <f t="shared" si="195"/>
        <v>0</v>
      </c>
      <c r="AG270" s="510"/>
      <c r="AH270" s="508"/>
      <c r="AI270" s="508"/>
      <c r="AJ270" s="508"/>
      <c r="AK270" s="508"/>
      <c r="AL270" s="508"/>
      <c r="AM270" s="508"/>
      <c r="AN270" s="508"/>
      <c r="AO270" s="508"/>
      <c r="AP270" s="508"/>
      <c r="AQ270" s="508"/>
      <c r="AR270" s="509"/>
      <c r="AS270" s="504">
        <f t="shared" si="196"/>
        <v>0</v>
      </c>
      <c r="AT270" s="510"/>
      <c r="AU270" s="508"/>
      <c r="AV270" s="508"/>
      <c r="AW270" s="508"/>
      <c r="AX270" s="508"/>
      <c r="AY270" s="508"/>
      <c r="AZ270" s="508"/>
      <c r="BA270" s="508"/>
      <c r="BB270" s="508"/>
      <c r="BC270" s="508"/>
      <c r="BD270" s="508"/>
      <c r="BE270" s="509"/>
      <c r="BF270" s="504">
        <f t="shared" si="197"/>
        <v>0</v>
      </c>
      <c r="BG270" s="510"/>
      <c r="BH270" s="508"/>
      <c r="BI270" s="508"/>
      <c r="BJ270" s="508"/>
      <c r="BK270" s="508"/>
      <c r="BL270" s="508"/>
      <c r="BM270" s="508"/>
      <c r="BN270" s="508"/>
      <c r="BO270" s="508"/>
      <c r="BP270" s="508"/>
      <c r="BQ270" s="508"/>
      <c r="BR270" s="509"/>
      <c r="BS270" s="504">
        <f t="shared" si="198"/>
        <v>0</v>
      </c>
      <c r="BT270" s="510"/>
      <c r="BU270" s="508"/>
      <c r="BV270" s="508"/>
      <c r="BW270" s="508"/>
      <c r="BX270" s="508"/>
      <c r="BY270" s="508"/>
      <c r="BZ270" s="508"/>
      <c r="CA270" s="508"/>
      <c r="CB270" s="508"/>
      <c r="CC270" s="508"/>
      <c r="CD270" s="508"/>
      <c r="CE270" s="509"/>
      <c r="CF270" s="504">
        <f t="shared" si="199"/>
        <v>0</v>
      </c>
      <c r="CG270" s="504"/>
      <c r="CH270" s="504">
        <f t="shared" si="200"/>
        <v>0</v>
      </c>
      <c r="CI270" s="504">
        <f t="shared" si="201"/>
        <v>0</v>
      </c>
      <c r="CJ270" s="504">
        <f t="shared" si="202"/>
        <v>0</v>
      </c>
      <c r="CK270" s="504">
        <f t="shared" si="203"/>
        <v>0</v>
      </c>
      <c r="CL270" s="504">
        <f t="shared" si="203"/>
        <v>0</v>
      </c>
      <c r="CM270" s="504">
        <f t="shared" si="204"/>
        <v>0</v>
      </c>
    </row>
    <row r="271" spans="1:91" outlineLevel="1">
      <c r="A271" s="500"/>
      <c r="B271" s="526"/>
      <c r="C271" s="1423">
        <v>902.02</v>
      </c>
      <c r="D271" s="1424"/>
      <c r="E271" s="1424"/>
      <c r="F271" s="501"/>
      <c r="G271" s="501"/>
      <c r="H271" s="501" t="s">
        <v>522</v>
      </c>
      <c r="I271" s="501"/>
      <c r="J271" s="501"/>
      <c r="K271" s="501"/>
      <c r="L271" s="501"/>
      <c r="M271" s="517"/>
      <c r="N271" s="518"/>
      <c r="O271" s="504"/>
      <c r="P271" s="519"/>
      <c r="Q271" s="506">
        <v>0</v>
      </c>
      <c r="R271" s="506">
        <v>0</v>
      </c>
      <c r="S271" s="504"/>
      <c r="T271" s="507"/>
      <c r="U271" s="508"/>
      <c r="V271" s="508"/>
      <c r="W271" s="508"/>
      <c r="X271" s="508"/>
      <c r="Y271" s="508"/>
      <c r="Z271" s="508"/>
      <c r="AA271" s="508"/>
      <c r="AB271" s="508"/>
      <c r="AC271" s="508"/>
      <c r="AD271" s="508"/>
      <c r="AE271" s="509"/>
      <c r="AF271" s="504">
        <f t="shared" si="195"/>
        <v>0</v>
      </c>
      <c r="AG271" s="510"/>
      <c r="AH271" s="549"/>
      <c r="AI271" s="508"/>
      <c r="AJ271" s="508"/>
      <c r="AK271" s="508"/>
      <c r="AL271" s="508"/>
      <c r="AM271" s="508"/>
      <c r="AN271" s="508"/>
      <c r="AO271" s="508"/>
      <c r="AP271" s="508"/>
      <c r="AQ271" s="508"/>
      <c r="AR271" s="509"/>
      <c r="AS271" s="504">
        <f t="shared" si="196"/>
        <v>0</v>
      </c>
      <c r="AT271" s="510"/>
      <c r="AU271" s="508"/>
      <c r="AV271" s="508"/>
      <c r="AW271" s="508"/>
      <c r="AX271" s="508"/>
      <c r="AY271" s="508"/>
      <c r="AZ271" s="508"/>
      <c r="BA271" s="508"/>
      <c r="BB271" s="508"/>
      <c r="BC271" s="508"/>
      <c r="BD271" s="508"/>
      <c r="BE271" s="509"/>
      <c r="BF271" s="504">
        <f t="shared" si="197"/>
        <v>0</v>
      </c>
      <c r="BG271" s="510"/>
      <c r="BH271" s="508"/>
      <c r="BI271" s="508"/>
      <c r="BJ271" s="508"/>
      <c r="BK271" s="508"/>
      <c r="BL271" s="508"/>
      <c r="BM271" s="508"/>
      <c r="BN271" s="508"/>
      <c r="BO271" s="508"/>
      <c r="BP271" s="508"/>
      <c r="BQ271" s="508"/>
      <c r="BR271" s="509"/>
      <c r="BS271" s="504">
        <f t="shared" si="198"/>
        <v>0</v>
      </c>
      <c r="BT271" s="510"/>
      <c r="BU271" s="508"/>
      <c r="BV271" s="508"/>
      <c r="BW271" s="508"/>
      <c r="BX271" s="508"/>
      <c r="BY271" s="508"/>
      <c r="BZ271" s="508"/>
      <c r="CA271" s="508"/>
      <c r="CB271" s="508"/>
      <c r="CC271" s="508"/>
      <c r="CD271" s="508"/>
      <c r="CE271" s="509"/>
      <c r="CF271" s="504">
        <f t="shared" si="199"/>
        <v>0</v>
      </c>
      <c r="CG271" s="504"/>
      <c r="CH271" s="504">
        <f t="shared" si="200"/>
        <v>0</v>
      </c>
      <c r="CI271" s="504">
        <f t="shared" si="201"/>
        <v>0</v>
      </c>
      <c r="CJ271" s="504">
        <f t="shared" si="202"/>
        <v>0</v>
      </c>
      <c r="CK271" s="504">
        <f t="shared" si="203"/>
        <v>0</v>
      </c>
      <c r="CL271" s="504">
        <f t="shared" si="203"/>
        <v>0</v>
      </c>
      <c r="CM271" s="504">
        <f t="shared" si="204"/>
        <v>0</v>
      </c>
    </row>
    <row r="272" spans="1:91" outlineLevel="1">
      <c r="A272" s="500"/>
      <c r="B272" s="526"/>
      <c r="C272" s="516"/>
      <c r="D272" s="1423">
        <v>902.02</v>
      </c>
      <c r="E272" s="1424"/>
      <c r="F272" s="1424"/>
      <c r="G272" s="501"/>
      <c r="H272" s="501"/>
      <c r="I272" s="501" t="s">
        <v>523</v>
      </c>
      <c r="J272" s="501"/>
      <c r="K272" s="501"/>
      <c r="L272" s="501"/>
      <c r="M272" s="517"/>
      <c r="N272" s="518"/>
      <c r="O272" s="504"/>
      <c r="P272" s="519"/>
      <c r="Q272" s="506">
        <v>261750</v>
      </c>
      <c r="R272" s="506">
        <v>224050</v>
      </c>
      <c r="S272" s="504"/>
      <c r="T272" s="507">
        <f t="shared" ref="T272:AE272" si="205">+T312</f>
        <v>14292.11</v>
      </c>
      <c r="U272" s="508">
        <f t="shared" si="205"/>
        <v>13326.22</v>
      </c>
      <c r="V272" s="508">
        <f t="shared" si="205"/>
        <v>9309.5</v>
      </c>
      <c r="W272" s="508">
        <f t="shared" si="205"/>
        <v>8764.3700000000008</v>
      </c>
      <c r="X272" s="508">
        <f t="shared" si="205"/>
        <v>11800.34</v>
      </c>
      <c r="Y272" s="508">
        <f t="shared" si="205"/>
        <v>14855.9</v>
      </c>
      <c r="Z272" s="508">
        <f t="shared" si="205"/>
        <v>11652.49</v>
      </c>
      <c r="AA272" s="508">
        <f t="shared" si="205"/>
        <v>18025.95</v>
      </c>
      <c r="AB272" s="508">
        <f t="shared" si="205"/>
        <v>20486.13</v>
      </c>
      <c r="AC272" s="508">
        <f t="shared" si="205"/>
        <v>21727.21</v>
      </c>
      <c r="AD272" s="508">
        <f t="shared" si="205"/>
        <v>30297.83</v>
      </c>
      <c r="AE272" s="509">
        <f t="shared" si="205"/>
        <v>30625.11</v>
      </c>
      <c r="AF272" s="504">
        <f t="shared" si="195"/>
        <v>205163.15999999997</v>
      </c>
      <c r="AG272" s="510">
        <f t="shared" ref="AG272:AM272" si="206">+AG312</f>
        <v>23533.47</v>
      </c>
      <c r="AH272" s="549">
        <f t="shared" si="206"/>
        <v>19071.68</v>
      </c>
      <c r="AI272" s="508">
        <f t="shared" si="206"/>
        <v>24261.07</v>
      </c>
      <c r="AJ272" s="508">
        <f t="shared" si="206"/>
        <v>26849.59</v>
      </c>
      <c r="AK272" s="508">
        <f t="shared" si="206"/>
        <v>22136.240000000002</v>
      </c>
      <c r="AL272" s="549">
        <f t="shared" si="206"/>
        <v>22028.73</v>
      </c>
      <c r="AM272" s="549">
        <f t="shared" si="206"/>
        <v>22717.81</v>
      </c>
      <c r="AN272" s="508">
        <v>26181.37</v>
      </c>
      <c r="AO272" s="508">
        <v>21952.6</v>
      </c>
      <c r="AP272" s="549">
        <v>20772.96</v>
      </c>
      <c r="AQ272" s="508">
        <v>25890.880000000001</v>
      </c>
      <c r="AR272" s="509">
        <v>26746.95</v>
      </c>
      <c r="AS272" s="504">
        <f t="shared" si="196"/>
        <v>282143.34999999998</v>
      </c>
      <c r="AT272" s="548">
        <v>30413.63</v>
      </c>
      <c r="AU272" s="549">
        <v>29314.77</v>
      </c>
      <c r="AV272" s="508">
        <v>33270.28</v>
      </c>
      <c r="AW272" s="508">
        <v>36618.01</v>
      </c>
      <c r="AX272" s="549">
        <v>29359.21</v>
      </c>
      <c r="AY272" s="549">
        <v>27160.6</v>
      </c>
      <c r="AZ272" s="549">
        <v>30441.279999999999</v>
      </c>
      <c r="BA272" s="508">
        <v>25746.66</v>
      </c>
      <c r="BB272" s="549">
        <v>19254.87</v>
      </c>
      <c r="BC272" s="549">
        <v>27915.15</v>
      </c>
      <c r="BD272" s="508">
        <v>38464.35</v>
      </c>
      <c r="BE272" s="550">
        <v>31987.26</v>
      </c>
      <c r="BF272" s="504">
        <f t="shared" si="197"/>
        <v>359946.07</v>
      </c>
      <c r="BG272" s="510">
        <v>54380.73</v>
      </c>
      <c r="BH272" s="549">
        <v>39151.089999999997</v>
      </c>
      <c r="BI272" s="549">
        <v>42092.58</v>
      </c>
      <c r="BJ272" s="1363">
        <f>38349.0446*(25/30)</f>
        <v>31957.537166666669</v>
      </c>
      <c r="BK272" s="659"/>
      <c r="BL272" s="659"/>
      <c r="BM272" s="508">
        <f>+BM443*0.67</f>
        <v>0</v>
      </c>
      <c r="BN272" s="508">
        <f>+BN443*0.67</f>
        <v>0</v>
      </c>
      <c r="BO272" s="508">
        <f>+BO20*0.63</f>
        <v>0</v>
      </c>
      <c r="BP272" s="508">
        <f>+BP20*0.63</f>
        <v>0</v>
      </c>
      <c r="BQ272" s="508">
        <f>+BQ20*0.63</f>
        <v>0</v>
      </c>
      <c r="BR272" s="509">
        <f>+BR20*0.63</f>
        <v>0</v>
      </c>
      <c r="BS272" s="504">
        <f t="shared" si="198"/>
        <v>167581.9371666667</v>
      </c>
      <c r="BT272" s="510"/>
      <c r="BU272" s="508"/>
      <c r="BV272" s="508"/>
      <c r="BW272" s="508"/>
      <c r="BX272" s="508"/>
      <c r="BY272" s="508"/>
      <c r="BZ272" s="508"/>
      <c r="CA272" s="508"/>
      <c r="CB272" s="508"/>
      <c r="CC272" s="508"/>
      <c r="CD272" s="508"/>
      <c r="CE272" s="509"/>
      <c r="CF272" s="504">
        <f t="shared" si="199"/>
        <v>0</v>
      </c>
      <c r="CG272" s="504"/>
      <c r="CH272" s="504">
        <f t="shared" si="200"/>
        <v>1014834.5171666666</v>
      </c>
      <c r="CI272" s="504">
        <f t="shared" si="201"/>
        <v>0</v>
      </c>
      <c r="CJ272" s="504">
        <f t="shared" si="202"/>
        <v>1014834.5171666666</v>
      </c>
      <c r="CK272" s="504">
        <f>+CJ272-R272</f>
        <v>790784.51716666657</v>
      </c>
      <c r="CL272" s="504">
        <v>1063318.1046</v>
      </c>
      <c r="CM272" s="504">
        <f t="shared" si="204"/>
        <v>-48483.587433333392</v>
      </c>
    </row>
    <row r="273" spans="1:94" outlineLevel="1">
      <c r="A273" s="500"/>
      <c r="B273" s="526"/>
      <c r="C273" s="516"/>
      <c r="D273" s="1423">
        <v>902.02</v>
      </c>
      <c r="E273" s="1424"/>
      <c r="F273" s="1424"/>
      <c r="G273" s="501"/>
      <c r="H273" s="501"/>
      <c r="I273" s="501" t="s">
        <v>524</v>
      </c>
      <c r="J273" s="501"/>
      <c r="K273" s="501"/>
      <c r="L273" s="501"/>
      <c r="M273" s="517"/>
      <c r="N273" s="518"/>
      <c r="O273" s="504"/>
      <c r="P273" s="519"/>
      <c r="Q273" s="506">
        <v>326493.60690834495</v>
      </c>
      <c r="R273" s="506">
        <f>413889</f>
        <v>413889</v>
      </c>
      <c r="S273" s="504"/>
      <c r="T273" s="507">
        <f t="shared" ref="T273:AE273" si="207">+T311</f>
        <v>4749.63</v>
      </c>
      <c r="U273" s="508">
        <f t="shared" si="207"/>
        <v>6466.09</v>
      </c>
      <c r="V273" s="508">
        <f t="shared" si="207"/>
        <v>5614.34</v>
      </c>
      <c r="W273" s="508">
        <f t="shared" si="207"/>
        <v>7700.14</v>
      </c>
      <c r="X273" s="508">
        <f t="shared" si="207"/>
        <v>6110.03</v>
      </c>
      <c r="Y273" s="508">
        <f t="shared" si="207"/>
        <v>10127.93</v>
      </c>
      <c r="Z273" s="508">
        <f t="shared" si="207"/>
        <v>6092.87</v>
      </c>
      <c r="AA273" s="508">
        <f t="shared" si="207"/>
        <v>8381.9500000000007</v>
      </c>
      <c r="AB273" s="508">
        <f t="shared" si="207"/>
        <v>10204.290000000001</v>
      </c>
      <c r="AC273" s="508">
        <f t="shared" si="207"/>
        <v>17114.439999999999</v>
      </c>
      <c r="AD273" s="508">
        <f t="shared" si="207"/>
        <v>26713.62</v>
      </c>
      <c r="AE273" s="509">
        <f t="shared" si="207"/>
        <v>29286.25</v>
      </c>
      <c r="AF273" s="504">
        <f t="shared" si="195"/>
        <v>138561.58000000002</v>
      </c>
      <c r="AG273" s="510">
        <f t="shared" ref="AG273:AM273" si="208">+AG311</f>
        <v>10835.48</v>
      </c>
      <c r="AH273" s="549">
        <f t="shared" si="208"/>
        <v>11108.96</v>
      </c>
      <c r="AI273" s="549">
        <f t="shared" si="208"/>
        <v>19423.22</v>
      </c>
      <c r="AJ273" s="549">
        <f t="shared" si="208"/>
        <v>28811.13</v>
      </c>
      <c r="AK273" s="508">
        <f t="shared" si="208"/>
        <v>51952.15</v>
      </c>
      <c r="AL273" s="508">
        <f t="shared" si="208"/>
        <v>25058.63</v>
      </c>
      <c r="AM273" s="508">
        <f t="shared" si="208"/>
        <v>38174.04</v>
      </c>
      <c r="AN273" s="508">
        <v>35024.31</v>
      </c>
      <c r="AO273" s="508">
        <v>28695.09</v>
      </c>
      <c r="AP273" s="549">
        <v>28554.75</v>
      </c>
      <c r="AQ273" s="508">
        <v>37353.14</v>
      </c>
      <c r="AR273" s="509">
        <v>51450.11</v>
      </c>
      <c r="AS273" s="504">
        <f t="shared" si="196"/>
        <v>366441.01</v>
      </c>
      <c r="AT273" s="548">
        <v>37249.25</v>
      </c>
      <c r="AU273" s="548">
        <v>65739.61</v>
      </c>
      <c r="AV273" s="508">
        <v>37537.4</v>
      </c>
      <c r="AW273" s="508">
        <v>37970.019999999997</v>
      </c>
      <c r="AX273" s="549">
        <v>36210.94</v>
      </c>
      <c r="AY273" s="549">
        <v>51558.33</v>
      </c>
      <c r="AZ273" s="549">
        <v>50199.96</v>
      </c>
      <c r="BA273" s="508">
        <v>29897.66</v>
      </c>
      <c r="BB273" s="549">
        <v>38050.550000000003</v>
      </c>
      <c r="BC273" s="549">
        <v>34665.660000000003</v>
      </c>
      <c r="BD273" s="508">
        <v>31435.05</v>
      </c>
      <c r="BE273" s="550">
        <v>29572</v>
      </c>
      <c r="BF273" s="504">
        <f t="shared" si="197"/>
        <v>480086.43</v>
      </c>
      <c r="BG273" s="510">
        <v>31237.03</v>
      </c>
      <c r="BH273" s="549">
        <v>30394.02</v>
      </c>
      <c r="BI273" s="549">
        <v>36196.57</v>
      </c>
      <c r="BJ273" s="1363">
        <f>16443.7354*(25/30)</f>
        <v>13703.112833333334</v>
      </c>
      <c r="BK273" s="659"/>
      <c r="BL273" s="659"/>
      <c r="BM273" s="1299">
        <f>(SUM(+BM36+BM114+BM230+BM239)*0.01+(SUM(BM21:BM29)*0.18))*(2/31)</f>
        <v>0</v>
      </c>
      <c r="BN273" s="508">
        <f>SUM(+BN36+BN114+BN230+BN239)*0.01+(SUM(BN21:BN29)*0.18)</f>
        <v>0</v>
      </c>
      <c r="BO273" s="508">
        <f>SUM(+BO36+BO114+BO230+BO239)*0.01+(SUM(BO21:BO29)*0.18)</f>
        <v>0</v>
      </c>
      <c r="BP273" s="508">
        <f>SUM(+BP36+BP114+BP230+BP239)*0.01+(SUM(BP21:BP29)*0.18)</f>
        <v>0</v>
      </c>
      <c r="BQ273" s="508">
        <f>SUM(+BQ36+BQ114+BQ230+BQ239)*0.01+(SUM(BQ21:BQ29)*0.18)</f>
        <v>0</v>
      </c>
      <c r="BR273" s="509">
        <f>SUM(+BR36+BR114+BR230+BR239)*0.01+(SUM(BR21:BR29)*0.18)</f>
        <v>0</v>
      </c>
      <c r="BS273" s="504">
        <f t="shared" si="198"/>
        <v>111530.73283333333</v>
      </c>
      <c r="BT273" s="510"/>
      <c r="BU273" s="508"/>
      <c r="BV273" s="508"/>
      <c r="BW273" s="508"/>
      <c r="BX273" s="508"/>
      <c r="BY273" s="508"/>
      <c r="BZ273" s="508"/>
      <c r="CA273" s="508"/>
      <c r="CB273" s="508"/>
      <c r="CC273" s="508"/>
      <c r="CD273" s="508"/>
      <c r="CE273" s="509"/>
      <c r="CF273" s="504">
        <f t="shared" si="199"/>
        <v>0</v>
      </c>
      <c r="CG273" s="504"/>
      <c r="CH273" s="504">
        <f t="shared" si="200"/>
        <v>1096619.7528333336</v>
      </c>
      <c r="CI273" s="559">
        <f t="shared" si="201"/>
        <v>0</v>
      </c>
      <c r="CJ273" s="504">
        <f t="shared" si="202"/>
        <v>1096619.7528333336</v>
      </c>
      <c r="CK273" s="504">
        <f>+CJ273-R273</f>
        <v>682730.75283333356</v>
      </c>
      <c r="CL273" s="504">
        <v>1122318.085</v>
      </c>
      <c r="CM273" s="504">
        <f t="shared" si="204"/>
        <v>-25698.332166666398</v>
      </c>
    </row>
    <row r="274" spans="1:94">
      <c r="A274" s="500"/>
      <c r="B274" s="526"/>
      <c r="C274" s="526"/>
      <c r="D274" s="501"/>
      <c r="E274" s="501"/>
      <c r="F274" s="501"/>
      <c r="G274" s="501"/>
      <c r="H274" s="501"/>
      <c r="I274" s="501"/>
      <c r="J274" s="501"/>
      <c r="K274" s="501"/>
      <c r="L274" s="501"/>
      <c r="M274" s="517"/>
      <c r="N274" s="518"/>
      <c r="O274" s="504"/>
      <c r="P274" s="519"/>
      <c r="Q274" s="506">
        <v>0</v>
      </c>
      <c r="R274" s="506">
        <v>0</v>
      </c>
      <c r="S274" s="504"/>
      <c r="T274" s="507"/>
      <c r="U274" s="508"/>
      <c r="V274" s="508"/>
      <c r="W274" s="508"/>
      <c r="X274" s="508"/>
      <c r="Y274" s="508"/>
      <c r="Z274" s="508"/>
      <c r="AA274" s="508"/>
      <c r="AB274" s="508"/>
      <c r="AC274" s="508"/>
      <c r="AD274" s="508"/>
      <c r="AE274" s="509"/>
      <c r="AF274" s="504">
        <f t="shared" si="195"/>
        <v>0</v>
      </c>
      <c r="AG274" s="510"/>
      <c r="AH274" s="549"/>
      <c r="AI274" s="508"/>
      <c r="AJ274" s="508"/>
      <c r="AK274" s="508"/>
      <c r="AL274" s="508"/>
      <c r="AM274" s="508"/>
      <c r="AN274" s="508"/>
      <c r="AO274" s="508"/>
      <c r="AP274" s="508"/>
      <c r="AQ274" s="508"/>
      <c r="AR274" s="509"/>
      <c r="AS274" s="504">
        <f t="shared" si="196"/>
        <v>0</v>
      </c>
      <c r="AT274" s="548"/>
      <c r="AU274" s="508"/>
      <c r="AV274" s="508"/>
      <c r="AW274" s="508"/>
      <c r="AX274" s="508"/>
      <c r="AY274" s="508"/>
      <c r="AZ274" s="508"/>
      <c r="BA274" s="508"/>
      <c r="BB274" s="508"/>
      <c r="BC274" s="508"/>
      <c r="BD274" s="508"/>
      <c r="BE274" s="509"/>
      <c r="BF274" s="504">
        <f t="shared" si="197"/>
        <v>0</v>
      </c>
      <c r="BG274" s="510"/>
      <c r="BH274" s="508"/>
      <c r="BI274" s="508"/>
      <c r="BJ274" s="508"/>
      <c r="BK274" s="508"/>
      <c r="BL274" s="508"/>
      <c r="BM274" s="508"/>
      <c r="BN274" s="508"/>
      <c r="BO274" s="508"/>
      <c r="BP274" s="508"/>
      <c r="BQ274" s="508"/>
      <c r="BR274" s="509"/>
      <c r="BS274" s="504">
        <f t="shared" si="198"/>
        <v>0</v>
      </c>
      <c r="BT274" s="510"/>
      <c r="BU274" s="508"/>
      <c r="BV274" s="508"/>
      <c r="BW274" s="508"/>
      <c r="BX274" s="508"/>
      <c r="BY274" s="508"/>
      <c r="BZ274" s="508"/>
      <c r="CA274" s="508"/>
      <c r="CB274" s="508"/>
      <c r="CC274" s="508"/>
      <c r="CD274" s="508"/>
      <c r="CE274" s="509"/>
      <c r="CF274" s="504">
        <f t="shared" si="199"/>
        <v>0</v>
      </c>
      <c r="CG274" s="504"/>
      <c r="CH274" s="504">
        <f t="shared" si="200"/>
        <v>0</v>
      </c>
      <c r="CI274" s="504">
        <f t="shared" si="201"/>
        <v>0</v>
      </c>
      <c r="CJ274" s="504">
        <f t="shared" si="202"/>
        <v>0</v>
      </c>
      <c r="CK274" s="504">
        <f>+CJ274-R274</f>
        <v>0</v>
      </c>
      <c r="CL274" s="504">
        <f>+CK274-S274</f>
        <v>0</v>
      </c>
      <c r="CM274" s="504">
        <f t="shared" si="204"/>
        <v>0</v>
      </c>
    </row>
    <row r="275" spans="1:94" s="439" customFormat="1">
      <c r="A275" s="660" t="s">
        <v>525</v>
      </c>
      <c r="B275" s="1426">
        <v>1000</v>
      </c>
      <c r="C275" s="1427"/>
      <c r="D275" s="1427"/>
      <c r="E275" s="1428"/>
      <c r="F275" s="661"/>
      <c r="G275" s="661" t="s">
        <v>526</v>
      </c>
      <c r="H275" s="661"/>
      <c r="I275" s="661"/>
      <c r="J275" s="661"/>
      <c r="K275" s="661"/>
      <c r="L275" s="661"/>
      <c r="M275" s="662"/>
      <c r="N275" s="486"/>
      <c r="O275" s="486"/>
      <c r="P275" s="663"/>
      <c r="Q275" s="528">
        <f t="shared" ref="Q275:AV275" si="209">SUBTOTAL(9,Q276:Q278)</f>
        <v>8677426.9090189561</v>
      </c>
      <c r="R275" s="528">
        <f t="shared" si="209"/>
        <v>3225317</v>
      </c>
      <c r="S275" s="529">
        <f t="shared" si="209"/>
        <v>0</v>
      </c>
      <c r="T275" s="530">
        <f t="shared" si="209"/>
        <v>0</v>
      </c>
      <c r="U275" s="531">
        <f t="shared" si="209"/>
        <v>0</v>
      </c>
      <c r="V275" s="531">
        <f t="shared" si="209"/>
        <v>0</v>
      </c>
      <c r="W275" s="531">
        <f t="shared" si="209"/>
        <v>0</v>
      </c>
      <c r="X275" s="531">
        <f t="shared" si="209"/>
        <v>0</v>
      </c>
      <c r="Y275" s="531">
        <f t="shared" si="209"/>
        <v>0</v>
      </c>
      <c r="Z275" s="531">
        <f t="shared" si="209"/>
        <v>0</v>
      </c>
      <c r="AA275" s="531">
        <f t="shared" si="209"/>
        <v>0</v>
      </c>
      <c r="AB275" s="531">
        <f t="shared" si="209"/>
        <v>0</v>
      </c>
      <c r="AC275" s="531">
        <f t="shared" si="209"/>
        <v>0</v>
      </c>
      <c r="AD275" s="531">
        <f t="shared" si="209"/>
        <v>0</v>
      </c>
      <c r="AE275" s="532">
        <f t="shared" si="209"/>
        <v>0</v>
      </c>
      <c r="AF275" s="529">
        <f t="shared" si="209"/>
        <v>0</v>
      </c>
      <c r="AG275" s="533">
        <f t="shared" si="209"/>
        <v>0</v>
      </c>
      <c r="AH275" s="531">
        <f t="shared" si="209"/>
        <v>0</v>
      </c>
      <c r="AI275" s="531">
        <f t="shared" si="209"/>
        <v>0</v>
      </c>
      <c r="AJ275" s="531">
        <f t="shared" si="209"/>
        <v>0</v>
      </c>
      <c r="AK275" s="531">
        <f t="shared" si="209"/>
        <v>0</v>
      </c>
      <c r="AL275" s="531">
        <f t="shared" si="209"/>
        <v>0</v>
      </c>
      <c r="AM275" s="531">
        <f t="shared" si="209"/>
        <v>0</v>
      </c>
      <c r="AN275" s="531">
        <f t="shared" si="209"/>
        <v>0</v>
      </c>
      <c r="AO275" s="531">
        <f t="shared" si="209"/>
        <v>0</v>
      </c>
      <c r="AP275" s="531">
        <f t="shared" si="209"/>
        <v>0</v>
      </c>
      <c r="AQ275" s="531">
        <f t="shared" si="209"/>
        <v>0</v>
      </c>
      <c r="AR275" s="532">
        <f t="shared" si="209"/>
        <v>0</v>
      </c>
      <c r="AS275" s="529">
        <f t="shared" si="209"/>
        <v>0</v>
      </c>
      <c r="AT275" s="533">
        <f t="shared" si="209"/>
        <v>0</v>
      </c>
      <c r="AU275" s="531">
        <f t="shared" si="209"/>
        <v>0</v>
      </c>
      <c r="AV275" s="531">
        <f t="shared" si="209"/>
        <v>0</v>
      </c>
      <c r="AW275" s="531">
        <f t="shared" ref="AW275:CB275" si="210">SUBTOTAL(9,AW276:AW278)</f>
        <v>0</v>
      </c>
      <c r="AX275" s="531">
        <f t="shared" si="210"/>
        <v>0</v>
      </c>
      <c r="AY275" s="531">
        <f t="shared" si="210"/>
        <v>0</v>
      </c>
      <c r="AZ275" s="531">
        <f t="shared" si="210"/>
        <v>0</v>
      </c>
      <c r="BA275" s="531">
        <f t="shared" si="210"/>
        <v>0</v>
      </c>
      <c r="BB275" s="531">
        <f t="shared" si="210"/>
        <v>0</v>
      </c>
      <c r="BC275" s="531">
        <f t="shared" si="210"/>
        <v>0</v>
      </c>
      <c r="BD275" s="531">
        <f t="shared" si="210"/>
        <v>0</v>
      </c>
      <c r="BE275" s="532">
        <f t="shared" si="210"/>
        <v>0</v>
      </c>
      <c r="BF275" s="529">
        <f t="shared" si="210"/>
        <v>0</v>
      </c>
      <c r="BG275" s="533">
        <f t="shared" si="210"/>
        <v>0</v>
      </c>
      <c r="BH275" s="531">
        <f t="shared" si="210"/>
        <v>0</v>
      </c>
      <c r="BI275" s="531">
        <f t="shared" si="210"/>
        <v>0</v>
      </c>
      <c r="BJ275" s="531">
        <f t="shared" si="210"/>
        <v>0</v>
      </c>
      <c r="BK275" s="531">
        <f t="shared" si="210"/>
        <v>0</v>
      </c>
      <c r="BL275" s="531">
        <f t="shared" si="210"/>
        <v>0</v>
      </c>
      <c r="BM275" s="531">
        <f t="shared" si="210"/>
        <v>0</v>
      </c>
      <c r="BN275" s="531">
        <f t="shared" si="210"/>
        <v>0</v>
      </c>
      <c r="BO275" s="531">
        <f t="shared" si="210"/>
        <v>0</v>
      </c>
      <c r="BP275" s="531">
        <f t="shared" si="210"/>
        <v>0</v>
      </c>
      <c r="BQ275" s="531">
        <f t="shared" si="210"/>
        <v>0</v>
      </c>
      <c r="BR275" s="532">
        <f t="shared" si="210"/>
        <v>0</v>
      </c>
      <c r="BS275" s="529">
        <f t="shared" si="210"/>
        <v>0</v>
      </c>
      <c r="BT275" s="533">
        <f t="shared" si="210"/>
        <v>0</v>
      </c>
      <c r="BU275" s="531">
        <f t="shared" si="210"/>
        <v>0</v>
      </c>
      <c r="BV275" s="531">
        <f t="shared" si="210"/>
        <v>0</v>
      </c>
      <c r="BW275" s="531">
        <f t="shared" si="210"/>
        <v>0</v>
      </c>
      <c r="BX275" s="531">
        <f t="shared" si="210"/>
        <v>0</v>
      </c>
      <c r="BY275" s="531">
        <f t="shared" si="210"/>
        <v>0</v>
      </c>
      <c r="BZ275" s="531">
        <f t="shared" si="210"/>
        <v>0</v>
      </c>
      <c r="CA275" s="531">
        <f t="shared" si="210"/>
        <v>0</v>
      </c>
      <c r="CB275" s="531">
        <f t="shared" si="210"/>
        <v>0</v>
      </c>
      <c r="CC275" s="531">
        <f t="shared" ref="CC275:CM275" si="211">SUBTOTAL(9,CC276:CC278)</f>
        <v>0</v>
      </c>
      <c r="CD275" s="531">
        <f t="shared" si="211"/>
        <v>0</v>
      </c>
      <c r="CE275" s="532">
        <f t="shared" si="211"/>
        <v>0</v>
      </c>
      <c r="CF275" s="529">
        <f t="shared" si="211"/>
        <v>0</v>
      </c>
      <c r="CG275" s="529">
        <f t="shared" si="211"/>
        <v>0</v>
      </c>
      <c r="CH275" s="529">
        <f t="shared" si="211"/>
        <v>0</v>
      </c>
      <c r="CI275" s="529">
        <f t="shared" si="211"/>
        <v>0</v>
      </c>
      <c r="CJ275" s="529">
        <f t="shared" si="211"/>
        <v>0</v>
      </c>
      <c r="CK275" s="529">
        <f t="shared" si="211"/>
        <v>-3225317</v>
      </c>
      <c r="CL275" s="529">
        <f t="shared" si="211"/>
        <v>347548.1</v>
      </c>
      <c r="CM275" s="529">
        <f t="shared" si="211"/>
        <v>-347548.1</v>
      </c>
    </row>
    <row r="276" spans="1:94" s="439" customFormat="1" outlineLevel="1">
      <c r="A276" s="664"/>
      <c r="B276" s="1429">
        <v>1000.1</v>
      </c>
      <c r="C276" s="1429"/>
      <c r="D276" s="1429"/>
      <c r="E276" s="665"/>
      <c r="F276" s="666"/>
      <c r="G276" s="666" t="s">
        <v>527</v>
      </c>
      <c r="H276" s="666"/>
      <c r="I276" s="666"/>
      <c r="J276" s="666"/>
      <c r="K276" s="666"/>
      <c r="L276" s="666"/>
      <c r="M276" s="667"/>
      <c r="N276" s="504"/>
      <c r="O276" s="504"/>
      <c r="P276" s="668"/>
      <c r="Q276" s="506">
        <v>1456731</v>
      </c>
      <c r="R276" s="506">
        <v>1250387</v>
      </c>
      <c r="S276" s="504"/>
      <c r="T276" s="507"/>
      <c r="U276" s="508"/>
      <c r="V276" s="508"/>
      <c r="W276" s="508"/>
      <c r="X276" s="508"/>
      <c r="Y276" s="508"/>
      <c r="Z276" s="508"/>
      <c r="AA276" s="508"/>
      <c r="AB276" s="508"/>
      <c r="AC276" s="508"/>
      <c r="AD276" s="508"/>
      <c r="AE276" s="509"/>
      <c r="AF276" s="504">
        <f>SUM(T276:AE276)</f>
        <v>0</v>
      </c>
      <c r="AG276" s="510"/>
      <c r="AH276" s="549"/>
      <c r="AI276" s="508"/>
      <c r="AJ276" s="549"/>
      <c r="AK276" s="549"/>
      <c r="AL276" s="508"/>
      <c r="AM276" s="508"/>
      <c r="AN276" s="508"/>
      <c r="AO276" s="508"/>
      <c r="AP276" s="508"/>
      <c r="AQ276" s="508"/>
      <c r="AR276" s="509"/>
      <c r="AS276" s="504">
        <f>SUM(AG276:AR276)</f>
        <v>0</v>
      </c>
      <c r="AT276" s="510"/>
      <c r="AU276" s="508"/>
      <c r="AV276" s="508"/>
      <c r="AW276" s="508"/>
      <c r="AX276" s="508"/>
      <c r="AY276" s="508"/>
      <c r="AZ276" s="508"/>
      <c r="BA276" s="508"/>
      <c r="BB276" s="508"/>
      <c r="BC276" s="508"/>
      <c r="BD276" s="508"/>
      <c r="BE276" s="509"/>
      <c r="BF276" s="504">
        <f>SUM(AT276:BE276)</f>
        <v>0</v>
      </c>
      <c r="BG276" s="510"/>
      <c r="BH276" s="508"/>
      <c r="BI276" s="508"/>
      <c r="BJ276" s="549"/>
      <c r="BK276" s="508"/>
      <c r="BL276" s="508"/>
      <c r="BM276" s="508"/>
      <c r="BN276" s="508"/>
      <c r="BO276" s="508"/>
      <c r="BP276" s="508"/>
      <c r="BQ276" s="508"/>
      <c r="BR276" s="509"/>
      <c r="BS276" s="504">
        <f>SUM(BG276:BR276)</f>
        <v>0</v>
      </c>
      <c r="BT276" s="510"/>
      <c r="BU276" s="508"/>
      <c r="BV276" s="508"/>
      <c r="BW276" s="508"/>
      <c r="BX276" s="508"/>
      <c r="BY276" s="508"/>
      <c r="BZ276" s="508"/>
      <c r="CA276" s="508"/>
      <c r="CB276" s="508"/>
      <c r="CC276" s="508"/>
      <c r="CD276" s="508"/>
      <c r="CE276" s="509"/>
      <c r="CF276" s="504">
        <f>SUM(BT276:CE276)</f>
        <v>0</v>
      </c>
      <c r="CG276" s="504"/>
      <c r="CH276" s="504">
        <f>SUMIF(($S$5:$CG$5),"Actual",(S276:CG276))</f>
        <v>0</v>
      </c>
      <c r="CI276" s="504">
        <f>SUMIF(($S$5:$CG$5),"Forecast",(S276:CG276))</f>
        <v>0</v>
      </c>
      <c r="CJ276" s="504">
        <f>+CH276+CI276</f>
        <v>0</v>
      </c>
      <c r="CK276" s="504">
        <f>+CJ276-R276</f>
        <v>-1250387</v>
      </c>
      <c r="CL276" s="504">
        <v>0</v>
      </c>
      <c r="CM276" s="504">
        <f>+CJ276-CL276</f>
        <v>0</v>
      </c>
    </row>
    <row r="277" spans="1:94" s="439" customFormat="1" outlineLevel="1">
      <c r="A277" s="664"/>
      <c r="B277" s="1429">
        <v>1000.2</v>
      </c>
      <c r="C277" s="1429"/>
      <c r="D277" s="1429"/>
      <c r="E277" s="665"/>
      <c r="F277" s="666"/>
      <c r="G277" s="666" t="s">
        <v>528</v>
      </c>
      <c r="H277" s="666"/>
      <c r="I277" s="666"/>
      <c r="J277" s="666"/>
      <c r="K277" s="666"/>
      <c r="L277" s="666"/>
      <c r="M277" s="667"/>
      <c r="N277" s="504"/>
      <c r="O277" s="504"/>
      <c r="P277" s="668"/>
      <c r="Q277" s="506">
        <v>7220695.9090189561</v>
      </c>
      <c r="R277" s="506">
        <v>1974930</v>
      </c>
      <c r="S277" s="504"/>
      <c r="T277" s="507"/>
      <c r="U277" s="508"/>
      <c r="V277" s="508"/>
      <c r="W277" s="508"/>
      <c r="X277" s="508"/>
      <c r="Y277" s="508"/>
      <c r="Z277" s="508"/>
      <c r="AA277" s="508"/>
      <c r="AB277" s="508"/>
      <c r="AC277" s="508"/>
      <c r="AD277" s="508"/>
      <c r="AE277" s="509"/>
      <c r="AF277" s="504">
        <f>SUM(T277:AE277)</f>
        <v>0</v>
      </c>
      <c r="AG277" s="510"/>
      <c r="AH277" s="549"/>
      <c r="AI277" s="508"/>
      <c r="AJ277" s="549"/>
      <c r="AK277" s="549"/>
      <c r="AL277" s="508"/>
      <c r="AM277" s="549"/>
      <c r="AN277" s="549"/>
      <c r="AO277" s="549"/>
      <c r="AP277" s="508"/>
      <c r="AQ277" s="508"/>
      <c r="AR277" s="508"/>
      <c r="AS277" s="504">
        <f>SUM(AG277:AR277)</f>
        <v>0</v>
      </c>
      <c r="AT277" s="510"/>
      <c r="AU277" s="508"/>
      <c r="AV277" s="508"/>
      <c r="AW277" s="508"/>
      <c r="AX277" s="508"/>
      <c r="AY277" s="508"/>
      <c r="AZ277" s="508"/>
      <c r="BA277" s="508"/>
      <c r="BB277" s="508"/>
      <c r="BC277" s="508"/>
      <c r="BD277" s="508"/>
      <c r="BE277" s="509"/>
      <c r="BF277" s="504">
        <f>SUM(AT277:BE277)</f>
        <v>0</v>
      </c>
      <c r="BG277" s="548"/>
      <c r="BH277" s="549"/>
      <c r="BI277" s="508"/>
      <c r="BJ277" s="548"/>
      <c r="BK277" s="592"/>
      <c r="BL277" s="592">
        <v>0</v>
      </c>
      <c r="BM277" s="1298"/>
      <c r="BN277" s="508">
        <v>0</v>
      </c>
      <c r="BO277" s="508">
        <v>0</v>
      </c>
      <c r="BP277" s="508">
        <v>0</v>
      </c>
      <c r="BQ277" s="508"/>
      <c r="BR277" s="509"/>
      <c r="BS277" s="504">
        <f>SUM(BG277:BR277)</f>
        <v>0</v>
      </c>
      <c r="BT277" s="510"/>
      <c r="BU277" s="508"/>
      <c r="BV277" s="508"/>
      <c r="BW277" s="508"/>
      <c r="BX277" s="508"/>
      <c r="BY277" s="508"/>
      <c r="BZ277" s="508"/>
      <c r="CA277" s="508"/>
      <c r="CB277" s="508"/>
      <c r="CC277" s="508"/>
      <c r="CD277" s="508"/>
      <c r="CE277" s="509"/>
      <c r="CF277" s="504">
        <f>SUM(BT277:CE277)</f>
        <v>0</v>
      </c>
      <c r="CG277" s="504"/>
      <c r="CH277" s="504">
        <f>SUMIF(($S$5:$CG$5),"Actual",(S277:CG277))</f>
        <v>0</v>
      </c>
      <c r="CI277" s="556">
        <f>SUMIF(($S$5:$CG$5),"Forecast",(S277:CG277))</f>
        <v>0</v>
      </c>
      <c r="CJ277" s="504">
        <f>+CH277+CI277</f>
        <v>0</v>
      </c>
      <c r="CK277" s="504">
        <f>+CJ277-R277</f>
        <v>-1974930</v>
      </c>
      <c r="CL277" s="504">
        <v>347548.1</v>
      </c>
      <c r="CM277" s="504">
        <f>+CJ277-CL277</f>
        <v>-347548.1</v>
      </c>
    </row>
    <row r="278" spans="1:94">
      <c r="A278" s="500"/>
      <c r="B278" s="516"/>
      <c r="C278" s="525"/>
      <c r="D278" s="525"/>
      <c r="E278" s="525"/>
      <c r="F278" s="501"/>
      <c r="G278" s="501"/>
      <c r="H278" s="501"/>
      <c r="I278" s="501"/>
      <c r="J278" s="501"/>
      <c r="K278" s="501"/>
      <c r="L278" s="501"/>
      <c r="M278" s="517"/>
      <c r="N278" s="518"/>
      <c r="O278" s="504"/>
      <c r="P278" s="519"/>
      <c r="Q278" s="506">
        <v>0</v>
      </c>
      <c r="R278" s="506">
        <v>0</v>
      </c>
      <c r="S278" s="504"/>
      <c r="T278" s="507"/>
      <c r="U278" s="508"/>
      <c r="V278" s="508"/>
      <c r="W278" s="508"/>
      <c r="X278" s="508"/>
      <c r="Y278" s="508"/>
      <c r="Z278" s="508"/>
      <c r="AA278" s="508"/>
      <c r="AB278" s="508"/>
      <c r="AC278" s="508"/>
      <c r="AD278" s="508"/>
      <c r="AE278" s="509"/>
      <c r="AF278" s="504">
        <f>SUM(T278:AE278)</f>
        <v>0</v>
      </c>
      <c r="AG278" s="510"/>
      <c r="AH278" s="508"/>
      <c r="AI278" s="508"/>
      <c r="AJ278" s="508"/>
      <c r="AK278" s="508"/>
      <c r="AL278" s="508"/>
      <c r="AM278" s="508"/>
      <c r="AN278" s="508"/>
      <c r="AO278" s="508"/>
      <c r="AP278" s="508"/>
      <c r="AQ278" s="508"/>
      <c r="AR278" s="509"/>
      <c r="AS278" s="504">
        <f>SUM(AG278:AR278)</f>
        <v>0</v>
      </c>
      <c r="AT278" s="510"/>
      <c r="AU278" s="508"/>
      <c r="AV278" s="508"/>
      <c r="AW278" s="508"/>
      <c r="AX278" s="508"/>
      <c r="AY278" s="508"/>
      <c r="AZ278" s="508"/>
      <c r="BA278" s="508"/>
      <c r="BB278" s="508"/>
      <c r="BC278" s="508"/>
      <c r="BD278" s="508"/>
      <c r="BE278" s="509"/>
      <c r="BF278" s="504">
        <f>SUM(AT278:BE278)</f>
        <v>0</v>
      </c>
      <c r="BG278" s="510"/>
      <c r="BH278" s="508"/>
      <c r="BI278" s="508"/>
      <c r="BJ278" s="549"/>
      <c r="BK278" s="508"/>
      <c r="BL278" s="508"/>
      <c r="BM278" s="508"/>
      <c r="BN278" s="508"/>
      <c r="BO278" s="508"/>
      <c r="BP278" s="508"/>
      <c r="BQ278" s="508"/>
      <c r="BR278" s="509"/>
      <c r="BS278" s="504"/>
      <c r="BT278" s="510"/>
      <c r="BU278" s="508"/>
      <c r="BV278" s="508"/>
      <c r="BW278" s="508"/>
      <c r="BX278" s="508"/>
      <c r="BY278" s="508"/>
      <c r="BZ278" s="508"/>
      <c r="CA278" s="508"/>
      <c r="CB278" s="508"/>
      <c r="CC278" s="508"/>
      <c r="CD278" s="508"/>
      <c r="CE278" s="509"/>
      <c r="CF278" s="504">
        <f>SUM(BT278:CE278)</f>
        <v>0</v>
      </c>
      <c r="CG278" s="504"/>
      <c r="CH278" s="504">
        <f>SUMIF(($S$5:$CG$5),"Actual",(S278:CG278))</f>
        <v>0</v>
      </c>
      <c r="CI278" s="504">
        <f>SUMIF(($S$5:$CG$5),"Forecast",(S278:CG278))</f>
        <v>0</v>
      </c>
      <c r="CJ278" s="504">
        <f>+CH278+CI278</f>
        <v>0</v>
      </c>
      <c r="CK278" s="504">
        <f>+CJ278-R278</f>
        <v>0</v>
      </c>
      <c r="CL278" s="504">
        <v>0</v>
      </c>
      <c r="CM278" s="504">
        <f>+CJ278-CL278</f>
        <v>0</v>
      </c>
    </row>
    <row r="279" spans="1:94">
      <c r="A279" s="481" t="s">
        <v>529</v>
      </c>
      <c r="B279" s="1430">
        <v>530</v>
      </c>
      <c r="C279" s="1430"/>
      <c r="D279" s="1430"/>
      <c r="E279" s="1430"/>
      <c r="F279" s="527"/>
      <c r="G279" s="482" t="s">
        <v>530</v>
      </c>
      <c r="H279" s="482"/>
      <c r="I279" s="482"/>
      <c r="J279" s="482"/>
      <c r="K279" s="482"/>
      <c r="L279" s="482"/>
      <c r="M279" s="484"/>
      <c r="N279" s="485"/>
      <c r="O279" s="486"/>
      <c r="P279" s="487"/>
      <c r="Q279" s="528">
        <f t="shared" ref="Q279:AE279" si="212">SUBTOTAL(9,Q280:Q282)</f>
        <v>0</v>
      </c>
      <c r="R279" s="528">
        <f t="shared" si="212"/>
        <v>0</v>
      </c>
      <c r="S279" s="529">
        <f t="shared" si="212"/>
        <v>0</v>
      </c>
      <c r="T279" s="530">
        <f t="shared" si="212"/>
        <v>0</v>
      </c>
      <c r="U279" s="531">
        <f t="shared" si="212"/>
        <v>0</v>
      </c>
      <c r="V279" s="531">
        <f t="shared" si="212"/>
        <v>0</v>
      </c>
      <c r="W279" s="531">
        <f t="shared" si="212"/>
        <v>0</v>
      </c>
      <c r="X279" s="531">
        <f t="shared" si="212"/>
        <v>0</v>
      </c>
      <c r="Y279" s="531">
        <f t="shared" si="212"/>
        <v>0</v>
      </c>
      <c r="Z279" s="531">
        <f t="shared" si="212"/>
        <v>0</v>
      </c>
      <c r="AA279" s="531">
        <f t="shared" si="212"/>
        <v>0</v>
      </c>
      <c r="AB279" s="531">
        <f t="shared" si="212"/>
        <v>0</v>
      </c>
      <c r="AC279" s="531">
        <f t="shared" si="212"/>
        <v>0</v>
      </c>
      <c r="AD279" s="531">
        <f t="shared" si="212"/>
        <v>0</v>
      </c>
      <c r="AE279" s="532">
        <f t="shared" si="212"/>
        <v>0</v>
      </c>
      <c r="AF279" s="529"/>
      <c r="AG279" s="533">
        <f t="shared" ref="AG279:BL279" si="213">SUBTOTAL(9,AG280:AG282)</f>
        <v>0</v>
      </c>
      <c r="AH279" s="531">
        <f t="shared" si="213"/>
        <v>0</v>
      </c>
      <c r="AI279" s="531">
        <f t="shared" si="213"/>
        <v>0</v>
      </c>
      <c r="AJ279" s="531">
        <f t="shared" si="213"/>
        <v>0</v>
      </c>
      <c r="AK279" s="531">
        <f t="shared" si="213"/>
        <v>0</v>
      </c>
      <c r="AL279" s="531">
        <f t="shared" si="213"/>
        <v>0</v>
      </c>
      <c r="AM279" s="531">
        <f t="shared" si="213"/>
        <v>0</v>
      </c>
      <c r="AN279" s="531">
        <f t="shared" si="213"/>
        <v>0</v>
      </c>
      <c r="AO279" s="531">
        <f t="shared" si="213"/>
        <v>0</v>
      </c>
      <c r="AP279" s="531">
        <f t="shared" si="213"/>
        <v>0</v>
      </c>
      <c r="AQ279" s="531">
        <f t="shared" si="213"/>
        <v>0</v>
      </c>
      <c r="AR279" s="532">
        <f t="shared" si="213"/>
        <v>0</v>
      </c>
      <c r="AS279" s="529">
        <f t="shared" si="213"/>
        <v>0</v>
      </c>
      <c r="AT279" s="533">
        <f t="shared" si="213"/>
        <v>0</v>
      </c>
      <c r="AU279" s="531">
        <f t="shared" si="213"/>
        <v>0</v>
      </c>
      <c r="AV279" s="531">
        <f t="shared" si="213"/>
        <v>0</v>
      </c>
      <c r="AW279" s="531">
        <f t="shared" si="213"/>
        <v>0</v>
      </c>
      <c r="AX279" s="531">
        <f t="shared" si="213"/>
        <v>0</v>
      </c>
      <c r="AY279" s="531">
        <f t="shared" si="213"/>
        <v>0</v>
      </c>
      <c r="AZ279" s="531">
        <f t="shared" si="213"/>
        <v>0</v>
      </c>
      <c r="BA279" s="531">
        <f t="shared" si="213"/>
        <v>0</v>
      </c>
      <c r="BB279" s="531">
        <f t="shared" si="213"/>
        <v>0</v>
      </c>
      <c r="BC279" s="531">
        <f t="shared" si="213"/>
        <v>0</v>
      </c>
      <c r="BD279" s="531">
        <f t="shared" si="213"/>
        <v>0</v>
      </c>
      <c r="BE279" s="532">
        <f t="shared" si="213"/>
        <v>0</v>
      </c>
      <c r="BF279" s="529">
        <f t="shared" si="213"/>
        <v>0</v>
      </c>
      <c r="BG279" s="533">
        <f t="shared" si="213"/>
        <v>0</v>
      </c>
      <c r="BH279" s="531">
        <f t="shared" si="213"/>
        <v>0</v>
      </c>
      <c r="BI279" s="531">
        <f t="shared" si="213"/>
        <v>0</v>
      </c>
      <c r="BJ279" s="531">
        <f t="shared" si="213"/>
        <v>0</v>
      </c>
      <c r="BK279" s="531">
        <f t="shared" si="213"/>
        <v>0</v>
      </c>
      <c r="BL279" s="531">
        <f t="shared" si="213"/>
        <v>0</v>
      </c>
      <c r="BM279" s="531">
        <f t="shared" ref="BM279:CM279" si="214">SUBTOTAL(9,BM280:BM282)</f>
        <v>0</v>
      </c>
      <c r="BN279" s="531">
        <f t="shared" si="214"/>
        <v>0</v>
      </c>
      <c r="BO279" s="531">
        <f t="shared" si="214"/>
        <v>0</v>
      </c>
      <c r="BP279" s="531">
        <f t="shared" si="214"/>
        <v>0</v>
      </c>
      <c r="BQ279" s="531">
        <f t="shared" si="214"/>
        <v>0</v>
      </c>
      <c r="BR279" s="532">
        <f t="shared" si="214"/>
        <v>0</v>
      </c>
      <c r="BS279" s="529">
        <f t="shared" si="214"/>
        <v>0</v>
      </c>
      <c r="BT279" s="533">
        <f t="shared" si="214"/>
        <v>0</v>
      </c>
      <c r="BU279" s="531">
        <f t="shared" si="214"/>
        <v>0</v>
      </c>
      <c r="BV279" s="531">
        <f t="shared" si="214"/>
        <v>0</v>
      </c>
      <c r="BW279" s="531">
        <f t="shared" si="214"/>
        <v>0</v>
      </c>
      <c r="BX279" s="531">
        <f t="shared" si="214"/>
        <v>0</v>
      </c>
      <c r="BY279" s="531">
        <f t="shared" si="214"/>
        <v>0</v>
      </c>
      <c r="BZ279" s="531">
        <f t="shared" si="214"/>
        <v>0</v>
      </c>
      <c r="CA279" s="531">
        <f t="shared" si="214"/>
        <v>0</v>
      </c>
      <c r="CB279" s="531">
        <f t="shared" si="214"/>
        <v>0</v>
      </c>
      <c r="CC279" s="531">
        <f t="shared" si="214"/>
        <v>0</v>
      </c>
      <c r="CD279" s="531">
        <f t="shared" si="214"/>
        <v>0</v>
      </c>
      <c r="CE279" s="532">
        <f t="shared" si="214"/>
        <v>0</v>
      </c>
      <c r="CF279" s="529">
        <f t="shared" si="214"/>
        <v>0</v>
      </c>
      <c r="CG279" s="529">
        <f t="shared" si="214"/>
        <v>0</v>
      </c>
      <c r="CH279" s="529">
        <f t="shared" si="214"/>
        <v>0</v>
      </c>
      <c r="CI279" s="529">
        <f t="shared" si="214"/>
        <v>0</v>
      </c>
      <c r="CJ279" s="529">
        <f t="shared" si="214"/>
        <v>0</v>
      </c>
      <c r="CK279" s="529">
        <f t="shared" si="214"/>
        <v>0</v>
      </c>
      <c r="CL279" s="529">
        <f t="shared" si="214"/>
        <v>0</v>
      </c>
      <c r="CM279" s="529">
        <f t="shared" si="214"/>
        <v>0</v>
      </c>
    </row>
    <row r="280" spans="1:94" outlineLevel="1">
      <c r="A280" s="500"/>
      <c r="B280" s="1423">
        <v>530.1</v>
      </c>
      <c r="C280" s="1423"/>
      <c r="D280" s="1423"/>
      <c r="E280" s="501"/>
      <c r="F280" s="525"/>
      <c r="G280" s="501"/>
      <c r="H280" s="501"/>
      <c r="I280" s="501"/>
      <c r="J280" s="501"/>
      <c r="K280" s="501"/>
      <c r="L280" s="501"/>
      <c r="M280" s="517"/>
      <c r="N280" s="518"/>
      <c r="O280" s="504"/>
      <c r="P280" s="519"/>
      <c r="Q280" s="506">
        <v>0</v>
      </c>
      <c r="R280" s="506">
        <v>0</v>
      </c>
      <c r="S280" s="504"/>
      <c r="T280" s="507"/>
      <c r="U280" s="508"/>
      <c r="V280" s="508"/>
      <c r="W280" s="508"/>
      <c r="X280" s="508"/>
      <c r="Y280" s="508"/>
      <c r="Z280" s="508"/>
      <c r="AA280" s="508"/>
      <c r="AB280" s="508"/>
      <c r="AC280" s="508"/>
      <c r="AD280" s="508"/>
      <c r="AE280" s="509"/>
      <c r="AF280" s="504">
        <f>SUM(T280:AE280)</f>
        <v>0</v>
      </c>
      <c r="AG280" s="510"/>
      <c r="AH280" s="508"/>
      <c r="AI280" s="508"/>
      <c r="AJ280" s="508"/>
      <c r="AK280" s="508"/>
      <c r="AL280" s="508"/>
      <c r="AM280" s="508"/>
      <c r="AN280" s="508"/>
      <c r="AO280" s="508"/>
      <c r="AP280" s="508"/>
      <c r="AQ280" s="508"/>
      <c r="AR280" s="509"/>
      <c r="AS280" s="504">
        <f>SUM(AG280:AR280)</f>
        <v>0</v>
      </c>
      <c r="AT280" s="510"/>
      <c r="AU280" s="508"/>
      <c r="AV280" s="508"/>
      <c r="AW280" s="508"/>
      <c r="AX280" s="508"/>
      <c r="AY280" s="508"/>
      <c r="AZ280" s="508"/>
      <c r="BA280" s="508"/>
      <c r="BB280" s="508"/>
      <c r="BC280" s="508"/>
      <c r="BD280" s="508"/>
      <c r="BE280" s="509"/>
      <c r="BF280" s="504">
        <f>SUM(AT280:BE280)</f>
        <v>0</v>
      </c>
      <c r="BG280" s="510"/>
      <c r="BH280" s="508"/>
      <c r="BI280" s="508"/>
      <c r="BJ280" s="508"/>
      <c r="BK280" s="508"/>
      <c r="BL280" s="508"/>
      <c r="BM280" s="508"/>
      <c r="BN280" s="508"/>
      <c r="BO280" s="508"/>
      <c r="BP280" s="508"/>
      <c r="BQ280" s="508"/>
      <c r="BR280" s="509"/>
      <c r="BS280" s="504">
        <f>SUM(BG280:BR280)</f>
        <v>0</v>
      </c>
      <c r="BT280" s="510"/>
      <c r="BU280" s="508"/>
      <c r="BV280" s="508"/>
      <c r="BW280" s="508"/>
      <c r="BX280" s="508"/>
      <c r="BY280" s="508"/>
      <c r="BZ280" s="508"/>
      <c r="CA280" s="508"/>
      <c r="CB280" s="508"/>
      <c r="CC280" s="508"/>
      <c r="CD280" s="508"/>
      <c r="CE280" s="509"/>
      <c r="CF280" s="504">
        <f>SUM(BT280:CE280)</f>
        <v>0</v>
      </c>
      <c r="CG280" s="504"/>
      <c r="CH280" s="504">
        <f>SUMIF(($S$5:$CG$5),"Actual",(S280:CG280))</f>
        <v>0</v>
      </c>
      <c r="CI280" s="504">
        <f>SUMIF(($S$5:$CG$5),"Forecast",(S280:CG280))</f>
        <v>0</v>
      </c>
      <c r="CJ280" s="504">
        <f>+CH280+CI280</f>
        <v>0</v>
      </c>
      <c r="CK280" s="504">
        <f>+CJ280-R280</f>
        <v>0</v>
      </c>
      <c r="CL280" s="504">
        <v>0</v>
      </c>
      <c r="CM280" s="504">
        <f>+CJ280-CL280</f>
        <v>0</v>
      </c>
    </row>
    <row r="281" spans="1:94" outlineLevel="1">
      <c r="A281" s="500"/>
      <c r="B281" s="1423">
        <v>530.20000000000005</v>
      </c>
      <c r="C281" s="1423"/>
      <c r="D281" s="1423"/>
      <c r="E281" s="501"/>
      <c r="F281" s="516"/>
      <c r="G281" s="501"/>
      <c r="H281" s="501"/>
      <c r="I281" s="501"/>
      <c r="J281" s="501"/>
      <c r="K281" s="501"/>
      <c r="L281" s="501"/>
      <c r="M281" s="517"/>
      <c r="N281" s="518"/>
      <c r="O281" s="504"/>
      <c r="P281" s="519"/>
      <c r="Q281" s="506">
        <v>0</v>
      </c>
      <c r="R281" s="506">
        <v>0</v>
      </c>
      <c r="S281" s="504"/>
      <c r="T281" s="507"/>
      <c r="U281" s="508"/>
      <c r="V281" s="508"/>
      <c r="W281" s="508"/>
      <c r="X281" s="508"/>
      <c r="Y281" s="508"/>
      <c r="Z281" s="508"/>
      <c r="AA281" s="508"/>
      <c r="AB281" s="508"/>
      <c r="AC281" s="508"/>
      <c r="AD281" s="508"/>
      <c r="AE281" s="509"/>
      <c r="AF281" s="504">
        <f>SUM(T281:AE281)</f>
        <v>0</v>
      </c>
      <c r="AG281" s="510"/>
      <c r="AH281" s="508"/>
      <c r="AI281" s="508"/>
      <c r="AJ281" s="508"/>
      <c r="AK281" s="508"/>
      <c r="AL281" s="508"/>
      <c r="AM281" s="508"/>
      <c r="AN281" s="508"/>
      <c r="AO281" s="508"/>
      <c r="AP281" s="508"/>
      <c r="AQ281" s="508"/>
      <c r="AR281" s="509"/>
      <c r="AS281" s="504">
        <f>SUM(AG281:AR281)</f>
        <v>0</v>
      </c>
      <c r="AT281" s="510"/>
      <c r="AU281" s="508"/>
      <c r="AV281" s="508"/>
      <c r="AW281" s="508"/>
      <c r="AX281" s="508"/>
      <c r="AY281" s="508"/>
      <c r="AZ281" s="508"/>
      <c r="BA281" s="508"/>
      <c r="BB281" s="508"/>
      <c r="BC281" s="508"/>
      <c r="BD281" s="508"/>
      <c r="BE281" s="509"/>
      <c r="BF281" s="504">
        <f>SUM(AT281:BE281)</f>
        <v>0</v>
      </c>
      <c r="BG281" s="510"/>
      <c r="BH281" s="508"/>
      <c r="BI281" s="508"/>
      <c r="BJ281" s="508"/>
      <c r="BK281" s="508"/>
      <c r="BL281" s="508"/>
      <c r="BM281" s="508"/>
      <c r="BN281" s="508"/>
      <c r="BO281" s="508"/>
      <c r="BP281" s="508"/>
      <c r="BQ281" s="508"/>
      <c r="BR281" s="509"/>
      <c r="BS281" s="504">
        <f>SUM(BG281:BR281)</f>
        <v>0</v>
      </c>
      <c r="BT281" s="510"/>
      <c r="BU281" s="508"/>
      <c r="BV281" s="508"/>
      <c r="BW281" s="508"/>
      <c r="BX281" s="508"/>
      <c r="BY281" s="508"/>
      <c r="BZ281" s="508"/>
      <c r="CA281" s="508"/>
      <c r="CB281" s="508"/>
      <c r="CC281" s="508"/>
      <c r="CD281" s="508"/>
      <c r="CE281" s="509"/>
      <c r="CF281" s="504">
        <f>SUM(BT281:CE281)</f>
        <v>0</v>
      </c>
      <c r="CG281" s="504"/>
      <c r="CH281" s="504">
        <f>SUMIF(($S$5:$CG$5),"Actual",(S281:CG281))</f>
        <v>0</v>
      </c>
      <c r="CI281" s="504">
        <f>SUMIF(($S$5:$CG$5),"Forecast",(S281:CG281))</f>
        <v>0</v>
      </c>
      <c r="CJ281" s="504">
        <f>+CH281+CI281</f>
        <v>0</v>
      </c>
      <c r="CK281" s="504">
        <f>+CJ281-R281</f>
        <v>0</v>
      </c>
      <c r="CL281" s="504">
        <v>0</v>
      </c>
      <c r="CM281" s="504">
        <f>+CJ281-CL281</f>
        <v>0</v>
      </c>
    </row>
    <row r="282" spans="1:94" ht="12.75" thickBot="1">
      <c r="A282" s="500"/>
      <c r="B282" s="526"/>
      <c r="C282" s="526"/>
      <c r="D282" s="501"/>
      <c r="E282" s="501"/>
      <c r="F282" s="501"/>
      <c r="G282" s="501"/>
      <c r="H282" s="501"/>
      <c r="I282" s="501"/>
      <c r="J282" s="501"/>
      <c r="K282" s="501"/>
      <c r="L282" s="501"/>
      <c r="M282" s="669"/>
      <c r="N282" s="469"/>
      <c r="O282" s="475"/>
      <c r="P282" s="670"/>
      <c r="Q282" s="671"/>
      <c r="R282" s="671"/>
      <c r="S282" s="475"/>
      <c r="T282" s="672"/>
      <c r="U282" s="673"/>
      <c r="V282" s="673"/>
      <c r="W282" s="673"/>
      <c r="X282" s="673"/>
      <c r="Y282" s="673"/>
      <c r="Z282" s="673"/>
      <c r="AA282" s="673"/>
      <c r="AB282" s="673"/>
      <c r="AC282" s="673"/>
      <c r="AD282" s="673"/>
      <c r="AE282" s="674"/>
      <c r="AF282" s="475">
        <f>SUM(T282:AE282)</f>
        <v>0</v>
      </c>
      <c r="AG282" s="675"/>
      <c r="AH282" s="673"/>
      <c r="AI282" s="673"/>
      <c r="AJ282" s="673"/>
      <c r="AK282" s="673"/>
      <c r="AL282" s="673"/>
      <c r="AM282" s="673"/>
      <c r="AN282" s="673"/>
      <c r="AO282" s="673"/>
      <c r="AP282" s="673"/>
      <c r="AQ282" s="673"/>
      <c r="AR282" s="674"/>
      <c r="AS282" s="475">
        <f>SUM(AG282:AR282)</f>
        <v>0</v>
      </c>
      <c r="AT282" s="675"/>
      <c r="AU282" s="673"/>
      <c r="AV282" s="673"/>
      <c r="AW282" s="673"/>
      <c r="AX282" s="673"/>
      <c r="AY282" s="673"/>
      <c r="AZ282" s="673"/>
      <c r="BA282" s="673"/>
      <c r="BB282" s="673"/>
      <c r="BC282" s="673"/>
      <c r="BD282" s="673"/>
      <c r="BE282" s="674"/>
      <c r="BF282" s="475">
        <f>SUM(AT282:BE282)</f>
        <v>0</v>
      </c>
      <c r="BG282" s="675"/>
      <c r="BH282" s="673"/>
      <c r="BI282" s="673"/>
      <c r="BJ282" s="673"/>
      <c r="BK282" s="673"/>
      <c r="BL282" s="673"/>
      <c r="BM282" s="673"/>
      <c r="BN282" s="673"/>
      <c r="BO282" s="673"/>
      <c r="BP282" s="673"/>
      <c r="BQ282" s="673"/>
      <c r="BR282" s="674"/>
      <c r="BS282" s="475"/>
      <c r="BT282" s="675"/>
      <c r="BU282" s="673"/>
      <c r="BV282" s="673"/>
      <c r="BW282" s="673"/>
      <c r="BX282" s="673"/>
      <c r="BY282" s="673"/>
      <c r="BZ282" s="673"/>
      <c r="CA282" s="673"/>
      <c r="CB282" s="673"/>
      <c r="CC282" s="673"/>
      <c r="CD282" s="673"/>
      <c r="CE282" s="674"/>
      <c r="CF282" s="475"/>
      <c r="CG282" s="475"/>
      <c r="CH282" s="475">
        <f>SUMIF(($S$5:$CG$5),"Actual",(S282:CG282))</f>
        <v>0</v>
      </c>
      <c r="CI282" s="475"/>
      <c r="CJ282" s="475">
        <f>+CH282+CI282</f>
        <v>0</v>
      </c>
      <c r="CK282" s="475"/>
      <c r="CL282" s="504">
        <v>0</v>
      </c>
      <c r="CM282" s="504">
        <f>+CJ282-CL282</f>
        <v>0</v>
      </c>
    </row>
    <row r="283" spans="1:94" ht="13.5" thickTop="1" thickBot="1">
      <c r="A283" s="676"/>
      <c r="B283" s="1425"/>
      <c r="C283" s="1425"/>
      <c r="D283" s="1425"/>
      <c r="E283" s="1425"/>
      <c r="F283" s="677"/>
      <c r="G283" s="678" t="s">
        <v>531</v>
      </c>
      <c r="H283" s="678"/>
      <c r="I283" s="678"/>
      <c r="J283" s="678"/>
      <c r="K283" s="678"/>
      <c r="L283" s="678"/>
      <c r="M283" s="679"/>
      <c r="N283" s="679"/>
      <c r="O283" s="680"/>
      <c r="P283" s="679"/>
      <c r="Q283" s="681">
        <f t="shared" ref="Q283:AV283" si="215">SUBTOTAL(9,Q6:Q282)</f>
        <v>53143590.689886957</v>
      </c>
      <c r="R283" s="681">
        <f t="shared" si="215"/>
        <v>53143591</v>
      </c>
      <c r="S283" s="682">
        <f t="shared" si="215"/>
        <v>1110865</v>
      </c>
      <c r="T283" s="683">
        <f t="shared" si="215"/>
        <v>68687.11</v>
      </c>
      <c r="U283" s="684">
        <f t="shared" si="215"/>
        <v>74230.23</v>
      </c>
      <c r="V283" s="684">
        <f t="shared" si="215"/>
        <v>105224.26999999997</v>
      </c>
      <c r="W283" s="684">
        <f t="shared" si="215"/>
        <v>474815.66000000003</v>
      </c>
      <c r="X283" s="684">
        <f t="shared" si="215"/>
        <v>69162.960000000006</v>
      </c>
      <c r="Y283" s="684">
        <f t="shared" si="215"/>
        <v>537284.97</v>
      </c>
      <c r="Z283" s="684">
        <f t="shared" si="215"/>
        <v>273110.2</v>
      </c>
      <c r="AA283" s="684">
        <f t="shared" si="215"/>
        <v>93001.25999999998</v>
      </c>
      <c r="AB283" s="684">
        <f t="shared" si="215"/>
        <v>143507.74000000002</v>
      </c>
      <c r="AC283" s="684">
        <f t="shared" si="215"/>
        <v>373952.63</v>
      </c>
      <c r="AD283" s="684">
        <f t="shared" si="215"/>
        <v>396038.23000000004</v>
      </c>
      <c r="AE283" s="685">
        <f t="shared" si="215"/>
        <v>1346225.0300000003</v>
      </c>
      <c r="AF283" s="682">
        <f t="shared" si="215"/>
        <v>3955240.2900000014</v>
      </c>
      <c r="AG283" s="686">
        <f t="shared" si="215"/>
        <v>-131559.38</v>
      </c>
      <c r="AH283" s="684">
        <f t="shared" si="215"/>
        <v>186397.88999999998</v>
      </c>
      <c r="AI283" s="684">
        <f t="shared" si="215"/>
        <v>648793.22</v>
      </c>
      <c r="AJ283" s="684">
        <f t="shared" si="215"/>
        <v>1040527.7899999999</v>
      </c>
      <c r="AK283" s="684">
        <f t="shared" si="215"/>
        <v>2040887.8299999998</v>
      </c>
      <c r="AL283" s="684">
        <f t="shared" si="215"/>
        <v>1261266.26</v>
      </c>
      <c r="AM283" s="684">
        <f t="shared" si="215"/>
        <v>2156977.4099999997</v>
      </c>
      <c r="AN283" s="684">
        <f t="shared" si="215"/>
        <v>1578328.59</v>
      </c>
      <c r="AO283" s="684">
        <f t="shared" si="215"/>
        <v>1618184.3100000003</v>
      </c>
      <c r="AP283" s="684">
        <f t="shared" si="215"/>
        <v>1994051.46</v>
      </c>
      <c r="AQ283" s="684">
        <f t="shared" si="215"/>
        <v>2884641.6999999993</v>
      </c>
      <c r="AR283" s="685">
        <f t="shared" si="215"/>
        <v>3696621.2299999995</v>
      </c>
      <c r="AS283" s="682">
        <f t="shared" si="215"/>
        <v>18975118.310000006</v>
      </c>
      <c r="AT283" s="686">
        <f t="shared" si="215"/>
        <v>1947505.7999999998</v>
      </c>
      <c r="AU283" s="684">
        <f t="shared" si="215"/>
        <v>4886863.2700000005</v>
      </c>
      <c r="AV283" s="684">
        <f t="shared" si="215"/>
        <v>1998193.3019999999</v>
      </c>
      <c r="AW283" s="684">
        <f t="shared" ref="AW283:CB283" si="216">SUBTOTAL(9,AW6:AW282)</f>
        <v>1753898.9000000001</v>
      </c>
      <c r="AX283" s="684">
        <f t="shared" si="216"/>
        <v>1895865.3139999998</v>
      </c>
      <c r="AY283" s="684">
        <f t="shared" si="216"/>
        <v>3020018.17</v>
      </c>
      <c r="AZ283" s="684">
        <f t="shared" si="216"/>
        <v>3023436.2119</v>
      </c>
      <c r="BA283" s="684">
        <f t="shared" si="216"/>
        <v>1472073.1580000001</v>
      </c>
      <c r="BB283" s="684">
        <f t="shared" si="216"/>
        <v>2520281.0300000003</v>
      </c>
      <c r="BC283" s="684">
        <f t="shared" si="216"/>
        <v>2085904.5599999998</v>
      </c>
      <c r="BD283" s="684">
        <f t="shared" si="216"/>
        <v>1185375.8100000003</v>
      </c>
      <c r="BE283" s="685">
        <f t="shared" si="216"/>
        <v>1315508.8900000001</v>
      </c>
      <c r="BF283" s="682">
        <f t="shared" si="216"/>
        <v>27104924.415900003</v>
      </c>
      <c r="BG283" s="686">
        <f t="shared" si="216"/>
        <v>700036.49</v>
      </c>
      <c r="BH283" s="684">
        <f t="shared" si="216"/>
        <v>239793.94999999984</v>
      </c>
      <c r="BI283" s="684">
        <f t="shared" si="216"/>
        <v>790285.12999999977</v>
      </c>
      <c r="BJ283" s="684">
        <f t="shared" si="216"/>
        <v>190218.27500000008</v>
      </c>
      <c r="BK283" s="684">
        <f t="shared" si="216"/>
        <v>0</v>
      </c>
      <c r="BL283" s="684">
        <f t="shared" si="216"/>
        <v>0</v>
      </c>
      <c r="BM283" s="684">
        <f t="shared" si="216"/>
        <v>0</v>
      </c>
      <c r="BN283" s="684">
        <f t="shared" si="216"/>
        <v>0</v>
      </c>
      <c r="BO283" s="684">
        <f t="shared" si="216"/>
        <v>0</v>
      </c>
      <c r="BP283" s="684">
        <f t="shared" si="216"/>
        <v>0</v>
      </c>
      <c r="BQ283" s="684">
        <f t="shared" si="216"/>
        <v>0</v>
      </c>
      <c r="BR283" s="685">
        <f t="shared" si="216"/>
        <v>0</v>
      </c>
      <c r="BS283" s="682">
        <f t="shared" si="216"/>
        <v>1920333.8449999993</v>
      </c>
      <c r="BT283" s="686">
        <f t="shared" si="216"/>
        <v>0</v>
      </c>
      <c r="BU283" s="684">
        <f t="shared" si="216"/>
        <v>0</v>
      </c>
      <c r="BV283" s="684">
        <f t="shared" si="216"/>
        <v>0</v>
      </c>
      <c r="BW283" s="684">
        <f t="shared" si="216"/>
        <v>0</v>
      </c>
      <c r="BX283" s="684">
        <f t="shared" si="216"/>
        <v>0</v>
      </c>
      <c r="BY283" s="684">
        <f t="shared" si="216"/>
        <v>0</v>
      </c>
      <c r="BZ283" s="684">
        <f t="shared" si="216"/>
        <v>0</v>
      </c>
      <c r="CA283" s="684">
        <f t="shared" si="216"/>
        <v>0</v>
      </c>
      <c r="CB283" s="684">
        <f t="shared" si="216"/>
        <v>0</v>
      </c>
      <c r="CC283" s="684">
        <f t="shared" ref="CC283:CM283" si="217">SUBTOTAL(9,CC6:CC282)</f>
        <v>0</v>
      </c>
      <c r="CD283" s="684">
        <f t="shared" si="217"/>
        <v>0</v>
      </c>
      <c r="CE283" s="685">
        <f t="shared" si="217"/>
        <v>0</v>
      </c>
      <c r="CF283" s="682">
        <f t="shared" si="217"/>
        <v>0</v>
      </c>
      <c r="CG283" s="682">
        <f t="shared" si="217"/>
        <v>0</v>
      </c>
      <c r="CH283" s="682">
        <f t="shared" si="217"/>
        <v>53066481.860900007</v>
      </c>
      <c r="CI283" s="682">
        <f t="shared" si="217"/>
        <v>0</v>
      </c>
      <c r="CJ283" s="682">
        <f t="shared" si="217"/>
        <v>53066481.860900007</v>
      </c>
      <c r="CK283" s="682">
        <f t="shared" si="217"/>
        <v>-77109.139100006782</v>
      </c>
      <c r="CL283" s="687">
        <f t="shared" si="217"/>
        <v>54493590.365500011</v>
      </c>
      <c r="CM283" s="687">
        <f t="shared" si="217"/>
        <v>-1427108.504600002</v>
      </c>
      <c r="CO283" s="688">
        <f>53143592.0703227+2600000</f>
        <v>55743592.0703227</v>
      </c>
      <c r="CP283" s="438" t="s">
        <v>532</v>
      </c>
    </row>
    <row r="284" spans="1:94" s="439" customFormat="1">
      <c r="A284" s="689"/>
      <c r="B284" s="690"/>
      <c r="C284" s="691"/>
      <c r="D284" s="691"/>
      <c r="E284" s="691"/>
      <c r="F284" s="691"/>
      <c r="G284" s="691"/>
      <c r="H284" s="691"/>
      <c r="I284" s="691"/>
      <c r="J284" s="691"/>
      <c r="K284" s="691"/>
      <c r="L284" s="691"/>
      <c r="M284" s="691"/>
      <c r="N284" s="691"/>
      <c r="O284" s="691"/>
      <c r="P284" s="691"/>
      <c r="Q284" s="692"/>
      <c r="R284" s="692"/>
      <c r="S284" s="693"/>
      <c r="T284" s="694"/>
      <c r="U284" s="695"/>
      <c r="V284" s="695"/>
      <c r="W284" s="695"/>
      <c r="X284" s="695"/>
      <c r="Y284" s="695"/>
      <c r="Z284" s="695"/>
      <c r="AA284" s="695"/>
      <c r="AB284" s="695"/>
      <c r="AC284" s="695"/>
      <c r="AD284" s="695"/>
      <c r="AE284" s="696"/>
      <c r="AF284" s="693"/>
      <c r="AG284" s="508"/>
      <c r="AH284" s="695"/>
      <c r="AI284" s="695"/>
      <c r="AJ284" s="695"/>
      <c r="AK284" s="695"/>
      <c r="AL284" s="695"/>
      <c r="AM284" s="695"/>
      <c r="AN284" s="695"/>
      <c r="AO284" s="695"/>
      <c r="AP284" s="695"/>
      <c r="AQ284" s="695"/>
      <c r="AR284" s="696"/>
      <c r="AS284" s="693"/>
      <c r="AT284" s="694"/>
      <c r="AU284" s="695"/>
      <c r="AV284" s="695"/>
      <c r="AW284" s="695"/>
      <c r="AX284" s="695"/>
      <c r="AY284" s="695"/>
      <c r="AZ284" s="695"/>
      <c r="BA284" s="695"/>
      <c r="BB284" s="695"/>
      <c r="BC284" s="695"/>
      <c r="BD284" s="695"/>
      <c r="BE284" s="696"/>
      <c r="BF284" s="693"/>
      <c r="BG284" s="694"/>
      <c r="BH284" s="695"/>
      <c r="BI284" s="695"/>
      <c r="BJ284" s="695"/>
      <c r="BK284" s="695"/>
      <c r="BL284" s="695"/>
      <c r="BM284" s="695"/>
      <c r="BN284" s="695"/>
      <c r="BO284" s="695"/>
      <c r="BP284" s="695"/>
      <c r="BQ284" s="695"/>
      <c r="BR284" s="696"/>
      <c r="BS284" s="693"/>
      <c r="BT284" s="694"/>
      <c r="BU284" s="695"/>
      <c r="BV284" s="695"/>
      <c r="BW284" s="695"/>
      <c r="BX284" s="695"/>
      <c r="BY284" s="695"/>
      <c r="BZ284" s="695"/>
      <c r="CA284" s="695"/>
      <c r="CB284" s="695"/>
      <c r="CC284" s="695"/>
      <c r="CD284" s="695"/>
      <c r="CE284" s="696"/>
      <c r="CF284" s="693"/>
      <c r="CG284" s="693"/>
      <c r="CH284" s="693"/>
      <c r="CI284" s="693"/>
      <c r="CJ284" s="693"/>
      <c r="CK284" s="693"/>
      <c r="CL284" s="693"/>
      <c r="CM284" s="693"/>
      <c r="CO284" s="697">
        <f>+CJ283-CO283</f>
        <v>-2677110.2094226927</v>
      </c>
    </row>
    <row r="285" spans="1:94" s="706" customFormat="1">
      <c r="A285" s="698"/>
      <c r="B285" s="699"/>
      <c r="C285" s="700"/>
      <c r="D285" s="700"/>
      <c r="E285" s="700"/>
      <c r="F285" s="700"/>
      <c r="G285" s="700" t="s">
        <v>134</v>
      </c>
      <c r="H285" s="700"/>
      <c r="I285" s="700"/>
      <c r="J285" s="700"/>
      <c r="K285" s="700"/>
      <c r="L285" s="700"/>
      <c r="M285" s="700"/>
      <c r="N285" s="700"/>
      <c r="O285" s="700"/>
      <c r="P285" s="700"/>
      <c r="Q285" s="701">
        <f t="shared" ref="Q285:AV285" si="218">SUBTOTAL(9,Q286)</f>
        <v>2329692.0360726314</v>
      </c>
      <c r="R285" s="701">
        <f t="shared" si="218"/>
        <v>3420757</v>
      </c>
      <c r="S285" s="702">
        <f t="shared" si="218"/>
        <v>19175</v>
      </c>
      <c r="T285" s="703">
        <f t="shared" si="218"/>
        <v>6625.92</v>
      </c>
      <c r="U285" s="704">
        <f t="shared" si="218"/>
        <v>4617.38</v>
      </c>
      <c r="V285" s="704">
        <f t="shared" si="218"/>
        <v>8225.52</v>
      </c>
      <c r="W285" s="704">
        <f t="shared" si="218"/>
        <v>10882.62</v>
      </c>
      <c r="X285" s="704">
        <f t="shared" si="218"/>
        <v>10576.35</v>
      </c>
      <c r="Y285" s="704">
        <f t="shared" si="218"/>
        <v>9961.0499999999993</v>
      </c>
      <c r="Z285" s="704">
        <f t="shared" si="218"/>
        <v>16883.37</v>
      </c>
      <c r="AA285" s="704">
        <f t="shared" si="218"/>
        <v>18118.990000000002</v>
      </c>
      <c r="AB285" s="704">
        <f t="shared" si="218"/>
        <v>19637.8</v>
      </c>
      <c r="AC285" s="704">
        <f t="shared" si="218"/>
        <v>16196.82</v>
      </c>
      <c r="AD285" s="704">
        <f t="shared" si="218"/>
        <v>17082.900000000001</v>
      </c>
      <c r="AE285" s="705">
        <f t="shared" si="218"/>
        <v>17188.900000000001</v>
      </c>
      <c r="AF285" s="702">
        <f t="shared" si="218"/>
        <v>155997.62</v>
      </c>
      <c r="AG285" s="1297">
        <f t="shared" si="218"/>
        <v>17828.71</v>
      </c>
      <c r="AH285" s="1296">
        <f t="shared" si="218"/>
        <v>13839.12</v>
      </c>
      <c r="AI285" s="1296">
        <f t="shared" si="218"/>
        <v>18778.689999999999</v>
      </c>
      <c r="AJ285" s="1296">
        <f t="shared" si="218"/>
        <v>28447.11</v>
      </c>
      <c r="AK285" s="1296">
        <f t="shared" si="218"/>
        <v>34921.67</v>
      </c>
      <c r="AL285" s="1296">
        <f t="shared" si="218"/>
        <v>43884.32</v>
      </c>
      <c r="AM285" s="1296">
        <f t="shared" si="218"/>
        <v>54142.33</v>
      </c>
      <c r="AN285" s="1296">
        <f t="shared" si="218"/>
        <v>64939.16</v>
      </c>
      <c r="AO285" s="1296">
        <f t="shared" si="218"/>
        <v>79720.56</v>
      </c>
      <c r="AP285" s="1296">
        <f t="shared" si="218"/>
        <v>85302.46</v>
      </c>
      <c r="AQ285" s="1296">
        <f t="shared" si="218"/>
        <v>97440.15</v>
      </c>
      <c r="AR285" s="1295">
        <f t="shared" si="218"/>
        <v>117637.03</v>
      </c>
      <c r="AS285" s="702">
        <f t="shared" si="218"/>
        <v>656881.31000000006</v>
      </c>
      <c r="AT285" s="703">
        <f t="shared" si="218"/>
        <v>134976.72</v>
      </c>
      <c r="AU285" s="704">
        <f t="shared" si="218"/>
        <v>146774.32</v>
      </c>
      <c r="AV285" s="704">
        <f t="shared" si="218"/>
        <v>170687.53</v>
      </c>
      <c r="AW285" s="704">
        <f t="shared" ref="AW285:CB285" si="219">SUBTOTAL(9,AW286)</f>
        <v>185302.66</v>
      </c>
      <c r="AX285" s="704">
        <f t="shared" si="219"/>
        <v>197837.45</v>
      </c>
      <c r="AY285" s="704">
        <f t="shared" si="219"/>
        <v>207900.78</v>
      </c>
      <c r="AZ285" s="704">
        <f t="shared" si="219"/>
        <v>223680.78</v>
      </c>
      <c r="BA285" s="704">
        <f t="shared" si="219"/>
        <v>242637.09</v>
      </c>
      <c r="BB285" s="704">
        <f t="shared" si="219"/>
        <v>255421.17</v>
      </c>
      <c r="BC285" s="704">
        <f t="shared" si="219"/>
        <v>253582.63</v>
      </c>
      <c r="BD285" s="704">
        <f t="shared" si="219"/>
        <v>248713.98</v>
      </c>
      <c r="BE285" s="705">
        <f t="shared" si="219"/>
        <v>254597.51</v>
      </c>
      <c r="BF285" s="702">
        <f t="shared" si="219"/>
        <v>2522112.62</v>
      </c>
      <c r="BG285" s="703">
        <f t="shared" si="219"/>
        <v>297296.34000000003</v>
      </c>
      <c r="BH285" s="704">
        <f t="shared" si="219"/>
        <v>149404.24</v>
      </c>
      <c r="BI285" s="704">
        <f t="shared" si="219"/>
        <v>-199.79</v>
      </c>
      <c r="BJ285" s="704">
        <f t="shared" si="219"/>
        <v>0</v>
      </c>
      <c r="BK285" s="704">
        <f t="shared" si="219"/>
        <v>0</v>
      </c>
      <c r="BL285" s="704">
        <f t="shared" si="219"/>
        <v>0</v>
      </c>
      <c r="BM285" s="704">
        <f t="shared" si="219"/>
        <v>0</v>
      </c>
      <c r="BN285" s="704">
        <f t="shared" si="219"/>
        <v>0</v>
      </c>
      <c r="BO285" s="704">
        <f t="shared" si="219"/>
        <v>0</v>
      </c>
      <c r="BP285" s="704">
        <f t="shared" si="219"/>
        <v>0</v>
      </c>
      <c r="BQ285" s="704">
        <f t="shared" si="219"/>
        <v>0</v>
      </c>
      <c r="BR285" s="705">
        <f t="shared" si="219"/>
        <v>0</v>
      </c>
      <c r="BS285" s="702">
        <f t="shared" si="219"/>
        <v>446500.79000000004</v>
      </c>
      <c r="BT285" s="703">
        <f t="shared" si="219"/>
        <v>0</v>
      </c>
      <c r="BU285" s="704">
        <f t="shared" si="219"/>
        <v>0</v>
      </c>
      <c r="BV285" s="704">
        <f t="shared" si="219"/>
        <v>0</v>
      </c>
      <c r="BW285" s="704">
        <f t="shared" si="219"/>
        <v>0</v>
      </c>
      <c r="BX285" s="704">
        <f t="shared" si="219"/>
        <v>0</v>
      </c>
      <c r="BY285" s="704">
        <f t="shared" si="219"/>
        <v>0</v>
      </c>
      <c r="BZ285" s="704">
        <f t="shared" si="219"/>
        <v>0</v>
      </c>
      <c r="CA285" s="704">
        <f t="shared" si="219"/>
        <v>0</v>
      </c>
      <c r="CB285" s="704">
        <f t="shared" si="219"/>
        <v>0</v>
      </c>
      <c r="CC285" s="704">
        <f t="shared" ref="CC285:CK285" si="220">SUBTOTAL(9,CC286)</f>
        <v>0</v>
      </c>
      <c r="CD285" s="704">
        <f t="shared" si="220"/>
        <v>0</v>
      </c>
      <c r="CE285" s="705">
        <f t="shared" si="220"/>
        <v>0</v>
      </c>
      <c r="CF285" s="702">
        <f t="shared" si="220"/>
        <v>0</v>
      </c>
      <c r="CG285" s="702">
        <f t="shared" si="220"/>
        <v>0</v>
      </c>
      <c r="CH285" s="702">
        <f t="shared" si="220"/>
        <v>3800667.34</v>
      </c>
      <c r="CI285" s="702">
        <f t="shared" si="220"/>
        <v>0</v>
      </c>
      <c r="CJ285" s="702">
        <f t="shared" si="220"/>
        <v>3800667.34</v>
      </c>
      <c r="CK285" s="702">
        <f t="shared" si="220"/>
        <v>379910.33999999985</v>
      </c>
      <c r="CL285" s="702">
        <f>SUBTOTAL(9,CL286)+200</f>
        <v>3800867.34</v>
      </c>
      <c r="CM285" s="702">
        <f>SUBTOTAL(9,CM286)</f>
        <v>0</v>
      </c>
      <c r="CO285" s="707">
        <f>SUM(CO283:CO284)</f>
        <v>53066481.860900007</v>
      </c>
    </row>
    <row r="286" spans="1:94" s="439" customFormat="1">
      <c r="A286" s="708"/>
      <c r="B286" s="709"/>
      <c r="C286" s="710"/>
      <c r="D286" s="710"/>
      <c r="E286" s="710"/>
      <c r="F286" s="710"/>
      <c r="G286" s="710" t="s">
        <v>134</v>
      </c>
      <c r="H286" s="710"/>
      <c r="I286" s="710"/>
      <c r="J286" s="710"/>
      <c r="K286" s="710"/>
      <c r="L286" s="710"/>
      <c r="M286" s="710"/>
      <c r="N286" s="710"/>
      <c r="O286" s="710"/>
      <c r="P286" s="710"/>
      <c r="Q286" s="506">
        <v>2329692.0360726314</v>
      </c>
      <c r="R286" s="506">
        <v>3420757</v>
      </c>
      <c r="S286" s="504">
        <v>19175</v>
      </c>
      <c r="T286" s="510">
        <v>6625.92</v>
      </c>
      <c r="U286" s="508">
        <v>4617.38</v>
      </c>
      <c r="V286" s="508">
        <v>8225.52</v>
      </c>
      <c r="W286" s="508">
        <v>10882.62</v>
      </c>
      <c r="X286" s="508">
        <v>10576.35</v>
      </c>
      <c r="Y286" s="508">
        <v>9961.0499999999993</v>
      </c>
      <c r="Z286" s="508">
        <v>16883.37</v>
      </c>
      <c r="AA286" s="508">
        <v>18118.990000000002</v>
      </c>
      <c r="AB286" s="508">
        <v>19637.8</v>
      </c>
      <c r="AC286" s="508">
        <v>16196.82</v>
      </c>
      <c r="AD286" s="508">
        <v>17082.900000000001</v>
      </c>
      <c r="AE286" s="509">
        <v>17188.900000000001</v>
      </c>
      <c r="AF286" s="504">
        <f>SUM(T286:AE286)</f>
        <v>155997.62</v>
      </c>
      <c r="AG286" s="509">
        <v>17828.71</v>
      </c>
      <c r="AH286" s="508">
        <v>13839.12</v>
      </c>
      <c r="AI286" s="549">
        <v>18778.689999999999</v>
      </c>
      <c r="AJ286" s="508">
        <v>28447.11</v>
      </c>
      <c r="AK286" s="549">
        <v>34921.67</v>
      </c>
      <c r="AL286" s="508">
        <v>43884.32</v>
      </c>
      <c r="AM286" s="508">
        <v>54142.33</v>
      </c>
      <c r="AN286" s="508">
        <v>64939.16</v>
      </c>
      <c r="AO286" s="508">
        <v>79720.56</v>
      </c>
      <c r="AP286" s="508">
        <v>85302.46</v>
      </c>
      <c r="AQ286" s="549">
        <v>97440.15</v>
      </c>
      <c r="AR286" s="509">
        <v>117637.03</v>
      </c>
      <c r="AS286" s="504">
        <f>SUM(AG286:AR286)</f>
        <v>656881.31000000006</v>
      </c>
      <c r="AT286" s="550">
        <v>134976.72</v>
      </c>
      <c r="AU286" s="549">
        <v>146774.32</v>
      </c>
      <c r="AV286" s="508">
        <v>170687.53</v>
      </c>
      <c r="AW286" s="508">
        <v>185302.66</v>
      </c>
      <c r="AX286" s="549">
        <v>197837.45</v>
      </c>
      <c r="AY286" s="549">
        <v>207900.78</v>
      </c>
      <c r="AZ286" s="549">
        <v>223680.78</v>
      </c>
      <c r="BA286" s="508">
        <v>242637.09</v>
      </c>
      <c r="BB286" s="549">
        <v>255421.17</v>
      </c>
      <c r="BC286" s="549">
        <v>253582.63</v>
      </c>
      <c r="BD286" s="508">
        <v>248713.98</v>
      </c>
      <c r="BE286" s="550">
        <v>254597.51</v>
      </c>
      <c r="BF286" s="504">
        <f>SUM(AT286:BE286)</f>
        <v>2522112.62</v>
      </c>
      <c r="BG286" s="548">
        <v>297296.34000000003</v>
      </c>
      <c r="BH286" s="508">
        <v>149404.24</v>
      </c>
      <c r="BI286" s="508">
        <v>-199.79</v>
      </c>
      <c r="BJ286" s="508"/>
      <c r="BK286" s="508"/>
      <c r="BL286" s="508"/>
      <c r="BM286" s="508"/>
      <c r="BN286" s="508"/>
      <c r="BO286" s="508"/>
      <c r="BP286" s="508"/>
      <c r="BQ286" s="508"/>
      <c r="BR286" s="509"/>
      <c r="BS286" s="504">
        <f>SUM(BG286:BR286)</f>
        <v>446500.79000000004</v>
      </c>
      <c r="BT286" s="510"/>
      <c r="BU286" s="508"/>
      <c r="BV286" s="508"/>
      <c r="BW286" s="508"/>
      <c r="BX286" s="508"/>
      <c r="BY286" s="508"/>
      <c r="BZ286" s="508"/>
      <c r="CA286" s="508"/>
      <c r="CB286" s="508"/>
      <c r="CC286" s="508"/>
      <c r="CD286" s="508"/>
      <c r="CE286" s="509"/>
      <c r="CF286" s="504">
        <f>SUM(BT286:CE286)</f>
        <v>0</v>
      </c>
      <c r="CG286" s="504"/>
      <c r="CH286" s="504">
        <f>SUMIF(($S$5:$CG$5),"Actual",(S286:CG286))</f>
        <v>3800667.34</v>
      </c>
      <c r="CI286" s="504">
        <f>SUMIF(($S$5:$CG$5),"Forecast",(S286:CG286))</f>
        <v>0</v>
      </c>
      <c r="CJ286" s="504">
        <f>+CH286+CI286</f>
        <v>3800667.34</v>
      </c>
      <c r="CK286" s="504">
        <f>+CJ286-R286</f>
        <v>379910.33999999985</v>
      </c>
      <c r="CL286" s="504">
        <v>3800667.34</v>
      </c>
      <c r="CM286" s="504">
        <f>+CJ286-CL286</f>
        <v>0</v>
      </c>
    </row>
    <row r="287" spans="1:94" s="439" customFormat="1">
      <c r="A287" s="708"/>
      <c r="B287" s="71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  <c r="Q287" s="712"/>
      <c r="R287" s="712"/>
      <c r="S287" s="713"/>
      <c r="T287" s="714"/>
      <c r="U287" s="715"/>
      <c r="V287" s="715"/>
      <c r="W287" s="715"/>
      <c r="X287" s="715"/>
      <c r="Y287" s="715"/>
      <c r="Z287" s="715"/>
      <c r="AA287" s="715"/>
      <c r="AB287" s="715"/>
      <c r="AC287" s="715"/>
      <c r="AD287" s="715"/>
      <c r="AE287" s="716"/>
      <c r="AF287" s="713"/>
      <c r="AG287" s="510"/>
      <c r="AH287" s="508"/>
      <c r="AI287" s="508"/>
      <c r="AJ287" s="508"/>
      <c r="AK287" s="508"/>
      <c r="AL287" s="508"/>
      <c r="AM287" s="508"/>
      <c r="AN287" s="508"/>
      <c r="AO287" s="508"/>
      <c r="AP287" s="508"/>
      <c r="AQ287" s="508"/>
      <c r="AR287" s="716"/>
      <c r="AS287" s="713"/>
      <c r="AT287" s="714"/>
      <c r="AU287" s="715"/>
      <c r="AV287" s="715"/>
      <c r="AW287" s="715"/>
      <c r="AX287" s="715"/>
      <c r="AY287" s="715"/>
      <c r="AZ287" s="715"/>
      <c r="BA287" s="715"/>
      <c r="BB287" s="715"/>
      <c r="BC287" s="715"/>
      <c r="BD287" s="715"/>
      <c r="BE287" s="716"/>
      <c r="BF287" s="713"/>
      <c r="BG287" s="714"/>
      <c r="BH287" s="715"/>
      <c r="BI287" s="715"/>
      <c r="BJ287" s="715"/>
      <c r="BK287" s="715"/>
      <c r="BL287" s="715"/>
      <c r="BM287" s="715"/>
      <c r="BN287" s="715"/>
      <c r="BO287" s="715"/>
      <c r="BP287" s="715"/>
      <c r="BQ287" s="715"/>
      <c r="BR287" s="716"/>
      <c r="BS287" s="713"/>
      <c r="BT287" s="714"/>
      <c r="BU287" s="715"/>
      <c r="BV287" s="715"/>
      <c r="BW287" s="715"/>
      <c r="BX287" s="715"/>
      <c r="BY287" s="715"/>
      <c r="BZ287" s="715"/>
      <c r="CA287" s="715"/>
      <c r="CB287" s="715"/>
      <c r="CC287" s="715"/>
      <c r="CD287" s="715"/>
      <c r="CE287" s="716"/>
      <c r="CF287" s="713"/>
      <c r="CG287" s="713"/>
      <c r="CH287" s="713"/>
      <c r="CI287" s="713"/>
      <c r="CJ287" s="504"/>
      <c r="CK287" s="713"/>
      <c r="CL287" s="713"/>
      <c r="CM287" s="504">
        <f>+CJ287-CL287</f>
        <v>0</v>
      </c>
    </row>
    <row r="288" spans="1:94" s="439" customFormat="1">
      <c r="A288" s="708"/>
      <c r="B288" s="711"/>
      <c r="C288" s="710"/>
      <c r="D288" s="710"/>
      <c r="E288" s="710"/>
      <c r="F288" s="710"/>
      <c r="G288" s="710" t="s">
        <v>533</v>
      </c>
      <c r="H288" s="710"/>
      <c r="I288" s="710"/>
      <c r="J288" s="710"/>
      <c r="K288" s="710"/>
      <c r="L288" s="710"/>
      <c r="M288" s="710"/>
      <c r="N288" s="710"/>
      <c r="O288" s="710"/>
      <c r="P288" s="710"/>
      <c r="Q288" s="717">
        <f t="shared" ref="Q288:AV288" si="221">+Q283+Q285</f>
        <v>55473282.725959592</v>
      </c>
      <c r="R288" s="717">
        <f t="shared" si="221"/>
        <v>56564348</v>
      </c>
      <c r="S288" s="594">
        <f t="shared" si="221"/>
        <v>1130040</v>
      </c>
      <c r="T288" s="718">
        <f t="shared" si="221"/>
        <v>75313.03</v>
      </c>
      <c r="U288" s="719">
        <f t="shared" si="221"/>
        <v>78847.61</v>
      </c>
      <c r="V288" s="719">
        <f t="shared" si="221"/>
        <v>113449.78999999998</v>
      </c>
      <c r="W288" s="719">
        <f t="shared" si="221"/>
        <v>485698.28</v>
      </c>
      <c r="X288" s="719">
        <f t="shared" si="221"/>
        <v>79739.310000000012</v>
      </c>
      <c r="Y288" s="719">
        <f t="shared" si="221"/>
        <v>547246.02</v>
      </c>
      <c r="Z288" s="719">
        <f t="shared" si="221"/>
        <v>289993.57</v>
      </c>
      <c r="AA288" s="719">
        <f t="shared" si="221"/>
        <v>111120.24999999999</v>
      </c>
      <c r="AB288" s="719">
        <f t="shared" si="221"/>
        <v>163145.54</v>
      </c>
      <c r="AC288" s="719">
        <f t="shared" si="221"/>
        <v>390149.45</v>
      </c>
      <c r="AD288" s="719">
        <f t="shared" si="221"/>
        <v>413121.13000000006</v>
      </c>
      <c r="AE288" s="720">
        <f t="shared" si="221"/>
        <v>1363413.9300000002</v>
      </c>
      <c r="AF288" s="594">
        <f t="shared" si="221"/>
        <v>4111237.9100000015</v>
      </c>
      <c r="AG288" s="718">
        <f t="shared" si="221"/>
        <v>-113730.67000000001</v>
      </c>
      <c r="AH288" s="719">
        <f t="shared" si="221"/>
        <v>200237.00999999998</v>
      </c>
      <c r="AI288" s="719">
        <f t="shared" si="221"/>
        <v>667571.90999999992</v>
      </c>
      <c r="AJ288" s="719">
        <f t="shared" si="221"/>
        <v>1068974.8999999999</v>
      </c>
      <c r="AK288" s="719">
        <f t="shared" si="221"/>
        <v>2075809.4999999998</v>
      </c>
      <c r="AL288" s="719">
        <f t="shared" si="221"/>
        <v>1305150.58</v>
      </c>
      <c r="AM288" s="719">
        <f t="shared" si="221"/>
        <v>2211119.7399999998</v>
      </c>
      <c r="AN288" s="719">
        <f t="shared" si="221"/>
        <v>1643267.75</v>
      </c>
      <c r="AO288" s="719">
        <f t="shared" si="221"/>
        <v>1697904.8700000003</v>
      </c>
      <c r="AP288" s="719">
        <f t="shared" si="221"/>
        <v>2079353.92</v>
      </c>
      <c r="AQ288" s="719">
        <f t="shared" si="221"/>
        <v>2982081.8499999992</v>
      </c>
      <c r="AR288" s="720">
        <f t="shared" si="221"/>
        <v>3814258.2599999993</v>
      </c>
      <c r="AS288" s="594">
        <f t="shared" si="221"/>
        <v>19631999.620000005</v>
      </c>
      <c r="AT288" s="718">
        <f t="shared" si="221"/>
        <v>2082482.5199999998</v>
      </c>
      <c r="AU288" s="719">
        <f t="shared" si="221"/>
        <v>5033637.5900000008</v>
      </c>
      <c r="AV288" s="719">
        <f t="shared" si="221"/>
        <v>2168880.8319999999</v>
      </c>
      <c r="AW288" s="719">
        <f t="shared" ref="AW288:CB288" si="222">+AW283+AW285</f>
        <v>1939201.56</v>
      </c>
      <c r="AX288" s="719">
        <f t="shared" si="222"/>
        <v>2093702.7639999997</v>
      </c>
      <c r="AY288" s="719">
        <f t="shared" si="222"/>
        <v>3227918.9499999997</v>
      </c>
      <c r="AZ288" s="719">
        <f t="shared" si="222"/>
        <v>3247116.9918999998</v>
      </c>
      <c r="BA288" s="719">
        <f t="shared" si="222"/>
        <v>1714710.2480000001</v>
      </c>
      <c r="BB288" s="719">
        <f t="shared" si="222"/>
        <v>2775702.2</v>
      </c>
      <c r="BC288" s="719">
        <f t="shared" si="222"/>
        <v>2339487.19</v>
      </c>
      <c r="BD288" s="719">
        <f t="shared" si="222"/>
        <v>1434089.7900000003</v>
      </c>
      <c r="BE288" s="720">
        <f t="shared" si="222"/>
        <v>1570106.4000000001</v>
      </c>
      <c r="BF288" s="594">
        <f t="shared" si="222"/>
        <v>29627037.035900004</v>
      </c>
      <c r="BG288" s="718">
        <f t="shared" si="222"/>
        <v>997332.83000000007</v>
      </c>
      <c r="BH288" s="719">
        <f t="shared" si="222"/>
        <v>389198.18999999983</v>
      </c>
      <c r="BI288" s="719">
        <f t="shared" si="222"/>
        <v>790085.33999999973</v>
      </c>
      <c r="BJ288" s="719">
        <f t="shared" si="222"/>
        <v>190218.27500000008</v>
      </c>
      <c r="BK288" s="719">
        <f t="shared" si="222"/>
        <v>0</v>
      </c>
      <c r="BL288" s="719">
        <f t="shared" si="222"/>
        <v>0</v>
      </c>
      <c r="BM288" s="719">
        <f t="shared" si="222"/>
        <v>0</v>
      </c>
      <c r="BN288" s="719">
        <f t="shared" si="222"/>
        <v>0</v>
      </c>
      <c r="BO288" s="719">
        <f t="shared" si="222"/>
        <v>0</v>
      </c>
      <c r="BP288" s="719">
        <f t="shared" si="222"/>
        <v>0</v>
      </c>
      <c r="BQ288" s="719">
        <f t="shared" si="222"/>
        <v>0</v>
      </c>
      <c r="BR288" s="720">
        <f t="shared" si="222"/>
        <v>0</v>
      </c>
      <c r="BS288" s="594">
        <f t="shared" si="222"/>
        <v>2366834.6349999993</v>
      </c>
      <c r="BT288" s="718">
        <f t="shared" si="222"/>
        <v>0</v>
      </c>
      <c r="BU288" s="719">
        <f t="shared" si="222"/>
        <v>0</v>
      </c>
      <c r="BV288" s="719">
        <f t="shared" si="222"/>
        <v>0</v>
      </c>
      <c r="BW288" s="719">
        <f t="shared" si="222"/>
        <v>0</v>
      </c>
      <c r="BX288" s="719">
        <f t="shared" si="222"/>
        <v>0</v>
      </c>
      <c r="BY288" s="719">
        <f t="shared" si="222"/>
        <v>0</v>
      </c>
      <c r="BZ288" s="719">
        <f t="shared" si="222"/>
        <v>0</v>
      </c>
      <c r="CA288" s="719">
        <f t="shared" si="222"/>
        <v>0</v>
      </c>
      <c r="CB288" s="719">
        <f t="shared" si="222"/>
        <v>0</v>
      </c>
      <c r="CC288" s="719">
        <f t="shared" ref="CC288:CI288" si="223">+CC283+CC285</f>
        <v>0</v>
      </c>
      <c r="CD288" s="719">
        <f t="shared" si="223"/>
        <v>0</v>
      </c>
      <c r="CE288" s="720">
        <f t="shared" si="223"/>
        <v>0</v>
      </c>
      <c r="CF288" s="594">
        <f t="shared" si="223"/>
        <v>0</v>
      </c>
      <c r="CG288" s="594">
        <f t="shared" si="223"/>
        <v>0</v>
      </c>
      <c r="CH288" s="594">
        <f t="shared" si="223"/>
        <v>56867149.200900003</v>
      </c>
      <c r="CI288" s="594">
        <f t="shared" si="223"/>
        <v>0</v>
      </c>
      <c r="CJ288" s="1294">
        <f>+AF288+AS288+BF288+BS288+CF288+CG288+S288</f>
        <v>56867149.200900011</v>
      </c>
      <c r="CK288" s="594">
        <f>+CK283+CK285</f>
        <v>302801.20089999307</v>
      </c>
      <c r="CL288" s="594">
        <f>+CL283+CL285</f>
        <v>58294457.705500007</v>
      </c>
      <c r="CM288" s="594">
        <f>+CM283+CM285</f>
        <v>-1427108.504600002</v>
      </c>
    </row>
    <row r="289" spans="1:98" s="439" customFormat="1" ht="12.75" thickBot="1">
      <c r="A289" s="721"/>
      <c r="B289" s="722"/>
      <c r="C289" s="723"/>
      <c r="D289" s="723"/>
      <c r="E289" s="723"/>
      <c r="F289" s="723"/>
      <c r="G289" s="723"/>
      <c r="H289" s="723"/>
      <c r="I289" s="723"/>
      <c r="J289" s="723"/>
      <c r="K289" s="723"/>
      <c r="L289" s="723"/>
      <c r="M289" s="723"/>
      <c r="N289" s="710"/>
      <c r="O289" s="710"/>
      <c r="P289" s="710"/>
      <c r="Q289" s="724"/>
      <c r="R289" s="724"/>
      <c r="S289" s="725"/>
      <c r="T289" s="726"/>
      <c r="U289" s="727"/>
      <c r="V289" s="727"/>
      <c r="W289" s="727"/>
      <c r="X289" s="727"/>
      <c r="Y289" s="727"/>
      <c r="Z289" s="727"/>
      <c r="AA289" s="727"/>
      <c r="AB289" s="727"/>
      <c r="AC289" s="727"/>
      <c r="AD289" s="727"/>
      <c r="AE289" s="728"/>
      <c r="AF289" s="725"/>
      <c r="AG289" s="729"/>
      <c r="AH289" s="730"/>
      <c r="AI289" s="730"/>
      <c r="AJ289" s="730"/>
      <c r="AK289" s="730"/>
      <c r="AL289" s="730"/>
      <c r="AM289" s="730"/>
      <c r="AN289" s="730"/>
      <c r="AO289" s="730"/>
      <c r="AP289" s="730"/>
      <c r="AQ289" s="730"/>
      <c r="AR289" s="728"/>
      <c r="AS289" s="725"/>
      <c r="AT289" s="726"/>
      <c r="AU289" s="727"/>
      <c r="AV289" s="727"/>
      <c r="AW289" s="727"/>
      <c r="AX289" s="727"/>
      <c r="AY289" s="727"/>
      <c r="AZ289" s="727"/>
      <c r="BA289" s="727"/>
      <c r="BB289" s="727"/>
      <c r="BC289" s="727"/>
      <c r="BD289" s="727"/>
      <c r="BE289" s="728"/>
      <c r="BF289" s="725"/>
      <c r="BG289" s="726"/>
      <c r="BH289" s="727"/>
      <c r="BI289" s="727"/>
      <c r="BJ289" s="1362">
        <v>228261.92999999993</v>
      </c>
      <c r="BK289" s="727"/>
      <c r="BL289" s="727"/>
      <c r="BM289" s="727"/>
      <c r="BN289" s="727"/>
      <c r="BO289" s="727"/>
      <c r="BP289" s="727"/>
      <c r="BQ289" s="727"/>
      <c r="BR289" s="728"/>
      <c r="BS289" s="725"/>
      <c r="BT289" s="726"/>
      <c r="BU289" s="727"/>
      <c r="BV289" s="727"/>
      <c r="BW289" s="727"/>
      <c r="BX289" s="727"/>
      <c r="BY289" s="727"/>
      <c r="BZ289" s="727"/>
      <c r="CA289" s="727"/>
      <c r="CB289" s="727"/>
      <c r="CC289" s="727"/>
      <c r="CD289" s="727"/>
      <c r="CE289" s="728"/>
      <c r="CF289" s="725"/>
      <c r="CG289" s="725"/>
      <c r="CH289" s="725"/>
      <c r="CI289" s="725"/>
      <c r="CJ289" s="731"/>
      <c r="CK289" s="725"/>
      <c r="CL289" s="725"/>
      <c r="CM289" s="725"/>
    </row>
    <row r="290" spans="1:98" ht="12.75" thickTop="1">
      <c r="A290" s="732"/>
      <c r="B290" s="732"/>
      <c r="E290" s="733"/>
      <c r="F290" s="733"/>
      <c r="G290" s="733"/>
      <c r="H290" s="733"/>
      <c r="I290" s="733"/>
      <c r="J290" s="733"/>
      <c r="K290" s="733"/>
      <c r="L290" s="733"/>
      <c r="M290" s="733"/>
      <c r="N290" s="733"/>
      <c r="O290" s="733"/>
      <c r="P290" s="733"/>
      <c r="S290" s="733"/>
      <c r="AB290" s="733"/>
      <c r="AC290" s="733"/>
      <c r="AF290" s="733"/>
      <c r="AG290" s="733"/>
      <c r="AH290" s="733"/>
      <c r="AI290" s="733"/>
    </row>
    <row r="291" spans="1:98">
      <c r="A291" s="732"/>
      <c r="B291" s="732"/>
      <c r="E291" s="733"/>
      <c r="F291" s="733"/>
      <c r="G291" s="733"/>
      <c r="H291" s="733"/>
      <c r="I291" s="733"/>
      <c r="J291" s="733"/>
      <c r="K291" s="733"/>
      <c r="L291" s="733"/>
      <c r="M291" s="733"/>
      <c r="N291" s="733"/>
      <c r="O291" s="733"/>
      <c r="P291" s="733"/>
      <c r="S291" s="733"/>
      <c r="AF291" s="733"/>
      <c r="AG291" s="733"/>
      <c r="AS291" s="733"/>
      <c r="BD291" s="734"/>
      <c r="BE291" s="735" t="s">
        <v>534</v>
      </c>
      <c r="BF291" s="1356">
        <v>20419591</v>
      </c>
      <c r="CG291" s="736"/>
      <c r="CH291" s="737"/>
      <c r="CI291" s="738"/>
    </row>
    <row r="292" spans="1:98">
      <c r="A292" s="732"/>
      <c r="B292" s="732"/>
      <c r="E292" s="733"/>
      <c r="F292" s="733"/>
      <c r="G292" s="733"/>
      <c r="H292" s="733"/>
      <c r="I292" s="733"/>
      <c r="J292" s="733"/>
      <c r="K292" s="733"/>
      <c r="L292" s="733"/>
      <c r="M292" s="733"/>
      <c r="N292" s="733"/>
      <c r="O292" s="733"/>
      <c r="P292" s="733"/>
      <c r="S292" s="733"/>
      <c r="AF292" s="733"/>
      <c r="AG292" s="733"/>
      <c r="AS292" s="733"/>
      <c r="BE292" s="739" t="s">
        <v>535</v>
      </c>
      <c r="BF292" s="707">
        <f>+BF283-BF291</f>
        <v>6685333.4159000032</v>
      </c>
    </row>
    <row r="293" spans="1:98">
      <c r="A293" s="732"/>
      <c r="B293" s="732"/>
      <c r="E293" s="733"/>
      <c r="F293" s="733"/>
      <c r="G293" s="733"/>
      <c r="H293" s="733"/>
      <c r="I293" s="733"/>
      <c r="J293" s="733"/>
      <c r="K293" s="733"/>
      <c r="L293" s="733"/>
      <c r="M293" s="733"/>
      <c r="N293" s="733"/>
      <c r="O293" s="733"/>
      <c r="P293" s="733"/>
      <c r="S293" s="733"/>
      <c r="AF293" s="733"/>
      <c r="AG293" s="733"/>
      <c r="AS293" s="733"/>
      <c r="BC293" s="1293"/>
    </row>
    <row r="294" spans="1:98">
      <c r="A294" s="732"/>
      <c r="B294" s="732"/>
      <c r="E294" s="733"/>
      <c r="F294" s="733"/>
      <c r="G294" s="733"/>
      <c r="H294" s="733"/>
      <c r="I294" s="733"/>
      <c r="J294" s="733"/>
      <c r="K294" s="733"/>
      <c r="L294" s="733"/>
      <c r="M294" s="733"/>
      <c r="N294" s="733"/>
      <c r="O294" s="733"/>
      <c r="P294" s="733"/>
      <c r="S294" s="733"/>
      <c r="AF294" s="733"/>
      <c r="AG294" s="733"/>
      <c r="AS294" s="733"/>
    </row>
    <row r="295" spans="1:98">
      <c r="A295" s="740"/>
      <c r="B295" s="740"/>
      <c r="C295" s="741"/>
      <c r="D295" s="741"/>
      <c r="E295" s="742"/>
      <c r="F295" s="742"/>
      <c r="G295" s="742"/>
      <c r="H295" s="742"/>
      <c r="I295" s="742"/>
      <c r="J295" s="742"/>
      <c r="K295" s="742"/>
      <c r="L295" s="742"/>
      <c r="M295" s="742"/>
      <c r="N295" s="742"/>
      <c r="O295" s="742"/>
      <c r="P295" s="742"/>
      <c r="S295" s="733"/>
      <c r="AF295" s="733"/>
      <c r="AG295" s="733"/>
      <c r="AS295" s="733"/>
    </row>
    <row r="296" spans="1:98" s="762" customFormat="1">
      <c r="A296" s="743" t="s">
        <v>536</v>
      </c>
      <c r="B296" s="744"/>
      <c r="C296" s="745"/>
      <c r="D296" s="745"/>
      <c r="E296" s="746"/>
      <c r="F296" s="746"/>
      <c r="G296" s="746"/>
      <c r="H296" s="746"/>
      <c r="I296" s="746"/>
      <c r="J296" s="746"/>
      <c r="K296" s="746"/>
      <c r="L296" s="746"/>
      <c r="M296" s="746"/>
      <c r="N296" s="746"/>
      <c r="O296" s="746"/>
      <c r="P296" s="746"/>
      <c r="Q296" s="747"/>
      <c r="R296" s="747"/>
      <c r="S296" s="748"/>
      <c r="T296" s="749"/>
      <c r="U296" s="750"/>
      <c r="V296" s="750"/>
      <c r="W296" s="750"/>
      <c r="X296" s="750"/>
      <c r="Y296" s="750">
        <v>0.11</v>
      </c>
      <c r="Z296" s="750"/>
      <c r="AA296" s="750"/>
      <c r="AB296" s="750"/>
      <c r="AC296" s="750"/>
      <c r="AD296" s="751"/>
      <c r="AE296" s="752"/>
      <c r="AF296" s="753">
        <f t="shared" ref="AF296:AF316" si="224">SUM(T296:AE296)</f>
        <v>0.11</v>
      </c>
      <c r="AG296" s="754"/>
      <c r="AH296" s="755">
        <v>0.28000000000000003</v>
      </c>
      <c r="AI296" s="755"/>
      <c r="AJ296" s="755">
        <v>0.59</v>
      </c>
      <c r="AK296" s="755"/>
      <c r="AL296" s="755"/>
      <c r="AM296" s="755"/>
      <c r="AN296" s="755">
        <v>2.4700000000000002</v>
      </c>
      <c r="AO296" s="755">
        <v>1.86</v>
      </c>
      <c r="AP296" s="755">
        <v>318.02999999999997</v>
      </c>
      <c r="AQ296" s="755"/>
      <c r="AR296" s="756">
        <v>2.81</v>
      </c>
      <c r="AS296" s="753">
        <f t="shared" ref="AS296:AS316" si="225">SUM(AG296:AR296)</f>
        <v>326.03999999999996</v>
      </c>
      <c r="AT296" s="754"/>
      <c r="AU296" s="755"/>
      <c r="AV296" s="755"/>
      <c r="AW296" s="755">
        <v>40.380000000000003</v>
      </c>
      <c r="AX296" s="755"/>
      <c r="AY296" s="755"/>
      <c r="AZ296" s="755"/>
      <c r="BA296" s="755"/>
      <c r="BB296" s="755">
        <v>87.33</v>
      </c>
      <c r="BC296" s="755">
        <v>5.3</v>
      </c>
      <c r="BD296" s="755"/>
      <c r="BE296" s="757"/>
      <c r="BF296" s="753">
        <f t="shared" ref="BF296:BF316" si="226">SUM(AT296:BE296)</f>
        <v>133.01000000000002</v>
      </c>
      <c r="BG296" s="758">
        <v>26.8</v>
      </c>
      <c r="BH296" s="755"/>
      <c r="BI296" s="755"/>
      <c r="BJ296" s="1358"/>
      <c r="BK296" s="755"/>
      <c r="BL296" s="755"/>
      <c r="BM296" s="755"/>
      <c r="BN296" s="755"/>
      <c r="BO296" s="755"/>
      <c r="BP296" s="755"/>
      <c r="BQ296" s="755"/>
      <c r="BR296" s="757"/>
      <c r="BS296" s="753"/>
      <c r="BT296" s="759"/>
      <c r="BU296" s="759"/>
      <c r="BV296" s="759"/>
      <c r="BW296" s="759"/>
      <c r="BX296" s="759"/>
      <c r="BY296" s="759"/>
      <c r="BZ296" s="759"/>
      <c r="CA296" s="759"/>
      <c r="CB296" s="759"/>
      <c r="CC296" s="759"/>
      <c r="CD296" s="759"/>
      <c r="CE296" s="759"/>
      <c r="CF296" s="759"/>
      <c r="CG296" s="759"/>
      <c r="CH296" s="759"/>
      <c r="CI296" s="759"/>
      <c r="CJ296" s="760"/>
      <c r="CK296" s="761"/>
      <c r="CL296" s="761"/>
      <c r="CM296" s="761"/>
    </row>
    <row r="297" spans="1:98" s="767" customFormat="1">
      <c r="A297" s="763" t="s">
        <v>537</v>
      </c>
      <c r="B297" s="764"/>
      <c r="C297" s="765"/>
      <c r="D297" s="765"/>
      <c r="E297" s="766"/>
      <c r="F297" s="766"/>
      <c r="G297" s="766"/>
      <c r="H297" s="766"/>
      <c r="I297" s="766"/>
      <c r="J297" s="766"/>
      <c r="K297" s="766"/>
      <c r="L297" s="766"/>
      <c r="M297" s="766"/>
      <c r="N297" s="766"/>
      <c r="O297" s="766"/>
      <c r="P297" s="766"/>
      <c r="S297" s="768"/>
      <c r="T297" s="769">
        <v>22943.81</v>
      </c>
      <c r="U297" s="770">
        <v>21225.05</v>
      </c>
      <c r="V297" s="770">
        <v>14847.42</v>
      </c>
      <c r="W297" s="770">
        <v>14037.45</v>
      </c>
      <c r="X297" s="770">
        <v>18800.5</v>
      </c>
      <c r="Y297" s="770">
        <v>26380.32</v>
      </c>
      <c r="Z297" s="770">
        <v>18584.5</v>
      </c>
      <c r="AA297" s="770">
        <v>28827.88</v>
      </c>
      <c r="AB297" s="770">
        <v>34251.35</v>
      </c>
      <c r="AC297" s="770">
        <v>34618.550000000003</v>
      </c>
      <c r="AD297" s="771">
        <v>48476.9</v>
      </c>
      <c r="AE297" s="772">
        <v>50936.5</v>
      </c>
      <c r="AF297" s="773">
        <f t="shared" si="224"/>
        <v>333930.23000000004</v>
      </c>
      <c r="AG297" s="774">
        <f t="shared" ref="AG297:AP297" si="227">+AG443</f>
        <v>39992.089999999997</v>
      </c>
      <c r="AH297" s="775">
        <f t="shared" si="227"/>
        <v>32449.539999999997</v>
      </c>
      <c r="AI297" s="775">
        <f t="shared" si="227"/>
        <v>41279.920000000006</v>
      </c>
      <c r="AJ297" s="775">
        <f t="shared" si="227"/>
        <v>45970.22</v>
      </c>
      <c r="AK297" s="775">
        <f t="shared" si="227"/>
        <v>38026.35</v>
      </c>
      <c r="AL297" s="775">
        <f t="shared" si="227"/>
        <v>37876.11</v>
      </c>
      <c r="AM297" s="775">
        <f t="shared" si="227"/>
        <v>39090.71</v>
      </c>
      <c r="AN297" s="775">
        <f t="shared" si="227"/>
        <v>45216.560000000005</v>
      </c>
      <c r="AO297" s="775">
        <f t="shared" si="227"/>
        <v>37811.72</v>
      </c>
      <c r="AP297" s="775">
        <f t="shared" si="227"/>
        <v>35526.68</v>
      </c>
      <c r="AQ297" s="775">
        <v>44240.51</v>
      </c>
      <c r="AR297" s="776">
        <v>45891.89</v>
      </c>
      <c r="AS297" s="773">
        <f t="shared" si="225"/>
        <v>483372.3</v>
      </c>
      <c r="AT297" s="774">
        <v>46397.05</v>
      </c>
      <c r="AU297" s="775">
        <v>44030.3</v>
      </c>
      <c r="AV297" s="775">
        <v>50621.06</v>
      </c>
      <c r="AW297" s="775">
        <v>57764.07</v>
      </c>
      <c r="AX297" s="775">
        <v>44259.03</v>
      </c>
      <c r="AY297" s="775">
        <v>41719.800000000003</v>
      </c>
      <c r="AZ297" s="775">
        <f t="shared" ref="AZ297:BE297" si="228">+AZ443</f>
        <v>46279.460000000006</v>
      </c>
      <c r="BA297" s="775">
        <f t="shared" si="228"/>
        <v>39494.28</v>
      </c>
      <c r="BB297" s="775">
        <f t="shared" si="228"/>
        <v>29259.969999999994</v>
      </c>
      <c r="BC297" s="775">
        <f t="shared" si="228"/>
        <v>42480.68</v>
      </c>
      <c r="BD297" s="775">
        <f t="shared" si="228"/>
        <v>58905.770000000004</v>
      </c>
      <c r="BE297" s="775">
        <f t="shared" si="228"/>
        <v>50644.540000000008</v>
      </c>
      <c r="BF297" s="773">
        <f t="shared" si="226"/>
        <v>551856.01</v>
      </c>
      <c r="BG297" s="777">
        <f>+BG443</f>
        <v>78490.159999999989</v>
      </c>
      <c r="BH297" s="777">
        <f>+BH443</f>
        <v>56974.750000000007</v>
      </c>
      <c r="BI297" s="777">
        <f>+BI443</f>
        <v>64492.36</v>
      </c>
      <c r="BJ297" s="1359">
        <f>+BJ443</f>
        <v>57237.37999999999</v>
      </c>
      <c r="BK297" s="777">
        <f>+BK443</f>
        <v>42575.24</v>
      </c>
      <c r="BL297" s="775"/>
      <c r="BM297" s="775"/>
      <c r="BN297" s="775"/>
      <c r="BO297" s="775"/>
      <c r="BP297" s="775"/>
      <c r="BQ297" s="775"/>
      <c r="BR297" s="778"/>
      <c r="BS297" s="773"/>
      <c r="BT297" s="779"/>
      <c r="BU297" s="779"/>
      <c r="BV297" s="779"/>
      <c r="BW297" s="779"/>
      <c r="BX297" s="779"/>
      <c r="BY297" s="779"/>
      <c r="BZ297" s="779"/>
      <c r="CA297" s="779"/>
      <c r="CB297" s="779"/>
      <c r="CC297" s="779"/>
      <c r="CD297" s="779"/>
      <c r="CE297" s="779"/>
      <c r="CF297" s="779"/>
      <c r="CG297" s="779"/>
      <c r="CH297" s="779"/>
      <c r="CI297" s="779"/>
      <c r="CJ297" s="780"/>
      <c r="CK297" s="781"/>
      <c r="CL297" s="781"/>
      <c r="CM297" s="781"/>
    </row>
    <row r="298" spans="1:98" s="767" customFormat="1">
      <c r="A298" s="763" t="s">
        <v>538</v>
      </c>
      <c r="B298" s="764"/>
      <c r="C298" s="765"/>
      <c r="D298" s="765"/>
      <c r="E298" s="766"/>
      <c r="F298" s="766"/>
      <c r="G298" s="766"/>
      <c r="H298" s="766"/>
      <c r="I298" s="766"/>
      <c r="J298" s="766"/>
      <c r="K298" s="766"/>
      <c r="L298" s="766"/>
      <c r="M298" s="766"/>
      <c r="N298" s="766"/>
      <c r="O298" s="766"/>
      <c r="P298" s="766"/>
      <c r="S298" s="768"/>
      <c r="T298" s="769">
        <v>193.66</v>
      </c>
      <c r="U298" s="770">
        <v>2435.12</v>
      </c>
      <c r="V298" s="770">
        <v>113.22</v>
      </c>
      <c r="W298" s="770">
        <v>44.38</v>
      </c>
      <c r="X298" s="770">
        <v>289.12</v>
      </c>
      <c r="Y298" s="770">
        <v>1530.22</v>
      </c>
      <c r="Z298" s="770">
        <v>220.1</v>
      </c>
      <c r="AA298" s="770">
        <v>91.31</v>
      </c>
      <c r="AB298" s="770">
        <v>624.32000000000005</v>
      </c>
      <c r="AC298" s="770">
        <v>659.01</v>
      </c>
      <c r="AD298" s="771">
        <v>1136.68</v>
      </c>
      <c r="AE298" s="772">
        <v>1749.5</v>
      </c>
      <c r="AF298" s="773">
        <f t="shared" si="224"/>
        <v>9086.64</v>
      </c>
      <c r="AG298" s="774">
        <v>1017.19</v>
      </c>
      <c r="AH298" s="775">
        <v>258.85000000000002</v>
      </c>
      <c r="AI298" s="775">
        <f>651.63</f>
        <v>651.63</v>
      </c>
      <c r="AJ298" s="775">
        <v>734.8</v>
      </c>
      <c r="AK298" s="775">
        <v>937.47</v>
      </c>
      <c r="AL298" s="775">
        <v>847.6</v>
      </c>
      <c r="AM298" s="775">
        <v>1970.16</v>
      </c>
      <c r="AN298" s="775">
        <v>1354.69</v>
      </c>
      <c r="AO298" s="775">
        <v>728.38</v>
      </c>
      <c r="AP298" s="775">
        <v>1158.1600000000001</v>
      </c>
      <c r="AQ298" s="775">
        <v>2763.23</v>
      </c>
      <c r="AR298" s="776">
        <v>3207.3</v>
      </c>
      <c r="AS298" s="773">
        <f t="shared" si="225"/>
        <v>15629.46</v>
      </c>
      <c r="AT298" s="774">
        <v>2223.39</v>
      </c>
      <c r="AU298" s="775">
        <f>3319.54+38196.26-22525.25+229.92</f>
        <v>19220.47</v>
      </c>
      <c r="AV298" s="775">
        <v>2588.9299999999998</v>
      </c>
      <c r="AW298" s="775">
        <v>4856.18</v>
      </c>
      <c r="AX298" s="775">
        <v>3178.52</v>
      </c>
      <c r="AY298" s="775">
        <f>3870.91+8.66</f>
        <v>3879.5699999999997</v>
      </c>
      <c r="AZ298" s="775">
        <v>2750.64</v>
      </c>
      <c r="BA298" s="775">
        <v>2904.39</v>
      </c>
      <c r="BB298" s="775">
        <v>3578.28</v>
      </c>
      <c r="BC298" s="782">
        <f>3248.02+804.4</f>
        <v>4052.42</v>
      </c>
      <c r="BD298" s="775">
        <v>4239.8999999999996</v>
      </c>
      <c r="BE298" s="778">
        <v>3192.91</v>
      </c>
      <c r="BF298" s="773">
        <f t="shared" si="226"/>
        <v>56665.599999999991</v>
      </c>
      <c r="BG298" s="777">
        <f>2938.44+1588.51+599.5-1082.07+1975.36</f>
        <v>6019.74</v>
      </c>
      <c r="BH298" s="775">
        <v>3229.3</v>
      </c>
      <c r="BI298" s="775">
        <f>5154.74+10</f>
        <v>5164.74</v>
      </c>
      <c r="BJ298" s="1360">
        <v>3348.86</v>
      </c>
      <c r="BK298" s="775">
        <v>2442.0100000000002</v>
      </c>
      <c r="BL298" s="775"/>
      <c r="BM298" s="775"/>
      <c r="BN298" s="775"/>
      <c r="BO298" s="775"/>
      <c r="BP298" s="775"/>
      <c r="BQ298" s="775"/>
      <c r="BR298" s="778"/>
      <c r="BS298" s="773"/>
      <c r="BT298" s="779"/>
      <c r="BU298" s="779"/>
      <c r="BV298" s="779"/>
      <c r="BW298" s="779"/>
      <c r="BX298" s="779"/>
      <c r="BY298" s="779"/>
      <c r="BZ298" s="779"/>
      <c r="CA298" s="779"/>
      <c r="CB298" s="779"/>
      <c r="CC298" s="779"/>
      <c r="CD298" s="779"/>
      <c r="CE298" s="779"/>
      <c r="CF298" s="779"/>
      <c r="CG298" s="779"/>
      <c r="CH298" s="779"/>
      <c r="CI298" s="779"/>
      <c r="CJ298" s="780"/>
      <c r="CK298" s="781"/>
      <c r="CL298" s="781"/>
      <c r="CM298" s="781"/>
    </row>
    <row r="299" spans="1:98" s="767" customFormat="1">
      <c r="A299" s="783" t="s">
        <v>539</v>
      </c>
      <c r="B299" s="784"/>
      <c r="C299" s="765"/>
      <c r="D299" s="765"/>
      <c r="E299" s="765"/>
      <c r="F299" s="765"/>
      <c r="G299" s="765"/>
      <c r="H299" s="765"/>
      <c r="I299" s="765"/>
      <c r="J299" s="765"/>
      <c r="K299" s="765"/>
      <c r="L299" s="765"/>
      <c r="M299" s="765"/>
      <c r="N299" s="765"/>
      <c r="O299" s="765"/>
      <c r="P299" s="765"/>
      <c r="T299" s="769">
        <v>67.290000000000006</v>
      </c>
      <c r="U299" s="770">
        <v>86.96</v>
      </c>
      <c r="V299" s="770">
        <v>18429.439999999999</v>
      </c>
      <c r="W299" s="770">
        <v>-10.79</v>
      </c>
      <c r="X299" s="770">
        <v>259.22000000000003</v>
      </c>
      <c r="Y299" s="770">
        <v>11.1</v>
      </c>
      <c r="Z299" s="770">
        <v>155.66999999999999</v>
      </c>
      <c r="AA299" s="770">
        <v>136.6</v>
      </c>
      <c r="AB299" s="770">
        <v>705.4</v>
      </c>
      <c r="AC299" s="770">
        <v>-12.16</v>
      </c>
      <c r="AD299" s="771">
        <v>2161.11</v>
      </c>
      <c r="AE299" s="772">
        <v>72.150000000000006</v>
      </c>
      <c r="AF299" s="773">
        <f t="shared" si="224"/>
        <v>22061.989999999998</v>
      </c>
      <c r="AG299" s="774">
        <v>18.809999999999999</v>
      </c>
      <c r="AH299" s="775">
        <v>10.96</v>
      </c>
      <c r="AI299" s="775">
        <v>216.57</v>
      </c>
      <c r="AJ299" s="775">
        <v>445.14</v>
      </c>
      <c r="AK299" s="775">
        <v>66.66</v>
      </c>
      <c r="AL299" s="775">
        <v>50.57</v>
      </c>
      <c r="AM299" s="775">
        <v>10569.25</v>
      </c>
      <c r="AN299" s="775">
        <v>13174.75</v>
      </c>
      <c r="AO299" s="775">
        <v>691.33</v>
      </c>
      <c r="AP299" s="775">
        <v>380.59</v>
      </c>
      <c r="AQ299" s="775">
        <v>106.15</v>
      </c>
      <c r="AR299" s="776">
        <v>1158.8900000000001</v>
      </c>
      <c r="AS299" s="773">
        <f t="shared" si="225"/>
        <v>26889.670000000002</v>
      </c>
      <c r="AT299" s="774">
        <v>6551.29</v>
      </c>
      <c r="AU299" s="775"/>
      <c r="AV299" s="775">
        <v>12277.1</v>
      </c>
      <c r="AW299" s="775">
        <f>2237.96+266.88</f>
        <v>2504.84</v>
      </c>
      <c r="AX299" s="775">
        <f>1786.31+111.87</f>
        <v>1898.1799999999998</v>
      </c>
      <c r="AY299" s="775">
        <v>24781.84</v>
      </c>
      <c r="AZ299" s="775">
        <v>10965.11</v>
      </c>
      <c r="BA299" s="775">
        <v>1592.25</v>
      </c>
      <c r="BB299" s="775">
        <v>232.33</v>
      </c>
      <c r="BC299" s="782">
        <v>47.12</v>
      </c>
      <c r="BD299" s="775">
        <v>8984</v>
      </c>
      <c r="BE299" s="778">
        <v>4351.22</v>
      </c>
      <c r="BF299" s="773">
        <f t="shared" si="226"/>
        <v>74185.279999999999</v>
      </c>
      <c r="BG299" s="777">
        <f>21953.99-6946.04</f>
        <v>15007.95</v>
      </c>
      <c r="BH299" s="775">
        <f>67901.25+216.4</f>
        <v>68117.649999999994</v>
      </c>
      <c r="BI299" s="775">
        <f>80197.91-58465.88</f>
        <v>21732.030000000006</v>
      </c>
      <c r="BJ299" s="1360">
        <v>9329.39</v>
      </c>
      <c r="BK299" s="775">
        <f>12590.05-4</f>
        <v>12586.05</v>
      </c>
      <c r="BL299" s="775"/>
      <c r="BM299" s="775"/>
      <c r="BN299" s="775"/>
      <c r="BO299" s="775"/>
      <c r="BP299" s="775"/>
      <c r="BQ299" s="775"/>
      <c r="BR299" s="778"/>
      <c r="BS299" s="773"/>
      <c r="BT299" s="779"/>
      <c r="BU299" s="779"/>
      <c r="BV299" s="779"/>
      <c r="BW299" s="779"/>
      <c r="BX299" s="779"/>
      <c r="BY299" s="779"/>
      <c r="BZ299" s="779"/>
      <c r="CA299" s="779"/>
      <c r="CB299" s="779"/>
      <c r="CC299" s="779"/>
      <c r="CD299" s="779"/>
      <c r="CE299" s="779"/>
      <c r="CF299" s="779"/>
      <c r="CG299" s="779"/>
      <c r="CH299" s="779"/>
      <c r="CI299" s="779"/>
      <c r="CJ299" s="780"/>
      <c r="CK299" s="781"/>
      <c r="CL299" s="781"/>
      <c r="CM299" s="781"/>
    </row>
    <row r="300" spans="1:98" s="767" customFormat="1">
      <c r="A300" s="783" t="s">
        <v>540</v>
      </c>
      <c r="B300" s="784"/>
      <c r="C300" s="765"/>
      <c r="D300" s="765"/>
      <c r="E300" s="765"/>
      <c r="F300" s="765"/>
      <c r="G300" s="765"/>
      <c r="H300" s="765"/>
      <c r="I300" s="765"/>
      <c r="J300" s="765"/>
      <c r="K300" s="765"/>
      <c r="L300" s="765"/>
      <c r="M300" s="765"/>
      <c r="N300" s="765"/>
      <c r="O300" s="765"/>
      <c r="P300" s="765"/>
      <c r="T300" s="769">
        <v>63.77</v>
      </c>
      <c r="U300" s="770">
        <v>1228.8399999999999</v>
      </c>
      <c r="V300" s="770">
        <v>-935.24</v>
      </c>
      <c r="W300" s="770">
        <v>43.02</v>
      </c>
      <c r="X300" s="770">
        <v>7517.78</v>
      </c>
      <c r="Y300" s="770">
        <v>-7401.58</v>
      </c>
      <c r="Z300" s="770">
        <v>147.07</v>
      </c>
      <c r="AA300" s="770">
        <v>15.6</v>
      </c>
      <c r="AB300" s="770">
        <v>3.44</v>
      </c>
      <c r="AC300" s="770">
        <v>146.84</v>
      </c>
      <c r="AD300" s="771">
        <v>49.74</v>
      </c>
      <c r="AE300" s="772">
        <v>31.5</v>
      </c>
      <c r="AF300" s="773">
        <f t="shared" si="224"/>
        <v>910.7800000000002</v>
      </c>
      <c r="AG300" s="774">
        <v>2463.6999999999998</v>
      </c>
      <c r="AH300" s="775">
        <v>10.46</v>
      </c>
      <c r="AI300" s="775">
        <v>353.85</v>
      </c>
      <c r="AJ300" s="775">
        <v>870.83</v>
      </c>
      <c r="AK300" s="775">
        <v>-20224.54</v>
      </c>
      <c r="AL300" s="775">
        <v>427.44</v>
      </c>
      <c r="AM300" s="775">
        <v>6.45</v>
      </c>
      <c r="AN300" s="775">
        <v>116.42</v>
      </c>
      <c r="AO300" s="775">
        <v>24.46</v>
      </c>
      <c r="AP300" s="775">
        <v>42.5</v>
      </c>
      <c r="AQ300" s="775">
        <v>83.79</v>
      </c>
      <c r="AR300" s="776">
        <v>65.03</v>
      </c>
      <c r="AS300" s="773">
        <f t="shared" si="225"/>
        <v>-15759.609999999999</v>
      </c>
      <c r="AT300" s="774">
        <v>83.52</v>
      </c>
      <c r="AU300" s="775">
        <v>299.83999999999997</v>
      </c>
      <c r="AV300" s="775">
        <v>746.77</v>
      </c>
      <c r="AW300" s="775">
        <v>-426.46</v>
      </c>
      <c r="AX300" s="775">
        <v>523.78</v>
      </c>
      <c r="AY300" s="775">
        <v>2192.7800000000002</v>
      </c>
      <c r="AZ300" s="775">
        <v>-610.76</v>
      </c>
      <c r="BA300" s="775">
        <v>109.83</v>
      </c>
      <c r="BB300" s="775">
        <v>1863.4</v>
      </c>
      <c r="BC300" s="782">
        <v>-1134.53</v>
      </c>
      <c r="BD300" s="775">
        <v>371.62</v>
      </c>
      <c r="BE300" s="778">
        <v>1761.38</v>
      </c>
      <c r="BF300" s="773">
        <f t="shared" si="226"/>
        <v>5781.170000000001</v>
      </c>
      <c r="BG300" s="777">
        <v>50.92</v>
      </c>
      <c r="BH300" s="775">
        <v>1638.45</v>
      </c>
      <c r="BI300" s="775">
        <v>2139.39</v>
      </c>
      <c r="BJ300" s="1360">
        <v>-1394.59</v>
      </c>
      <c r="BK300" s="775">
        <v>140.16999999999999</v>
      </c>
      <c r="BL300" s="775"/>
      <c r="BM300" s="775"/>
      <c r="BN300" s="775"/>
      <c r="BO300" s="775"/>
      <c r="BP300" s="775"/>
      <c r="BQ300" s="775"/>
      <c r="BR300" s="778"/>
      <c r="BS300" s="773"/>
      <c r="BT300" s="779"/>
      <c r="BU300" s="779"/>
      <c r="BV300" s="779"/>
      <c r="BW300" s="779"/>
      <c r="BX300" s="779"/>
      <c r="BY300" s="779"/>
      <c r="BZ300" s="779"/>
      <c r="CA300" s="779"/>
      <c r="CB300" s="779"/>
      <c r="CC300" s="779"/>
      <c r="CD300" s="779"/>
      <c r="CE300" s="779"/>
      <c r="CF300" s="779"/>
      <c r="CG300" s="779"/>
      <c r="CH300" s="779"/>
      <c r="CI300" s="779"/>
      <c r="CJ300" s="780"/>
      <c r="CK300" s="781"/>
      <c r="CL300" s="781"/>
      <c r="CM300" s="781"/>
      <c r="CT300" s="768"/>
    </row>
    <row r="301" spans="1:98" s="767" customFormat="1">
      <c r="A301" s="783" t="s">
        <v>541</v>
      </c>
      <c r="B301" s="784"/>
      <c r="C301" s="765"/>
      <c r="D301" s="765"/>
      <c r="E301" s="765"/>
      <c r="F301" s="765"/>
      <c r="G301" s="765"/>
      <c r="H301" s="765"/>
      <c r="I301" s="765"/>
      <c r="J301" s="765"/>
      <c r="K301" s="765"/>
      <c r="L301" s="765"/>
      <c r="M301" s="765"/>
      <c r="N301" s="765"/>
      <c r="O301" s="765"/>
      <c r="P301" s="765"/>
      <c r="T301" s="769"/>
      <c r="U301" s="770"/>
      <c r="V301" s="770"/>
      <c r="W301" s="770"/>
      <c r="X301" s="770"/>
      <c r="Y301" s="770"/>
      <c r="Z301" s="770"/>
      <c r="AA301" s="770"/>
      <c r="AB301" s="770"/>
      <c r="AC301" s="770"/>
      <c r="AD301" s="771"/>
      <c r="AE301" s="772"/>
      <c r="AF301" s="773">
        <f t="shared" si="224"/>
        <v>0</v>
      </c>
      <c r="AG301" s="774"/>
      <c r="AH301" s="775"/>
      <c r="AI301" s="775">
        <v>22.53</v>
      </c>
      <c r="AJ301" s="775"/>
      <c r="AK301" s="775"/>
      <c r="AL301" s="775"/>
      <c r="AM301" s="775"/>
      <c r="AN301" s="775"/>
      <c r="AO301" s="775"/>
      <c r="AP301" s="775"/>
      <c r="AQ301" s="775"/>
      <c r="AR301" s="776">
        <v>0.31</v>
      </c>
      <c r="AS301" s="773">
        <f t="shared" si="225"/>
        <v>22.84</v>
      </c>
      <c r="AT301" s="774"/>
      <c r="AU301" s="775"/>
      <c r="AV301" s="775"/>
      <c r="AW301" s="775"/>
      <c r="AX301" s="775"/>
      <c r="AY301" s="775"/>
      <c r="AZ301" s="775">
        <v>0.08</v>
      </c>
      <c r="BA301" s="775"/>
      <c r="BB301" s="775"/>
      <c r="BC301" s="782"/>
      <c r="BD301" s="775"/>
      <c r="BE301" s="778"/>
      <c r="BF301" s="773">
        <f t="shared" si="226"/>
        <v>0.08</v>
      </c>
      <c r="BG301" s="777">
        <v>1744.67</v>
      </c>
      <c r="BH301" s="775"/>
      <c r="BI301" s="775">
        <v>15.2</v>
      </c>
      <c r="BJ301" s="1360"/>
      <c r="BK301" s="775"/>
      <c r="BL301" s="775"/>
      <c r="BM301" s="775"/>
      <c r="BN301" s="775"/>
      <c r="BO301" s="775"/>
      <c r="BP301" s="775"/>
      <c r="BQ301" s="775"/>
      <c r="BR301" s="778"/>
      <c r="BS301" s="773"/>
      <c r="BT301" s="779"/>
      <c r="BU301" s="779"/>
      <c r="BV301" s="779"/>
      <c r="BW301" s="779"/>
      <c r="BX301" s="779"/>
      <c r="BY301" s="779"/>
      <c r="BZ301" s="779"/>
      <c r="CA301" s="779"/>
      <c r="CB301" s="779"/>
      <c r="CC301" s="779"/>
      <c r="CD301" s="779"/>
      <c r="CE301" s="779"/>
      <c r="CF301" s="779"/>
      <c r="CG301" s="779"/>
      <c r="CH301" s="779"/>
      <c r="CI301" s="779"/>
      <c r="CJ301" s="780"/>
      <c r="CK301" s="781"/>
      <c r="CL301" s="781"/>
      <c r="CM301" s="781"/>
      <c r="CT301" s="768"/>
    </row>
    <row r="302" spans="1:98" s="767" customFormat="1">
      <c r="A302" s="783" t="s">
        <v>496</v>
      </c>
      <c r="B302" s="784"/>
      <c r="C302" s="765"/>
      <c r="D302" s="765"/>
      <c r="E302" s="765"/>
      <c r="F302" s="765"/>
      <c r="G302" s="765"/>
      <c r="H302" s="765"/>
      <c r="I302" s="765"/>
      <c r="J302" s="765"/>
      <c r="K302" s="765"/>
      <c r="L302" s="765"/>
      <c r="M302" s="765"/>
      <c r="N302" s="765"/>
      <c r="O302" s="765"/>
      <c r="P302" s="765"/>
      <c r="T302" s="769"/>
      <c r="U302" s="770"/>
      <c r="V302" s="770"/>
      <c r="W302" s="770"/>
      <c r="X302" s="770"/>
      <c r="Y302" s="770"/>
      <c r="Z302" s="770"/>
      <c r="AA302" s="770"/>
      <c r="AB302" s="770"/>
      <c r="AC302" s="770"/>
      <c r="AD302" s="771"/>
      <c r="AE302" s="772"/>
      <c r="AF302" s="773">
        <f t="shared" si="224"/>
        <v>0</v>
      </c>
      <c r="AG302" s="774"/>
      <c r="AH302" s="775"/>
      <c r="AI302" s="775"/>
      <c r="AJ302" s="775"/>
      <c r="AK302" s="775"/>
      <c r="AL302" s="775"/>
      <c r="AM302" s="775"/>
      <c r="AN302" s="775"/>
      <c r="AO302" s="775"/>
      <c r="AP302" s="775"/>
      <c r="AQ302" s="775"/>
      <c r="AR302" s="776"/>
      <c r="AS302" s="773">
        <f t="shared" si="225"/>
        <v>0</v>
      </c>
      <c r="AT302" s="774"/>
      <c r="AU302" s="775"/>
      <c r="AV302" s="775"/>
      <c r="AW302" s="775"/>
      <c r="AX302" s="775"/>
      <c r="AY302" s="775"/>
      <c r="AZ302" s="775"/>
      <c r="BA302" s="775"/>
      <c r="BB302" s="775"/>
      <c r="BC302" s="782"/>
      <c r="BD302" s="775"/>
      <c r="BE302" s="778"/>
      <c r="BF302" s="773">
        <f t="shared" si="226"/>
        <v>0</v>
      </c>
      <c r="BG302" s="777"/>
      <c r="BH302" s="775"/>
      <c r="BI302" s="775"/>
      <c r="BJ302" s="1360"/>
      <c r="BK302" s="775"/>
      <c r="BL302" s="775"/>
      <c r="BM302" s="775"/>
      <c r="BN302" s="775"/>
      <c r="BO302" s="775"/>
      <c r="BP302" s="775"/>
      <c r="BQ302" s="775"/>
      <c r="BR302" s="778"/>
      <c r="BS302" s="773"/>
      <c r="BT302" s="779"/>
      <c r="BU302" s="779"/>
      <c r="BV302" s="779"/>
      <c r="BW302" s="779"/>
      <c r="BX302" s="779"/>
      <c r="BY302" s="779"/>
      <c r="BZ302" s="779"/>
      <c r="CA302" s="779"/>
      <c r="CB302" s="779"/>
      <c r="CC302" s="779"/>
      <c r="CD302" s="779"/>
      <c r="CE302" s="779"/>
      <c r="CF302" s="779"/>
      <c r="CG302" s="779"/>
      <c r="CH302" s="779"/>
      <c r="CI302" s="779"/>
      <c r="CJ302" s="780"/>
      <c r="CK302" s="781"/>
      <c r="CL302" s="781"/>
      <c r="CM302" s="781"/>
    </row>
    <row r="303" spans="1:98" s="767" customFormat="1">
      <c r="A303" s="783" t="s">
        <v>542</v>
      </c>
      <c r="B303" s="784"/>
      <c r="C303" s="765"/>
      <c r="D303" s="765"/>
      <c r="E303" s="765"/>
      <c r="F303" s="765"/>
      <c r="G303" s="765"/>
      <c r="H303" s="765"/>
      <c r="I303" s="765"/>
      <c r="J303" s="765"/>
      <c r="K303" s="765"/>
      <c r="L303" s="765"/>
      <c r="M303" s="765"/>
      <c r="N303" s="765"/>
      <c r="O303" s="765"/>
      <c r="P303" s="765"/>
      <c r="T303" s="769">
        <v>1</v>
      </c>
      <c r="U303" s="770">
        <v>65.599999999999994</v>
      </c>
      <c r="V303" s="770">
        <v>3.96</v>
      </c>
      <c r="W303" s="770"/>
      <c r="X303" s="770">
        <v>3.74</v>
      </c>
      <c r="Y303" s="770"/>
      <c r="Z303" s="770"/>
      <c r="AA303" s="770">
        <v>29.71</v>
      </c>
      <c r="AB303" s="770"/>
      <c r="AC303" s="770"/>
      <c r="AD303" s="771"/>
      <c r="AE303" s="772"/>
      <c r="AF303" s="773">
        <f t="shared" si="224"/>
        <v>104.00999999999999</v>
      </c>
      <c r="AG303" s="774">
        <v>8.56</v>
      </c>
      <c r="AH303" s="775">
        <v>1.21</v>
      </c>
      <c r="AI303" s="775">
        <v>7.9</v>
      </c>
      <c r="AJ303" s="775">
        <v>71.489999999999995</v>
      </c>
      <c r="AK303" s="775">
        <v>0.35</v>
      </c>
      <c r="AL303" s="775">
        <v>29.06</v>
      </c>
      <c r="AM303" s="775">
        <v>23.87</v>
      </c>
      <c r="AN303" s="775">
        <v>14.75</v>
      </c>
      <c r="AO303" s="775">
        <v>15.6</v>
      </c>
      <c r="AP303" s="775">
        <v>92.09</v>
      </c>
      <c r="AQ303" s="775"/>
      <c r="AR303" s="776">
        <v>144.69</v>
      </c>
      <c r="AS303" s="773">
        <f t="shared" si="225"/>
        <v>409.57</v>
      </c>
      <c r="AT303" s="774"/>
      <c r="AU303" s="775">
        <v>79.760000000000005</v>
      </c>
      <c r="AV303" s="775"/>
      <c r="AW303" s="775"/>
      <c r="AX303" s="775">
        <v>1.52</v>
      </c>
      <c r="AY303" s="775">
        <v>0.24</v>
      </c>
      <c r="AZ303" s="775">
        <v>22.97</v>
      </c>
      <c r="BA303" s="775"/>
      <c r="BB303" s="775">
        <v>35.1</v>
      </c>
      <c r="BC303" s="782"/>
      <c r="BD303" s="775"/>
      <c r="BE303" s="778"/>
      <c r="BF303" s="773">
        <f t="shared" si="226"/>
        <v>139.59</v>
      </c>
      <c r="BG303" s="777"/>
      <c r="BH303" s="775"/>
      <c r="BI303" s="775">
        <v>20.48</v>
      </c>
      <c r="BJ303" s="1360">
        <v>10.63</v>
      </c>
      <c r="BK303" s="775"/>
      <c r="BL303" s="775"/>
      <c r="BM303" s="775"/>
      <c r="BN303" s="775"/>
      <c r="BO303" s="775"/>
      <c r="BP303" s="775"/>
      <c r="BQ303" s="775"/>
      <c r="BR303" s="778"/>
      <c r="BS303" s="773"/>
      <c r="BT303" s="779"/>
      <c r="BU303" s="779"/>
      <c r="BV303" s="779"/>
      <c r="BW303" s="779"/>
      <c r="BX303" s="779"/>
      <c r="BY303" s="779"/>
      <c r="BZ303" s="779"/>
      <c r="CA303" s="779"/>
      <c r="CB303" s="779"/>
      <c r="CC303" s="779"/>
      <c r="CD303" s="779"/>
      <c r="CE303" s="779"/>
      <c r="CF303" s="779"/>
      <c r="CG303" s="779"/>
      <c r="CH303" s="779"/>
      <c r="CI303" s="779"/>
      <c r="CJ303" s="780"/>
      <c r="CK303" s="781"/>
      <c r="CL303" s="781"/>
      <c r="CM303" s="781"/>
    </row>
    <row r="304" spans="1:98" s="767" customFormat="1">
      <c r="A304" s="783" t="s">
        <v>543</v>
      </c>
      <c r="B304" s="784"/>
      <c r="C304" s="765"/>
      <c r="D304" s="765"/>
      <c r="E304" s="765"/>
      <c r="F304" s="765"/>
      <c r="G304" s="765"/>
      <c r="H304" s="765"/>
      <c r="I304" s="765"/>
      <c r="J304" s="765"/>
      <c r="K304" s="765"/>
      <c r="L304" s="765"/>
      <c r="M304" s="765"/>
      <c r="N304" s="765"/>
      <c r="O304" s="765"/>
      <c r="P304" s="765"/>
      <c r="T304" s="769">
        <v>80</v>
      </c>
      <c r="U304" s="770"/>
      <c r="V304" s="770"/>
      <c r="W304" s="770"/>
      <c r="X304" s="770"/>
      <c r="Y304" s="770"/>
      <c r="Z304" s="770"/>
      <c r="AA304" s="770"/>
      <c r="AB304" s="770"/>
      <c r="AC304" s="770"/>
      <c r="AD304" s="771"/>
      <c r="AE304" s="772"/>
      <c r="AF304" s="773">
        <f t="shared" si="224"/>
        <v>80</v>
      </c>
      <c r="AG304" s="774"/>
      <c r="AH304" s="775"/>
      <c r="AI304" s="775"/>
      <c r="AJ304" s="775"/>
      <c r="AK304" s="775"/>
      <c r="AL304" s="775"/>
      <c r="AM304" s="775"/>
      <c r="AN304" s="775"/>
      <c r="AO304" s="775"/>
      <c r="AP304" s="775"/>
      <c r="AQ304" s="775"/>
      <c r="AR304" s="776"/>
      <c r="AS304" s="773">
        <f t="shared" si="225"/>
        <v>0</v>
      </c>
      <c r="AT304" s="774"/>
      <c r="AU304" s="775"/>
      <c r="AV304" s="775"/>
      <c r="AW304" s="775"/>
      <c r="AX304" s="775"/>
      <c r="AY304" s="775"/>
      <c r="AZ304" s="775"/>
      <c r="BA304" s="775"/>
      <c r="BB304" s="775"/>
      <c r="BC304" s="782"/>
      <c r="BD304" s="775"/>
      <c r="BE304" s="778"/>
      <c r="BF304" s="773">
        <f t="shared" si="226"/>
        <v>0</v>
      </c>
      <c r="BG304" s="777"/>
      <c r="BH304" s="775"/>
      <c r="BI304" s="775"/>
      <c r="BJ304" s="1360"/>
      <c r="BK304" s="775"/>
      <c r="BL304" s="775"/>
      <c r="BM304" s="775"/>
      <c r="BN304" s="775"/>
      <c r="BO304" s="775"/>
      <c r="BP304" s="775"/>
      <c r="BQ304" s="775"/>
      <c r="BR304" s="778"/>
      <c r="BS304" s="773"/>
      <c r="BT304" s="779"/>
      <c r="BU304" s="779"/>
      <c r="BV304" s="779"/>
      <c r="BW304" s="779"/>
      <c r="BX304" s="779"/>
      <c r="BY304" s="779"/>
      <c r="BZ304" s="779"/>
      <c r="CA304" s="779"/>
      <c r="CB304" s="779"/>
      <c r="CC304" s="779"/>
      <c r="CD304" s="779"/>
      <c r="CE304" s="779"/>
      <c r="CF304" s="779"/>
      <c r="CG304" s="779"/>
      <c r="CH304" s="779"/>
      <c r="CI304" s="779"/>
      <c r="CJ304" s="780"/>
      <c r="CK304" s="781"/>
      <c r="CL304" s="781"/>
      <c r="CM304" s="781"/>
    </row>
    <row r="305" spans="1:100" s="767" customFormat="1">
      <c r="A305" s="783" t="s">
        <v>544</v>
      </c>
      <c r="B305" s="784"/>
      <c r="C305" s="765"/>
      <c r="D305" s="765"/>
      <c r="E305" s="765"/>
      <c r="F305" s="765"/>
      <c r="G305" s="765"/>
      <c r="H305" s="765"/>
      <c r="I305" s="765"/>
      <c r="J305" s="765"/>
      <c r="K305" s="765"/>
      <c r="L305" s="765"/>
      <c r="M305" s="765"/>
      <c r="N305" s="765"/>
      <c r="O305" s="765"/>
      <c r="P305" s="765"/>
      <c r="T305" s="769">
        <v>20</v>
      </c>
      <c r="U305" s="770">
        <v>91.4</v>
      </c>
      <c r="V305" s="770">
        <v>57.43</v>
      </c>
      <c r="W305" s="770">
        <v>17.670000000000002</v>
      </c>
      <c r="X305" s="770">
        <v>13.45</v>
      </c>
      <c r="Y305" s="770"/>
      <c r="Z305" s="770">
        <v>10.63</v>
      </c>
      <c r="AA305" s="770">
        <v>62.53</v>
      </c>
      <c r="AB305" s="770">
        <v>69.28</v>
      </c>
      <c r="AC305" s="770">
        <v>35.31</v>
      </c>
      <c r="AD305" s="771">
        <v>38.83</v>
      </c>
      <c r="AE305" s="772">
        <v>381.75</v>
      </c>
      <c r="AF305" s="773">
        <f t="shared" si="224"/>
        <v>798.28</v>
      </c>
      <c r="AG305" s="774">
        <v>39.270000000000003</v>
      </c>
      <c r="AH305" s="775">
        <v>308.83999999999997</v>
      </c>
      <c r="AI305" s="775">
        <v>145.22</v>
      </c>
      <c r="AJ305" s="775">
        <v>863.36</v>
      </c>
      <c r="AK305" s="775">
        <v>431.37</v>
      </c>
      <c r="AL305" s="775">
        <v>17.8</v>
      </c>
      <c r="AM305" s="775">
        <v>330.48</v>
      </c>
      <c r="AN305" s="775">
        <v>77.319999999999993</v>
      </c>
      <c r="AO305" s="775">
        <v>183.53</v>
      </c>
      <c r="AP305" s="775">
        <v>82.76</v>
      </c>
      <c r="AQ305" s="775">
        <v>11.9</v>
      </c>
      <c r="AR305" s="776">
        <v>107.79</v>
      </c>
      <c r="AS305" s="773">
        <f t="shared" si="225"/>
        <v>2599.6400000000008</v>
      </c>
      <c r="AT305" s="774">
        <v>79.790000000000006</v>
      </c>
      <c r="AU305" s="775">
        <v>295.56</v>
      </c>
      <c r="AV305" s="775">
        <v>377.9</v>
      </c>
      <c r="AW305" s="775">
        <v>632.70000000000005</v>
      </c>
      <c r="AX305" s="775">
        <v>653.04999999999995</v>
      </c>
      <c r="AY305" s="775">
        <v>300.52</v>
      </c>
      <c r="AZ305" s="775">
        <v>748.15</v>
      </c>
      <c r="BA305" s="775">
        <v>331.54</v>
      </c>
      <c r="BB305" s="775">
        <v>247.77</v>
      </c>
      <c r="BC305" s="782">
        <v>249.52</v>
      </c>
      <c r="BD305" s="775">
        <v>1105.78</v>
      </c>
      <c r="BE305" s="778">
        <v>11.05</v>
      </c>
      <c r="BF305" s="773">
        <f t="shared" si="226"/>
        <v>5033.33</v>
      </c>
      <c r="BG305" s="777"/>
      <c r="BH305" s="775">
        <v>244.04</v>
      </c>
      <c r="BI305" s="775">
        <v>570.05999999999995</v>
      </c>
      <c r="BJ305" s="1360">
        <v>71.27</v>
      </c>
      <c r="BK305" s="775">
        <v>51.83</v>
      </c>
      <c r="BL305" s="775"/>
      <c r="BM305" s="775"/>
      <c r="BN305" s="775"/>
      <c r="BO305" s="775"/>
      <c r="BP305" s="775"/>
      <c r="BQ305" s="775"/>
      <c r="BR305" s="778"/>
      <c r="BS305" s="773"/>
      <c r="BT305" s="779"/>
      <c r="BU305" s="779"/>
      <c r="BV305" s="779"/>
      <c r="BW305" s="779"/>
      <c r="BX305" s="779"/>
      <c r="BY305" s="779"/>
      <c r="BZ305" s="779"/>
      <c r="CA305" s="779"/>
      <c r="CB305" s="779"/>
      <c r="CC305" s="779"/>
      <c r="CD305" s="779"/>
      <c r="CE305" s="779"/>
      <c r="CF305" s="779"/>
      <c r="CG305" s="779"/>
      <c r="CH305" s="779"/>
      <c r="CI305" s="779"/>
      <c r="CJ305" s="780"/>
      <c r="CK305" s="781"/>
      <c r="CL305" s="781"/>
      <c r="CM305" s="781"/>
    </row>
    <row r="306" spans="1:100" s="767" customFormat="1">
      <c r="A306" s="783" t="s">
        <v>545</v>
      </c>
      <c r="B306" s="784"/>
      <c r="C306" s="765"/>
      <c r="D306" s="765"/>
      <c r="E306" s="765"/>
      <c r="F306" s="765"/>
      <c r="G306" s="765"/>
      <c r="H306" s="765"/>
      <c r="I306" s="765"/>
      <c r="J306" s="765"/>
      <c r="K306" s="765"/>
      <c r="L306" s="765"/>
      <c r="M306" s="765"/>
      <c r="N306" s="765"/>
      <c r="O306" s="765"/>
      <c r="P306" s="765"/>
      <c r="T306" s="769">
        <v>1474.69</v>
      </c>
      <c r="U306" s="770">
        <v>435.58</v>
      </c>
      <c r="V306" s="770">
        <v>344.09</v>
      </c>
      <c r="W306" s="770">
        <v>7180.71</v>
      </c>
      <c r="X306" s="770">
        <v>600.88</v>
      </c>
      <c r="Y306" s="770">
        <v>8219.6</v>
      </c>
      <c r="Z306" s="770">
        <v>609.24</v>
      </c>
      <c r="AA306" s="770">
        <v>770.42</v>
      </c>
      <c r="AB306" s="770">
        <v>721.06</v>
      </c>
      <c r="AC306" s="770">
        <v>676.88</v>
      </c>
      <c r="AD306" s="771">
        <v>892.73</v>
      </c>
      <c r="AE306" s="772">
        <v>929.64</v>
      </c>
      <c r="AF306" s="773">
        <f t="shared" si="224"/>
        <v>22855.52</v>
      </c>
      <c r="AG306" s="774">
        <v>69.150000000000006</v>
      </c>
      <c r="AH306" s="775">
        <v>1488.01</v>
      </c>
      <c r="AI306" s="775">
        <v>443.38</v>
      </c>
      <c r="AJ306" s="775">
        <v>596.94000000000005</v>
      </c>
      <c r="AK306" s="775">
        <v>316.01</v>
      </c>
      <c r="AL306" s="775">
        <v>131.57</v>
      </c>
      <c r="AM306" s="775">
        <v>119.82</v>
      </c>
      <c r="AN306" s="775">
        <v>497.59</v>
      </c>
      <c r="AO306" s="775">
        <v>247.01</v>
      </c>
      <c r="AP306" s="775">
        <v>751.3</v>
      </c>
      <c r="AQ306" s="775">
        <v>560.04999999999995</v>
      </c>
      <c r="AR306" s="776">
        <v>252.16</v>
      </c>
      <c r="AS306" s="773">
        <f t="shared" si="225"/>
        <v>5472.9900000000007</v>
      </c>
      <c r="AT306" s="774">
        <v>1500.01</v>
      </c>
      <c r="AU306" s="775">
        <v>431.59</v>
      </c>
      <c r="AV306" s="775">
        <v>436.7</v>
      </c>
      <c r="AW306" s="775">
        <v>1266.68</v>
      </c>
      <c r="AX306" s="775">
        <v>525.34</v>
      </c>
      <c r="AY306" s="775">
        <v>465.99</v>
      </c>
      <c r="AZ306" s="775">
        <v>586.30999999999995</v>
      </c>
      <c r="BA306" s="775">
        <v>402.74</v>
      </c>
      <c r="BB306" s="775">
        <v>322.02999999999997</v>
      </c>
      <c r="BC306" s="782">
        <v>1819.82</v>
      </c>
      <c r="BD306" s="775">
        <v>1378.61</v>
      </c>
      <c r="BE306" s="778">
        <v>592.28</v>
      </c>
      <c r="BF306" s="773">
        <f t="shared" si="226"/>
        <v>9728.0999999999985</v>
      </c>
      <c r="BG306" s="777"/>
      <c r="BH306" s="775">
        <v>328.17</v>
      </c>
      <c r="BI306" s="775">
        <v>338.12</v>
      </c>
      <c r="BJ306" s="1360">
        <v>250.6</v>
      </c>
      <c r="BK306" s="775">
        <v>110.62</v>
      </c>
      <c r="BL306" s="775"/>
      <c r="BM306" s="775"/>
      <c r="BN306" s="775"/>
      <c r="BO306" s="775"/>
      <c r="BP306" s="775"/>
      <c r="BQ306" s="775"/>
      <c r="BR306" s="778"/>
      <c r="BS306" s="773"/>
      <c r="BT306" s="779"/>
      <c r="BU306" s="779"/>
      <c r="BV306" s="779"/>
      <c r="BW306" s="779"/>
      <c r="BX306" s="779"/>
      <c r="BY306" s="779"/>
      <c r="BZ306" s="779"/>
      <c r="CA306" s="779"/>
      <c r="CB306" s="779"/>
      <c r="CC306" s="779"/>
      <c r="CD306" s="779"/>
      <c r="CE306" s="779"/>
      <c r="CF306" s="779"/>
      <c r="CG306" s="779"/>
      <c r="CH306" s="779"/>
      <c r="CI306" s="779"/>
      <c r="CJ306" s="780"/>
      <c r="CK306" s="781"/>
      <c r="CL306" s="781"/>
      <c r="CM306" s="781"/>
    </row>
    <row r="307" spans="1:100" s="767" customFormat="1">
      <c r="A307" s="783" t="s">
        <v>546</v>
      </c>
      <c r="B307" s="784"/>
      <c r="C307" s="765"/>
      <c r="D307" s="765"/>
      <c r="E307" s="765"/>
      <c r="F307" s="765"/>
      <c r="G307" s="765"/>
      <c r="H307" s="765"/>
      <c r="I307" s="765"/>
      <c r="J307" s="765"/>
      <c r="K307" s="765"/>
      <c r="L307" s="765"/>
      <c r="M307" s="765"/>
      <c r="N307" s="765"/>
      <c r="O307" s="765"/>
      <c r="P307" s="765"/>
      <c r="T307" s="769"/>
      <c r="U307" s="770"/>
      <c r="V307" s="770"/>
      <c r="W307" s="770"/>
      <c r="X307" s="770"/>
      <c r="Y307" s="770"/>
      <c r="Z307" s="770"/>
      <c r="AA307" s="770"/>
      <c r="AB307" s="770"/>
      <c r="AC307" s="770"/>
      <c r="AD307" s="771"/>
      <c r="AE307" s="772"/>
      <c r="AF307" s="773">
        <f t="shared" si="224"/>
        <v>0</v>
      </c>
      <c r="AG307" s="774">
        <v>528.29999999999995</v>
      </c>
      <c r="AH307" s="775">
        <v>460.6</v>
      </c>
      <c r="AI307" s="775">
        <v>909.35</v>
      </c>
      <c r="AJ307" s="775">
        <v>436.22</v>
      </c>
      <c r="AK307" s="775">
        <v>139.16</v>
      </c>
      <c r="AL307" s="775">
        <v>603.83000000000004</v>
      </c>
      <c r="AM307" s="775">
        <v>423.76</v>
      </c>
      <c r="AN307" s="775">
        <v>705.86</v>
      </c>
      <c r="AO307" s="775">
        <v>474.85</v>
      </c>
      <c r="AP307" s="775">
        <v>611.19000000000005</v>
      </c>
      <c r="AQ307" s="775">
        <v>624.20000000000005</v>
      </c>
      <c r="AR307" s="776">
        <v>662.4</v>
      </c>
      <c r="AS307" s="773">
        <f t="shared" si="225"/>
        <v>6579.72</v>
      </c>
      <c r="AT307" s="774">
        <v>717.04</v>
      </c>
      <c r="AU307" s="775">
        <v>726.65</v>
      </c>
      <c r="AV307" s="775">
        <v>882.85</v>
      </c>
      <c r="AW307" s="775">
        <v>516.66</v>
      </c>
      <c r="AX307" s="775">
        <v>662.56</v>
      </c>
      <c r="AY307" s="775">
        <v>1173.0999999999999</v>
      </c>
      <c r="AZ307" s="775">
        <v>433.24</v>
      </c>
      <c r="BA307" s="775">
        <v>475.04</v>
      </c>
      <c r="BB307" s="775">
        <v>534.42999999999995</v>
      </c>
      <c r="BC307" s="782">
        <v>515.12</v>
      </c>
      <c r="BD307" s="775">
        <v>800.77</v>
      </c>
      <c r="BE307" s="778">
        <v>526.48</v>
      </c>
      <c r="BF307" s="773">
        <f t="shared" si="226"/>
        <v>7963.9399999999987</v>
      </c>
      <c r="BG307" s="777">
        <v>782.23</v>
      </c>
      <c r="BH307" s="775">
        <v>614.15</v>
      </c>
      <c r="BI307" s="775">
        <v>554.02</v>
      </c>
      <c r="BJ307" s="1360">
        <v>492.62</v>
      </c>
      <c r="BK307" s="775">
        <v>292.2</v>
      </c>
      <c r="BL307" s="775"/>
      <c r="BM307" s="775"/>
      <c r="BN307" s="775"/>
      <c r="BO307" s="775"/>
      <c r="BP307" s="775"/>
      <c r="BQ307" s="775"/>
      <c r="BR307" s="778"/>
      <c r="BS307" s="773"/>
      <c r="BT307" s="779"/>
      <c r="BU307" s="779"/>
      <c r="BV307" s="779"/>
      <c r="BW307" s="779"/>
      <c r="BX307" s="779"/>
      <c r="BY307" s="779"/>
      <c r="BZ307" s="779"/>
      <c r="CA307" s="779"/>
      <c r="CB307" s="779"/>
      <c r="CC307" s="779"/>
      <c r="CD307" s="779"/>
      <c r="CE307" s="779"/>
      <c r="CF307" s="779"/>
      <c r="CG307" s="779"/>
      <c r="CH307" s="779"/>
      <c r="CI307" s="779"/>
      <c r="CJ307" s="780"/>
      <c r="CK307" s="781"/>
      <c r="CL307" s="781"/>
      <c r="CM307" s="781"/>
    </row>
    <row r="308" spans="1:100" s="767" customFormat="1">
      <c r="A308" s="783" t="s">
        <v>547</v>
      </c>
      <c r="B308" s="784"/>
      <c r="C308" s="765"/>
      <c r="D308" s="765"/>
      <c r="E308" s="765"/>
      <c r="F308" s="765"/>
      <c r="G308" s="765"/>
      <c r="H308" s="765"/>
      <c r="I308" s="765"/>
      <c r="J308" s="765"/>
      <c r="K308" s="765"/>
      <c r="L308" s="765"/>
      <c r="M308" s="765"/>
      <c r="N308" s="765"/>
      <c r="O308" s="765"/>
      <c r="P308" s="765"/>
      <c r="T308" s="769"/>
      <c r="U308" s="770">
        <v>3.35</v>
      </c>
      <c r="V308" s="770">
        <v>0.46</v>
      </c>
      <c r="W308" s="770">
        <v>2.64</v>
      </c>
      <c r="X308" s="770">
        <v>4.55</v>
      </c>
      <c r="Y308" s="770">
        <v>1.87</v>
      </c>
      <c r="Z308" s="770">
        <v>0.39</v>
      </c>
      <c r="AA308" s="770">
        <v>21.34</v>
      </c>
      <c r="AB308" s="770">
        <v>1.55</v>
      </c>
      <c r="AC308" s="770">
        <v>35.700000000000003</v>
      </c>
      <c r="AD308" s="771">
        <v>0.59</v>
      </c>
      <c r="AE308" s="772">
        <v>1.29</v>
      </c>
      <c r="AF308" s="773">
        <f t="shared" si="224"/>
        <v>73.73</v>
      </c>
      <c r="AG308" s="774">
        <v>1</v>
      </c>
      <c r="AH308" s="775">
        <v>7.59</v>
      </c>
      <c r="AI308" s="775">
        <v>2.12</v>
      </c>
      <c r="AJ308" s="775">
        <v>0.41</v>
      </c>
      <c r="AK308" s="775">
        <v>680.99</v>
      </c>
      <c r="AL308" s="775">
        <v>5.27</v>
      </c>
      <c r="AM308" s="775">
        <v>1.56</v>
      </c>
      <c r="AN308" s="775"/>
      <c r="AO308" s="775">
        <v>1.1499999999999999</v>
      </c>
      <c r="AP308" s="775">
        <v>1.41</v>
      </c>
      <c r="AQ308" s="775">
        <v>1487</v>
      </c>
      <c r="AR308" s="776">
        <v>0.16</v>
      </c>
      <c r="AS308" s="773">
        <f t="shared" si="225"/>
        <v>2188.66</v>
      </c>
      <c r="AT308" s="774">
        <v>2.64</v>
      </c>
      <c r="AU308" s="775">
        <v>100</v>
      </c>
      <c r="AV308" s="775"/>
      <c r="AW308" s="775">
        <v>1169.8699999999999</v>
      </c>
      <c r="AX308" s="775"/>
      <c r="AY308" s="775"/>
      <c r="AZ308" s="775">
        <v>1676</v>
      </c>
      <c r="BA308" s="775"/>
      <c r="BB308" s="775"/>
      <c r="BC308" s="782">
        <v>3000.9</v>
      </c>
      <c r="BD308" s="775"/>
      <c r="BE308" s="778"/>
      <c r="BF308" s="773">
        <f t="shared" si="226"/>
        <v>5949.41</v>
      </c>
      <c r="BG308" s="777"/>
      <c r="BH308" s="775"/>
      <c r="BI308" s="775"/>
      <c r="BJ308" s="1360"/>
      <c r="BK308" s="775"/>
      <c r="BL308" s="775"/>
      <c r="BM308" s="775"/>
      <c r="BN308" s="775"/>
      <c r="BO308" s="775"/>
      <c r="BP308" s="775"/>
      <c r="BQ308" s="775"/>
      <c r="BR308" s="778"/>
      <c r="BS308" s="773"/>
      <c r="BT308" s="779"/>
      <c r="BU308" s="779"/>
      <c r="BV308" s="779"/>
      <c r="BW308" s="779"/>
      <c r="BX308" s="779"/>
      <c r="BY308" s="779"/>
      <c r="BZ308" s="779"/>
      <c r="CA308" s="779"/>
      <c r="CB308" s="779"/>
      <c r="CC308" s="779"/>
      <c r="CD308" s="779"/>
      <c r="CE308" s="779"/>
      <c r="CF308" s="779"/>
      <c r="CG308" s="779"/>
      <c r="CH308" s="779"/>
      <c r="CI308" s="779"/>
      <c r="CJ308" s="780"/>
      <c r="CK308" s="781"/>
      <c r="CL308" s="781"/>
      <c r="CM308" s="781"/>
    </row>
    <row r="309" spans="1:100" s="767" customFormat="1">
      <c r="A309" s="783" t="s">
        <v>548</v>
      </c>
      <c r="B309" s="784"/>
      <c r="C309" s="765"/>
      <c r="D309" s="765"/>
      <c r="E309" s="765"/>
      <c r="F309" s="765"/>
      <c r="G309" s="765"/>
      <c r="H309" s="765"/>
      <c r="I309" s="765"/>
      <c r="J309" s="765"/>
      <c r="K309" s="765"/>
      <c r="L309" s="765"/>
      <c r="M309" s="765"/>
      <c r="N309" s="765"/>
      <c r="O309" s="765"/>
      <c r="P309" s="765"/>
      <c r="T309" s="769"/>
      <c r="U309" s="770">
        <v>53.34</v>
      </c>
      <c r="V309" s="770">
        <v>32.270000000000003</v>
      </c>
      <c r="W309" s="770">
        <v>3.11</v>
      </c>
      <c r="X309" s="770">
        <v>55.36</v>
      </c>
      <c r="Y309" s="770">
        <v>18.09</v>
      </c>
      <c r="Z309" s="770"/>
      <c r="AA309" s="770">
        <v>5.56</v>
      </c>
      <c r="AB309" s="770">
        <v>54.03</v>
      </c>
      <c r="AC309" s="770">
        <v>1366.64</v>
      </c>
      <c r="AD309" s="771">
        <v>85.56</v>
      </c>
      <c r="AE309" s="772">
        <v>52.37</v>
      </c>
      <c r="AF309" s="773">
        <f t="shared" si="224"/>
        <v>1726.33</v>
      </c>
      <c r="AG309" s="774">
        <v>107.05</v>
      </c>
      <c r="AH309" s="775">
        <v>176.53</v>
      </c>
      <c r="AI309" s="775">
        <v>378.3</v>
      </c>
      <c r="AJ309" s="775">
        <v>7.43</v>
      </c>
      <c r="AK309" s="775">
        <v>26.76</v>
      </c>
      <c r="AL309" s="775">
        <v>875.32</v>
      </c>
      <c r="AM309" s="775">
        <v>16.399999999999999</v>
      </c>
      <c r="AN309" s="775">
        <v>457.11</v>
      </c>
      <c r="AO309" s="775">
        <v>19.579999999999998</v>
      </c>
      <c r="AP309" s="775"/>
      <c r="AQ309" s="775">
        <v>1629.18</v>
      </c>
      <c r="AR309" s="776">
        <v>239.35</v>
      </c>
      <c r="AS309" s="773">
        <f t="shared" si="225"/>
        <v>3933.0099999999998</v>
      </c>
      <c r="AT309" s="774">
        <v>71.400000000000006</v>
      </c>
      <c r="AU309" s="775">
        <v>29.42</v>
      </c>
      <c r="AV309" s="775">
        <v>125.83</v>
      </c>
      <c r="AW309" s="775"/>
      <c r="AX309" s="775">
        <v>14.28</v>
      </c>
      <c r="AY309" s="775">
        <v>82.01</v>
      </c>
      <c r="AZ309" s="775">
        <v>30.68</v>
      </c>
      <c r="BA309" s="775">
        <v>49.26</v>
      </c>
      <c r="BB309" s="775">
        <v>44.87</v>
      </c>
      <c r="BC309" s="782">
        <v>1106.5</v>
      </c>
      <c r="BD309" s="775">
        <v>8108.31</v>
      </c>
      <c r="BE309" s="778">
        <f>13450.33-10576.59</f>
        <v>2873.74</v>
      </c>
      <c r="BF309" s="773">
        <f t="shared" si="226"/>
        <v>12536.300000000001</v>
      </c>
      <c r="BG309" s="777">
        <v>462.66</v>
      </c>
      <c r="BH309" s="775">
        <v>296.95999999999998</v>
      </c>
      <c r="BI309" s="775">
        <v>188.19</v>
      </c>
      <c r="BJ309" s="1360">
        <v>0.11</v>
      </c>
      <c r="BK309" s="775">
        <v>472.21</v>
      </c>
      <c r="BL309" s="775"/>
      <c r="BM309" s="775"/>
      <c r="BN309" s="775"/>
      <c r="BO309" s="775"/>
      <c r="BP309" s="775"/>
      <c r="BQ309" s="775"/>
      <c r="BR309" s="778"/>
      <c r="BS309" s="773"/>
      <c r="BT309" s="779"/>
      <c r="BU309" s="779"/>
      <c r="BV309" s="779"/>
      <c r="BW309" s="779"/>
      <c r="BX309" s="779"/>
      <c r="BY309" s="779"/>
      <c r="BZ309" s="779"/>
      <c r="CA309" s="779"/>
      <c r="CB309" s="779"/>
      <c r="CC309" s="779"/>
      <c r="CD309" s="779"/>
      <c r="CE309" s="779"/>
      <c r="CF309" s="779"/>
      <c r="CG309" s="779"/>
      <c r="CH309" s="779"/>
      <c r="CI309" s="779"/>
      <c r="CJ309" s="780"/>
      <c r="CK309" s="781"/>
      <c r="CL309" s="781"/>
      <c r="CM309" s="781"/>
    </row>
    <row r="310" spans="1:100" s="767" customFormat="1">
      <c r="A310" s="783" t="s">
        <v>549</v>
      </c>
      <c r="B310" s="784"/>
      <c r="C310" s="765"/>
      <c r="D310" s="765"/>
      <c r="E310" s="765"/>
      <c r="F310" s="765"/>
      <c r="G310" s="765"/>
      <c r="H310" s="765"/>
      <c r="I310" s="765"/>
      <c r="J310" s="765"/>
      <c r="K310" s="765"/>
      <c r="L310" s="765"/>
      <c r="M310" s="765"/>
      <c r="N310" s="765"/>
      <c r="O310" s="765"/>
      <c r="P310" s="765"/>
      <c r="T310" s="769">
        <v>3.07</v>
      </c>
      <c r="U310" s="770">
        <v>18.260000000000002</v>
      </c>
      <c r="V310" s="770">
        <v>5.27</v>
      </c>
      <c r="W310" s="770"/>
      <c r="X310" s="770"/>
      <c r="Y310" s="770">
        <v>371.79</v>
      </c>
      <c r="Z310" s="770"/>
      <c r="AA310" s="770">
        <v>0</v>
      </c>
      <c r="AB310" s="770">
        <v>1984.56</v>
      </c>
      <c r="AC310" s="770">
        <v>21.48</v>
      </c>
      <c r="AD310" s="771"/>
      <c r="AE310" s="772"/>
      <c r="AF310" s="773">
        <f t="shared" si="224"/>
        <v>2404.4299999999998</v>
      </c>
      <c r="AG310" s="774">
        <v>0.15</v>
      </c>
      <c r="AH310" s="775"/>
      <c r="AI310" s="775">
        <v>586.19000000000005</v>
      </c>
      <c r="AJ310" s="775"/>
      <c r="AK310" s="775">
        <v>5.56</v>
      </c>
      <c r="AL310" s="775">
        <v>22.5</v>
      </c>
      <c r="AM310" s="775">
        <v>27.57</v>
      </c>
      <c r="AN310" s="775"/>
      <c r="AO310" s="775">
        <v>0.2</v>
      </c>
      <c r="AP310" s="775">
        <v>0.1</v>
      </c>
      <c r="AQ310" s="775"/>
      <c r="AR310" s="776">
        <v>18.2</v>
      </c>
      <c r="AS310" s="773">
        <f t="shared" si="225"/>
        <v>660.47000000000014</v>
      </c>
      <c r="AT310" s="774">
        <v>16.25</v>
      </c>
      <c r="AU310" s="775">
        <v>29314.77</v>
      </c>
      <c r="AV310" s="775"/>
      <c r="AW310" s="775">
        <v>27.95</v>
      </c>
      <c r="AX310" s="775"/>
      <c r="AY310" s="775">
        <v>3427.77</v>
      </c>
      <c r="AZ310" s="775">
        <v>372.85</v>
      </c>
      <c r="BA310" s="775">
        <v>94.35</v>
      </c>
      <c r="BB310" s="775">
        <v>489.62</v>
      </c>
      <c r="BC310" s="782">
        <v>469.11</v>
      </c>
      <c r="BD310" s="775">
        <v>268.11</v>
      </c>
      <c r="BE310" s="778">
        <v>106.4</v>
      </c>
      <c r="BF310" s="773">
        <f t="shared" si="226"/>
        <v>34587.18</v>
      </c>
      <c r="BG310" s="777"/>
      <c r="BH310" s="775">
        <v>476.24</v>
      </c>
      <c r="BI310" s="775">
        <v>260.70999999999998</v>
      </c>
      <c r="BJ310" s="1360">
        <v>115.22</v>
      </c>
      <c r="BK310" s="775">
        <v>198.92</v>
      </c>
      <c r="BL310" s="775"/>
      <c r="BM310" s="775"/>
      <c r="BN310" s="775"/>
      <c r="BO310" s="775"/>
      <c r="BP310" s="775"/>
      <c r="BQ310" s="775"/>
      <c r="BR310" s="778"/>
      <c r="BS310" s="773"/>
      <c r="BT310" s="779"/>
      <c r="BU310" s="779"/>
      <c r="BV310" s="779"/>
      <c r="BW310" s="779"/>
      <c r="BX310" s="779"/>
      <c r="BY310" s="779"/>
      <c r="BZ310" s="779"/>
      <c r="CA310" s="779"/>
      <c r="CB310" s="779"/>
      <c r="CC310" s="779"/>
      <c r="CD310" s="779"/>
      <c r="CE310" s="779"/>
      <c r="CF310" s="779"/>
      <c r="CG310" s="779"/>
      <c r="CH310" s="779"/>
      <c r="CI310" s="779"/>
      <c r="CJ310" s="780"/>
      <c r="CK310" s="781"/>
      <c r="CL310" s="781"/>
      <c r="CM310" s="781"/>
    </row>
    <row r="311" spans="1:100" s="767" customFormat="1">
      <c r="A311" s="783" t="s">
        <v>550</v>
      </c>
      <c r="B311" s="784"/>
      <c r="C311" s="765"/>
      <c r="D311" s="765"/>
      <c r="E311" s="765"/>
      <c r="F311" s="765"/>
      <c r="G311" s="765"/>
      <c r="H311" s="765"/>
      <c r="I311" s="765"/>
      <c r="J311" s="765"/>
      <c r="K311" s="765"/>
      <c r="L311" s="765"/>
      <c r="M311" s="765"/>
      <c r="N311" s="765"/>
      <c r="O311" s="765"/>
      <c r="P311" s="765"/>
      <c r="T311" s="769">
        <v>4749.63</v>
      </c>
      <c r="U311" s="770">
        <v>6466.09</v>
      </c>
      <c r="V311" s="770">
        <v>5614.34</v>
      </c>
      <c r="W311" s="770">
        <v>7700.14</v>
      </c>
      <c r="X311" s="770">
        <v>6110.03</v>
      </c>
      <c r="Y311" s="770">
        <v>10127.93</v>
      </c>
      <c r="Z311" s="770">
        <v>6092.87</v>
      </c>
      <c r="AA311" s="770">
        <v>8381.9500000000007</v>
      </c>
      <c r="AB311" s="770">
        <v>10204.290000000001</v>
      </c>
      <c r="AC311" s="770">
        <v>17114.439999999999</v>
      </c>
      <c r="AD311" s="771">
        <v>26713.62</v>
      </c>
      <c r="AE311" s="772">
        <v>29286.25</v>
      </c>
      <c r="AF311" s="773">
        <f t="shared" si="224"/>
        <v>138561.58000000002</v>
      </c>
      <c r="AG311" s="774">
        <v>10835.48</v>
      </c>
      <c r="AH311" s="775">
        <v>11108.96</v>
      </c>
      <c r="AI311" s="775">
        <v>19423.22</v>
      </c>
      <c r="AJ311" s="775">
        <v>28811.13</v>
      </c>
      <c r="AK311" s="775">
        <v>51952.15</v>
      </c>
      <c r="AL311" s="775">
        <v>25058.63</v>
      </c>
      <c r="AM311" s="775">
        <v>38174.04</v>
      </c>
      <c r="AN311" s="775">
        <v>35024.31</v>
      </c>
      <c r="AO311" s="775">
        <v>28695.09</v>
      </c>
      <c r="AP311" s="775">
        <v>28554.75</v>
      </c>
      <c r="AQ311" s="775">
        <v>37353.14</v>
      </c>
      <c r="AR311" s="776">
        <v>51450.11</v>
      </c>
      <c r="AS311" s="773">
        <f t="shared" si="225"/>
        <v>366441.01</v>
      </c>
      <c r="AT311" s="774">
        <v>37249.25</v>
      </c>
      <c r="AU311" s="775">
        <v>65739.61</v>
      </c>
      <c r="AV311" s="775">
        <v>37537.4</v>
      </c>
      <c r="AW311" s="775">
        <v>37970.019999999997</v>
      </c>
      <c r="AX311" s="775">
        <v>36210.94</v>
      </c>
      <c r="AY311" s="775">
        <v>51558.33</v>
      </c>
      <c r="AZ311" s="775">
        <v>50199.96</v>
      </c>
      <c r="BA311" s="775">
        <v>29897.66</v>
      </c>
      <c r="BB311" s="775">
        <v>38050.550000000003</v>
      </c>
      <c r="BC311" s="782">
        <v>34665.660000000003</v>
      </c>
      <c r="BD311" s="775">
        <v>31435.05</v>
      </c>
      <c r="BE311" s="778">
        <v>29572</v>
      </c>
      <c r="BF311" s="773">
        <f t="shared" si="226"/>
        <v>480086.43</v>
      </c>
      <c r="BG311" s="777">
        <v>31237.03</v>
      </c>
      <c r="BH311" s="775">
        <v>30394.02</v>
      </c>
      <c r="BI311" s="775">
        <v>36196.57</v>
      </c>
      <c r="BJ311" s="1360">
        <v>17286</v>
      </c>
      <c r="BK311" s="775">
        <v>27895.07</v>
      </c>
      <c r="BL311" s="775"/>
      <c r="BM311" s="775"/>
      <c r="BN311" s="775"/>
      <c r="BO311" s="775"/>
      <c r="BP311" s="775"/>
      <c r="BQ311" s="775"/>
      <c r="BR311" s="778"/>
      <c r="BS311" s="773"/>
      <c r="BT311" s="779"/>
      <c r="BU311" s="779"/>
      <c r="BV311" s="779"/>
      <c r="BW311" s="779"/>
      <c r="BX311" s="779"/>
      <c r="BY311" s="779"/>
      <c r="BZ311" s="779"/>
      <c r="CA311" s="779"/>
      <c r="CB311" s="779"/>
      <c r="CC311" s="779"/>
      <c r="CD311" s="779"/>
      <c r="CE311" s="779"/>
      <c r="CF311" s="779"/>
      <c r="CG311" s="779"/>
      <c r="CH311" s="779"/>
      <c r="CI311" s="779"/>
      <c r="CJ311" s="780"/>
      <c r="CK311" s="781"/>
      <c r="CL311" s="781"/>
      <c r="CM311" s="781"/>
    </row>
    <row r="312" spans="1:100" s="767" customFormat="1">
      <c r="A312" s="783" t="s">
        <v>551</v>
      </c>
      <c r="B312" s="784"/>
      <c r="C312" s="765"/>
      <c r="D312" s="765"/>
      <c r="E312" s="765"/>
      <c r="F312" s="765"/>
      <c r="G312" s="765"/>
      <c r="H312" s="765"/>
      <c r="I312" s="765"/>
      <c r="J312" s="765"/>
      <c r="K312" s="765"/>
      <c r="L312" s="765"/>
      <c r="M312" s="765"/>
      <c r="N312" s="765"/>
      <c r="O312" s="765"/>
      <c r="P312" s="765"/>
      <c r="T312" s="769">
        <v>14292.11</v>
      </c>
      <c r="U312" s="770">
        <v>13326.22</v>
      </c>
      <c r="V312" s="770">
        <v>9309.5</v>
      </c>
      <c r="W312" s="770">
        <v>8764.3700000000008</v>
      </c>
      <c r="X312" s="770">
        <v>11800.34</v>
      </c>
      <c r="Y312" s="770">
        <v>14855.9</v>
      </c>
      <c r="Z312" s="770">
        <v>11652.49</v>
      </c>
      <c r="AA312" s="770">
        <v>18025.95</v>
      </c>
      <c r="AB312" s="770">
        <v>20486.13</v>
      </c>
      <c r="AC312" s="770">
        <v>21727.21</v>
      </c>
      <c r="AD312" s="771">
        <v>30297.83</v>
      </c>
      <c r="AE312" s="772">
        <v>30625.11</v>
      </c>
      <c r="AF312" s="773">
        <f t="shared" si="224"/>
        <v>205163.15999999997</v>
      </c>
      <c r="AG312" s="774">
        <v>23533.47</v>
      </c>
      <c r="AH312" s="775">
        <v>19071.68</v>
      </c>
      <c r="AI312" s="775">
        <v>24261.07</v>
      </c>
      <c r="AJ312" s="775">
        <v>26849.59</v>
      </c>
      <c r="AK312" s="775">
        <v>22136.240000000002</v>
      </c>
      <c r="AL312" s="775">
        <v>22028.73</v>
      </c>
      <c r="AM312" s="775">
        <v>22717.81</v>
      </c>
      <c r="AN312" s="775">
        <v>26181.37</v>
      </c>
      <c r="AO312" s="775">
        <v>21952.6</v>
      </c>
      <c r="AP312" s="775">
        <v>20772.96</v>
      </c>
      <c r="AQ312" s="775">
        <v>25890.880000000001</v>
      </c>
      <c r="AR312" s="776">
        <v>26746.95</v>
      </c>
      <c r="AS312" s="773">
        <f t="shared" si="225"/>
        <v>282143.34999999998</v>
      </c>
      <c r="AT312" s="774">
        <v>30413.63</v>
      </c>
      <c r="AU312" s="775"/>
      <c r="AV312" s="775">
        <v>33270.28</v>
      </c>
      <c r="AW312" s="775">
        <v>36618.01</v>
      </c>
      <c r="AX312" s="775">
        <v>29359.21</v>
      </c>
      <c r="AY312" s="775">
        <v>27160.6</v>
      </c>
      <c r="AZ312" s="775">
        <v>30441.279999999999</v>
      </c>
      <c r="BA312" s="775">
        <v>25746.66</v>
      </c>
      <c r="BB312" s="775">
        <v>19254.87</v>
      </c>
      <c r="BC312" s="782">
        <v>27915.15</v>
      </c>
      <c r="BD312" s="775">
        <v>38464.35</v>
      </c>
      <c r="BE312" s="778">
        <v>31987.26</v>
      </c>
      <c r="BF312" s="773">
        <f t="shared" si="226"/>
        <v>330631.3</v>
      </c>
      <c r="BG312" s="777">
        <v>54380.73</v>
      </c>
      <c r="BH312" s="775">
        <v>39151.089999999997</v>
      </c>
      <c r="BI312" s="775">
        <v>42092.58</v>
      </c>
      <c r="BJ312" s="1360">
        <v>38172.67</v>
      </c>
      <c r="BK312" s="775">
        <v>28456.37</v>
      </c>
      <c r="BL312" s="775"/>
      <c r="BM312" s="775"/>
      <c r="BN312" s="775"/>
      <c r="BO312" s="775"/>
      <c r="BP312" s="775"/>
      <c r="BQ312" s="775"/>
      <c r="BR312" s="778"/>
      <c r="BS312" s="773"/>
      <c r="BT312" s="779"/>
      <c r="BU312" s="779"/>
      <c r="BV312" s="779"/>
      <c r="BW312" s="779"/>
      <c r="BX312" s="779"/>
      <c r="BY312" s="779"/>
      <c r="BZ312" s="779"/>
      <c r="CA312" s="779"/>
      <c r="CB312" s="779"/>
      <c r="CC312" s="779"/>
      <c r="CD312" s="779"/>
      <c r="CE312" s="779"/>
      <c r="CF312" s="779"/>
      <c r="CG312" s="779"/>
      <c r="CH312" s="779"/>
      <c r="CI312" s="779"/>
      <c r="CJ312" s="780"/>
      <c r="CK312" s="781"/>
      <c r="CL312" s="781"/>
      <c r="CM312" s="781"/>
    </row>
    <row r="313" spans="1:100" s="767" customFormat="1">
      <c r="A313" s="783" t="s">
        <v>552</v>
      </c>
      <c r="B313" s="784"/>
      <c r="C313" s="765"/>
      <c r="D313" s="765"/>
      <c r="E313" s="765"/>
      <c r="F313" s="765"/>
      <c r="G313" s="765"/>
      <c r="H313" s="765"/>
      <c r="I313" s="765"/>
      <c r="J313" s="765"/>
      <c r="K313" s="765"/>
      <c r="L313" s="765"/>
      <c r="M313" s="765"/>
      <c r="N313" s="765"/>
      <c r="O313" s="765"/>
      <c r="P313" s="765"/>
      <c r="T313" s="769"/>
      <c r="U313" s="770"/>
      <c r="V313" s="770">
        <v>0.02</v>
      </c>
      <c r="W313" s="770">
        <v>0.01</v>
      </c>
      <c r="X313" s="770">
        <v>4.47</v>
      </c>
      <c r="Y313" s="770">
        <v>0.1</v>
      </c>
      <c r="Z313" s="770"/>
      <c r="AA313" s="770">
        <v>0.51</v>
      </c>
      <c r="AB313" s="770">
        <v>0.21</v>
      </c>
      <c r="AC313" s="770">
        <v>0.85</v>
      </c>
      <c r="AD313" s="771">
        <v>2.7</v>
      </c>
      <c r="AE313" s="772">
        <v>0.51</v>
      </c>
      <c r="AF313" s="773">
        <f t="shared" si="224"/>
        <v>9.379999999999999</v>
      </c>
      <c r="AG313" s="774">
        <v>3.84</v>
      </c>
      <c r="AH313" s="775">
        <v>0.5</v>
      </c>
      <c r="AI313" s="775">
        <v>0.13</v>
      </c>
      <c r="AJ313" s="775">
        <v>46.77</v>
      </c>
      <c r="AK313" s="775">
        <v>0.67</v>
      </c>
      <c r="AL313" s="775">
        <v>0.09</v>
      </c>
      <c r="AM313" s="775">
        <v>946.96</v>
      </c>
      <c r="AN313" s="775">
        <v>1180.44</v>
      </c>
      <c r="AO313" s="775">
        <v>90.35</v>
      </c>
      <c r="AP313" s="775">
        <v>64.739999999999995</v>
      </c>
      <c r="AQ313" s="775">
        <v>4.8899999999999997</v>
      </c>
      <c r="AR313" s="776">
        <v>92.05</v>
      </c>
      <c r="AS313" s="773">
        <f t="shared" si="225"/>
        <v>2431.4299999999998</v>
      </c>
      <c r="AT313" s="774">
        <v>29.84</v>
      </c>
      <c r="AU313" s="775">
        <v>527.73</v>
      </c>
      <c r="AV313" s="775">
        <v>1.6</v>
      </c>
      <c r="AW313" s="775">
        <v>16.850000000000001</v>
      </c>
      <c r="AX313" s="775"/>
      <c r="AY313" s="775">
        <v>1796.06</v>
      </c>
      <c r="AZ313" s="775">
        <v>637.14</v>
      </c>
      <c r="BA313" s="775">
        <v>2.13</v>
      </c>
      <c r="BB313" s="775">
        <v>14.25</v>
      </c>
      <c r="BC313" s="782">
        <v>4.3</v>
      </c>
      <c r="BD313" s="775">
        <v>4.9800000000000004</v>
      </c>
      <c r="BE313" s="778">
        <v>19.309999999999999</v>
      </c>
      <c r="BF313" s="773">
        <f t="shared" si="226"/>
        <v>3054.19</v>
      </c>
      <c r="BG313" s="777">
        <v>638.95000000000005</v>
      </c>
      <c r="BH313" s="775">
        <v>284.25</v>
      </c>
      <c r="BI313" s="775">
        <v>25.89</v>
      </c>
      <c r="BJ313" s="1360">
        <v>30.46</v>
      </c>
      <c r="BK313" s="775">
        <v>4.55</v>
      </c>
      <c r="BL313" s="775"/>
      <c r="BM313" s="775"/>
      <c r="BN313" s="775"/>
      <c r="BO313" s="775"/>
      <c r="BP313" s="775"/>
      <c r="BQ313" s="775"/>
      <c r="BR313" s="778"/>
      <c r="BS313" s="773"/>
      <c r="BT313" s="779"/>
      <c r="BU313" s="779"/>
      <c r="BV313" s="779"/>
      <c r="BW313" s="779"/>
      <c r="BX313" s="779"/>
      <c r="BY313" s="779"/>
      <c r="BZ313" s="779"/>
      <c r="CA313" s="779"/>
      <c r="CB313" s="779"/>
      <c r="CC313" s="779"/>
      <c r="CD313" s="779"/>
      <c r="CE313" s="779"/>
      <c r="CF313" s="779"/>
      <c r="CG313" s="779"/>
      <c r="CH313" s="779"/>
      <c r="CI313" s="779"/>
      <c r="CJ313" s="780"/>
      <c r="CK313" s="781"/>
      <c r="CL313" s="781"/>
      <c r="CM313" s="781"/>
    </row>
    <row r="314" spans="1:100" s="767" customFormat="1">
      <c r="A314" s="783" t="s">
        <v>553</v>
      </c>
      <c r="B314" s="784"/>
      <c r="C314" s="765"/>
      <c r="D314" s="765"/>
      <c r="E314" s="765"/>
      <c r="F314" s="765"/>
      <c r="G314" s="765"/>
      <c r="H314" s="765"/>
      <c r="I314" s="765"/>
      <c r="J314" s="765"/>
      <c r="K314" s="765"/>
      <c r="L314" s="765"/>
      <c r="M314" s="765"/>
      <c r="N314" s="765"/>
      <c r="O314" s="765"/>
      <c r="P314" s="765"/>
      <c r="T314" s="769">
        <v>497.56</v>
      </c>
      <c r="U314" s="770">
        <v>497.75</v>
      </c>
      <c r="V314" s="770">
        <v>342.98</v>
      </c>
      <c r="W314" s="770">
        <v>457.09</v>
      </c>
      <c r="X314" s="770">
        <v>408.68</v>
      </c>
      <c r="Y314" s="770">
        <v>392.37</v>
      </c>
      <c r="Z314" s="770">
        <v>412.62</v>
      </c>
      <c r="AA314" s="770">
        <v>575.03</v>
      </c>
      <c r="AB314" s="770">
        <v>360.88</v>
      </c>
      <c r="AC314" s="770">
        <v>433.81</v>
      </c>
      <c r="AD314" s="771">
        <v>2211.11</v>
      </c>
      <c r="AE314" s="772">
        <v>1999.38</v>
      </c>
      <c r="AF314" s="773">
        <f t="shared" si="224"/>
        <v>8589.260000000002</v>
      </c>
      <c r="AG314" s="774">
        <v>854.02</v>
      </c>
      <c r="AH314" s="775">
        <v>658.63</v>
      </c>
      <c r="AI314" s="775">
        <v>860.53</v>
      </c>
      <c r="AJ314" s="775">
        <v>849.29</v>
      </c>
      <c r="AK314" s="775">
        <v>962.46</v>
      </c>
      <c r="AL314" s="775">
        <v>998.12</v>
      </c>
      <c r="AM314" s="775">
        <v>882.81</v>
      </c>
      <c r="AN314" s="775">
        <v>1226.69</v>
      </c>
      <c r="AO314" s="775">
        <v>996.96</v>
      </c>
      <c r="AP314" s="775">
        <v>1042.1500000000001</v>
      </c>
      <c r="AQ314" s="775">
        <v>940.32</v>
      </c>
      <c r="AR314" s="776">
        <v>1040.82</v>
      </c>
      <c r="AS314" s="773">
        <f t="shared" si="225"/>
        <v>11312.800000000001</v>
      </c>
      <c r="AT314" s="774">
        <v>2334.15</v>
      </c>
      <c r="AU314" s="775">
        <v>1947.08</v>
      </c>
      <c r="AV314" s="775">
        <v>1938.89</v>
      </c>
      <c r="AW314" s="775">
        <v>3051.71</v>
      </c>
      <c r="AX314" s="775">
        <v>1664.07</v>
      </c>
      <c r="AY314" s="775">
        <v>1202.79</v>
      </c>
      <c r="AZ314" s="775">
        <v>1849.56</v>
      </c>
      <c r="BA314" s="775">
        <v>1777.62</v>
      </c>
      <c r="BB314" s="775">
        <v>715.02</v>
      </c>
      <c r="BC314" s="782">
        <v>1678.82</v>
      </c>
      <c r="BD314" s="775">
        <v>1665.59</v>
      </c>
      <c r="BE314" s="778">
        <v>3223.62</v>
      </c>
      <c r="BF314" s="773">
        <f t="shared" si="226"/>
        <v>23048.92</v>
      </c>
      <c r="BG314" s="777">
        <v>6206.82</v>
      </c>
      <c r="BH314" s="775">
        <v>5247.17</v>
      </c>
      <c r="BI314" s="775">
        <v>3460.8</v>
      </c>
      <c r="BJ314" s="1360">
        <v>3607.95</v>
      </c>
      <c r="BK314" s="775">
        <v>2640.76</v>
      </c>
      <c r="BL314" s="775"/>
      <c r="BM314" s="775"/>
      <c r="BN314" s="775"/>
      <c r="BO314" s="775"/>
      <c r="BP314" s="775"/>
      <c r="BQ314" s="775"/>
      <c r="BR314" s="778"/>
      <c r="BS314" s="773"/>
      <c r="BT314" s="779"/>
      <c r="BU314" s="779"/>
      <c r="BV314" s="779"/>
      <c r="BW314" s="779"/>
      <c r="BX314" s="779"/>
      <c r="BY314" s="779"/>
      <c r="BZ314" s="779"/>
      <c r="CA314" s="779"/>
      <c r="CB314" s="779"/>
      <c r="CC314" s="779"/>
      <c r="CD314" s="779"/>
      <c r="CE314" s="779"/>
      <c r="CF314" s="779"/>
      <c r="CG314" s="779"/>
      <c r="CH314" s="779"/>
      <c r="CI314" s="779"/>
      <c r="CJ314" s="780"/>
      <c r="CK314" s="781"/>
      <c r="CL314" s="781"/>
      <c r="CM314" s="781"/>
    </row>
    <row r="315" spans="1:100" s="767" customFormat="1">
      <c r="A315" s="783" t="s">
        <v>554</v>
      </c>
      <c r="B315" s="784"/>
      <c r="C315" s="765"/>
      <c r="D315" s="765"/>
      <c r="E315" s="765"/>
      <c r="F315" s="765"/>
      <c r="G315" s="765"/>
      <c r="H315" s="765"/>
      <c r="I315" s="765"/>
      <c r="J315" s="765"/>
      <c r="K315" s="765"/>
      <c r="L315" s="765"/>
      <c r="M315" s="765"/>
      <c r="N315" s="765"/>
      <c r="O315" s="765"/>
      <c r="P315" s="765"/>
      <c r="T315" s="769"/>
      <c r="U315" s="770"/>
      <c r="V315" s="770"/>
      <c r="W315" s="770"/>
      <c r="X315" s="770"/>
      <c r="Y315" s="770"/>
      <c r="Z315" s="770">
        <v>7.0000000000000007E-2</v>
      </c>
      <c r="AA315" s="770">
        <v>0.01</v>
      </c>
      <c r="AB315" s="770"/>
      <c r="AC315" s="770">
        <v>0.24</v>
      </c>
      <c r="AD315" s="771">
        <v>0.62</v>
      </c>
      <c r="AE315" s="772">
        <v>0.1</v>
      </c>
      <c r="AF315" s="773">
        <f t="shared" si="224"/>
        <v>1.04</v>
      </c>
      <c r="AG315" s="774">
        <v>1.05</v>
      </c>
      <c r="AH315" s="775"/>
      <c r="AI315" s="775"/>
      <c r="AJ315" s="775">
        <v>0.49</v>
      </c>
      <c r="AK315" s="775">
        <v>0.14000000000000001</v>
      </c>
      <c r="AL315" s="775"/>
      <c r="AM315" s="775"/>
      <c r="AN315" s="775">
        <v>0.02</v>
      </c>
      <c r="AO315" s="775">
        <v>0.01</v>
      </c>
      <c r="AP315" s="775">
        <v>3.09</v>
      </c>
      <c r="AQ315" s="775">
        <v>0.65</v>
      </c>
      <c r="AR315" s="776"/>
      <c r="AS315" s="773">
        <f t="shared" si="225"/>
        <v>5.45</v>
      </c>
      <c r="AT315" s="774">
        <v>0.37</v>
      </c>
      <c r="AU315" s="775"/>
      <c r="AV315" s="775">
        <v>0.45</v>
      </c>
      <c r="AW315" s="775">
        <v>0.15</v>
      </c>
      <c r="AX315" s="775"/>
      <c r="AY315" s="775">
        <v>0.4</v>
      </c>
      <c r="AZ315" s="775">
        <v>0.26</v>
      </c>
      <c r="BA315" s="775"/>
      <c r="BB315" s="775">
        <v>0.54</v>
      </c>
      <c r="BC315" s="782"/>
      <c r="BD315" s="775"/>
      <c r="BE315" s="778">
        <v>0.54</v>
      </c>
      <c r="BF315" s="773">
        <f t="shared" si="226"/>
        <v>2.71</v>
      </c>
      <c r="BG315" s="777"/>
      <c r="BH315" s="775">
        <v>0.01</v>
      </c>
      <c r="BI315" s="775">
        <v>0.93</v>
      </c>
      <c r="BJ315" s="1360">
        <v>0.02</v>
      </c>
      <c r="BK315" s="775"/>
      <c r="BL315" s="775"/>
      <c r="BM315" s="775"/>
      <c r="BN315" s="775"/>
      <c r="BO315" s="775"/>
      <c r="BP315" s="775"/>
      <c r="BQ315" s="775"/>
      <c r="BR315" s="778"/>
      <c r="BS315" s="773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80"/>
      <c r="CK315" s="781"/>
      <c r="CL315" s="781"/>
      <c r="CM315" s="781"/>
    </row>
    <row r="316" spans="1:100" s="767" customFormat="1">
      <c r="A316" s="785" t="s">
        <v>555</v>
      </c>
      <c r="B316" s="786"/>
      <c r="C316" s="787"/>
      <c r="D316" s="787"/>
      <c r="E316" s="787"/>
      <c r="F316" s="787"/>
      <c r="G316" s="787"/>
      <c r="H316" s="787"/>
      <c r="I316" s="787"/>
      <c r="J316" s="787"/>
      <c r="K316" s="787"/>
      <c r="L316" s="787"/>
      <c r="M316" s="787"/>
      <c r="N316" s="787"/>
      <c r="O316" s="787"/>
      <c r="P316" s="787"/>
      <c r="Q316" s="788"/>
      <c r="R316" s="788"/>
      <c r="S316" s="788"/>
      <c r="T316" s="789"/>
      <c r="U316" s="790"/>
      <c r="V316" s="790"/>
      <c r="W316" s="790">
        <v>-225.53</v>
      </c>
      <c r="X316" s="790"/>
      <c r="Y316" s="790"/>
      <c r="Z316" s="790"/>
      <c r="AA316" s="790"/>
      <c r="AB316" s="790"/>
      <c r="AC316" s="790"/>
      <c r="AD316" s="791"/>
      <c r="AE316" s="792"/>
      <c r="AF316" s="793">
        <f t="shared" si="224"/>
        <v>-225.53</v>
      </c>
      <c r="AG316" s="794"/>
      <c r="AH316" s="795"/>
      <c r="AI316" s="795"/>
      <c r="AJ316" s="795"/>
      <c r="AK316" s="795"/>
      <c r="AL316" s="795"/>
      <c r="AM316" s="795"/>
      <c r="AN316" s="795">
        <v>-3762.69</v>
      </c>
      <c r="AO316" s="795"/>
      <c r="AP316" s="795"/>
      <c r="AQ316" s="795"/>
      <c r="AR316" s="796">
        <v>-705.88</v>
      </c>
      <c r="AS316" s="793">
        <f t="shared" si="225"/>
        <v>-4468.57</v>
      </c>
      <c r="AT316" s="794"/>
      <c r="AU316" s="795">
        <v>-4673.99</v>
      </c>
      <c r="AV316" s="795"/>
      <c r="AW316" s="795"/>
      <c r="AX316" s="795"/>
      <c r="AY316" s="795">
        <v>-19917.13</v>
      </c>
      <c r="AZ316" s="795"/>
      <c r="BA316" s="795"/>
      <c r="BB316" s="795"/>
      <c r="BC316" s="797"/>
      <c r="BD316" s="795"/>
      <c r="BE316" s="798"/>
      <c r="BF316" s="793">
        <f t="shared" si="226"/>
        <v>-24591.120000000003</v>
      </c>
      <c r="BG316" s="799"/>
      <c r="BH316" s="795"/>
      <c r="BI316" s="795"/>
      <c r="BJ316" s="1361">
        <v>171.27</v>
      </c>
      <c r="BK316" s="795">
        <v>-10814.19</v>
      </c>
      <c r="BL316" s="795"/>
      <c r="BM316" s="795"/>
      <c r="BN316" s="795"/>
      <c r="BO316" s="795"/>
      <c r="BP316" s="795"/>
      <c r="BQ316" s="795"/>
      <c r="BR316" s="798"/>
      <c r="BS316" s="800"/>
      <c r="BT316" s="801"/>
      <c r="BU316" s="801"/>
      <c r="BV316" s="801"/>
      <c r="BW316" s="801"/>
      <c r="BX316" s="801"/>
      <c r="BY316" s="801"/>
      <c r="BZ316" s="801"/>
      <c r="CA316" s="801"/>
      <c r="CB316" s="801"/>
      <c r="CC316" s="801"/>
      <c r="CD316" s="801"/>
      <c r="CE316" s="801"/>
      <c r="CF316" s="801"/>
      <c r="CG316" s="801"/>
      <c r="CH316" s="801"/>
      <c r="CI316" s="801"/>
      <c r="CJ316" s="802"/>
      <c r="CK316" s="781"/>
      <c r="CL316" s="781"/>
      <c r="CM316" s="781"/>
    </row>
    <row r="317" spans="1:100" s="821" customFormat="1">
      <c r="A317" s="803" t="s">
        <v>556</v>
      </c>
      <c r="B317" s="804"/>
      <c r="C317" s="805"/>
      <c r="D317" s="805"/>
      <c r="E317" s="805"/>
      <c r="F317" s="805"/>
      <c r="G317" s="805"/>
      <c r="H317" s="805"/>
      <c r="I317" s="805"/>
      <c r="J317" s="805"/>
      <c r="K317" s="805"/>
      <c r="L317" s="805"/>
      <c r="M317" s="805"/>
      <c r="N317" s="805"/>
      <c r="O317" s="805"/>
      <c r="P317" s="805"/>
      <c r="Q317" s="806"/>
      <c r="R317" s="806"/>
      <c r="S317" s="806"/>
      <c r="T317" s="807">
        <f t="shared" ref="T317:BI317" si="229">SUM(T296:T316)</f>
        <v>44386.59</v>
      </c>
      <c r="U317" s="808">
        <f t="shared" si="229"/>
        <v>45933.56</v>
      </c>
      <c r="V317" s="808">
        <f t="shared" si="229"/>
        <v>48165.159999999989</v>
      </c>
      <c r="W317" s="808">
        <f t="shared" si="229"/>
        <v>38014.269999999997</v>
      </c>
      <c r="X317" s="808">
        <f t="shared" si="229"/>
        <v>45868.12</v>
      </c>
      <c r="Y317" s="808">
        <f t="shared" si="229"/>
        <v>54507.82</v>
      </c>
      <c r="Z317" s="808">
        <f t="shared" si="229"/>
        <v>37885.65</v>
      </c>
      <c r="AA317" s="808">
        <f t="shared" si="229"/>
        <v>56944.399999999994</v>
      </c>
      <c r="AB317" s="808">
        <f t="shared" si="229"/>
        <v>69466.500000000015</v>
      </c>
      <c r="AC317" s="808">
        <f t="shared" si="229"/>
        <v>76824.800000000003</v>
      </c>
      <c r="AD317" s="809">
        <f t="shared" si="229"/>
        <v>112068.01999999999</v>
      </c>
      <c r="AE317" s="810">
        <f t="shared" si="229"/>
        <v>116066.05000000002</v>
      </c>
      <c r="AF317" s="811">
        <f t="shared" si="229"/>
        <v>746130.94000000006</v>
      </c>
      <c r="AG317" s="812">
        <f t="shared" si="229"/>
        <v>79473.13</v>
      </c>
      <c r="AH317" s="813">
        <f t="shared" si="229"/>
        <v>66012.639999999985</v>
      </c>
      <c r="AI317" s="813">
        <f t="shared" si="229"/>
        <v>89541.91</v>
      </c>
      <c r="AJ317" s="813">
        <f t="shared" si="229"/>
        <v>106554.70000000001</v>
      </c>
      <c r="AK317" s="813">
        <f t="shared" si="229"/>
        <v>95457.800000000017</v>
      </c>
      <c r="AL317" s="813">
        <f t="shared" si="229"/>
        <v>88972.639999999985</v>
      </c>
      <c r="AM317" s="813">
        <f t="shared" si="229"/>
        <v>115301.65000000001</v>
      </c>
      <c r="AN317" s="813">
        <f t="shared" si="229"/>
        <v>121467.66</v>
      </c>
      <c r="AO317" s="813">
        <f t="shared" si="229"/>
        <v>91934.68</v>
      </c>
      <c r="AP317" s="813">
        <f t="shared" si="229"/>
        <v>89402.499999999985</v>
      </c>
      <c r="AQ317" s="813">
        <f t="shared" si="229"/>
        <v>115695.89000000001</v>
      </c>
      <c r="AR317" s="814">
        <f t="shared" si="229"/>
        <v>130375.03</v>
      </c>
      <c r="AS317" s="811">
        <f t="shared" si="229"/>
        <v>1190190.23</v>
      </c>
      <c r="AT317" s="812">
        <f t="shared" si="229"/>
        <v>127669.62</v>
      </c>
      <c r="AU317" s="813">
        <f t="shared" si="229"/>
        <v>158068.79</v>
      </c>
      <c r="AV317" s="813">
        <f t="shared" si="229"/>
        <v>140805.76000000004</v>
      </c>
      <c r="AW317" s="813">
        <f t="shared" si="229"/>
        <v>146009.60999999999</v>
      </c>
      <c r="AX317" s="813">
        <f t="shared" si="229"/>
        <v>118950.47999999998</v>
      </c>
      <c r="AY317" s="813">
        <f t="shared" si="229"/>
        <v>139824.67000000001</v>
      </c>
      <c r="AZ317" s="813">
        <f t="shared" si="229"/>
        <v>146382.93000000002</v>
      </c>
      <c r="BA317" s="813">
        <f t="shared" si="229"/>
        <v>102877.75</v>
      </c>
      <c r="BB317" s="813">
        <f t="shared" si="229"/>
        <v>94730.359999999986</v>
      </c>
      <c r="BC317" s="815">
        <f t="shared" si="229"/>
        <v>116875.89000000003</v>
      </c>
      <c r="BD317" s="813">
        <f t="shared" si="229"/>
        <v>155732.84000000003</v>
      </c>
      <c r="BE317" s="816">
        <f t="shared" si="229"/>
        <v>128862.73</v>
      </c>
      <c r="BF317" s="811">
        <f t="shared" si="229"/>
        <v>1576791.4299999997</v>
      </c>
      <c r="BG317" s="817">
        <f t="shared" si="229"/>
        <v>195048.66</v>
      </c>
      <c r="BH317" s="813">
        <f t="shared" si="229"/>
        <v>206996.25</v>
      </c>
      <c r="BI317" s="813">
        <f t="shared" si="229"/>
        <v>177252.07</v>
      </c>
      <c r="BJ317" s="1357">
        <f>SUM(BJ296:BJ316)*(25/30)</f>
        <v>107274.88333333335</v>
      </c>
      <c r="BK317" s="813">
        <f t="shared" ref="BK317:BR317" si="230">SUM(BK296:BK316)</f>
        <v>107051.81</v>
      </c>
      <c r="BL317" s="813">
        <f t="shared" si="230"/>
        <v>0</v>
      </c>
      <c r="BM317" s="813">
        <f t="shared" si="230"/>
        <v>0</v>
      </c>
      <c r="BN317" s="813">
        <f t="shared" si="230"/>
        <v>0</v>
      </c>
      <c r="BO317" s="813">
        <f t="shared" si="230"/>
        <v>0</v>
      </c>
      <c r="BP317" s="813">
        <f t="shared" si="230"/>
        <v>0</v>
      </c>
      <c r="BQ317" s="813">
        <f t="shared" si="230"/>
        <v>0</v>
      </c>
      <c r="BR317" s="816">
        <f t="shared" si="230"/>
        <v>0</v>
      </c>
      <c r="BS317" s="818"/>
      <c r="BT317" s="818"/>
      <c r="BU317" s="818"/>
      <c r="BV317" s="818"/>
      <c r="BW317" s="818"/>
      <c r="BX317" s="818"/>
      <c r="BY317" s="818"/>
      <c r="BZ317" s="818"/>
      <c r="CA317" s="818"/>
      <c r="CB317" s="818"/>
      <c r="CC317" s="818"/>
      <c r="CD317" s="818"/>
      <c r="CE317" s="818"/>
      <c r="CF317" s="818"/>
      <c r="CG317" s="818"/>
      <c r="CH317" s="818"/>
      <c r="CI317" s="818"/>
      <c r="CJ317" s="819"/>
      <c r="CK317" s="820"/>
      <c r="CL317" s="820"/>
      <c r="CM317" s="820"/>
    </row>
    <row r="318" spans="1:100">
      <c r="A318" s="822"/>
      <c r="B318" s="822"/>
      <c r="C318" s="741"/>
      <c r="D318" s="741"/>
      <c r="E318" s="741"/>
      <c r="F318" s="741"/>
      <c r="G318" s="741"/>
      <c r="H318" s="741"/>
      <c r="I318" s="741"/>
      <c r="J318" s="741"/>
      <c r="K318" s="741"/>
      <c r="L318" s="741"/>
      <c r="M318" s="741"/>
      <c r="N318" s="741"/>
      <c r="O318" s="741"/>
      <c r="P318" s="741"/>
      <c r="BC318" s="736"/>
    </row>
    <row r="319" spans="1:100">
      <c r="A319" s="823" t="s">
        <v>557</v>
      </c>
      <c r="B319" s="824"/>
      <c r="C319" s="825"/>
      <c r="D319" s="825"/>
      <c r="E319" s="825"/>
      <c r="F319" s="825"/>
      <c r="G319" s="825"/>
      <c r="H319" s="825"/>
      <c r="I319" s="825"/>
      <c r="J319" s="825"/>
      <c r="K319" s="825"/>
      <c r="L319" s="825"/>
      <c r="M319" s="825"/>
      <c r="N319" s="825"/>
      <c r="O319" s="825"/>
      <c r="P319" s="825"/>
      <c r="Q319" s="826"/>
      <c r="R319" s="826"/>
      <c r="S319" s="826"/>
      <c r="T319" s="827"/>
      <c r="U319" s="828"/>
      <c r="V319" s="828"/>
      <c r="W319" s="828"/>
      <c r="X319" s="828"/>
      <c r="Y319" s="828"/>
      <c r="Z319" s="828"/>
      <c r="AA319" s="828"/>
      <c r="AB319" s="828"/>
      <c r="AC319" s="828"/>
      <c r="AD319" s="828"/>
      <c r="AE319" s="829"/>
      <c r="AF319" s="693">
        <f t="shared" ref="AF319:AF350" si="231">SUM(T319:AE319)</f>
        <v>0</v>
      </c>
      <c r="AG319" s="830"/>
      <c r="AH319" s="695"/>
      <c r="AI319" s="695"/>
      <c r="AJ319" s="695"/>
      <c r="AK319" s="695"/>
      <c r="AL319" s="695"/>
      <c r="AM319" s="695"/>
      <c r="AN319" s="695"/>
      <c r="AO319" s="695"/>
      <c r="AP319" s="695"/>
      <c r="AQ319" s="695"/>
      <c r="AR319" s="831"/>
      <c r="AS319" s="832"/>
      <c r="AT319" s="833"/>
      <c r="AU319" s="834"/>
      <c r="AV319" s="834"/>
      <c r="AW319" s="834"/>
      <c r="AX319" s="834"/>
      <c r="AY319" s="834"/>
      <c r="AZ319" s="834"/>
      <c r="BA319" s="834"/>
      <c r="BB319" s="834"/>
      <c r="BC319" s="835"/>
      <c r="BD319" s="834"/>
      <c r="BE319" s="836"/>
      <c r="BF319" s="837">
        <f t="shared" ref="BF319:BF350" si="232">SUM(AT319:BE319)</f>
        <v>0</v>
      </c>
      <c r="BG319" s="838"/>
      <c r="BH319" s="839"/>
      <c r="BI319" s="839"/>
      <c r="BJ319" s="839"/>
      <c r="BK319" s="839"/>
      <c r="BL319" s="839"/>
      <c r="BM319" s="839"/>
      <c r="BN319" s="839"/>
      <c r="BO319" s="839"/>
      <c r="BP319" s="839"/>
      <c r="BQ319" s="839"/>
      <c r="BR319" s="840"/>
      <c r="BS319" s="832"/>
      <c r="BT319" s="841"/>
      <c r="BU319" s="841"/>
      <c r="BV319" s="841"/>
      <c r="BW319" s="841"/>
      <c r="BX319" s="841"/>
      <c r="BY319" s="841"/>
      <c r="BZ319" s="841"/>
      <c r="CA319" s="841"/>
      <c r="CB319" s="841"/>
      <c r="CC319" s="841"/>
      <c r="CD319" s="841"/>
      <c r="CE319" s="841"/>
      <c r="CF319" s="841"/>
      <c r="CG319" s="841"/>
      <c r="CH319" s="841"/>
      <c r="CI319" s="841"/>
      <c r="CJ319" s="842"/>
      <c r="CK319" s="691"/>
      <c r="CL319" s="691"/>
      <c r="CM319" s="691"/>
      <c r="CN319" s="826"/>
      <c r="CO319" s="826"/>
      <c r="CP319" s="826"/>
      <c r="CQ319" s="826"/>
      <c r="CR319" s="826"/>
      <c r="CS319" s="826"/>
      <c r="CT319" s="826"/>
      <c r="CU319" s="826"/>
      <c r="CV319" s="843"/>
    </row>
    <row r="320" spans="1:100">
      <c r="A320" s="844"/>
      <c r="B320" s="845" t="s">
        <v>857</v>
      </c>
      <c r="C320" s="846"/>
      <c r="D320" s="846"/>
      <c r="E320" s="846"/>
      <c r="F320" s="846"/>
      <c r="G320" s="846"/>
      <c r="H320" s="846"/>
      <c r="I320" s="846"/>
      <c r="J320" s="846"/>
      <c r="K320" s="846"/>
      <c r="L320" s="846"/>
      <c r="M320" s="846"/>
      <c r="N320" s="846"/>
      <c r="O320" s="846"/>
      <c r="P320" s="846"/>
      <c r="Q320" s="846"/>
      <c r="R320" s="846"/>
      <c r="S320" s="846"/>
      <c r="T320" s="847"/>
      <c r="U320" s="848"/>
      <c r="V320" s="848"/>
      <c r="W320" s="848"/>
      <c r="X320" s="848"/>
      <c r="Y320" s="848"/>
      <c r="Z320" s="848"/>
      <c r="AA320" s="848"/>
      <c r="AB320" s="848"/>
      <c r="AC320" s="848"/>
      <c r="AD320" s="848">
        <v>46.31</v>
      </c>
      <c r="AE320" s="849">
        <v>321.79000000000002</v>
      </c>
      <c r="AF320" s="850">
        <f t="shared" si="231"/>
        <v>368.1</v>
      </c>
      <c r="AG320" s="851"/>
      <c r="AH320" s="852"/>
      <c r="AI320" s="852"/>
      <c r="AJ320" s="852"/>
      <c r="AK320" s="852"/>
      <c r="AL320" s="852"/>
      <c r="AM320" s="852"/>
      <c r="AN320" s="852"/>
      <c r="AO320" s="852"/>
      <c r="AP320" s="852"/>
      <c r="AQ320" s="852"/>
      <c r="AR320" s="853"/>
      <c r="AS320" s="854">
        <f t="shared" ref="AS320:AS351" si="233">SUM(AG320:AR320)</f>
        <v>0</v>
      </c>
      <c r="AT320" s="855"/>
      <c r="AU320" s="856"/>
      <c r="AV320" s="857"/>
      <c r="AW320" s="857"/>
      <c r="AX320" s="856"/>
      <c r="AY320" s="856"/>
      <c r="AZ320" s="856"/>
      <c r="BA320" s="856"/>
      <c r="BB320" s="857">
        <v>0</v>
      </c>
      <c r="BC320" s="857">
        <v>0</v>
      </c>
      <c r="BD320" s="856">
        <v>0</v>
      </c>
      <c r="BE320" s="858">
        <v>0</v>
      </c>
      <c r="BF320" s="854">
        <f t="shared" si="232"/>
        <v>0</v>
      </c>
      <c r="BG320" s="855">
        <v>0</v>
      </c>
      <c r="BH320" s="856">
        <v>0</v>
      </c>
      <c r="BI320" s="859">
        <v>0</v>
      </c>
      <c r="BJ320" s="859">
        <v>0</v>
      </c>
      <c r="BK320" s="860">
        <v>0</v>
      </c>
      <c r="BL320" s="860"/>
      <c r="BM320" s="860"/>
      <c r="BN320" s="860"/>
      <c r="BO320" s="860"/>
      <c r="BP320" s="860"/>
      <c r="BQ320" s="860"/>
      <c r="BR320" s="861"/>
      <c r="BS320" s="854">
        <f t="shared" ref="BS320:BS351" si="234">SUM(BG320:BR320)</f>
        <v>0</v>
      </c>
      <c r="BT320" s="862"/>
      <c r="BU320" s="862"/>
      <c r="BV320" s="862"/>
      <c r="BW320" s="862"/>
      <c r="BX320" s="862"/>
      <c r="BY320" s="862"/>
      <c r="BZ320" s="862"/>
      <c r="CA320" s="862"/>
      <c r="CB320" s="862"/>
      <c r="CC320" s="862"/>
      <c r="CD320" s="862"/>
      <c r="CE320" s="862"/>
      <c r="CF320" s="862"/>
      <c r="CG320" s="862"/>
      <c r="CH320" s="863">
        <f t="shared" ref="CH320:CH351" si="235">SUMIF(($S$5:$CG$5),"Actual",(S320:CG320))</f>
        <v>368.1</v>
      </c>
      <c r="CI320" s="863">
        <f t="shared" ref="CI320:CI351" si="236">SUMIF(($S$5:$CG$5),"Forecast",(S320:CG320))</f>
        <v>0</v>
      </c>
      <c r="CJ320" s="863">
        <f t="shared" ref="CJ320:CJ351" si="237">+CH320+CI320</f>
        <v>368.1</v>
      </c>
      <c r="CK320" s="710"/>
      <c r="CL320" s="710"/>
      <c r="CM320" s="710"/>
      <c r="CN320" s="512"/>
      <c r="CO320" s="512"/>
      <c r="CP320" s="512"/>
      <c r="CQ320" s="512"/>
      <c r="CR320" s="512"/>
      <c r="CS320" s="512"/>
      <c r="CT320" s="512"/>
      <c r="CU320" s="512"/>
      <c r="CV320" s="515"/>
    </row>
    <row r="321" spans="1:100">
      <c r="A321" s="844"/>
      <c r="B321" s="845" t="s">
        <v>858</v>
      </c>
      <c r="C321" s="846"/>
      <c r="D321" s="846"/>
      <c r="E321" s="846"/>
      <c r="F321" s="846"/>
      <c r="G321" s="846"/>
      <c r="H321" s="846"/>
      <c r="I321" s="846"/>
      <c r="J321" s="846"/>
      <c r="K321" s="846"/>
      <c r="L321" s="846"/>
      <c r="M321" s="846"/>
      <c r="N321" s="846"/>
      <c r="O321" s="846"/>
      <c r="P321" s="846"/>
      <c r="Q321" s="846"/>
      <c r="R321" s="846"/>
      <c r="S321" s="846"/>
      <c r="T321" s="847"/>
      <c r="U321" s="848"/>
      <c r="V321" s="848"/>
      <c r="W321" s="848"/>
      <c r="X321" s="848"/>
      <c r="Y321" s="848"/>
      <c r="Z321" s="848"/>
      <c r="AA321" s="848"/>
      <c r="AB321" s="848"/>
      <c r="AC321" s="848"/>
      <c r="AD321" s="848">
        <v>1378.08</v>
      </c>
      <c r="AE321" s="849">
        <v>2339.87</v>
      </c>
      <c r="AF321" s="850">
        <f t="shared" si="231"/>
        <v>3717.95</v>
      </c>
      <c r="AG321" s="851">
        <v>3099.24</v>
      </c>
      <c r="AH321" s="852">
        <v>1740.6</v>
      </c>
      <c r="AI321" s="852">
        <v>436.85</v>
      </c>
      <c r="AJ321" s="852">
        <v>89.58</v>
      </c>
      <c r="AK321" s="852"/>
      <c r="AL321" s="852"/>
      <c r="AM321" s="852"/>
      <c r="AN321" s="852"/>
      <c r="AO321" s="852"/>
      <c r="AP321" s="852">
        <v>354.6</v>
      </c>
      <c r="AQ321" s="852">
        <v>59.1</v>
      </c>
      <c r="AR321" s="853">
        <v>413.7</v>
      </c>
      <c r="AS321" s="854">
        <f t="shared" si="233"/>
        <v>6193.670000000001</v>
      </c>
      <c r="AT321" s="855"/>
      <c r="AU321" s="856">
        <v>960.38</v>
      </c>
      <c r="AV321" s="857">
        <v>517.13</v>
      </c>
      <c r="AW321" s="857">
        <v>705.64</v>
      </c>
      <c r="AX321" s="856">
        <v>2715.18</v>
      </c>
      <c r="AY321" s="856">
        <v>1779.44</v>
      </c>
      <c r="AZ321" s="856">
        <v>383.5</v>
      </c>
      <c r="BA321" s="856">
        <v>245.44</v>
      </c>
      <c r="BB321" s="857">
        <v>2745.86</v>
      </c>
      <c r="BC321" s="857">
        <v>1418.95</v>
      </c>
      <c r="BD321" s="856">
        <v>2555.84</v>
      </c>
      <c r="BE321" s="858">
        <v>2153.4</v>
      </c>
      <c r="BF321" s="854">
        <f t="shared" si="232"/>
        <v>16180.76</v>
      </c>
      <c r="BG321" s="855">
        <v>3273.75</v>
      </c>
      <c r="BH321" s="856">
        <v>1746</v>
      </c>
      <c r="BI321" s="859">
        <v>362.4</v>
      </c>
      <c r="BJ321" s="859">
        <v>90.6</v>
      </c>
      <c r="BK321" s="860">
        <v>0</v>
      </c>
      <c r="BL321" s="860"/>
      <c r="BM321" s="860"/>
      <c r="BN321" s="860"/>
      <c r="BO321" s="860"/>
      <c r="BP321" s="860"/>
      <c r="BQ321" s="860"/>
      <c r="BR321" s="861"/>
      <c r="BS321" s="854">
        <f t="shared" si="234"/>
        <v>5472.75</v>
      </c>
      <c r="BT321" s="862"/>
      <c r="BU321" s="862"/>
      <c r="BV321" s="862"/>
      <c r="BW321" s="862"/>
      <c r="BX321" s="862"/>
      <c r="BY321" s="862"/>
      <c r="BZ321" s="862"/>
      <c r="CA321" s="862"/>
      <c r="CB321" s="862"/>
      <c r="CC321" s="862"/>
      <c r="CD321" s="862"/>
      <c r="CE321" s="862"/>
      <c r="CF321" s="862"/>
      <c r="CG321" s="862"/>
      <c r="CH321" s="863">
        <f t="shared" si="235"/>
        <v>31565.13</v>
      </c>
      <c r="CI321" s="863">
        <f t="shared" si="236"/>
        <v>0</v>
      </c>
      <c r="CJ321" s="863">
        <f t="shared" si="237"/>
        <v>31565.13</v>
      </c>
      <c r="CK321" s="710"/>
      <c r="CL321" s="710"/>
      <c r="CM321" s="710"/>
      <c r="CN321" s="512"/>
      <c r="CO321" s="512"/>
      <c r="CP321" s="512"/>
      <c r="CQ321" s="512"/>
      <c r="CR321" s="512"/>
      <c r="CS321" s="512"/>
      <c r="CT321" s="512"/>
      <c r="CU321" s="512"/>
      <c r="CV321" s="515"/>
    </row>
    <row r="322" spans="1:100">
      <c r="A322" s="844"/>
      <c r="B322" s="845" t="s">
        <v>859</v>
      </c>
      <c r="C322" s="846"/>
      <c r="D322" s="846"/>
      <c r="E322" s="846"/>
      <c r="F322" s="846"/>
      <c r="G322" s="846"/>
      <c r="H322" s="846"/>
      <c r="I322" s="846"/>
      <c r="J322" s="846"/>
      <c r="K322" s="846"/>
      <c r="L322" s="846"/>
      <c r="M322" s="846"/>
      <c r="N322" s="846"/>
      <c r="O322" s="846"/>
      <c r="P322" s="846"/>
      <c r="Q322" s="846"/>
      <c r="R322" s="846"/>
      <c r="S322" s="846"/>
      <c r="T322" s="847"/>
      <c r="U322" s="848"/>
      <c r="V322" s="848"/>
      <c r="W322" s="848"/>
      <c r="X322" s="848"/>
      <c r="Y322" s="848"/>
      <c r="Z322" s="848"/>
      <c r="AA322" s="848"/>
      <c r="AB322" s="848"/>
      <c r="AC322" s="848"/>
      <c r="AD322" s="848"/>
      <c r="AE322" s="849"/>
      <c r="AF322" s="850">
        <f t="shared" si="231"/>
        <v>0</v>
      </c>
      <c r="AG322" s="851"/>
      <c r="AH322" s="852"/>
      <c r="AI322" s="852"/>
      <c r="AJ322" s="852"/>
      <c r="AK322" s="852"/>
      <c r="AL322" s="852"/>
      <c r="AM322" s="852"/>
      <c r="AN322" s="852"/>
      <c r="AO322" s="852"/>
      <c r="AP322" s="852"/>
      <c r="AQ322" s="852"/>
      <c r="AR322" s="853"/>
      <c r="AS322" s="854">
        <f t="shared" si="233"/>
        <v>0</v>
      </c>
      <c r="AT322" s="864"/>
      <c r="AU322" s="856"/>
      <c r="AV322" s="857">
        <v>69.540000000000006</v>
      </c>
      <c r="AW322" s="857">
        <v>168.6</v>
      </c>
      <c r="AX322" s="856">
        <v>32</v>
      </c>
      <c r="AY322" s="856"/>
      <c r="AZ322" s="856"/>
      <c r="BA322" s="856"/>
      <c r="BB322" s="857">
        <v>0</v>
      </c>
      <c r="BC322" s="857">
        <v>0</v>
      </c>
      <c r="BD322" s="856">
        <v>0</v>
      </c>
      <c r="BE322" s="858">
        <v>0</v>
      </c>
      <c r="BF322" s="854">
        <f t="shared" si="232"/>
        <v>270.14</v>
      </c>
      <c r="BG322" s="855">
        <v>0</v>
      </c>
      <c r="BH322" s="856">
        <v>0</v>
      </c>
      <c r="BI322" s="859">
        <v>0</v>
      </c>
      <c r="BJ322" s="859">
        <v>0</v>
      </c>
      <c r="BK322" s="860">
        <v>59.61</v>
      </c>
      <c r="BL322" s="860"/>
      <c r="BM322" s="860"/>
      <c r="BN322" s="860"/>
      <c r="BO322" s="860"/>
      <c r="BP322" s="860"/>
      <c r="BQ322" s="860"/>
      <c r="BR322" s="861"/>
      <c r="BS322" s="854">
        <f t="shared" si="234"/>
        <v>59.61</v>
      </c>
      <c r="BT322" s="862"/>
      <c r="BU322" s="862"/>
      <c r="BV322" s="862"/>
      <c r="BW322" s="862"/>
      <c r="BX322" s="862"/>
      <c r="BY322" s="862"/>
      <c r="BZ322" s="862"/>
      <c r="CA322" s="862"/>
      <c r="CB322" s="862"/>
      <c r="CC322" s="862"/>
      <c r="CD322" s="862"/>
      <c r="CE322" s="862"/>
      <c r="CF322" s="862"/>
      <c r="CG322" s="862"/>
      <c r="CH322" s="863">
        <f t="shared" si="235"/>
        <v>329.75</v>
      </c>
      <c r="CI322" s="863">
        <f t="shared" si="236"/>
        <v>0</v>
      </c>
      <c r="CJ322" s="863">
        <f t="shared" si="237"/>
        <v>329.75</v>
      </c>
      <c r="CK322" s="710"/>
      <c r="CL322" s="710"/>
      <c r="CM322" s="710"/>
      <c r="CN322" s="512"/>
      <c r="CO322" s="512"/>
      <c r="CP322" s="512"/>
      <c r="CQ322" s="512"/>
      <c r="CR322" s="512"/>
      <c r="CS322" s="512"/>
      <c r="CT322" s="512"/>
      <c r="CU322" s="512"/>
      <c r="CV322" s="515"/>
    </row>
    <row r="323" spans="1:100">
      <c r="A323" s="844"/>
      <c r="B323" s="845" t="s">
        <v>860</v>
      </c>
      <c r="C323" s="846"/>
      <c r="D323" s="846"/>
      <c r="E323" s="846"/>
      <c r="F323" s="846"/>
      <c r="G323" s="846"/>
      <c r="H323" s="846"/>
      <c r="I323" s="846"/>
      <c r="J323" s="846"/>
      <c r="K323" s="846"/>
      <c r="L323" s="846"/>
      <c r="M323" s="846"/>
      <c r="N323" s="846"/>
      <c r="O323" s="846"/>
      <c r="P323" s="846"/>
      <c r="Q323" s="846"/>
      <c r="R323" s="846"/>
      <c r="S323" s="846"/>
      <c r="T323" s="847"/>
      <c r="U323" s="848"/>
      <c r="V323" s="848"/>
      <c r="W323" s="848"/>
      <c r="X323" s="848"/>
      <c r="Y323" s="848"/>
      <c r="Z323" s="848"/>
      <c r="AA323" s="848"/>
      <c r="AB323" s="848"/>
      <c r="AC323" s="848"/>
      <c r="AD323" s="848"/>
      <c r="AE323" s="849"/>
      <c r="AF323" s="850">
        <f t="shared" si="231"/>
        <v>0</v>
      </c>
      <c r="AG323" s="851">
        <v>1358.3</v>
      </c>
      <c r="AH323" s="852">
        <v>762.08</v>
      </c>
      <c r="AI323" s="852">
        <v>772.16</v>
      </c>
      <c r="AJ323" s="852">
        <v>1331.37</v>
      </c>
      <c r="AK323" s="852">
        <v>3155.84</v>
      </c>
      <c r="AL323" s="852">
        <v>5607.01</v>
      </c>
      <c r="AM323" s="852">
        <v>7127.12</v>
      </c>
      <c r="AN323" s="852"/>
      <c r="AO323" s="852"/>
      <c r="AP323" s="852"/>
      <c r="AQ323" s="852"/>
      <c r="AR323" s="853"/>
      <c r="AS323" s="854">
        <f t="shared" si="233"/>
        <v>20113.88</v>
      </c>
      <c r="AT323" s="855"/>
      <c r="AU323" s="856"/>
      <c r="AV323" s="857"/>
      <c r="AW323" s="857"/>
      <c r="AX323" s="856"/>
      <c r="AY323" s="856"/>
      <c r="AZ323" s="856"/>
      <c r="BA323" s="856"/>
      <c r="BB323" s="857">
        <v>0</v>
      </c>
      <c r="BC323" s="857">
        <v>0</v>
      </c>
      <c r="BD323" s="856">
        <v>0</v>
      </c>
      <c r="BE323" s="858">
        <v>0</v>
      </c>
      <c r="BF323" s="854">
        <f t="shared" si="232"/>
        <v>0</v>
      </c>
      <c r="BG323" s="855">
        <v>0</v>
      </c>
      <c r="BH323" s="856">
        <v>0</v>
      </c>
      <c r="BI323" s="859">
        <v>0</v>
      </c>
      <c r="BJ323" s="859">
        <v>0</v>
      </c>
      <c r="BK323" s="860">
        <v>0</v>
      </c>
      <c r="BL323" s="860">
        <f>160*48*0.4</f>
        <v>3072</v>
      </c>
      <c r="BM323" s="860"/>
      <c r="BN323" s="860"/>
      <c r="BO323" s="860"/>
      <c r="BP323" s="860"/>
      <c r="BQ323" s="860"/>
      <c r="BR323" s="861"/>
      <c r="BS323" s="854">
        <f t="shared" si="234"/>
        <v>3072</v>
      </c>
      <c r="BT323" s="862"/>
      <c r="BU323" s="862"/>
      <c r="BV323" s="862"/>
      <c r="BW323" s="862"/>
      <c r="BX323" s="862"/>
      <c r="BY323" s="862"/>
      <c r="BZ323" s="862"/>
      <c r="CA323" s="862"/>
      <c r="CB323" s="862"/>
      <c r="CC323" s="862"/>
      <c r="CD323" s="862"/>
      <c r="CE323" s="862"/>
      <c r="CF323" s="862"/>
      <c r="CG323" s="862"/>
      <c r="CH323" s="863">
        <f t="shared" si="235"/>
        <v>20113.88</v>
      </c>
      <c r="CI323" s="863">
        <f t="shared" si="236"/>
        <v>3072</v>
      </c>
      <c r="CJ323" s="863">
        <f t="shared" si="237"/>
        <v>23185.88</v>
      </c>
      <c r="CK323" s="710"/>
      <c r="CL323" s="710"/>
      <c r="CM323" s="710"/>
      <c r="CN323" s="512"/>
      <c r="CO323" s="512"/>
      <c r="CP323" s="512"/>
      <c r="CQ323" s="512"/>
      <c r="CR323" s="512"/>
      <c r="CS323" s="512"/>
      <c r="CT323" s="512"/>
      <c r="CU323" s="512"/>
      <c r="CV323" s="515"/>
    </row>
    <row r="324" spans="1:100">
      <c r="A324" s="844"/>
      <c r="B324" s="845" t="s">
        <v>861</v>
      </c>
      <c r="C324" s="846"/>
      <c r="D324" s="846"/>
      <c r="E324" s="846"/>
      <c r="F324" s="846"/>
      <c r="G324" s="846"/>
      <c r="H324" s="846"/>
      <c r="I324" s="846"/>
      <c r="J324" s="846"/>
      <c r="K324" s="846"/>
      <c r="L324" s="846"/>
      <c r="M324" s="846"/>
      <c r="N324" s="846"/>
      <c r="O324" s="846"/>
      <c r="P324" s="846"/>
      <c r="Q324" s="846"/>
      <c r="R324" s="846"/>
      <c r="S324" s="846"/>
      <c r="T324" s="847">
        <v>6364.8</v>
      </c>
      <c r="U324" s="848">
        <v>4199</v>
      </c>
      <c r="V324" s="848">
        <v>2475.1999999999998</v>
      </c>
      <c r="W324" s="848"/>
      <c r="X324" s="848"/>
      <c r="Y324" s="848"/>
      <c r="Z324" s="848"/>
      <c r="AA324" s="848"/>
      <c r="AB324" s="848"/>
      <c r="AC324" s="848"/>
      <c r="AD324" s="848"/>
      <c r="AE324" s="849"/>
      <c r="AF324" s="850">
        <f t="shared" si="231"/>
        <v>13039</v>
      </c>
      <c r="AG324" s="851"/>
      <c r="AH324" s="852"/>
      <c r="AI324" s="852"/>
      <c r="AJ324" s="852"/>
      <c r="AK324" s="852"/>
      <c r="AL324" s="852"/>
      <c r="AM324" s="852"/>
      <c r="AN324" s="852"/>
      <c r="AO324" s="852"/>
      <c r="AP324" s="852"/>
      <c r="AQ324" s="852"/>
      <c r="AR324" s="853"/>
      <c r="AS324" s="854">
        <f t="shared" si="233"/>
        <v>0</v>
      </c>
      <c r="AT324" s="855"/>
      <c r="AU324" s="856"/>
      <c r="AV324" s="857"/>
      <c r="AW324" s="857"/>
      <c r="AX324" s="856"/>
      <c r="AY324" s="856"/>
      <c r="AZ324" s="856"/>
      <c r="BA324" s="856"/>
      <c r="BB324" s="857">
        <v>0</v>
      </c>
      <c r="BC324" s="857">
        <v>0</v>
      </c>
      <c r="BD324" s="856">
        <v>0</v>
      </c>
      <c r="BE324" s="858">
        <v>0</v>
      </c>
      <c r="BF324" s="854">
        <f t="shared" si="232"/>
        <v>0</v>
      </c>
      <c r="BG324" s="855">
        <v>0</v>
      </c>
      <c r="BH324" s="856">
        <v>0</v>
      </c>
      <c r="BI324" s="859">
        <v>0</v>
      </c>
      <c r="BJ324" s="859">
        <v>0</v>
      </c>
      <c r="BK324" s="860">
        <v>0</v>
      </c>
      <c r="BL324" s="860"/>
      <c r="BM324" s="860"/>
      <c r="BN324" s="860"/>
      <c r="BO324" s="860"/>
      <c r="BP324" s="860"/>
      <c r="BQ324" s="860"/>
      <c r="BR324" s="861"/>
      <c r="BS324" s="854">
        <f t="shared" si="234"/>
        <v>0</v>
      </c>
      <c r="BT324" s="862"/>
      <c r="BU324" s="862"/>
      <c r="BV324" s="862"/>
      <c r="BW324" s="862"/>
      <c r="BX324" s="862"/>
      <c r="BY324" s="862"/>
      <c r="BZ324" s="862"/>
      <c r="CA324" s="862"/>
      <c r="CB324" s="862"/>
      <c r="CC324" s="862"/>
      <c r="CD324" s="862"/>
      <c r="CE324" s="862"/>
      <c r="CF324" s="862"/>
      <c r="CG324" s="862"/>
      <c r="CH324" s="863">
        <f t="shared" si="235"/>
        <v>13039</v>
      </c>
      <c r="CI324" s="863">
        <f t="shared" si="236"/>
        <v>0</v>
      </c>
      <c r="CJ324" s="863">
        <f t="shared" si="237"/>
        <v>13039</v>
      </c>
      <c r="CK324" s="710"/>
      <c r="CL324" s="710"/>
      <c r="CM324" s="710"/>
      <c r="CN324" s="512"/>
      <c r="CO324" s="512"/>
      <c r="CP324" s="512"/>
      <c r="CQ324" s="512"/>
      <c r="CR324" s="512"/>
      <c r="CS324" s="512"/>
      <c r="CT324" s="512"/>
      <c r="CU324" s="512"/>
      <c r="CV324" s="515"/>
    </row>
    <row r="325" spans="1:100">
      <c r="A325" s="844"/>
      <c r="B325" s="845" t="s">
        <v>862</v>
      </c>
      <c r="C325" s="846"/>
      <c r="D325" s="846"/>
      <c r="E325" s="846"/>
      <c r="F325" s="846"/>
      <c r="G325" s="846"/>
      <c r="H325" s="846"/>
      <c r="I325" s="846"/>
      <c r="J325" s="846"/>
      <c r="K325" s="846"/>
      <c r="L325" s="846"/>
      <c r="M325" s="846"/>
      <c r="N325" s="846"/>
      <c r="O325" s="846"/>
      <c r="P325" s="846"/>
      <c r="Q325" s="846"/>
      <c r="R325" s="846"/>
      <c r="S325" s="846"/>
      <c r="T325" s="847"/>
      <c r="U325" s="848"/>
      <c r="V325" s="848"/>
      <c r="W325" s="848"/>
      <c r="X325" s="848"/>
      <c r="Y325" s="848"/>
      <c r="Z325" s="848"/>
      <c r="AA325" s="848"/>
      <c r="AB325" s="848"/>
      <c r="AC325" s="848"/>
      <c r="AD325" s="848">
        <v>621.20000000000005</v>
      </c>
      <c r="AE325" s="849"/>
      <c r="AF325" s="850">
        <f t="shared" si="231"/>
        <v>621.20000000000005</v>
      </c>
      <c r="AG325" s="851"/>
      <c r="AH325" s="852"/>
      <c r="AI325" s="852"/>
      <c r="AJ325" s="852"/>
      <c r="AK325" s="852"/>
      <c r="AL325" s="852"/>
      <c r="AM325" s="852"/>
      <c r="AN325" s="852"/>
      <c r="AO325" s="852"/>
      <c r="AP325" s="852"/>
      <c r="AQ325" s="852"/>
      <c r="AR325" s="853"/>
      <c r="AS325" s="854">
        <f t="shared" si="233"/>
        <v>0</v>
      </c>
      <c r="AT325" s="864">
        <v>316.39999999999998</v>
      </c>
      <c r="AU325" s="856"/>
      <c r="AV325" s="857">
        <v>395.5</v>
      </c>
      <c r="AW325" s="857">
        <v>276.85000000000002</v>
      </c>
      <c r="AX325" s="856"/>
      <c r="AY325" s="856"/>
      <c r="AZ325" s="856"/>
      <c r="BA325" s="856">
        <v>363.96</v>
      </c>
      <c r="BB325" s="857">
        <v>0</v>
      </c>
      <c r="BC325" s="857">
        <v>0</v>
      </c>
      <c r="BD325" s="856">
        <v>0</v>
      </c>
      <c r="BE325" s="865">
        <v>0</v>
      </c>
      <c r="BF325" s="866">
        <f t="shared" si="232"/>
        <v>1352.71</v>
      </c>
      <c r="BG325" s="864">
        <v>814.6</v>
      </c>
      <c r="BH325" s="857">
        <v>0</v>
      </c>
      <c r="BI325" s="859">
        <v>40.74</v>
      </c>
      <c r="BJ325" s="859">
        <v>0</v>
      </c>
      <c r="BK325" s="860">
        <v>0</v>
      </c>
      <c r="BL325" s="860"/>
      <c r="BM325" s="860"/>
      <c r="BN325" s="860"/>
      <c r="BO325" s="860"/>
      <c r="BP325" s="860"/>
      <c r="BQ325" s="860"/>
      <c r="BR325" s="861"/>
      <c r="BS325" s="854">
        <f t="shared" si="234"/>
        <v>855.34</v>
      </c>
      <c r="BT325" s="862"/>
      <c r="BU325" s="862"/>
      <c r="BV325" s="862"/>
      <c r="BW325" s="862"/>
      <c r="BX325" s="862"/>
      <c r="BY325" s="862"/>
      <c r="BZ325" s="862"/>
      <c r="CA325" s="862"/>
      <c r="CB325" s="862"/>
      <c r="CC325" s="862"/>
      <c r="CD325" s="862"/>
      <c r="CE325" s="862"/>
      <c r="CF325" s="862"/>
      <c r="CG325" s="862"/>
      <c r="CH325" s="863">
        <f t="shared" si="235"/>
        <v>2829.2499999999995</v>
      </c>
      <c r="CI325" s="863">
        <f t="shared" si="236"/>
        <v>0</v>
      </c>
      <c r="CJ325" s="863">
        <f t="shared" si="237"/>
        <v>2829.2499999999995</v>
      </c>
      <c r="CK325" s="710"/>
      <c r="CL325" s="710"/>
      <c r="CM325" s="710"/>
      <c r="CN325" s="512"/>
      <c r="CO325" s="512"/>
      <c r="CP325" s="512"/>
      <c r="CQ325" s="512"/>
      <c r="CR325" s="512"/>
      <c r="CS325" s="512"/>
      <c r="CT325" s="512"/>
      <c r="CU325" s="512"/>
      <c r="CV325" s="515"/>
    </row>
    <row r="326" spans="1:100">
      <c r="A326" s="844"/>
      <c r="B326" s="845" t="s">
        <v>863</v>
      </c>
      <c r="C326" s="846"/>
      <c r="D326" s="846"/>
      <c r="E326" s="846"/>
      <c r="F326" s="846"/>
      <c r="G326" s="846"/>
      <c r="H326" s="846"/>
      <c r="I326" s="846"/>
      <c r="J326" s="846"/>
      <c r="K326" s="846"/>
      <c r="L326" s="846" t="s">
        <v>558</v>
      </c>
      <c r="M326" s="846"/>
      <c r="N326" s="846"/>
      <c r="O326" s="846"/>
      <c r="P326" s="846"/>
      <c r="Q326" s="846"/>
      <c r="R326" s="846"/>
      <c r="S326" s="846"/>
      <c r="T326" s="847"/>
      <c r="U326" s="848"/>
      <c r="V326" s="848"/>
      <c r="W326" s="848"/>
      <c r="X326" s="848"/>
      <c r="Y326" s="848"/>
      <c r="Z326" s="848"/>
      <c r="AA326" s="848"/>
      <c r="AB326" s="848"/>
      <c r="AC326" s="848"/>
      <c r="AD326" s="848"/>
      <c r="AE326" s="849"/>
      <c r="AF326" s="850">
        <f t="shared" si="231"/>
        <v>0</v>
      </c>
      <c r="AG326" s="851"/>
      <c r="AH326" s="852"/>
      <c r="AI326" s="852"/>
      <c r="AJ326" s="852"/>
      <c r="AK326" s="852"/>
      <c r="AL326" s="852"/>
      <c r="AM326" s="852"/>
      <c r="AN326" s="852"/>
      <c r="AO326" s="852"/>
      <c r="AP326" s="852"/>
      <c r="AQ326" s="852"/>
      <c r="AR326" s="853"/>
      <c r="AS326" s="854">
        <f t="shared" si="233"/>
        <v>0</v>
      </c>
      <c r="AT326" s="864"/>
      <c r="AU326" s="856"/>
      <c r="AV326" s="857"/>
      <c r="AW326" s="857"/>
      <c r="AX326" s="856"/>
      <c r="AY326" s="856"/>
      <c r="AZ326" s="856"/>
      <c r="BA326" s="856"/>
      <c r="BB326" s="857"/>
      <c r="BC326" s="856"/>
      <c r="BD326" s="856"/>
      <c r="BE326" s="865"/>
      <c r="BF326" s="866">
        <f t="shared" si="232"/>
        <v>0</v>
      </c>
      <c r="BG326" s="864"/>
      <c r="BH326" s="857"/>
      <c r="BI326" s="859">
        <v>0</v>
      </c>
      <c r="BJ326" s="859">
        <v>705.44</v>
      </c>
      <c r="BK326" s="860">
        <v>0</v>
      </c>
      <c r="BL326" s="860"/>
      <c r="BM326" s="860"/>
      <c r="BN326" s="860"/>
      <c r="BO326" s="860"/>
      <c r="BP326" s="860"/>
      <c r="BQ326" s="860"/>
      <c r="BR326" s="861"/>
      <c r="BS326" s="854">
        <f t="shared" si="234"/>
        <v>705.44</v>
      </c>
      <c r="BT326" s="862"/>
      <c r="BU326" s="862"/>
      <c r="BV326" s="862"/>
      <c r="BW326" s="862"/>
      <c r="BX326" s="862"/>
      <c r="BY326" s="862"/>
      <c r="BZ326" s="862"/>
      <c r="CA326" s="862"/>
      <c r="CB326" s="862"/>
      <c r="CC326" s="862"/>
      <c r="CD326" s="862"/>
      <c r="CE326" s="862"/>
      <c r="CF326" s="862"/>
      <c r="CG326" s="862"/>
      <c r="CH326" s="863">
        <f t="shared" si="235"/>
        <v>705.44</v>
      </c>
      <c r="CI326" s="863">
        <f t="shared" si="236"/>
        <v>0</v>
      </c>
      <c r="CJ326" s="863">
        <f t="shared" si="237"/>
        <v>705.44</v>
      </c>
      <c r="CK326" s="710"/>
      <c r="CL326" s="710"/>
      <c r="CM326" s="710"/>
      <c r="CN326" s="512"/>
      <c r="CO326" s="512"/>
      <c r="CP326" s="512"/>
      <c r="CQ326" s="512"/>
      <c r="CR326" s="512"/>
      <c r="CS326" s="512"/>
      <c r="CT326" s="512"/>
      <c r="CU326" s="512"/>
      <c r="CV326" s="515"/>
    </row>
    <row r="327" spans="1:100">
      <c r="A327" s="844"/>
      <c r="B327" s="845" t="s">
        <v>864</v>
      </c>
      <c r="C327" s="846"/>
      <c r="D327" s="846"/>
      <c r="E327" s="846"/>
      <c r="F327" s="846"/>
      <c r="G327" s="846"/>
      <c r="H327" s="846"/>
      <c r="I327" s="846"/>
      <c r="J327" s="846"/>
      <c r="K327" s="846"/>
      <c r="L327" s="846"/>
      <c r="M327" s="846"/>
      <c r="N327" s="846"/>
      <c r="O327" s="846"/>
      <c r="P327" s="846"/>
      <c r="Q327" s="846"/>
      <c r="R327" s="846"/>
      <c r="S327" s="846"/>
      <c r="T327" s="847"/>
      <c r="U327" s="848"/>
      <c r="V327" s="848"/>
      <c r="W327" s="848"/>
      <c r="X327" s="848">
        <v>1033.1199999999999</v>
      </c>
      <c r="Y327" s="848"/>
      <c r="Z327" s="848"/>
      <c r="AA327" s="848"/>
      <c r="AB327" s="848"/>
      <c r="AC327" s="848"/>
      <c r="AD327" s="848"/>
      <c r="AE327" s="849"/>
      <c r="AF327" s="850">
        <f t="shared" si="231"/>
        <v>1033.1199999999999</v>
      </c>
      <c r="AG327" s="851">
        <v>49</v>
      </c>
      <c r="AH327" s="852">
        <v>142.88999999999999</v>
      </c>
      <c r="AI327" s="852">
        <v>144.57</v>
      </c>
      <c r="AJ327" s="852"/>
      <c r="AK327" s="852"/>
      <c r="AL327" s="852">
        <v>838.19</v>
      </c>
      <c r="AM327" s="852">
        <v>565.46</v>
      </c>
      <c r="AN327" s="852"/>
      <c r="AO327" s="852"/>
      <c r="AP327" s="852"/>
      <c r="AQ327" s="852"/>
      <c r="AR327" s="853"/>
      <c r="AS327" s="854">
        <f t="shared" si="233"/>
        <v>1740.1100000000001</v>
      </c>
      <c r="AT327" s="855"/>
      <c r="AU327" s="856"/>
      <c r="AV327" s="857"/>
      <c r="AW327" s="857"/>
      <c r="AX327" s="856"/>
      <c r="AY327" s="856"/>
      <c r="AZ327" s="856"/>
      <c r="BA327" s="856"/>
      <c r="BB327" s="857">
        <v>0</v>
      </c>
      <c r="BC327" s="857">
        <v>0</v>
      </c>
      <c r="BD327" s="856">
        <v>0</v>
      </c>
      <c r="BE327" s="865">
        <v>0</v>
      </c>
      <c r="BF327" s="866">
        <f t="shared" si="232"/>
        <v>0</v>
      </c>
      <c r="BG327" s="864">
        <v>0</v>
      </c>
      <c r="BH327" s="857">
        <v>0</v>
      </c>
      <c r="BI327" s="859">
        <v>0</v>
      </c>
      <c r="BJ327" s="859">
        <v>0</v>
      </c>
      <c r="BK327" s="860">
        <v>0</v>
      </c>
      <c r="BL327" s="860">
        <f>49*160*0.2</f>
        <v>1568</v>
      </c>
      <c r="BM327" s="860"/>
      <c r="BN327" s="860"/>
      <c r="BO327" s="860"/>
      <c r="BP327" s="860"/>
      <c r="BQ327" s="860"/>
      <c r="BR327" s="861"/>
      <c r="BS327" s="854">
        <f t="shared" si="234"/>
        <v>1568</v>
      </c>
      <c r="BT327" s="862"/>
      <c r="BU327" s="862"/>
      <c r="BV327" s="862"/>
      <c r="BW327" s="862"/>
      <c r="BX327" s="862"/>
      <c r="BY327" s="862"/>
      <c r="BZ327" s="862"/>
      <c r="CA327" s="862"/>
      <c r="CB327" s="862"/>
      <c r="CC327" s="862"/>
      <c r="CD327" s="862"/>
      <c r="CE327" s="862"/>
      <c r="CF327" s="862"/>
      <c r="CG327" s="862"/>
      <c r="CH327" s="863">
        <f t="shared" si="235"/>
        <v>2773.2299999999996</v>
      </c>
      <c r="CI327" s="863">
        <f t="shared" si="236"/>
        <v>1568</v>
      </c>
      <c r="CJ327" s="863">
        <f t="shared" si="237"/>
        <v>4341.2299999999996</v>
      </c>
      <c r="CK327" s="710"/>
      <c r="CL327" s="710"/>
      <c r="CM327" s="710"/>
      <c r="CN327" s="512"/>
      <c r="CO327" s="512"/>
      <c r="CP327" s="512"/>
      <c r="CQ327" s="512"/>
      <c r="CR327" s="512"/>
      <c r="CS327" s="512"/>
      <c r="CT327" s="512"/>
      <c r="CU327" s="512"/>
      <c r="CV327" s="515"/>
    </row>
    <row r="328" spans="1:100">
      <c r="A328" s="844"/>
      <c r="B328" s="845" t="s">
        <v>865</v>
      </c>
      <c r="C328" s="846"/>
      <c r="D328" s="846"/>
      <c r="E328" s="846"/>
      <c r="F328" s="846"/>
      <c r="G328" s="846"/>
      <c r="H328" s="846"/>
      <c r="I328" s="846"/>
      <c r="J328" s="846"/>
      <c r="K328" s="846"/>
      <c r="L328" s="846"/>
      <c r="M328" s="846"/>
      <c r="N328" s="846"/>
      <c r="O328" s="846"/>
      <c r="P328" s="846"/>
      <c r="Q328" s="846"/>
      <c r="R328" s="846"/>
      <c r="S328" s="846"/>
      <c r="T328" s="847">
        <v>195.3</v>
      </c>
      <c r="U328" s="848">
        <v>260.39999999999998</v>
      </c>
      <c r="V328" s="848"/>
      <c r="W328" s="848">
        <v>162.75</v>
      </c>
      <c r="X328" s="848">
        <v>260.39999999999998</v>
      </c>
      <c r="Y328" s="848"/>
      <c r="Z328" s="848">
        <v>130.19999999999999</v>
      </c>
      <c r="AA328" s="848"/>
      <c r="AB328" s="848"/>
      <c r="AC328" s="848">
        <v>32.549999999999997</v>
      </c>
      <c r="AD328" s="848"/>
      <c r="AE328" s="849">
        <v>32.549999999999997</v>
      </c>
      <c r="AF328" s="850">
        <f t="shared" si="231"/>
        <v>1074.1499999999999</v>
      </c>
      <c r="AG328" s="851">
        <v>292.95</v>
      </c>
      <c r="AH328" s="852"/>
      <c r="AI328" s="852">
        <v>67.38</v>
      </c>
      <c r="AJ328" s="852"/>
      <c r="AK328" s="852"/>
      <c r="AL328" s="852">
        <v>640.11</v>
      </c>
      <c r="AM328" s="852">
        <v>33.69</v>
      </c>
      <c r="AN328" s="852">
        <v>269.52</v>
      </c>
      <c r="AO328" s="852"/>
      <c r="AP328" s="852"/>
      <c r="AQ328" s="852"/>
      <c r="AR328" s="853"/>
      <c r="AS328" s="854">
        <f t="shared" si="233"/>
        <v>1303.6500000000001</v>
      </c>
      <c r="AT328" s="855">
        <v>33.69</v>
      </c>
      <c r="AU328" s="856"/>
      <c r="AV328" s="857">
        <v>439.99</v>
      </c>
      <c r="AW328" s="857">
        <v>520.5</v>
      </c>
      <c r="AX328" s="856">
        <v>277.60000000000002</v>
      </c>
      <c r="AY328" s="856">
        <v>277.60000000000002</v>
      </c>
      <c r="AZ328" s="856">
        <v>277.60000000000002</v>
      </c>
      <c r="BA328" s="856"/>
      <c r="BB328" s="857">
        <v>173.5</v>
      </c>
      <c r="BC328" s="857">
        <v>0</v>
      </c>
      <c r="BD328" s="856">
        <v>69.400000000000006</v>
      </c>
      <c r="BE328" s="865">
        <v>138.80000000000001</v>
      </c>
      <c r="BF328" s="866">
        <f t="shared" si="232"/>
        <v>2208.6800000000003</v>
      </c>
      <c r="BG328" s="864">
        <v>832.8</v>
      </c>
      <c r="BH328" s="857">
        <v>347</v>
      </c>
      <c r="BI328" s="859">
        <v>357.4</v>
      </c>
      <c r="BJ328" s="859">
        <v>607.58000000000004</v>
      </c>
      <c r="BK328" s="860">
        <v>285.92</v>
      </c>
      <c r="BL328" s="860"/>
      <c r="BM328" s="860"/>
      <c r="BN328" s="860"/>
      <c r="BO328" s="860"/>
      <c r="BP328" s="860"/>
      <c r="BQ328" s="860"/>
      <c r="BR328" s="861"/>
      <c r="BS328" s="854">
        <f t="shared" si="234"/>
        <v>2430.6999999999998</v>
      </c>
      <c r="BT328" s="862"/>
      <c r="BU328" s="862"/>
      <c r="BV328" s="862"/>
      <c r="BW328" s="862"/>
      <c r="BX328" s="862"/>
      <c r="BY328" s="862"/>
      <c r="BZ328" s="862"/>
      <c r="CA328" s="862"/>
      <c r="CB328" s="862"/>
      <c r="CC328" s="862"/>
      <c r="CD328" s="862"/>
      <c r="CE328" s="862"/>
      <c r="CF328" s="862"/>
      <c r="CG328" s="862"/>
      <c r="CH328" s="863">
        <f t="shared" si="235"/>
        <v>7017.18</v>
      </c>
      <c r="CI328" s="863">
        <f t="shared" si="236"/>
        <v>0</v>
      </c>
      <c r="CJ328" s="863">
        <f t="shared" si="237"/>
        <v>7017.18</v>
      </c>
      <c r="CK328" s="710"/>
      <c r="CL328" s="710"/>
      <c r="CM328" s="710"/>
      <c r="CN328" s="512"/>
      <c r="CO328" s="512"/>
      <c r="CP328" s="512"/>
      <c r="CQ328" s="512"/>
      <c r="CR328" s="512"/>
      <c r="CS328" s="512"/>
      <c r="CT328" s="512"/>
      <c r="CU328" s="512"/>
      <c r="CV328" s="515"/>
    </row>
    <row r="329" spans="1:100">
      <c r="A329" s="844"/>
      <c r="B329" s="845" t="s">
        <v>866</v>
      </c>
      <c r="C329" s="846"/>
      <c r="D329" s="846"/>
      <c r="E329" s="846"/>
      <c r="F329" s="846"/>
      <c r="G329" s="846"/>
      <c r="H329" s="846"/>
      <c r="I329" s="846"/>
      <c r="J329" s="846"/>
      <c r="K329" s="846"/>
      <c r="L329" s="846" t="s">
        <v>558</v>
      </c>
      <c r="M329" s="846"/>
      <c r="N329" s="846"/>
      <c r="O329" s="846"/>
      <c r="P329" s="846"/>
      <c r="Q329" s="846"/>
      <c r="R329" s="846"/>
      <c r="S329" s="846"/>
      <c r="T329" s="847"/>
      <c r="U329" s="848"/>
      <c r="V329" s="848"/>
      <c r="W329" s="848"/>
      <c r="X329" s="848"/>
      <c r="Y329" s="848"/>
      <c r="Z329" s="848"/>
      <c r="AA329" s="848"/>
      <c r="AB329" s="848"/>
      <c r="AC329" s="848"/>
      <c r="AD329" s="848"/>
      <c r="AE329" s="849"/>
      <c r="AF329" s="850">
        <f t="shared" si="231"/>
        <v>0</v>
      </c>
      <c r="AG329" s="851"/>
      <c r="AH329" s="852"/>
      <c r="AI329" s="852"/>
      <c r="AJ329" s="852"/>
      <c r="AK329" s="852"/>
      <c r="AL329" s="852"/>
      <c r="AM329" s="852"/>
      <c r="AN329" s="852"/>
      <c r="AO329" s="852"/>
      <c r="AP329" s="852"/>
      <c r="AQ329" s="852"/>
      <c r="AR329" s="853"/>
      <c r="AS329" s="854">
        <f t="shared" si="233"/>
        <v>0</v>
      </c>
      <c r="AT329" s="864"/>
      <c r="AU329" s="856"/>
      <c r="AV329" s="857"/>
      <c r="AW329" s="857"/>
      <c r="AX329" s="856"/>
      <c r="AY329" s="856"/>
      <c r="AZ329" s="856"/>
      <c r="BA329" s="856"/>
      <c r="BB329" s="857"/>
      <c r="BC329" s="856"/>
      <c r="BD329" s="856"/>
      <c r="BE329" s="865">
        <v>127.02</v>
      </c>
      <c r="BF329" s="866">
        <f t="shared" si="232"/>
        <v>127.02</v>
      </c>
      <c r="BG329" s="864">
        <v>0</v>
      </c>
      <c r="BH329" s="857">
        <v>212.7</v>
      </c>
      <c r="BI329" s="859">
        <v>0</v>
      </c>
      <c r="BJ329" s="859">
        <v>0</v>
      </c>
      <c r="BK329" s="860">
        <v>0</v>
      </c>
      <c r="BL329" s="860"/>
      <c r="BM329" s="860"/>
      <c r="BN329" s="860"/>
      <c r="BO329" s="860"/>
      <c r="BP329" s="860"/>
      <c r="BQ329" s="860"/>
      <c r="BR329" s="861"/>
      <c r="BS329" s="854">
        <f t="shared" si="234"/>
        <v>212.7</v>
      </c>
      <c r="BT329" s="862"/>
      <c r="BU329" s="862"/>
      <c r="BV329" s="862"/>
      <c r="BW329" s="862"/>
      <c r="BX329" s="862"/>
      <c r="BY329" s="862"/>
      <c r="BZ329" s="862"/>
      <c r="CA329" s="862"/>
      <c r="CB329" s="862"/>
      <c r="CC329" s="862"/>
      <c r="CD329" s="862"/>
      <c r="CE329" s="862"/>
      <c r="CF329" s="862"/>
      <c r="CG329" s="862"/>
      <c r="CH329" s="863">
        <f t="shared" si="235"/>
        <v>339.71999999999997</v>
      </c>
      <c r="CI329" s="863">
        <f t="shared" si="236"/>
        <v>0</v>
      </c>
      <c r="CJ329" s="863">
        <f t="shared" si="237"/>
        <v>339.71999999999997</v>
      </c>
      <c r="CK329" s="710"/>
      <c r="CL329" s="710"/>
      <c r="CM329" s="710"/>
      <c r="CN329" s="512"/>
      <c r="CO329" s="512"/>
      <c r="CP329" s="512"/>
      <c r="CQ329" s="512"/>
      <c r="CR329" s="512"/>
      <c r="CS329" s="512"/>
      <c r="CT329" s="512"/>
      <c r="CU329" s="512"/>
      <c r="CV329" s="515"/>
    </row>
    <row r="330" spans="1:100">
      <c r="A330" s="844"/>
      <c r="B330" s="845" t="s">
        <v>867</v>
      </c>
      <c r="C330" s="846"/>
      <c r="D330" s="846"/>
      <c r="E330" s="846"/>
      <c r="F330" s="846"/>
      <c r="G330" s="846"/>
      <c r="H330" s="846"/>
      <c r="I330" s="846"/>
      <c r="J330" s="846"/>
      <c r="K330" s="846"/>
      <c r="L330" s="846" t="s">
        <v>558</v>
      </c>
      <c r="M330" s="846"/>
      <c r="N330" s="846"/>
      <c r="O330" s="846"/>
      <c r="P330" s="846"/>
      <c r="Q330" s="846"/>
      <c r="R330" s="846"/>
      <c r="S330" s="846"/>
      <c r="T330" s="847"/>
      <c r="U330" s="848"/>
      <c r="V330" s="848"/>
      <c r="W330" s="848"/>
      <c r="X330" s="848"/>
      <c r="Y330" s="848"/>
      <c r="Z330" s="848"/>
      <c r="AA330" s="848"/>
      <c r="AB330" s="848"/>
      <c r="AC330" s="848"/>
      <c r="AD330" s="848"/>
      <c r="AE330" s="849"/>
      <c r="AF330" s="850">
        <f t="shared" si="231"/>
        <v>0</v>
      </c>
      <c r="AG330" s="851"/>
      <c r="AH330" s="852"/>
      <c r="AI330" s="852"/>
      <c r="AJ330" s="852"/>
      <c r="AK330" s="852"/>
      <c r="AL330" s="852"/>
      <c r="AM330" s="852"/>
      <c r="AN330" s="852"/>
      <c r="AO330" s="852"/>
      <c r="AP330" s="852"/>
      <c r="AQ330" s="852"/>
      <c r="AR330" s="853"/>
      <c r="AS330" s="854">
        <f t="shared" si="233"/>
        <v>0</v>
      </c>
      <c r="AT330" s="855"/>
      <c r="AU330" s="856"/>
      <c r="AV330" s="857"/>
      <c r="AW330" s="857"/>
      <c r="AX330" s="856"/>
      <c r="AY330" s="856"/>
      <c r="AZ330" s="856"/>
      <c r="BA330" s="856"/>
      <c r="BB330" s="857">
        <v>0</v>
      </c>
      <c r="BC330" s="857">
        <v>0</v>
      </c>
      <c r="BD330" s="856">
        <v>0</v>
      </c>
      <c r="BE330" s="865">
        <v>0</v>
      </c>
      <c r="BF330" s="866">
        <f t="shared" si="232"/>
        <v>0</v>
      </c>
      <c r="BG330" s="864"/>
      <c r="BH330" s="857"/>
      <c r="BI330" s="859"/>
      <c r="BJ330" s="859"/>
      <c r="BK330" s="867">
        <v>1017.08</v>
      </c>
      <c r="BL330" s="860"/>
      <c r="BM330" s="860"/>
      <c r="BN330" s="860"/>
      <c r="BO330" s="860"/>
      <c r="BP330" s="860"/>
      <c r="BQ330" s="860"/>
      <c r="BR330" s="861"/>
      <c r="BS330" s="854">
        <f t="shared" si="234"/>
        <v>1017.08</v>
      </c>
      <c r="BT330" s="862"/>
      <c r="BU330" s="862"/>
      <c r="BV330" s="862"/>
      <c r="BW330" s="862"/>
      <c r="BX330" s="862"/>
      <c r="BY330" s="862"/>
      <c r="BZ330" s="862"/>
      <c r="CA330" s="862"/>
      <c r="CB330" s="862"/>
      <c r="CC330" s="862"/>
      <c r="CD330" s="862"/>
      <c r="CE330" s="862"/>
      <c r="CF330" s="862"/>
      <c r="CG330" s="862"/>
      <c r="CH330" s="863">
        <f t="shared" si="235"/>
        <v>1017.08</v>
      </c>
      <c r="CI330" s="863">
        <f t="shared" si="236"/>
        <v>0</v>
      </c>
      <c r="CJ330" s="863">
        <f t="shared" si="237"/>
        <v>1017.08</v>
      </c>
      <c r="CK330" s="710"/>
      <c r="CL330" s="710"/>
      <c r="CM330" s="710"/>
      <c r="CN330" s="512"/>
      <c r="CO330" s="512"/>
      <c r="CP330" s="512"/>
      <c r="CQ330" s="512"/>
      <c r="CR330" s="512"/>
      <c r="CS330" s="512"/>
      <c r="CT330" s="512"/>
      <c r="CU330" s="512"/>
      <c r="CV330" s="515"/>
    </row>
    <row r="331" spans="1:100">
      <c r="A331" s="844"/>
      <c r="B331" s="845" t="s">
        <v>868</v>
      </c>
      <c r="C331" s="846"/>
      <c r="D331" s="846"/>
      <c r="E331" s="846"/>
      <c r="F331" s="846"/>
      <c r="G331" s="846"/>
      <c r="H331" s="846"/>
      <c r="I331" s="846"/>
      <c r="J331" s="846"/>
      <c r="K331" s="846"/>
      <c r="L331" s="846" t="s">
        <v>558</v>
      </c>
      <c r="M331" s="846"/>
      <c r="N331" s="846"/>
      <c r="O331" s="846"/>
      <c r="P331" s="846"/>
      <c r="Q331" s="846"/>
      <c r="R331" s="846"/>
      <c r="S331" s="846"/>
      <c r="T331" s="847"/>
      <c r="U331" s="848">
        <v>150.47999999999999</v>
      </c>
      <c r="V331" s="848">
        <v>250.8</v>
      </c>
      <c r="W331" s="848">
        <v>200.64</v>
      </c>
      <c r="X331" s="848">
        <v>200.64</v>
      </c>
      <c r="Y331" s="848">
        <v>100.32</v>
      </c>
      <c r="Z331" s="848"/>
      <c r="AA331" s="848">
        <v>100.32</v>
      </c>
      <c r="AB331" s="848"/>
      <c r="AC331" s="848">
        <v>100.32</v>
      </c>
      <c r="AD331" s="848"/>
      <c r="AE331" s="849"/>
      <c r="AF331" s="850">
        <f t="shared" si="231"/>
        <v>1103.5199999999998</v>
      </c>
      <c r="AG331" s="851"/>
      <c r="AH331" s="852">
        <v>100.32</v>
      </c>
      <c r="AI331" s="852">
        <v>200.64</v>
      </c>
      <c r="AJ331" s="852">
        <v>211.84</v>
      </c>
      <c r="AK331" s="852"/>
      <c r="AL331" s="852"/>
      <c r="AM331" s="852"/>
      <c r="AN331" s="852"/>
      <c r="AO331" s="852"/>
      <c r="AP331" s="852"/>
      <c r="AQ331" s="852"/>
      <c r="AR331" s="853"/>
      <c r="AS331" s="854">
        <f t="shared" si="233"/>
        <v>512.79999999999995</v>
      </c>
      <c r="AT331" s="855"/>
      <c r="AU331" s="856"/>
      <c r="AV331" s="857"/>
      <c r="AW331" s="857"/>
      <c r="AX331" s="856"/>
      <c r="AY331" s="856"/>
      <c r="AZ331" s="856"/>
      <c r="BA331" s="856"/>
      <c r="BB331" s="857">
        <v>0</v>
      </c>
      <c r="BC331" s="857">
        <v>0</v>
      </c>
      <c r="BD331" s="856">
        <v>0</v>
      </c>
      <c r="BE331" s="865">
        <v>0</v>
      </c>
      <c r="BF331" s="866">
        <f t="shared" si="232"/>
        <v>0</v>
      </c>
      <c r="BG331" s="864">
        <v>156.18</v>
      </c>
      <c r="BH331" s="857">
        <v>0</v>
      </c>
      <c r="BI331" s="859">
        <v>159.72</v>
      </c>
      <c r="BJ331" s="859">
        <v>254</v>
      </c>
      <c r="BK331" s="860">
        <v>558.79999999999995</v>
      </c>
      <c r="BL331" s="860"/>
      <c r="BM331" s="860"/>
      <c r="BN331" s="860"/>
      <c r="BO331" s="860"/>
      <c r="BP331" s="860"/>
      <c r="BQ331" s="860"/>
      <c r="BR331" s="861"/>
      <c r="BS331" s="854">
        <f t="shared" si="234"/>
        <v>1128.6999999999998</v>
      </c>
      <c r="BT331" s="862"/>
      <c r="BU331" s="862"/>
      <c r="BV331" s="862"/>
      <c r="BW331" s="862"/>
      <c r="BX331" s="862"/>
      <c r="BY331" s="862"/>
      <c r="BZ331" s="862"/>
      <c r="CA331" s="862"/>
      <c r="CB331" s="862"/>
      <c r="CC331" s="862"/>
      <c r="CD331" s="862"/>
      <c r="CE331" s="862"/>
      <c r="CF331" s="862"/>
      <c r="CG331" s="862"/>
      <c r="CH331" s="863">
        <f t="shared" si="235"/>
        <v>2745.0199999999995</v>
      </c>
      <c r="CI331" s="863">
        <f t="shared" si="236"/>
        <v>0</v>
      </c>
      <c r="CJ331" s="863">
        <f t="shared" si="237"/>
        <v>2745.0199999999995</v>
      </c>
      <c r="CK331" s="710"/>
      <c r="CL331" s="710"/>
      <c r="CM331" s="710"/>
      <c r="CN331" s="512"/>
      <c r="CO331" s="512"/>
      <c r="CP331" s="512"/>
      <c r="CQ331" s="512"/>
      <c r="CR331" s="512"/>
      <c r="CS331" s="512"/>
      <c r="CT331" s="512"/>
      <c r="CU331" s="512"/>
      <c r="CV331" s="515"/>
    </row>
    <row r="332" spans="1:100">
      <c r="A332" s="844"/>
      <c r="B332" s="845" t="s">
        <v>869</v>
      </c>
      <c r="C332" s="846"/>
      <c r="D332" s="846"/>
      <c r="E332" s="846"/>
      <c r="F332" s="846"/>
      <c r="G332" s="846"/>
      <c r="H332" s="846"/>
      <c r="I332" s="846"/>
      <c r="J332" s="846"/>
      <c r="K332" s="846"/>
      <c r="L332" s="846"/>
      <c r="M332" s="846"/>
      <c r="N332" s="846"/>
      <c r="O332" s="846"/>
      <c r="P332" s="846"/>
      <c r="Q332" s="846"/>
      <c r="R332" s="846"/>
      <c r="S332" s="846"/>
      <c r="T332" s="847"/>
      <c r="U332" s="848"/>
      <c r="V332" s="848"/>
      <c r="W332" s="848"/>
      <c r="X332" s="848"/>
      <c r="Y332" s="848"/>
      <c r="Z332" s="848"/>
      <c r="AA332" s="848"/>
      <c r="AB332" s="848"/>
      <c r="AC332" s="848"/>
      <c r="AD332" s="848"/>
      <c r="AE332" s="849">
        <v>76.92</v>
      </c>
      <c r="AF332" s="850">
        <f t="shared" si="231"/>
        <v>76.92</v>
      </c>
      <c r="AG332" s="851"/>
      <c r="AH332" s="852"/>
      <c r="AI332" s="852"/>
      <c r="AJ332" s="852"/>
      <c r="AK332" s="852"/>
      <c r="AL332" s="852"/>
      <c r="AM332" s="852"/>
      <c r="AN332" s="852"/>
      <c r="AO332" s="852"/>
      <c r="AP332" s="852"/>
      <c r="AQ332" s="852"/>
      <c r="AR332" s="853"/>
      <c r="AS332" s="854">
        <f t="shared" si="233"/>
        <v>0</v>
      </c>
      <c r="AT332" s="855"/>
      <c r="AU332" s="856"/>
      <c r="AV332" s="857"/>
      <c r="AW332" s="857"/>
      <c r="AX332" s="856"/>
      <c r="AY332" s="856"/>
      <c r="AZ332" s="856"/>
      <c r="BA332" s="856"/>
      <c r="BB332" s="857">
        <v>0</v>
      </c>
      <c r="BC332" s="857">
        <v>0</v>
      </c>
      <c r="BD332" s="856">
        <v>0</v>
      </c>
      <c r="BE332" s="865">
        <v>0</v>
      </c>
      <c r="BF332" s="866">
        <f t="shared" si="232"/>
        <v>0</v>
      </c>
      <c r="BG332" s="864">
        <v>0</v>
      </c>
      <c r="BH332" s="857">
        <v>0</v>
      </c>
      <c r="BI332" s="859">
        <v>0</v>
      </c>
      <c r="BJ332" s="859">
        <v>0</v>
      </c>
      <c r="BK332" s="860">
        <v>0</v>
      </c>
      <c r="BL332" s="860"/>
      <c r="BM332" s="860"/>
      <c r="BN332" s="860"/>
      <c r="BO332" s="860"/>
      <c r="BP332" s="860"/>
      <c r="BQ332" s="860"/>
      <c r="BR332" s="861"/>
      <c r="BS332" s="854">
        <f t="shared" si="234"/>
        <v>0</v>
      </c>
      <c r="BT332" s="862"/>
      <c r="BU332" s="862"/>
      <c r="BV332" s="862"/>
      <c r="BW332" s="862"/>
      <c r="BX332" s="862"/>
      <c r="BY332" s="862"/>
      <c r="BZ332" s="862"/>
      <c r="CA332" s="862"/>
      <c r="CB332" s="862"/>
      <c r="CC332" s="862"/>
      <c r="CD332" s="862"/>
      <c r="CE332" s="862"/>
      <c r="CF332" s="862"/>
      <c r="CG332" s="862"/>
      <c r="CH332" s="863">
        <f t="shared" si="235"/>
        <v>76.92</v>
      </c>
      <c r="CI332" s="863">
        <f t="shared" si="236"/>
        <v>0</v>
      </c>
      <c r="CJ332" s="863">
        <f t="shared" si="237"/>
        <v>76.92</v>
      </c>
      <c r="CK332" s="710"/>
      <c r="CL332" s="710"/>
      <c r="CM332" s="710"/>
      <c r="CN332" s="512"/>
      <c r="CO332" s="512"/>
      <c r="CP332" s="512"/>
      <c r="CQ332" s="512"/>
      <c r="CR332" s="512"/>
      <c r="CS332" s="512"/>
      <c r="CT332" s="512"/>
      <c r="CU332" s="512"/>
      <c r="CV332" s="515"/>
    </row>
    <row r="333" spans="1:100">
      <c r="A333" s="844"/>
      <c r="B333" s="845" t="s">
        <v>870</v>
      </c>
      <c r="C333" s="846"/>
      <c r="D333" s="846"/>
      <c r="E333" s="846"/>
      <c r="F333" s="846"/>
      <c r="G333" s="846"/>
      <c r="H333" s="846"/>
      <c r="I333" s="846"/>
      <c r="J333" s="846"/>
      <c r="K333" s="846"/>
      <c r="L333" s="846"/>
      <c r="M333" s="846"/>
      <c r="N333" s="846"/>
      <c r="O333" s="846"/>
      <c r="P333" s="846"/>
      <c r="Q333" s="846"/>
      <c r="R333" s="846"/>
      <c r="S333" s="846"/>
      <c r="T333" s="847"/>
      <c r="U333" s="848"/>
      <c r="V333" s="848"/>
      <c r="W333" s="848">
        <v>657.44</v>
      </c>
      <c r="X333" s="848">
        <v>1985.16</v>
      </c>
      <c r="Y333" s="848">
        <v>576.36</v>
      </c>
      <c r="Z333" s="848">
        <v>192.12</v>
      </c>
      <c r="AA333" s="848"/>
      <c r="AB333" s="848"/>
      <c r="AC333" s="848">
        <v>774.56</v>
      </c>
      <c r="AD333" s="848"/>
      <c r="AE333" s="849"/>
      <c r="AF333" s="850">
        <f t="shared" si="231"/>
        <v>4185.6400000000003</v>
      </c>
      <c r="AG333" s="851"/>
      <c r="AH333" s="852"/>
      <c r="AI333" s="852"/>
      <c r="AJ333" s="852"/>
      <c r="AK333" s="852"/>
      <c r="AL333" s="852"/>
      <c r="AM333" s="852"/>
      <c r="AN333" s="852"/>
      <c r="AO333" s="852"/>
      <c r="AP333" s="852"/>
      <c r="AQ333" s="852"/>
      <c r="AR333" s="853"/>
      <c r="AS333" s="854">
        <f t="shared" si="233"/>
        <v>0</v>
      </c>
      <c r="AT333" s="855"/>
      <c r="AU333" s="856"/>
      <c r="AV333" s="857"/>
      <c r="AW333" s="857"/>
      <c r="AX333" s="856"/>
      <c r="AY333" s="856"/>
      <c r="AZ333" s="856"/>
      <c r="BA333" s="856"/>
      <c r="BB333" s="857">
        <v>0</v>
      </c>
      <c r="BC333" s="857">
        <v>0</v>
      </c>
      <c r="BD333" s="856">
        <v>0</v>
      </c>
      <c r="BE333" s="865">
        <v>0</v>
      </c>
      <c r="BF333" s="866">
        <f t="shared" si="232"/>
        <v>0</v>
      </c>
      <c r="BG333" s="864">
        <v>0</v>
      </c>
      <c r="BH333" s="857">
        <v>0</v>
      </c>
      <c r="BI333" s="859">
        <v>0</v>
      </c>
      <c r="BJ333" s="859">
        <v>0</v>
      </c>
      <c r="BK333" s="860">
        <v>0</v>
      </c>
      <c r="BL333" s="860"/>
      <c r="BM333" s="860"/>
      <c r="BN333" s="860"/>
      <c r="BO333" s="860"/>
      <c r="BP333" s="860"/>
      <c r="BQ333" s="860"/>
      <c r="BR333" s="861"/>
      <c r="BS333" s="854">
        <f t="shared" si="234"/>
        <v>0</v>
      </c>
      <c r="BT333" s="862"/>
      <c r="BU333" s="862"/>
      <c r="BV333" s="862"/>
      <c r="BW333" s="862"/>
      <c r="BX333" s="862"/>
      <c r="BY333" s="862"/>
      <c r="BZ333" s="862"/>
      <c r="CA333" s="862"/>
      <c r="CB333" s="862"/>
      <c r="CC333" s="862"/>
      <c r="CD333" s="862"/>
      <c r="CE333" s="862"/>
      <c r="CF333" s="862"/>
      <c r="CG333" s="862"/>
      <c r="CH333" s="863">
        <f t="shared" si="235"/>
        <v>4185.6400000000003</v>
      </c>
      <c r="CI333" s="863">
        <f t="shared" si="236"/>
        <v>0</v>
      </c>
      <c r="CJ333" s="863">
        <f t="shared" si="237"/>
        <v>4185.6400000000003</v>
      </c>
      <c r="CK333" s="710"/>
      <c r="CL333" s="710"/>
      <c r="CM333" s="710"/>
      <c r="CN333" s="512"/>
      <c r="CO333" s="512"/>
      <c r="CP333" s="512"/>
      <c r="CQ333" s="512"/>
      <c r="CR333" s="512"/>
      <c r="CS333" s="512"/>
      <c r="CT333" s="512"/>
      <c r="CU333" s="512"/>
      <c r="CV333" s="515"/>
    </row>
    <row r="334" spans="1:100">
      <c r="A334" s="844"/>
      <c r="B334" s="845" t="s">
        <v>871</v>
      </c>
      <c r="C334" s="846"/>
      <c r="D334" s="846"/>
      <c r="E334" s="846"/>
      <c r="F334" s="846"/>
      <c r="G334" s="846"/>
      <c r="H334" s="846"/>
      <c r="I334" s="846"/>
      <c r="J334" s="846"/>
      <c r="K334" s="846"/>
      <c r="L334" s="846"/>
      <c r="M334" s="846"/>
      <c r="N334" s="846"/>
      <c r="O334" s="846"/>
      <c r="P334" s="846"/>
      <c r="Q334" s="846"/>
      <c r="R334" s="846"/>
      <c r="S334" s="846"/>
      <c r="T334" s="847"/>
      <c r="U334" s="848"/>
      <c r="V334" s="848"/>
      <c r="W334" s="848"/>
      <c r="X334" s="848"/>
      <c r="Y334" s="848"/>
      <c r="Z334" s="848"/>
      <c r="AA334" s="848"/>
      <c r="AB334" s="848"/>
      <c r="AC334" s="848"/>
      <c r="AD334" s="848"/>
      <c r="AE334" s="849"/>
      <c r="AF334" s="850">
        <f t="shared" si="231"/>
        <v>0</v>
      </c>
      <c r="AG334" s="851">
        <v>141.85</v>
      </c>
      <c r="AH334" s="852">
        <v>170.22</v>
      </c>
      <c r="AI334" s="852"/>
      <c r="AJ334" s="852"/>
      <c r="AK334" s="852"/>
      <c r="AL334" s="852"/>
      <c r="AM334" s="852"/>
      <c r="AN334" s="852"/>
      <c r="AO334" s="852"/>
      <c r="AP334" s="852"/>
      <c r="AQ334" s="852"/>
      <c r="AR334" s="853"/>
      <c r="AS334" s="854">
        <f t="shared" si="233"/>
        <v>312.07</v>
      </c>
      <c r="AT334" s="855"/>
      <c r="AU334" s="856"/>
      <c r="AV334" s="857"/>
      <c r="AW334" s="857"/>
      <c r="AX334" s="856"/>
      <c r="AY334" s="856"/>
      <c r="AZ334" s="856"/>
      <c r="BA334" s="856"/>
      <c r="BB334" s="857">
        <v>0</v>
      </c>
      <c r="BC334" s="857">
        <v>0</v>
      </c>
      <c r="BD334" s="856">
        <v>0</v>
      </c>
      <c r="BE334" s="865">
        <v>0</v>
      </c>
      <c r="BF334" s="866">
        <f t="shared" si="232"/>
        <v>0</v>
      </c>
      <c r="BG334" s="864">
        <v>0</v>
      </c>
      <c r="BH334" s="857">
        <v>0</v>
      </c>
      <c r="BI334" s="859">
        <v>0</v>
      </c>
      <c r="BJ334" s="859">
        <v>0</v>
      </c>
      <c r="BK334" s="860">
        <v>0</v>
      </c>
      <c r="BL334" s="860"/>
      <c r="BM334" s="860"/>
      <c r="BN334" s="860"/>
      <c r="BO334" s="860"/>
      <c r="BP334" s="860"/>
      <c r="BQ334" s="860"/>
      <c r="BR334" s="861"/>
      <c r="BS334" s="854">
        <f t="shared" si="234"/>
        <v>0</v>
      </c>
      <c r="BT334" s="862"/>
      <c r="BU334" s="862"/>
      <c r="BV334" s="862"/>
      <c r="BW334" s="862"/>
      <c r="BX334" s="862"/>
      <c r="BY334" s="862"/>
      <c r="BZ334" s="862"/>
      <c r="CA334" s="862"/>
      <c r="CB334" s="862"/>
      <c r="CC334" s="862"/>
      <c r="CD334" s="862"/>
      <c r="CE334" s="862"/>
      <c r="CF334" s="862"/>
      <c r="CG334" s="862"/>
      <c r="CH334" s="863">
        <f t="shared" si="235"/>
        <v>312.07</v>
      </c>
      <c r="CI334" s="863">
        <f t="shared" si="236"/>
        <v>0</v>
      </c>
      <c r="CJ334" s="863">
        <f t="shared" si="237"/>
        <v>312.07</v>
      </c>
      <c r="CK334" s="710"/>
      <c r="CL334" s="710"/>
      <c r="CM334" s="710"/>
      <c r="CN334" s="512"/>
      <c r="CO334" s="512"/>
      <c r="CP334" s="512"/>
      <c r="CQ334" s="512"/>
      <c r="CR334" s="512"/>
      <c r="CS334" s="512"/>
      <c r="CT334" s="512"/>
      <c r="CU334" s="512"/>
      <c r="CV334" s="515"/>
    </row>
    <row r="335" spans="1:100">
      <c r="A335" s="844"/>
      <c r="B335" s="845" t="s">
        <v>872</v>
      </c>
      <c r="C335" s="846"/>
      <c r="D335" s="846"/>
      <c r="E335" s="846"/>
      <c r="F335" s="846"/>
      <c r="G335" s="846"/>
      <c r="H335" s="846"/>
      <c r="I335" s="846"/>
      <c r="J335" s="846"/>
      <c r="K335" s="846"/>
      <c r="L335" s="846"/>
      <c r="M335" s="846"/>
      <c r="N335" s="846"/>
      <c r="O335" s="846"/>
      <c r="P335" s="846"/>
      <c r="Q335" s="846"/>
      <c r="R335" s="846"/>
      <c r="S335" s="846"/>
      <c r="T335" s="847"/>
      <c r="U335" s="848"/>
      <c r="V335" s="848"/>
      <c r="W335" s="848"/>
      <c r="X335" s="848"/>
      <c r="Y335" s="848"/>
      <c r="Z335" s="848"/>
      <c r="AA335" s="848"/>
      <c r="AB335" s="848"/>
      <c r="AC335" s="848"/>
      <c r="AD335" s="848"/>
      <c r="AE335" s="849"/>
      <c r="AF335" s="850">
        <f t="shared" si="231"/>
        <v>0</v>
      </c>
      <c r="AG335" s="851"/>
      <c r="AH335" s="852"/>
      <c r="AI335" s="852"/>
      <c r="AJ335" s="852"/>
      <c r="AK335" s="852"/>
      <c r="AL335" s="852"/>
      <c r="AM335" s="852"/>
      <c r="AN335" s="852"/>
      <c r="AO335" s="852"/>
      <c r="AP335" s="852"/>
      <c r="AQ335" s="852"/>
      <c r="AR335" s="853"/>
      <c r="AS335" s="854">
        <f t="shared" si="233"/>
        <v>0</v>
      </c>
      <c r="AT335" s="855"/>
      <c r="AU335" s="856"/>
      <c r="AV335" s="857"/>
      <c r="AW335" s="857"/>
      <c r="AX335" s="856"/>
      <c r="AY335" s="856"/>
      <c r="AZ335" s="856"/>
      <c r="BA335" s="856"/>
      <c r="BB335" s="857">
        <v>0</v>
      </c>
      <c r="BC335" s="857">
        <v>0</v>
      </c>
      <c r="BD335" s="856">
        <v>0</v>
      </c>
      <c r="BE335" s="865">
        <v>0</v>
      </c>
      <c r="BF335" s="866">
        <f t="shared" si="232"/>
        <v>0</v>
      </c>
      <c r="BG335" s="864">
        <v>0</v>
      </c>
      <c r="BH335" s="857">
        <v>242.28</v>
      </c>
      <c r="BI335" s="859">
        <v>1453.54</v>
      </c>
      <c r="BJ335" s="859">
        <v>3145.64</v>
      </c>
      <c r="BK335" s="860">
        <v>1865.25</v>
      </c>
      <c r="BL335" s="860"/>
      <c r="BM335" s="860"/>
      <c r="BN335" s="860"/>
      <c r="BO335" s="860"/>
      <c r="BP335" s="860"/>
      <c r="BQ335" s="860"/>
      <c r="BR335" s="861"/>
      <c r="BS335" s="854">
        <f t="shared" si="234"/>
        <v>6706.71</v>
      </c>
      <c r="BT335" s="862"/>
      <c r="BU335" s="862"/>
      <c r="BV335" s="862"/>
      <c r="BW335" s="862"/>
      <c r="BX335" s="862"/>
      <c r="BY335" s="862"/>
      <c r="BZ335" s="862"/>
      <c r="CA335" s="862"/>
      <c r="CB335" s="862"/>
      <c r="CC335" s="862"/>
      <c r="CD335" s="862"/>
      <c r="CE335" s="862"/>
      <c r="CF335" s="862"/>
      <c r="CG335" s="862"/>
      <c r="CH335" s="863">
        <f t="shared" si="235"/>
        <v>6706.71</v>
      </c>
      <c r="CI335" s="863">
        <f t="shared" si="236"/>
        <v>0</v>
      </c>
      <c r="CJ335" s="863">
        <f t="shared" si="237"/>
        <v>6706.71</v>
      </c>
      <c r="CK335" s="710"/>
      <c r="CL335" s="710"/>
      <c r="CM335" s="710"/>
      <c r="CN335" s="512"/>
      <c r="CO335" s="512"/>
      <c r="CP335" s="512"/>
      <c r="CQ335" s="512"/>
      <c r="CR335" s="512"/>
      <c r="CS335" s="512"/>
      <c r="CT335" s="512"/>
      <c r="CU335" s="512"/>
      <c r="CV335" s="515"/>
    </row>
    <row r="336" spans="1:100">
      <c r="A336" s="844"/>
      <c r="B336" s="845" t="s">
        <v>873</v>
      </c>
      <c r="C336" s="846"/>
      <c r="D336" s="846"/>
      <c r="E336" s="846"/>
      <c r="F336" s="846"/>
      <c r="G336" s="846"/>
      <c r="H336" s="846"/>
      <c r="I336" s="846"/>
      <c r="J336" s="846"/>
      <c r="K336" s="846"/>
      <c r="L336" s="846"/>
      <c r="M336" s="846"/>
      <c r="N336" s="846"/>
      <c r="O336" s="846"/>
      <c r="P336" s="846"/>
      <c r="Q336" s="846"/>
      <c r="R336" s="846"/>
      <c r="S336" s="846"/>
      <c r="T336" s="847">
        <v>584.35</v>
      </c>
      <c r="U336" s="848">
        <v>207.35</v>
      </c>
      <c r="V336" s="848"/>
      <c r="W336" s="848"/>
      <c r="X336" s="848"/>
      <c r="Y336" s="848"/>
      <c r="Z336" s="848"/>
      <c r="AA336" s="848"/>
      <c r="AB336" s="848"/>
      <c r="AC336" s="848"/>
      <c r="AD336" s="848"/>
      <c r="AE336" s="849">
        <v>194.13</v>
      </c>
      <c r="AF336" s="850">
        <f t="shared" si="231"/>
        <v>985.83</v>
      </c>
      <c r="AG336" s="851"/>
      <c r="AH336" s="852"/>
      <c r="AI336" s="852"/>
      <c r="AJ336" s="852"/>
      <c r="AK336" s="852"/>
      <c r="AL336" s="852"/>
      <c r="AM336" s="852"/>
      <c r="AN336" s="852"/>
      <c r="AO336" s="852"/>
      <c r="AP336" s="852"/>
      <c r="AQ336" s="852"/>
      <c r="AR336" s="853"/>
      <c r="AS336" s="854">
        <f t="shared" si="233"/>
        <v>0</v>
      </c>
      <c r="AT336" s="864">
        <v>870.1</v>
      </c>
      <c r="AU336" s="856">
        <v>237.33</v>
      </c>
      <c r="AV336" s="857">
        <v>672.35</v>
      </c>
      <c r="AW336" s="857">
        <v>1661.1</v>
      </c>
      <c r="AX336" s="857">
        <v>121.32</v>
      </c>
      <c r="AY336" s="856"/>
      <c r="AZ336" s="856"/>
      <c r="BA336" s="856"/>
      <c r="BB336" s="857">
        <v>0</v>
      </c>
      <c r="BC336" s="857">
        <v>0</v>
      </c>
      <c r="BD336" s="856">
        <v>0</v>
      </c>
      <c r="BE336" s="865">
        <v>0</v>
      </c>
      <c r="BF336" s="866">
        <f t="shared" si="232"/>
        <v>3562.2000000000003</v>
      </c>
      <c r="BG336" s="864">
        <v>0</v>
      </c>
      <c r="BH336" s="857">
        <v>0</v>
      </c>
      <c r="BI336" s="859">
        <v>0</v>
      </c>
      <c r="BJ336" s="859">
        <v>0</v>
      </c>
      <c r="BK336" s="860">
        <v>0</v>
      </c>
      <c r="BL336" s="860"/>
      <c r="BM336" s="860"/>
      <c r="BN336" s="860"/>
      <c r="BO336" s="860"/>
      <c r="BP336" s="860"/>
      <c r="BQ336" s="860"/>
      <c r="BR336" s="861"/>
      <c r="BS336" s="854">
        <f t="shared" si="234"/>
        <v>0</v>
      </c>
      <c r="BT336" s="862"/>
      <c r="BU336" s="862"/>
      <c r="BV336" s="862"/>
      <c r="BW336" s="862"/>
      <c r="BX336" s="862"/>
      <c r="BY336" s="862"/>
      <c r="BZ336" s="862"/>
      <c r="CA336" s="862"/>
      <c r="CB336" s="862"/>
      <c r="CC336" s="862"/>
      <c r="CD336" s="862"/>
      <c r="CE336" s="862"/>
      <c r="CF336" s="862"/>
      <c r="CG336" s="862"/>
      <c r="CH336" s="863">
        <f t="shared" si="235"/>
        <v>4548.03</v>
      </c>
      <c r="CI336" s="863">
        <f t="shared" si="236"/>
        <v>0</v>
      </c>
      <c r="CJ336" s="863">
        <f t="shared" si="237"/>
        <v>4548.03</v>
      </c>
      <c r="CK336" s="710"/>
      <c r="CL336" s="710"/>
      <c r="CM336" s="710"/>
      <c r="CN336" s="512"/>
      <c r="CO336" s="512"/>
      <c r="CP336" s="512"/>
      <c r="CQ336" s="512"/>
      <c r="CR336" s="512"/>
      <c r="CS336" s="512"/>
      <c r="CT336" s="512"/>
      <c r="CU336" s="512"/>
      <c r="CV336" s="515"/>
    </row>
    <row r="337" spans="1:100">
      <c r="A337" s="844"/>
      <c r="B337" s="845" t="s">
        <v>874</v>
      </c>
      <c r="C337" s="846"/>
      <c r="D337" s="846"/>
      <c r="E337" s="846"/>
      <c r="F337" s="846"/>
      <c r="G337" s="846"/>
      <c r="H337" s="846"/>
      <c r="I337" s="846"/>
      <c r="J337" s="846"/>
      <c r="K337" s="846"/>
      <c r="L337" s="846"/>
      <c r="M337" s="846"/>
      <c r="N337" s="846"/>
      <c r="O337" s="846"/>
      <c r="P337" s="846"/>
      <c r="Q337" s="846"/>
      <c r="R337" s="846"/>
      <c r="S337" s="846"/>
      <c r="T337" s="847"/>
      <c r="U337" s="848"/>
      <c r="V337" s="848"/>
      <c r="W337" s="848"/>
      <c r="X337" s="848"/>
      <c r="Y337" s="848"/>
      <c r="Z337" s="848"/>
      <c r="AA337" s="848"/>
      <c r="AB337" s="848"/>
      <c r="AC337" s="848"/>
      <c r="AD337" s="848">
        <v>1203.55</v>
      </c>
      <c r="AE337" s="849"/>
      <c r="AF337" s="850">
        <f t="shared" si="231"/>
        <v>1203.55</v>
      </c>
      <c r="AG337" s="851"/>
      <c r="AH337" s="852"/>
      <c r="AI337" s="852"/>
      <c r="AJ337" s="852"/>
      <c r="AK337" s="852"/>
      <c r="AL337" s="852"/>
      <c r="AM337" s="852"/>
      <c r="AN337" s="852"/>
      <c r="AO337" s="852"/>
      <c r="AP337" s="852"/>
      <c r="AQ337" s="852"/>
      <c r="AR337" s="853"/>
      <c r="AS337" s="854">
        <f t="shared" si="233"/>
        <v>0</v>
      </c>
      <c r="AT337" s="864">
        <v>395.5</v>
      </c>
      <c r="AU337" s="856"/>
      <c r="AV337" s="857">
        <v>791</v>
      </c>
      <c r="AW337" s="857">
        <v>237.3</v>
      </c>
      <c r="AX337" s="857">
        <v>121.32</v>
      </c>
      <c r="AY337" s="856">
        <v>727.92</v>
      </c>
      <c r="AZ337" s="856">
        <v>1718.7</v>
      </c>
      <c r="BA337" s="856">
        <v>2749.92</v>
      </c>
      <c r="BB337" s="857">
        <v>0</v>
      </c>
      <c r="BC337" s="857">
        <v>1213.2</v>
      </c>
      <c r="BD337" s="856">
        <v>244.41</v>
      </c>
      <c r="BE337" s="865">
        <v>0</v>
      </c>
      <c r="BF337" s="866">
        <f t="shared" si="232"/>
        <v>8199.27</v>
      </c>
      <c r="BG337" s="864">
        <v>0</v>
      </c>
      <c r="BH337" s="857">
        <v>0</v>
      </c>
      <c r="BI337" s="859">
        <v>0</v>
      </c>
      <c r="BJ337" s="859">
        <v>0</v>
      </c>
      <c r="BK337" s="860">
        <v>83.68</v>
      </c>
      <c r="BL337" s="860"/>
      <c r="BM337" s="860"/>
      <c r="BN337" s="860"/>
      <c r="BO337" s="860"/>
      <c r="BP337" s="860"/>
      <c r="BQ337" s="860"/>
      <c r="BR337" s="861"/>
      <c r="BS337" s="854">
        <f t="shared" si="234"/>
        <v>83.68</v>
      </c>
      <c r="BT337" s="862"/>
      <c r="BU337" s="862"/>
      <c r="BV337" s="862"/>
      <c r="BW337" s="862"/>
      <c r="BX337" s="862"/>
      <c r="BY337" s="862"/>
      <c r="BZ337" s="862"/>
      <c r="CA337" s="862"/>
      <c r="CB337" s="862"/>
      <c r="CC337" s="862"/>
      <c r="CD337" s="862"/>
      <c r="CE337" s="862"/>
      <c r="CF337" s="862"/>
      <c r="CG337" s="862"/>
      <c r="CH337" s="863">
        <f t="shared" si="235"/>
        <v>9486.5000000000018</v>
      </c>
      <c r="CI337" s="863">
        <f t="shared" si="236"/>
        <v>0</v>
      </c>
      <c r="CJ337" s="863">
        <f t="shared" si="237"/>
        <v>9486.5000000000018</v>
      </c>
      <c r="CK337" s="710"/>
      <c r="CL337" s="710"/>
      <c r="CM337" s="710"/>
      <c r="CN337" s="512"/>
      <c r="CO337" s="512"/>
      <c r="CP337" s="512"/>
      <c r="CQ337" s="512"/>
      <c r="CR337" s="512"/>
      <c r="CS337" s="512"/>
      <c r="CT337" s="512"/>
      <c r="CU337" s="512"/>
      <c r="CV337" s="515"/>
    </row>
    <row r="338" spans="1:100">
      <c r="A338" s="844"/>
      <c r="B338" s="845" t="s">
        <v>875</v>
      </c>
      <c r="C338" s="846"/>
      <c r="D338" s="846"/>
      <c r="E338" s="846"/>
      <c r="F338" s="846"/>
      <c r="G338" s="846"/>
      <c r="H338" s="846"/>
      <c r="I338" s="846"/>
      <c r="J338" s="846"/>
      <c r="K338" s="846"/>
      <c r="L338" s="846" t="s">
        <v>558</v>
      </c>
      <c r="M338" s="846"/>
      <c r="N338" s="846"/>
      <c r="O338" s="846"/>
      <c r="P338" s="846"/>
      <c r="Q338" s="846"/>
      <c r="R338" s="846"/>
      <c r="S338" s="846"/>
      <c r="T338" s="847"/>
      <c r="U338" s="848"/>
      <c r="V338" s="848"/>
      <c r="W338" s="848"/>
      <c r="X338" s="848"/>
      <c r="Y338" s="848"/>
      <c r="Z338" s="848"/>
      <c r="AA338" s="848"/>
      <c r="AB338" s="848"/>
      <c r="AC338" s="848"/>
      <c r="AD338" s="848"/>
      <c r="AE338" s="849"/>
      <c r="AF338" s="850">
        <f t="shared" si="231"/>
        <v>0</v>
      </c>
      <c r="AG338" s="851"/>
      <c r="AH338" s="852"/>
      <c r="AI338" s="852"/>
      <c r="AJ338" s="852"/>
      <c r="AK338" s="852"/>
      <c r="AL338" s="852"/>
      <c r="AM338" s="852"/>
      <c r="AN338" s="852"/>
      <c r="AO338" s="852"/>
      <c r="AP338" s="852"/>
      <c r="AQ338" s="852"/>
      <c r="AR338" s="853"/>
      <c r="AS338" s="854">
        <f t="shared" si="233"/>
        <v>0</v>
      </c>
      <c r="AT338" s="864"/>
      <c r="AU338" s="856"/>
      <c r="AV338" s="857"/>
      <c r="AW338" s="857"/>
      <c r="AX338" s="857">
        <v>757.44</v>
      </c>
      <c r="AY338" s="856">
        <v>253.98</v>
      </c>
      <c r="AZ338" s="856">
        <v>86.02</v>
      </c>
      <c r="BA338" s="856">
        <v>172.04</v>
      </c>
      <c r="BB338" s="857">
        <v>0</v>
      </c>
      <c r="BC338" s="857">
        <v>0</v>
      </c>
      <c r="BD338" s="856">
        <v>343.92</v>
      </c>
      <c r="BE338" s="865">
        <v>730.83</v>
      </c>
      <c r="BF338" s="866">
        <f t="shared" si="232"/>
        <v>2344.23</v>
      </c>
      <c r="BG338" s="864">
        <v>429.9</v>
      </c>
      <c r="BH338" s="857">
        <v>85.98</v>
      </c>
      <c r="BI338" s="859">
        <v>88.18</v>
      </c>
      <c r="BJ338" s="859">
        <v>88.18</v>
      </c>
      <c r="BK338" s="860">
        <v>88.18</v>
      </c>
      <c r="BL338" s="860"/>
      <c r="BM338" s="860"/>
      <c r="BN338" s="860"/>
      <c r="BO338" s="860"/>
      <c r="BP338" s="860"/>
      <c r="BQ338" s="860"/>
      <c r="BR338" s="861"/>
      <c r="BS338" s="854">
        <f t="shared" si="234"/>
        <v>780.42000000000007</v>
      </c>
      <c r="BT338" s="862"/>
      <c r="BU338" s="862"/>
      <c r="BV338" s="862"/>
      <c r="BW338" s="862"/>
      <c r="BX338" s="862"/>
      <c r="BY338" s="862"/>
      <c r="BZ338" s="862"/>
      <c r="CA338" s="862"/>
      <c r="CB338" s="862"/>
      <c r="CC338" s="862"/>
      <c r="CD338" s="862"/>
      <c r="CE338" s="862"/>
      <c r="CF338" s="862"/>
      <c r="CG338" s="862"/>
      <c r="CH338" s="863">
        <f t="shared" si="235"/>
        <v>3124.6499999999996</v>
      </c>
      <c r="CI338" s="863">
        <f t="shared" si="236"/>
        <v>0</v>
      </c>
      <c r="CJ338" s="863">
        <f t="shared" si="237"/>
        <v>3124.6499999999996</v>
      </c>
      <c r="CK338" s="710"/>
      <c r="CL338" s="710"/>
      <c r="CM338" s="710"/>
      <c r="CN338" s="512"/>
      <c r="CO338" s="512"/>
      <c r="CP338" s="512"/>
      <c r="CQ338" s="512"/>
      <c r="CR338" s="512"/>
      <c r="CS338" s="512"/>
      <c r="CT338" s="512"/>
      <c r="CU338" s="512"/>
      <c r="CV338" s="515"/>
    </row>
    <row r="339" spans="1:100">
      <c r="A339" s="844"/>
      <c r="B339" s="845" t="s">
        <v>876</v>
      </c>
      <c r="C339" s="846"/>
      <c r="D339" s="846"/>
      <c r="E339" s="846"/>
      <c r="F339" s="846"/>
      <c r="G339" s="846"/>
      <c r="H339" s="846"/>
      <c r="I339" s="846"/>
      <c r="J339" s="846"/>
      <c r="K339" s="846"/>
      <c r="L339" s="846"/>
      <c r="M339" s="846"/>
      <c r="N339" s="846"/>
      <c r="O339" s="846"/>
      <c r="P339" s="846"/>
      <c r="Q339" s="846"/>
      <c r="R339" s="846"/>
      <c r="S339" s="846"/>
      <c r="T339" s="847">
        <v>41.31</v>
      </c>
      <c r="U339" s="848">
        <v>206.55</v>
      </c>
      <c r="V339" s="848">
        <v>247.86</v>
      </c>
      <c r="W339" s="848"/>
      <c r="X339" s="848">
        <v>82.62</v>
      </c>
      <c r="Y339" s="848"/>
      <c r="Z339" s="848"/>
      <c r="AA339" s="848">
        <v>82.62</v>
      </c>
      <c r="AB339" s="848">
        <v>41.31</v>
      </c>
      <c r="AC339" s="848"/>
      <c r="AD339" s="848"/>
      <c r="AE339" s="849"/>
      <c r="AF339" s="850">
        <f t="shared" si="231"/>
        <v>702.27</v>
      </c>
      <c r="AG339" s="851">
        <v>82.62</v>
      </c>
      <c r="AH339" s="852"/>
      <c r="AI339" s="852"/>
      <c r="AJ339" s="852"/>
      <c r="AK339" s="852"/>
      <c r="AL339" s="852"/>
      <c r="AM339" s="852"/>
      <c r="AN339" s="852"/>
      <c r="AO339" s="852"/>
      <c r="AP339" s="852"/>
      <c r="AQ339" s="852"/>
      <c r="AR339" s="853"/>
      <c r="AS339" s="854">
        <f t="shared" si="233"/>
        <v>82.62</v>
      </c>
      <c r="AT339" s="864">
        <v>87.6</v>
      </c>
      <c r="AU339" s="856"/>
      <c r="AV339" s="857"/>
      <c r="AW339" s="857"/>
      <c r="AX339" s="857"/>
      <c r="AY339" s="856"/>
      <c r="AZ339" s="856"/>
      <c r="BA339" s="856"/>
      <c r="BB339" s="857">
        <v>0</v>
      </c>
      <c r="BC339" s="857">
        <v>0</v>
      </c>
      <c r="BD339" s="856">
        <v>0</v>
      </c>
      <c r="BE339" s="865">
        <v>0</v>
      </c>
      <c r="BF339" s="866">
        <f t="shared" si="232"/>
        <v>87.6</v>
      </c>
      <c r="BG339" s="864">
        <v>0</v>
      </c>
      <c r="BH339" s="857">
        <v>0</v>
      </c>
      <c r="BI339" s="859">
        <v>0</v>
      </c>
      <c r="BJ339" s="859">
        <v>0</v>
      </c>
      <c r="BK339" s="860">
        <v>0</v>
      </c>
      <c r="BL339" s="860"/>
      <c r="BM339" s="860"/>
      <c r="BN339" s="860"/>
      <c r="BO339" s="860"/>
      <c r="BP339" s="860"/>
      <c r="BQ339" s="860"/>
      <c r="BR339" s="861"/>
      <c r="BS339" s="854">
        <f t="shared" si="234"/>
        <v>0</v>
      </c>
      <c r="BT339" s="862"/>
      <c r="BU339" s="862"/>
      <c r="BV339" s="862"/>
      <c r="BW339" s="862"/>
      <c r="BX339" s="862"/>
      <c r="BY339" s="862"/>
      <c r="BZ339" s="862"/>
      <c r="CA339" s="862"/>
      <c r="CB339" s="862"/>
      <c r="CC339" s="862"/>
      <c r="CD339" s="862"/>
      <c r="CE339" s="862"/>
      <c r="CF339" s="862"/>
      <c r="CG339" s="862"/>
      <c r="CH339" s="863">
        <f t="shared" si="235"/>
        <v>872.49</v>
      </c>
      <c r="CI339" s="863">
        <f t="shared" si="236"/>
        <v>0</v>
      </c>
      <c r="CJ339" s="863">
        <f t="shared" si="237"/>
        <v>872.49</v>
      </c>
      <c r="CK339" s="710"/>
      <c r="CL339" s="710"/>
      <c r="CM339" s="710"/>
      <c r="CN339" s="512"/>
      <c r="CO339" s="512"/>
      <c r="CP339" s="512"/>
      <c r="CQ339" s="512"/>
      <c r="CR339" s="512"/>
      <c r="CS339" s="512"/>
      <c r="CT339" s="512"/>
      <c r="CU339" s="512"/>
      <c r="CV339" s="515"/>
    </row>
    <row r="340" spans="1:100">
      <c r="A340" s="844"/>
      <c r="B340" s="845" t="s">
        <v>877</v>
      </c>
      <c r="C340" s="846"/>
      <c r="D340" s="846"/>
      <c r="E340" s="846"/>
      <c r="F340" s="846"/>
      <c r="G340" s="846"/>
      <c r="H340" s="846"/>
      <c r="I340" s="846"/>
      <c r="J340" s="846"/>
      <c r="K340" s="846"/>
      <c r="L340" s="846"/>
      <c r="M340" s="846"/>
      <c r="N340" s="846"/>
      <c r="O340" s="846"/>
      <c r="P340" s="846"/>
      <c r="Q340" s="846"/>
      <c r="R340" s="846"/>
      <c r="S340" s="846"/>
      <c r="T340" s="847"/>
      <c r="U340" s="848"/>
      <c r="V340" s="848"/>
      <c r="W340" s="848"/>
      <c r="X340" s="848"/>
      <c r="Y340" s="848"/>
      <c r="Z340" s="848"/>
      <c r="AA340" s="848"/>
      <c r="AB340" s="848"/>
      <c r="AC340" s="848"/>
      <c r="AD340" s="848"/>
      <c r="AE340" s="849"/>
      <c r="AF340" s="850">
        <f t="shared" si="231"/>
        <v>0</v>
      </c>
      <c r="AG340" s="851"/>
      <c r="AH340" s="852"/>
      <c r="AI340" s="852"/>
      <c r="AJ340" s="852"/>
      <c r="AK340" s="852"/>
      <c r="AL340" s="852"/>
      <c r="AM340" s="852"/>
      <c r="AN340" s="852"/>
      <c r="AO340" s="852"/>
      <c r="AP340" s="852"/>
      <c r="AQ340" s="852">
        <v>177.24</v>
      </c>
      <c r="AR340" s="853">
        <v>177.24</v>
      </c>
      <c r="AS340" s="854">
        <f t="shared" si="233"/>
        <v>354.48</v>
      </c>
      <c r="AT340" s="864"/>
      <c r="AU340" s="856"/>
      <c r="AV340" s="857"/>
      <c r="AW340" s="857"/>
      <c r="AX340" s="857"/>
      <c r="AY340" s="856"/>
      <c r="AZ340" s="856"/>
      <c r="BA340" s="856"/>
      <c r="BB340" s="857">
        <v>0</v>
      </c>
      <c r="BC340" s="857">
        <v>0</v>
      </c>
      <c r="BD340" s="856">
        <v>0</v>
      </c>
      <c r="BE340" s="865">
        <v>0</v>
      </c>
      <c r="BF340" s="866">
        <f t="shared" si="232"/>
        <v>0</v>
      </c>
      <c r="BG340" s="864">
        <v>0</v>
      </c>
      <c r="BH340" s="857">
        <v>0</v>
      </c>
      <c r="BI340" s="859">
        <v>0</v>
      </c>
      <c r="BJ340" s="859">
        <v>0</v>
      </c>
      <c r="BK340" s="860">
        <v>0</v>
      </c>
      <c r="BL340" s="860"/>
      <c r="BM340" s="860"/>
      <c r="BN340" s="860"/>
      <c r="BO340" s="860"/>
      <c r="BP340" s="860"/>
      <c r="BQ340" s="860"/>
      <c r="BR340" s="861"/>
      <c r="BS340" s="854">
        <f t="shared" si="234"/>
        <v>0</v>
      </c>
      <c r="BT340" s="862"/>
      <c r="BU340" s="862"/>
      <c r="BV340" s="862"/>
      <c r="BW340" s="862"/>
      <c r="BX340" s="862"/>
      <c r="BY340" s="862"/>
      <c r="BZ340" s="862"/>
      <c r="CA340" s="862"/>
      <c r="CB340" s="862"/>
      <c r="CC340" s="862"/>
      <c r="CD340" s="862"/>
      <c r="CE340" s="862"/>
      <c r="CF340" s="862"/>
      <c r="CG340" s="862"/>
      <c r="CH340" s="863">
        <f t="shared" si="235"/>
        <v>354.48</v>
      </c>
      <c r="CI340" s="863">
        <f t="shared" si="236"/>
        <v>0</v>
      </c>
      <c r="CJ340" s="863">
        <f t="shared" si="237"/>
        <v>354.48</v>
      </c>
      <c r="CK340" s="710"/>
      <c r="CL340" s="710"/>
      <c r="CM340" s="710"/>
      <c r="CN340" s="512"/>
      <c r="CO340" s="512"/>
      <c r="CP340" s="512"/>
      <c r="CQ340" s="512"/>
      <c r="CR340" s="512"/>
      <c r="CS340" s="512"/>
      <c r="CT340" s="512"/>
      <c r="CU340" s="512"/>
      <c r="CV340" s="515"/>
    </row>
    <row r="341" spans="1:100">
      <c r="A341" s="844"/>
      <c r="B341" s="845" t="s">
        <v>878</v>
      </c>
      <c r="C341" s="846"/>
      <c r="D341" s="846"/>
      <c r="E341" s="846"/>
      <c r="F341" s="846"/>
      <c r="G341" s="846"/>
      <c r="H341" s="846"/>
      <c r="I341" s="846"/>
      <c r="J341" s="846"/>
      <c r="K341" s="846"/>
      <c r="L341" s="846"/>
      <c r="M341" s="846"/>
      <c r="N341" s="846"/>
      <c r="O341" s="846"/>
      <c r="P341" s="846"/>
      <c r="Q341" s="846"/>
      <c r="R341" s="846"/>
      <c r="S341" s="846"/>
      <c r="T341" s="847"/>
      <c r="U341" s="848"/>
      <c r="V341" s="848"/>
      <c r="W341" s="848"/>
      <c r="X341" s="848"/>
      <c r="Y341" s="848"/>
      <c r="Z341" s="848"/>
      <c r="AA341" s="848"/>
      <c r="AB341" s="848"/>
      <c r="AC341" s="848"/>
      <c r="AD341" s="848"/>
      <c r="AE341" s="849"/>
      <c r="AF341" s="850">
        <f t="shared" si="231"/>
        <v>0</v>
      </c>
      <c r="AG341" s="851"/>
      <c r="AH341" s="852"/>
      <c r="AI341" s="852"/>
      <c r="AJ341" s="852"/>
      <c r="AK341" s="852"/>
      <c r="AL341" s="852"/>
      <c r="AM341" s="852"/>
      <c r="AN341" s="852"/>
      <c r="AO341" s="852"/>
      <c r="AP341" s="852"/>
      <c r="AQ341" s="852"/>
      <c r="AR341" s="853"/>
      <c r="AS341" s="854">
        <f t="shared" si="233"/>
        <v>0</v>
      </c>
      <c r="AT341" s="864">
        <v>287.95</v>
      </c>
      <c r="AU341" s="856"/>
      <c r="AV341" s="857">
        <v>177.2</v>
      </c>
      <c r="AW341" s="857">
        <v>883.57</v>
      </c>
      <c r="AX341" s="857">
        <v>337.44</v>
      </c>
      <c r="AY341" s="856">
        <v>84.36</v>
      </c>
      <c r="AZ341" s="856"/>
      <c r="BA341" s="856"/>
      <c r="BB341" s="857">
        <v>0</v>
      </c>
      <c r="BC341" s="857">
        <v>0</v>
      </c>
      <c r="BD341" s="856">
        <v>0</v>
      </c>
      <c r="BE341" s="865">
        <v>0</v>
      </c>
      <c r="BF341" s="866">
        <f t="shared" si="232"/>
        <v>1770.52</v>
      </c>
      <c r="BG341" s="864">
        <v>941.64</v>
      </c>
      <c r="BH341" s="857">
        <v>190.24</v>
      </c>
      <c r="BI341" s="859">
        <v>713.4</v>
      </c>
      <c r="BJ341" s="859">
        <v>0</v>
      </c>
      <c r="BK341" s="860">
        <v>0</v>
      </c>
      <c r="BL341" s="860"/>
      <c r="BM341" s="860"/>
      <c r="BN341" s="860"/>
      <c r="BO341" s="860"/>
      <c r="BP341" s="860"/>
      <c r="BQ341" s="860"/>
      <c r="BR341" s="861"/>
      <c r="BS341" s="854">
        <f t="shared" si="234"/>
        <v>1845.2800000000002</v>
      </c>
      <c r="BT341" s="862"/>
      <c r="BU341" s="862"/>
      <c r="BV341" s="862"/>
      <c r="BW341" s="862"/>
      <c r="BX341" s="862"/>
      <c r="BY341" s="862"/>
      <c r="BZ341" s="862"/>
      <c r="CA341" s="862"/>
      <c r="CB341" s="862"/>
      <c r="CC341" s="862"/>
      <c r="CD341" s="862"/>
      <c r="CE341" s="862"/>
      <c r="CF341" s="862"/>
      <c r="CG341" s="862"/>
      <c r="CH341" s="863">
        <f t="shared" si="235"/>
        <v>3615.7999999999997</v>
      </c>
      <c r="CI341" s="863">
        <f t="shared" si="236"/>
        <v>0</v>
      </c>
      <c r="CJ341" s="863">
        <f t="shared" si="237"/>
        <v>3615.7999999999997</v>
      </c>
      <c r="CK341" s="710"/>
      <c r="CL341" s="710"/>
      <c r="CM341" s="710"/>
      <c r="CN341" s="512"/>
      <c r="CO341" s="512"/>
      <c r="CP341" s="512"/>
      <c r="CQ341" s="512"/>
      <c r="CR341" s="512"/>
      <c r="CS341" s="512"/>
      <c r="CT341" s="512"/>
      <c r="CU341" s="512"/>
      <c r="CV341" s="515"/>
    </row>
    <row r="342" spans="1:100">
      <c r="A342" s="844"/>
      <c r="B342" s="845" t="s">
        <v>879</v>
      </c>
      <c r="C342" s="846"/>
      <c r="D342" s="846"/>
      <c r="E342" s="846"/>
      <c r="F342" s="846"/>
      <c r="G342" s="846"/>
      <c r="H342" s="846"/>
      <c r="I342" s="846"/>
      <c r="J342" s="846"/>
      <c r="K342" s="846"/>
      <c r="L342" s="846"/>
      <c r="M342" s="846"/>
      <c r="N342" s="846"/>
      <c r="O342" s="846"/>
      <c r="P342" s="846"/>
      <c r="Q342" s="846"/>
      <c r="R342" s="846"/>
      <c r="S342" s="846"/>
      <c r="T342" s="847"/>
      <c r="U342" s="848"/>
      <c r="V342" s="848"/>
      <c r="W342" s="848"/>
      <c r="X342" s="848"/>
      <c r="Y342" s="848"/>
      <c r="Z342" s="848"/>
      <c r="AA342" s="848"/>
      <c r="AB342" s="848"/>
      <c r="AC342" s="848"/>
      <c r="AD342" s="848">
        <v>1426.83</v>
      </c>
      <c r="AE342" s="849">
        <v>58.23</v>
      </c>
      <c r="AF342" s="850">
        <f t="shared" si="231"/>
        <v>1485.06</v>
      </c>
      <c r="AG342" s="851"/>
      <c r="AH342" s="852"/>
      <c r="AI342" s="852"/>
      <c r="AJ342" s="852"/>
      <c r="AK342" s="852"/>
      <c r="AL342" s="852"/>
      <c r="AM342" s="852"/>
      <c r="AN342" s="852"/>
      <c r="AO342" s="852"/>
      <c r="AP342" s="852"/>
      <c r="AQ342" s="852"/>
      <c r="AR342" s="853"/>
      <c r="AS342" s="854">
        <f t="shared" si="233"/>
        <v>0</v>
      </c>
      <c r="AT342" s="864"/>
      <c r="AU342" s="856"/>
      <c r="AV342" s="857"/>
      <c r="AW342" s="857"/>
      <c r="AX342" s="857">
        <v>80.88</v>
      </c>
      <c r="AY342" s="856">
        <v>323.52</v>
      </c>
      <c r="AZ342" s="856">
        <v>202.2</v>
      </c>
      <c r="BA342" s="856">
        <v>80.88</v>
      </c>
      <c r="BB342" s="857">
        <v>0</v>
      </c>
      <c r="BC342" s="857">
        <v>1091.8800000000001</v>
      </c>
      <c r="BD342" s="856">
        <v>4704.43</v>
      </c>
      <c r="BE342" s="865">
        <v>5234.0600000000004</v>
      </c>
      <c r="BF342" s="866">
        <f t="shared" si="232"/>
        <v>11717.850000000002</v>
      </c>
      <c r="BG342" s="864">
        <v>9449.73</v>
      </c>
      <c r="BH342" s="857">
        <v>9796.17</v>
      </c>
      <c r="BI342" s="859">
        <v>9836.81</v>
      </c>
      <c r="BJ342" s="859">
        <v>6074.86</v>
      </c>
      <c r="BK342" s="860">
        <v>3619.1</v>
      </c>
      <c r="BL342" s="860"/>
      <c r="BM342" s="860"/>
      <c r="BN342" s="860"/>
      <c r="BO342" s="860"/>
      <c r="BP342" s="860"/>
      <c r="BQ342" s="860"/>
      <c r="BR342" s="861"/>
      <c r="BS342" s="854">
        <f t="shared" si="234"/>
        <v>38776.67</v>
      </c>
      <c r="BT342" s="862"/>
      <c r="BU342" s="862"/>
      <c r="BV342" s="862"/>
      <c r="BW342" s="862"/>
      <c r="BX342" s="862"/>
      <c r="BY342" s="862"/>
      <c r="BZ342" s="862"/>
      <c r="CA342" s="862"/>
      <c r="CB342" s="862"/>
      <c r="CC342" s="862"/>
      <c r="CD342" s="862"/>
      <c r="CE342" s="862"/>
      <c r="CF342" s="862"/>
      <c r="CG342" s="862"/>
      <c r="CH342" s="863">
        <f t="shared" si="235"/>
        <v>51979.579999999994</v>
      </c>
      <c r="CI342" s="863">
        <f t="shared" si="236"/>
        <v>0</v>
      </c>
      <c r="CJ342" s="863">
        <f t="shared" si="237"/>
        <v>51979.579999999994</v>
      </c>
      <c r="CK342" s="710"/>
      <c r="CL342" s="710"/>
      <c r="CM342" s="710"/>
      <c r="CN342" s="512"/>
      <c r="CO342" s="512"/>
      <c r="CP342" s="512"/>
      <c r="CQ342" s="512"/>
      <c r="CR342" s="512"/>
      <c r="CS342" s="512"/>
      <c r="CT342" s="512"/>
      <c r="CU342" s="512"/>
      <c r="CV342" s="515"/>
    </row>
    <row r="343" spans="1:100">
      <c r="A343" s="844"/>
      <c r="B343" s="845" t="s">
        <v>880</v>
      </c>
      <c r="C343" s="846"/>
      <c r="D343" s="846"/>
      <c r="E343" s="846"/>
      <c r="F343" s="846"/>
      <c r="G343" s="846"/>
      <c r="H343" s="846"/>
      <c r="I343" s="846"/>
      <c r="J343" s="846"/>
      <c r="K343" s="846"/>
      <c r="L343" s="846"/>
      <c r="M343" s="846"/>
      <c r="N343" s="846"/>
      <c r="O343" s="846"/>
      <c r="P343" s="846"/>
      <c r="Q343" s="846"/>
      <c r="R343" s="846"/>
      <c r="S343" s="846"/>
      <c r="T343" s="847">
        <v>0</v>
      </c>
      <c r="U343" s="848">
        <v>0</v>
      </c>
      <c r="V343" s="848">
        <v>0</v>
      </c>
      <c r="W343" s="848"/>
      <c r="X343" s="848">
        <v>0</v>
      </c>
      <c r="Y343" s="848"/>
      <c r="Z343" s="848"/>
      <c r="AA343" s="848">
        <v>0</v>
      </c>
      <c r="AB343" s="848">
        <v>0</v>
      </c>
      <c r="AC343" s="848">
        <v>1296.68</v>
      </c>
      <c r="AD343" s="848">
        <v>2222.98</v>
      </c>
      <c r="AE343" s="849">
        <v>5516.4</v>
      </c>
      <c r="AF343" s="850">
        <f t="shared" si="231"/>
        <v>9036.06</v>
      </c>
      <c r="AG343" s="851">
        <v>459.7</v>
      </c>
      <c r="AH343" s="852">
        <v>1471.04</v>
      </c>
      <c r="AI343" s="852"/>
      <c r="AJ343" s="852"/>
      <c r="AK343" s="852"/>
      <c r="AL343" s="852"/>
      <c r="AM343" s="852"/>
      <c r="AN343" s="852"/>
      <c r="AO343" s="852"/>
      <c r="AP343" s="852"/>
      <c r="AQ343" s="852"/>
      <c r="AR343" s="853"/>
      <c r="AS343" s="854">
        <f t="shared" si="233"/>
        <v>1930.74</v>
      </c>
      <c r="AT343" s="864"/>
      <c r="AU343" s="856"/>
      <c r="AV343" s="857"/>
      <c r="AW343" s="857"/>
      <c r="AX343" s="857"/>
      <c r="AY343" s="856"/>
      <c r="AZ343" s="856"/>
      <c r="BA343" s="856"/>
      <c r="BB343" s="857">
        <v>0</v>
      </c>
      <c r="BC343" s="857">
        <v>0</v>
      </c>
      <c r="BD343" s="856">
        <v>0</v>
      </c>
      <c r="BE343" s="865">
        <v>0</v>
      </c>
      <c r="BF343" s="866">
        <f t="shared" si="232"/>
        <v>0</v>
      </c>
      <c r="BG343" s="864">
        <v>0</v>
      </c>
      <c r="BH343" s="857">
        <v>0</v>
      </c>
      <c r="BI343" s="859">
        <v>0</v>
      </c>
      <c r="BJ343" s="859">
        <v>0</v>
      </c>
      <c r="BK343" s="860">
        <v>0</v>
      </c>
      <c r="BL343" s="860">
        <f>46*160*0.2</f>
        <v>1472</v>
      </c>
      <c r="BM343" s="860"/>
      <c r="BN343" s="860"/>
      <c r="BO343" s="860"/>
      <c r="BP343" s="860"/>
      <c r="BQ343" s="860"/>
      <c r="BR343" s="861"/>
      <c r="BS343" s="854">
        <f t="shared" si="234"/>
        <v>1472</v>
      </c>
      <c r="BT343" s="862"/>
      <c r="BU343" s="862"/>
      <c r="BV343" s="862"/>
      <c r="BW343" s="862"/>
      <c r="BX343" s="862"/>
      <c r="BY343" s="862"/>
      <c r="BZ343" s="862"/>
      <c r="CA343" s="862"/>
      <c r="CB343" s="862"/>
      <c r="CC343" s="862"/>
      <c r="CD343" s="862"/>
      <c r="CE343" s="862"/>
      <c r="CF343" s="862"/>
      <c r="CG343" s="862"/>
      <c r="CH343" s="863">
        <f t="shared" si="235"/>
        <v>10966.8</v>
      </c>
      <c r="CI343" s="863">
        <f t="shared" si="236"/>
        <v>1472</v>
      </c>
      <c r="CJ343" s="863">
        <f t="shared" si="237"/>
        <v>12438.8</v>
      </c>
      <c r="CK343" s="710"/>
      <c r="CL343" s="710"/>
      <c r="CM343" s="710"/>
      <c r="CN343" s="512"/>
      <c r="CO343" s="512"/>
      <c r="CP343" s="512"/>
      <c r="CQ343" s="512"/>
      <c r="CR343" s="512"/>
      <c r="CS343" s="512"/>
      <c r="CT343" s="512"/>
      <c r="CU343" s="512"/>
      <c r="CV343" s="515"/>
    </row>
    <row r="344" spans="1:100">
      <c r="A344" s="844"/>
      <c r="B344" s="845" t="s">
        <v>881</v>
      </c>
      <c r="C344" s="846"/>
      <c r="D344" s="846"/>
      <c r="E344" s="846"/>
      <c r="F344" s="846"/>
      <c r="G344" s="846"/>
      <c r="H344" s="846"/>
      <c r="I344" s="846"/>
      <c r="J344" s="846"/>
      <c r="K344" s="846"/>
      <c r="L344" s="846"/>
      <c r="M344" s="846"/>
      <c r="N344" s="846"/>
      <c r="O344" s="846"/>
      <c r="P344" s="846"/>
      <c r="Q344" s="846"/>
      <c r="R344" s="846"/>
      <c r="S344" s="846"/>
      <c r="T344" s="847">
        <v>0</v>
      </c>
      <c r="U344" s="848">
        <v>0</v>
      </c>
      <c r="V344" s="848">
        <v>0</v>
      </c>
      <c r="W344" s="848"/>
      <c r="X344" s="848">
        <v>0</v>
      </c>
      <c r="Y344" s="848"/>
      <c r="Z344" s="848"/>
      <c r="AA344" s="848">
        <v>0</v>
      </c>
      <c r="AB344" s="848">
        <v>0</v>
      </c>
      <c r="AC344" s="848"/>
      <c r="AD344" s="848"/>
      <c r="AE344" s="849"/>
      <c r="AF344" s="850">
        <f t="shared" si="231"/>
        <v>0</v>
      </c>
      <c r="AG344" s="851"/>
      <c r="AH344" s="852"/>
      <c r="AI344" s="852"/>
      <c r="AJ344" s="852"/>
      <c r="AK344" s="852"/>
      <c r="AL344" s="852"/>
      <c r="AM344" s="852"/>
      <c r="AN344" s="852">
        <v>7932.8</v>
      </c>
      <c r="AO344" s="852">
        <v>9369.6</v>
      </c>
      <c r="AP344" s="852">
        <v>6154.88</v>
      </c>
      <c r="AQ344" s="852">
        <v>7259.52</v>
      </c>
      <c r="AR344" s="853">
        <v>8023.68</v>
      </c>
      <c r="AS344" s="854">
        <f t="shared" si="233"/>
        <v>38740.480000000003</v>
      </c>
      <c r="AT344" s="864">
        <v>7259.52</v>
      </c>
      <c r="AU344" s="856">
        <v>3820.8</v>
      </c>
      <c r="AV344" s="857">
        <v>4584.96</v>
      </c>
      <c r="AW344" s="857">
        <v>6021.2</v>
      </c>
      <c r="AX344" s="857">
        <v>7837.2</v>
      </c>
      <c r="AY344" s="856">
        <v>7677.6</v>
      </c>
      <c r="AZ344" s="856">
        <v>7172.88</v>
      </c>
      <c r="BA344" s="856">
        <v>5880</v>
      </c>
      <c r="BB344" s="857">
        <v>1568</v>
      </c>
      <c r="BC344" s="857">
        <v>3185.92</v>
      </c>
      <c r="BD344" s="856">
        <v>2553.1999999999998</v>
      </c>
      <c r="BE344" s="865">
        <v>1964</v>
      </c>
      <c r="BF344" s="866">
        <f t="shared" si="232"/>
        <v>59525.279999999992</v>
      </c>
      <c r="BG344" s="864">
        <v>1964</v>
      </c>
      <c r="BH344" s="857">
        <v>1080.2</v>
      </c>
      <c r="BI344" s="859">
        <v>1258.75</v>
      </c>
      <c r="BJ344" s="859">
        <v>402.8</v>
      </c>
      <c r="BK344" s="860">
        <v>50.35</v>
      </c>
      <c r="BL344" s="860"/>
      <c r="BM344" s="860"/>
      <c r="BN344" s="860"/>
      <c r="BO344" s="860"/>
      <c r="BP344" s="860"/>
      <c r="BQ344" s="860"/>
      <c r="BR344" s="861"/>
      <c r="BS344" s="854">
        <f t="shared" si="234"/>
        <v>4756.1000000000004</v>
      </c>
      <c r="BT344" s="862"/>
      <c r="BU344" s="862"/>
      <c r="BV344" s="862"/>
      <c r="BW344" s="862"/>
      <c r="BX344" s="862"/>
      <c r="BY344" s="862"/>
      <c r="BZ344" s="862"/>
      <c r="CA344" s="862"/>
      <c r="CB344" s="862"/>
      <c r="CC344" s="862"/>
      <c r="CD344" s="862"/>
      <c r="CE344" s="862"/>
      <c r="CF344" s="862"/>
      <c r="CG344" s="862"/>
      <c r="CH344" s="863">
        <f t="shared" si="235"/>
        <v>103021.86000000002</v>
      </c>
      <c r="CI344" s="863">
        <f t="shared" si="236"/>
        <v>0</v>
      </c>
      <c r="CJ344" s="863">
        <f t="shared" si="237"/>
        <v>103021.86000000002</v>
      </c>
      <c r="CK344" s="710"/>
      <c r="CL344" s="710"/>
      <c r="CM344" s="710"/>
      <c r="CN344" s="512"/>
      <c r="CO344" s="512"/>
      <c r="CP344" s="512"/>
      <c r="CQ344" s="512"/>
      <c r="CR344" s="512"/>
      <c r="CS344" s="512"/>
      <c r="CT344" s="512"/>
      <c r="CU344" s="512"/>
      <c r="CV344" s="515"/>
    </row>
    <row r="345" spans="1:100">
      <c r="A345" s="844"/>
      <c r="B345" s="845" t="s">
        <v>882</v>
      </c>
      <c r="C345" s="846"/>
      <c r="D345" s="846"/>
      <c r="E345" s="846"/>
      <c r="F345" s="846"/>
      <c r="G345" s="846"/>
      <c r="H345" s="846"/>
      <c r="I345" s="846"/>
      <c r="J345" s="846"/>
      <c r="K345" s="846"/>
      <c r="L345" s="846"/>
      <c r="M345" s="846"/>
      <c r="N345" s="846"/>
      <c r="O345" s="846"/>
      <c r="P345" s="846"/>
      <c r="Q345" s="846"/>
      <c r="R345" s="846"/>
      <c r="S345" s="846"/>
      <c r="T345" s="847">
        <v>93.16</v>
      </c>
      <c r="U345" s="848"/>
      <c r="V345" s="848"/>
      <c r="W345" s="848"/>
      <c r="X345" s="848"/>
      <c r="Y345" s="848"/>
      <c r="Z345" s="848"/>
      <c r="AA345" s="848"/>
      <c r="AB345" s="848"/>
      <c r="AC345" s="848"/>
      <c r="AD345" s="848"/>
      <c r="AE345" s="849">
        <v>146.34</v>
      </c>
      <c r="AF345" s="850">
        <f t="shared" si="231"/>
        <v>239.5</v>
      </c>
      <c r="AG345" s="851"/>
      <c r="AH345" s="852"/>
      <c r="AI345" s="852"/>
      <c r="AJ345" s="852"/>
      <c r="AK345" s="852"/>
      <c r="AL345" s="852"/>
      <c r="AM345" s="852"/>
      <c r="AN345" s="852"/>
      <c r="AO345" s="852"/>
      <c r="AP345" s="852"/>
      <c r="AQ345" s="852"/>
      <c r="AR345" s="853"/>
      <c r="AS345" s="854">
        <f t="shared" si="233"/>
        <v>0</v>
      </c>
      <c r="AT345" s="864"/>
      <c r="AU345" s="856"/>
      <c r="AV345" s="857"/>
      <c r="AW345" s="857"/>
      <c r="AX345" s="857"/>
      <c r="AY345" s="856"/>
      <c r="AZ345" s="856"/>
      <c r="BA345" s="856"/>
      <c r="BB345" s="857">
        <v>0</v>
      </c>
      <c r="BC345" s="857">
        <v>0</v>
      </c>
      <c r="BD345" s="856">
        <v>0</v>
      </c>
      <c r="BE345" s="865">
        <v>0</v>
      </c>
      <c r="BF345" s="866">
        <f t="shared" si="232"/>
        <v>0</v>
      </c>
      <c r="BG345" s="864">
        <v>0</v>
      </c>
      <c r="BH345" s="857">
        <v>0</v>
      </c>
      <c r="BI345" s="859">
        <v>0</v>
      </c>
      <c r="BJ345" s="859">
        <v>0</v>
      </c>
      <c r="BK345" s="860">
        <v>0</v>
      </c>
      <c r="BL345" s="860"/>
      <c r="BM345" s="860"/>
      <c r="BN345" s="860"/>
      <c r="BO345" s="860"/>
      <c r="BP345" s="860"/>
      <c r="BQ345" s="860"/>
      <c r="BR345" s="861"/>
      <c r="BS345" s="854">
        <f t="shared" si="234"/>
        <v>0</v>
      </c>
      <c r="BT345" s="862"/>
      <c r="BU345" s="862"/>
      <c r="BV345" s="862"/>
      <c r="BW345" s="862"/>
      <c r="BX345" s="862"/>
      <c r="BY345" s="862"/>
      <c r="BZ345" s="862"/>
      <c r="CA345" s="862"/>
      <c r="CB345" s="862"/>
      <c r="CC345" s="862"/>
      <c r="CD345" s="862"/>
      <c r="CE345" s="862"/>
      <c r="CF345" s="862"/>
      <c r="CG345" s="862"/>
      <c r="CH345" s="863">
        <f t="shared" si="235"/>
        <v>239.5</v>
      </c>
      <c r="CI345" s="863">
        <f t="shared" si="236"/>
        <v>0</v>
      </c>
      <c r="CJ345" s="863">
        <f t="shared" si="237"/>
        <v>239.5</v>
      </c>
      <c r="CK345" s="710"/>
      <c r="CL345" s="710"/>
      <c r="CM345" s="710"/>
      <c r="CN345" s="512"/>
      <c r="CO345" s="512"/>
      <c r="CP345" s="512"/>
      <c r="CQ345" s="512"/>
      <c r="CR345" s="512"/>
      <c r="CS345" s="512"/>
      <c r="CT345" s="512"/>
      <c r="CU345" s="512"/>
      <c r="CV345" s="515"/>
    </row>
    <row r="346" spans="1:100">
      <c r="A346" s="844"/>
      <c r="B346" s="845" t="s">
        <v>883</v>
      </c>
      <c r="C346" s="846"/>
      <c r="D346" s="846"/>
      <c r="E346" s="846"/>
      <c r="F346" s="846"/>
      <c r="G346" s="846"/>
      <c r="H346" s="846"/>
      <c r="I346" s="846"/>
      <c r="J346" s="846"/>
      <c r="K346" s="846"/>
      <c r="L346" s="846"/>
      <c r="M346" s="846"/>
      <c r="N346" s="846"/>
      <c r="O346" s="846"/>
      <c r="P346" s="846"/>
      <c r="Q346" s="846"/>
      <c r="R346" s="846"/>
      <c r="S346" s="846"/>
      <c r="T346" s="847">
        <v>0</v>
      </c>
      <c r="U346" s="848"/>
      <c r="V346" s="848"/>
      <c r="W346" s="848"/>
      <c r="X346" s="848"/>
      <c r="Y346" s="848"/>
      <c r="Z346" s="848"/>
      <c r="AA346" s="848"/>
      <c r="AB346" s="848">
        <v>48.4</v>
      </c>
      <c r="AC346" s="848"/>
      <c r="AD346" s="848"/>
      <c r="AE346" s="849"/>
      <c r="AF346" s="850">
        <f t="shared" si="231"/>
        <v>48.4</v>
      </c>
      <c r="AG346" s="851"/>
      <c r="AH346" s="852"/>
      <c r="AI346" s="852"/>
      <c r="AJ346" s="852"/>
      <c r="AK346" s="852"/>
      <c r="AL346" s="852"/>
      <c r="AM346" s="852"/>
      <c r="AN346" s="852"/>
      <c r="AO346" s="852"/>
      <c r="AP346" s="852"/>
      <c r="AQ346" s="852"/>
      <c r="AR346" s="853"/>
      <c r="AS346" s="854">
        <f t="shared" si="233"/>
        <v>0</v>
      </c>
      <c r="AT346" s="864">
        <v>73.349999999999994</v>
      </c>
      <c r="AU346" s="856"/>
      <c r="AV346" s="857">
        <v>263.88</v>
      </c>
      <c r="AW346" s="857">
        <v>547.89</v>
      </c>
      <c r="AX346" s="857">
        <v>863.84</v>
      </c>
      <c r="AY346" s="856">
        <v>217.8</v>
      </c>
      <c r="AZ346" s="856">
        <v>69</v>
      </c>
      <c r="BA346" s="856"/>
      <c r="BB346" s="857">
        <v>97.12</v>
      </c>
      <c r="BC346" s="857">
        <v>24.28</v>
      </c>
      <c r="BD346" s="856">
        <v>0</v>
      </c>
      <c r="BE346" s="865">
        <v>143.66</v>
      </c>
      <c r="BF346" s="866">
        <f t="shared" si="232"/>
        <v>2300.8200000000002</v>
      </c>
      <c r="BG346" s="864">
        <v>679.12</v>
      </c>
      <c r="BH346" s="857">
        <v>757.48</v>
      </c>
      <c r="BI346" s="859">
        <v>313.44</v>
      </c>
      <c r="BJ346" s="859">
        <v>977.13</v>
      </c>
      <c r="BK346" s="860">
        <v>1311.73</v>
      </c>
      <c r="BL346" s="860"/>
      <c r="BM346" s="860"/>
      <c r="BN346" s="860"/>
      <c r="BO346" s="860"/>
      <c r="BP346" s="860"/>
      <c r="BQ346" s="860"/>
      <c r="BR346" s="861"/>
      <c r="BS346" s="854">
        <f t="shared" si="234"/>
        <v>4038.9</v>
      </c>
      <c r="BT346" s="862"/>
      <c r="BU346" s="862"/>
      <c r="BV346" s="862"/>
      <c r="BW346" s="862"/>
      <c r="BX346" s="862"/>
      <c r="BY346" s="862"/>
      <c r="BZ346" s="862"/>
      <c r="CA346" s="862"/>
      <c r="CB346" s="862"/>
      <c r="CC346" s="862"/>
      <c r="CD346" s="862"/>
      <c r="CE346" s="862"/>
      <c r="CF346" s="862"/>
      <c r="CG346" s="862"/>
      <c r="CH346" s="863">
        <f t="shared" si="235"/>
        <v>6388.119999999999</v>
      </c>
      <c r="CI346" s="863">
        <f t="shared" si="236"/>
        <v>0</v>
      </c>
      <c r="CJ346" s="863">
        <f t="shared" si="237"/>
        <v>6388.119999999999</v>
      </c>
      <c r="CK346" s="710"/>
      <c r="CL346" s="710"/>
      <c r="CM346" s="710"/>
      <c r="CN346" s="512"/>
      <c r="CO346" s="512"/>
      <c r="CP346" s="512"/>
      <c r="CQ346" s="512"/>
      <c r="CR346" s="512"/>
      <c r="CS346" s="512"/>
      <c r="CT346" s="512"/>
      <c r="CU346" s="512"/>
      <c r="CV346" s="515"/>
    </row>
    <row r="347" spans="1:100">
      <c r="A347" s="844"/>
      <c r="B347" s="845" t="s">
        <v>884</v>
      </c>
      <c r="C347" s="846"/>
      <c r="D347" s="846"/>
      <c r="E347" s="846"/>
      <c r="F347" s="846"/>
      <c r="G347" s="846"/>
      <c r="H347" s="846"/>
      <c r="I347" s="846"/>
      <c r="J347" s="846"/>
      <c r="K347" s="846"/>
      <c r="L347" s="846" t="s">
        <v>558</v>
      </c>
      <c r="M347" s="846"/>
      <c r="N347" s="846"/>
      <c r="O347" s="846"/>
      <c r="P347" s="846"/>
      <c r="Q347" s="846"/>
      <c r="R347" s="846"/>
      <c r="S347" s="846"/>
      <c r="T347" s="847"/>
      <c r="U347" s="848"/>
      <c r="V347" s="848"/>
      <c r="W347" s="848"/>
      <c r="X347" s="848"/>
      <c r="Y347" s="848"/>
      <c r="Z347" s="848"/>
      <c r="AA347" s="848"/>
      <c r="AB347" s="848"/>
      <c r="AC347" s="848"/>
      <c r="AD347" s="848"/>
      <c r="AE347" s="849"/>
      <c r="AF347" s="850">
        <f t="shared" si="231"/>
        <v>0</v>
      </c>
      <c r="AG347" s="851"/>
      <c r="AH347" s="852"/>
      <c r="AI347" s="852"/>
      <c r="AJ347" s="852"/>
      <c r="AK347" s="852"/>
      <c r="AL347" s="852"/>
      <c r="AM347" s="852"/>
      <c r="AN347" s="852"/>
      <c r="AO347" s="852"/>
      <c r="AP347" s="852"/>
      <c r="AQ347" s="852"/>
      <c r="AR347" s="853"/>
      <c r="AS347" s="854">
        <f t="shared" si="233"/>
        <v>0</v>
      </c>
      <c r="AT347" s="864"/>
      <c r="AU347" s="856"/>
      <c r="AV347" s="857"/>
      <c r="AW347" s="857">
        <v>292.05</v>
      </c>
      <c r="AX347" s="857"/>
      <c r="AY347" s="856"/>
      <c r="AZ347" s="856"/>
      <c r="BA347" s="856"/>
      <c r="BB347" s="857">
        <v>0</v>
      </c>
      <c r="BC347" s="857">
        <v>0</v>
      </c>
      <c r="BD347" s="856">
        <v>0</v>
      </c>
      <c r="BE347" s="865">
        <v>169.36</v>
      </c>
      <c r="BF347" s="866">
        <f t="shared" si="232"/>
        <v>461.41</v>
      </c>
      <c r="BG347" s="864">
        <v>0</v>
      </c>
      <c r="BH347" s="857">
        <v>0</v>
      </c>
      <c r="BI347" s="859">
        <v>0</v>
      </c>
      <c r="BJ347" s="859">
        <v>0</v>
      </c>
      <c r="BK347" s="860">
        <v>2834.84</v>
      </c>
      <c r="BL347" s="860"/>
      <c r="BM347" s="860"/>
      <c r="BN347" s="860"/>
      <c r="BO347" s="860"/>
      <c r="BP347" s="860"/>
      <c r="BQ347" s="860"/>
      <c r="BR347" s="861"/>
      <c r="BS347" s="854">
        <f t="shared" si="234"/>
        <v>2834.84</v>
      </c>
      <c r="BT347" s="862"/>
      <c r="BU347" s="862"/>
      <c r="BV347" s="862"/>
      <c r="BW347" s="862"/>
      <c r="BX347" s="862"/>
      <c r="BY347" s="862"/>
      <c r="BZ347" s="862"/>
      <c r="CA347" s="862"/>
      <c r="CB347" s="862"/>
      <c r="CC347" s="862"/>
      <c r="CD347" s="862"/>
      <c r="CE347" s="862"/>
      <c r="CF347" s="862"/>
      <c r="CG347" s="862"/>
      <c r="CH347" s="863">
        <f t="shared" si="235"/>
        <v>3296.25</v>
      </c>
      <c r="CI347" s="863">
        <f t="shared" si="236"/>
        <v>0</v>
      </c>
      <c r="CJ347" s="863">
        <f t="shared" si="237"/>
        <v>3296.25</v>
      </c>
      <c r="CK347" s="710"/>
      <c r="CL347" s="710"/>
      <c r="CM347" s="710"/>
      <c r="CN347" s="512"/>
      <c r="CO347" s="512"/>
      <c r="CP347" s="512"/>
      <c r="CQ347" s="512"/>
      <c r="CR347" s="512"/>
      <c r="CS347" s="512"/>
      <c r="CT347" s="512"/>
      <c r="CU347" s="512"/>
      <c r="CV347" s="515"/>
    </row>
    <row r="348" spans="1:100">
      <c r="A348" s="844"/>
      <c r="B348" s="845" t="s">
        <v>885</v>
      </c>
      <c r="C348" s="846"/>
      <c r="D348" s="846"/>
      <c r="E348" s="846"/>
      <c r="F348" s="846"/>
      <c r="G348" s="846"/>
      <c r="H348" s="846"/>
      <c r="I348" s="846"/>
      <c r="J348" s="846"/>
      <c r="K348" s="846"/>
      <c r="L348" s="846" t="s">
        <v>558</v>
      </c>
      <c r="M348" s="846"/>
      <c r="N348" s="846"/>
      <c r="O348" s="846"/>
      <c r="P348" s="846"/>
      <c r="Q348" s="846"/>
      <c r="R348" s="846"/>
      <c r="S348" s="846"/>
      <c r="T348" s="847"/>
      <c r="U348" s="848"/>
      <c r="V348" s="848"/>
      <c r="W348" s="848"/>
      <c r="X348" s="848"/>
      <c r="Y348" s="848"/>
      <c r="Z348" s="848"/>
      <c r="AA348" s="848"/>
      <c r="AB348" s="848"/>
      <c r="AC348" s="848"/>
      <c r="AD348" s="848"/>
      <c r="AE348" s="849"/>
      <c r="AF348" s="850">
        <f t="shared" si="231"/>
        <v>0</v>
      </c>
      <c r="AG348" s="851"/>
      <c r="AH348" s="852"/>
      <c r="AI348" s="852"/>
      <c r="AJ348" s="852"/>
      <c r="AK348" s="852"/>
      <c r="AL348" s="852"/>
      <c r="AM348" s="852"/>
      <c r="AN348" s="852"/>
      <c r="AO348" s="852"/>
      <c r="AP348" s="852"/>
      <c r="AQ348" s="852"/>
      <c r="AR348" s="853"/>
      <c r="AS348" s="854">
        <f t="shared" si="233"/>
        <v>0</v>
      </c>
      <c r="AT348" s="864"/>
      <c r="AU348" s="856"/>
      <c r="AV348" s="857"/>
      <c r="AW348" s="857"/>
      <c r="AX348" s="856"/>
      <c r="AY348" s="856"/>
      <c r="AZ348" s="856"/>
      <c r="BA348" s="856"/>
      <c r="BB348" s="857"/>
      <c r="BC348" s="856"/>
      <c r="BD348" s="856"/>
      <c r="BE348" s="865">
        <v>1455</v>
      </c>
      <c r="BF348" s="866">
        <f t="shared" si="232"/>
        <v>1455</v>
      </c>
      <c r="BG348" s="864">
        <v>1406.5</v>
      </c>
      <c r="BH348" s="857">
        <v>679.56</v>
      </c>
      <c r="BI348" s="859">
        <v>1194.72</v>
      </c>
      <c r="BJ348" s="859">
        <v>2364.58</v>
      </c>
      <c r="BK348" s="860">
        <v>2048.77</v>
      </c>
      <c r="BL348" s="860"/>
      <c r="BM348" s="860"/>
      <c r="BN348" s="860"/>
      <c r="BO348" s="860"/>
      <c r="BP348" s="860"/>
      <c r="BQ348" s="860"/>
      <c r="BR348" s="861"/>
      <c r="BS348" s="854">
        <f t="shared" si="234"/>
        <v>7694.1299999999992</v>
      </c>
      <c r="BT348" s="862"/>
      <c r="BU348" s="862"/>
      <c r="BV348" s="862"/>
      <c r="BW348" s="862"/>
      <c r="BX348" s="862"/>
      <c r="BY348" s="862"/>
      <c r="BZ348" s="862"/>
      <c r="CA348" s="862"/>
      <c r="CB348" s="862"/>
      <c r="CC348" s="862"/>
      <c r="CD348" s="862"/>
      <c r="CE348" s="862"/>
      <c r="CF348" s="862"/>
      <c r="CG348" s="862"/>
      <c r="CH348" s="863">
        <f t="shared" si="235"/>
        <v>9149.1299999999992</v>
      </c>
      <c r="CI348" s="863">
        <f t="shared" si="236"/>
        <v>0</v>
      </c>
      <c r="CJ348" s="863">
        <f t="shared" si="237"/>
        <v>9149.1299999999992</v>
      </c>
      <c r="CK348" s="710"/>
      <c r="CL348" s="710"/>
      <c r="CM348" s="710"/>
      <c r="CN348" s="512"/>
      <c r="CO348" s="512"/>
      <c r="CP348" s="512"/>
      <c r="CQ348" s="512"/>
      <c r="CR348" s="512"/>
      <c r="CS348" s="512"/>
      <c r="CT348" s="512"/>
      <c r="CU348" s="512"/>
      <c r="CV348" s="515"/>
    </row>
    <row r="349" spans="1:100">
      <c r="A349" s="844"/>
      <c r="B349" s="845" t="s">
        <v>886</v>
      </c>
      <c r="C349" s="846"/>
      <c r="D349" s="846"/>
      <c r="E349" s="846"/>
      <c r="F349" s="846"/>
      <c r="G349" s="846"/>
      <c r="H349" s="846"/>
      <c r="I349" s="846"/>
      <c r="J349" s="846"/>
      <c r="K349" s="846"/>
      <c r="L349" s="846"/>
      <c r="M349" s="846"/>
      <c r="N349" s="846"/>
      <c r="O349" s="846"/>
      <c r="P349" s="846"/>
      <c r="Q349" s="846"/>
      <c r="R349" s="846"/>
      <c r="S349" s="846"/>
      <c r="T349" s="847"/>
      <c r="U349" s="848"/>
      <c r="V349" s="848"/>
      <c r="W349" s="848"/>
      <c r="X349" s="848"/>
      <c r="Y349" s="848"/>
      <c r="Z349" s="848"/>
      <c r="AA349" s="848"/>
      <c r="AB349" s="848"/>
      <c r="AC349" s="848"/>
      <c r="AD349" s="848">
        <v>65.099999999999994</v>
      </c>
      <c r="AE349" s="849"/>
      <c r="AF349" s="850">
        <f t="shared" si="231"/>
        <v>65.099999999999994</v>
      </c>
      <c r="AG349" s="851"/>
      <c r="AH349" s="852"/>
      <c r="AI349" s="852"/>
      <c r="AJ349" s="852"/>
      <c r="AK349" s="852"/>
      <c r="AL349" s="852"/>
      <c r="AM349" s="852"/>
      <c r="AN349" s="852"/>
      <c r="AO349" s="852"/>
      <c r="AP349" s="852">
        <v>33.69</v>
      </c>
      <c r="AQ349" s="852"/>
      <c r="AR349" s="853"/>
      <c r="AS349" s="854">
        <f t="shared" si="233"/>
        <v>33.69</v>
      </c>
      <c r="AT349" s="864"/>
      <c r="AU349" s="856"/>
      <c r="AV349" s="857"/>
      <c r="AW349" s="857"/>
      <c r="AX349" s="857"/>
      <c r="AY349" s="856"/>
      <c r="AZ349" s="856"/>
      <c r="BA349" s="856"/>
      <c r="BB349" s="857">
        <v>0</v>
      </c>
      <c r="BC349" s="857">
        <v>0</v>
      </c>
      <c r="BD349" s="856">
        <v>0</v>
      </c>
      <c r="BE349" s="865">
        <v>0</v>
      </c>
      <c r="BF349" s="866">
        <f t="shared" si="232"/>
        <v>0</v>
      </c>
      <c r="BG349" s="864">
        <v>0</v>
      </c>
      <c r="BH349" s="857">
        <v>0</v>
      </c>
      <c r="BI349" s="859">
        <v>71.48</v>
      </c>
      <c r="BJ349" s="859">
        <v>0</v>
      </c>
      <c r="BK349" s="860">
        <v>0</v>
      </c>
      <c r="BL349" s="860"/>
      <c r="BM349" s="860"/>
      <c r="BN349" s="860"/>
      <c r="BO349" s="860"/>
      <c r="BP349" s="860"/>
      <c r="BQ349" s="860"/>
      <c r="BR349" s="861"/>
      <c r="BS349" s="854">
        <f t="shared" si="234"/>
        <v>71.48</v>
      </c>
      <c r="BT349" s="862"/>
      <c r="BU349" s="862"/>
      <c r="BV349" s="862"/>
      <c r="BW349" s="862"/>
      <c r="BX349" s="862"/>
      <c r="BY349" s="862"/>
      <c r="BZ349" s="862"/>
      <c r="CA349" s="862"/>
      <c r="CB349" s="862"/>
      <c r="CC349" s="862"/>
      <c r="CD349" s="862"/>
      <c r="CE349" s="862"/>
      <c r="CF349" s="862"/>
      <c r="CG349" s="862"/>
      <c r="CH349" s="863">
        <f t="shared" si="235"/>
        <v>170.26999999999998</v>
      </c>
      <c r="CI349" s="863">
        <f t="shared" si="236"/>
        <v>0</v>
      </c>
      <c r="CJ349" s="863">
        <f t="shared" si="237"/>
        <v>170.26999999999998</v>
      </c>
      <c r="CK349" s="710"/>
      <c r="CL349" s="710"/>
      <c r="CM349" s="710"/>
      <c r="CN349" s="512"/>
      <c r="CO349" s="512"/>
      <c r="CP349" s="512"/>
      <c r="CQ349" s="512"/>
      <c r="CR349" s="512"/>
      <c r="CS349" s="512"/>
      <c r="CT349" s="512"/>
      <c r="CU349" s="512"/>
      <c r="CV349" s="515"/>
    </row>
    <row r="350" spans="1:100">
      <c r="A350" s="844"/>
      <c r="B350" s="845" t="s">
        <v>887</v>
      </c>
      <c r="C350" s="846"/>
      <c r="D350" s="846"/>
      <c r="E350" s="846"/>
      <c r="F350" s="846"/>
      <c r="G350" s="846"/>
      <c r="H350" s="846"/>
      <c r="I350" s="846"/>
      <c r="J350" s="846"/>
      <c r="K350" s="846"/>
      <c r="L350" s="846"/>
      <c r="M350" s="846"/>
      <c r="N350" s="846"/>
      <c r="O350" s="846"/>
      <c r="P350" s="846"/>
      <c r="Q350" s="846"/>
      <c r="R350" s="846"/>
      <c r="S350" s="846"/>
      <c r="T350" s="847"/>
      <c r="U350" s="848"/>
      <c r="V350" s="848"/>
      <c r="W350" s="848"/>
      <c r="X350" s="848"/>
      <c r="Y350" s="848"/>
      <c r="Z350" s="848"/>
      <c r="AA350" s="848"/>
      <c r="AB350" s="848"/>
      <c r="AC350" s="848"/>
      <c r="AD350" s="848"/>
      <c r="AE350" s="849"/>
      <c r="AF350" s="850">
        <f t="shared" si="231"/>
        <v>0</v>
      </c>
      <c r="AG350" s="851"/>
      <c r="AH350" s="852"/>
      <c r="AI350" s="852"/>
      <c r="AJ350" s="852"/>
      <c r="AK350" s="852"/>
      <c r="AL350" s="852"/>
      <c r="AM350" s="852"/>
      <c r="AN350" s="852"/>
      <c r="AO350" s="852"/>
      <c r="AP350" s="852"/>
      <c r="AQ350" s="852"/>
      <c r="AR350" s="853"/>
      <c r="AS350" s="854">
        <f t="shared" si="233"/>
        <v>0</v>
      </c>
      <c r="AT350" s="864"/>
      <c r="AU350" s="856"/>
      <c r="AV350" s="857"/>
      <c r="AW350" s="857"/>
      <c r="AX350" s="857"/>
      <c r="AY350" s="856"/>
      <c r="AZ350" s="856"/>
      <c r="BA350" s="856"/>
      <c r="BB350" s="857">
        <v>0</v>
      </c>
      <c r="BC350" s="857">
        <v>76.260000000000005</v>
      </c>
      <c r="BD350" s="856">
        <v>101.68</v>
      </c>
      <c r="BE350" s="865">
        <v>25.42</v>
      </c>
      <c r="BF350" s="866">
        <f t="shared" si="232"/>
        <v>203.36</v>
      </c>
      <c r="BG350" s="864">
        <v>0</v>
      </c>
      <c r="BH350" s="857">
        <v>25.42</v>
      </c>
      <c r="BI350" s="859">
        <v>25.42</v>
      </c>
      <c r="BJ350" s="859">
        <v>0</v>
      </c>
      <c r="BK350" s="860">
        <v>0</v>
      </c>
      <c r="BL350" s="860"/>
      <c r="BM350" s="860"/>
      <c r="BN350" s="860"/>
      <c r="BO350" s="860"/>
      <c r="BP350" s="860"/>
      <c r="BQ350" s="860"/>
      <c r="BR350" s="861"/>
      <c r="BS350" s="854">
        <f t="shared" si="234"/>
        <v>50.84</v>
      </c>
      <c r="BT350" s="862"/>
      <c r="BU350" s="862"/>
      <c r="BV350" s="862"/>
      <c r="BW350" s="862"/>
      <c r="BX350" s="862"/>
      <c r="BY350" s="862"/>
      <c r="BZ350" s="862"/>
      <c r="CA350" s="862"/>
      <c r="CB350" s="862"/>
      <c r="CC350" s="862"/>
      <c r="CD350" s="862"/>
      <c r="CE350" s="862"/>
      <c r="CF350" s="862"/>
      <c r="CG350" s="862"/>
      <c r="CH350" s="863">
        <f t="shared" si="235"/>
        <v>254.20000000000005</v>
      </c>
      <c r="CI350" s="863">
        <f t="shared" si="236"/>
        <v>0</v>
      </c>
      <c r="CJ350" s="863">
        <f t="shared" si="237"/>
        <v>254.20000000000005</v>
      </c>
      <c r="CK350" s="710"/>
      <c r="CL350" s="710"/>
      <c r="CM350" s="710"/>
      <c r="CN350" s="512"/>
      <c r="CO350" s="512"/>
      <c r="CP350" s="512"/>
      <c r="CQ350" s="512"/>
      <c r="CR350" s="512"/>
      <c r="CS350" s="512"/>
      <c r="CT350" s="512"/>
      <c r="CU350" s="512"/>
      <c r="CV350" s="515"/>
    </row>
    <row r="351" spans="1:100">
      <c r="A351" s="844"/>
      <c r="B351" s="845" t="s">
        <v>888</v>
      </c>
      <c r="C351" s="846"/>
      <c r="D351" s="846"/>
      <c r="E351" s="846"/>
      <c r="F351" s="846"/>
      <c r="G351" s="846"/>
      <c r="H351" s="846"/>
      <c r="I351" s="846"/>
      <c r="J351" s="846"/>
      <c r="K351" s="846"/>
      <c r="L351" s="846"/>
      <c r="M351" s="846"/>
      <c r="N351" s="846"/>
      <c r="O351" s="846"/>
      <c r="P351" s="846"/>
      <c r="Q351" s="846"/>
      <c r="R351" s="846"/>
      <c r="S351" s="846"/>
      <c r="T351" s="847"/>
      <c r="U351" s="848"/>
      <c r="V351" s="848"/>
      <c r="W351" s="848"/>
      <c r="X351" s="848"/>
      <c r="Y351" s="848"/>
      <c r="Z351" s="848"/>
      <c r="AA351" s="848"/>
      <c r="AB351" s="848"/>
      <c r="AC351" s="848"/>
      <c r="AD351" s="848"/>
      <c r="AE351" s="849"/>
      <c r="AF351" s="850">
        <f t="shared" ref="AF351:AF382" si="238">SUM(T351:AE351)</f>
        <v>0</v>
      </c>
      <c r="AG351" s="851"/>
      <c r="AH351" s="852"/>
      <c r="AI351" s="852"/>
      <c r="AJ351" s="852"/>
      <c r="AK351" s="852"/>
      <c r="AL351" s="852"/>
      <c r="AM351" s="852"/>
      <c r="AN351" s="852"/>
      <c r="AO351" s="852"/>
      <c r="AP351" s="852"/>
      <c r="AQ351" s="852"/>
      <c r="AR351" s="853"/>
      <c r="AS351" s="854">
        <f t="shared" si="233"/>
        <v>0</v>
      </c>
      <c r="AT351" s="864"/>
      <c r="AU351" s="856"/>
      <c r="AV351" s="857"/>
      <c r="AW351" s="857"/>
      <c r="AX351" s="856"/>
      <c r="AY351" s="856">
        <v>226</v>
      </c>
      <c r="AZ351" s="856">
        <v>536.75</v>
      </c>
      <c r="BA351" s="856"/>
      <c r="BB351" s="857">
        <v>0</v>
      </c>
      <c r="BC351" s="857">
        <v>0</v>
      </c>
      <c r="BD351" s="856">
        <v>0</v>
      </c>
      <c r="BE351" s="865">
        <v>0</v>
      </c>
      <c r="BF351" s="866">
        <f t="shared" ref="BF351:BF382" si="239">SUM(AT351:BE351)</f>
        <v>762.75</v>
      </c>
      <c r="BG351" s="864">
        <v>0</v>
      </c>
      <c r="BH351" s="857">
        <v>0</v>
      </c>
      <c r="BI351" s="859">
        <v>0</v>
      </c>
      <c r="BJ351" s="859">
        <v>0</v>
      </c>
      <c r="BK351" s="860">
        <v>0</v>
      </c>
      <c r="BL351" s="860"/>
      <c r="BM351" s="860"/>
      <c r="BN351" s="860"/>
      <c r="BO351" s="860"/>
      <c r="BP351" s="860"/>
      <c r="BQ351" s="860"/>
      <c r="BR351" s="861"/>
      <c r="BS351" s="854">
        <f t="shared" si="234"/>
        <v>0</v>
      </c>
      <c r="BT351" s="862"/>
      <c r="BU351" s="862"/>
      <c r="BV351" s="862"/>
      <c r="BW351" s="862"/>
      <c r="BX351" s="862"/>
      <c r="BY351" s="862"/>
      <c r="BZ351" s="862"/>
      <c r="CA351" s="862"/>
      <c r="CB351" s="862"/>
      <c r="CC351" s="862"/>
      <c r="CD351" s="862"/>
      <c r="CE351" s="862"/>
      <c r="CF351" s="862"/>
      <c r="CG351" s="862"/>
      <c r="CH351" s="863">
        <f t="shared" si="235"/>
        <v>762.75</v>
      </c>
      <c r="CI351" s="863">
        <f t="shared" si="236"/>
        <v>0</v>
      </c>
      <c r="CJ351" s="863">
        <f t="shared" si="237"/>
        <v>762.75</v>
      </c>
      <c r="CK351" s="710"/>
      <c r="CL351" s="710"/>
      <c r="CM351" s="710"/>
      <c r="CN351" s="512"/>
      <c r="CO351" s="512"/>
      <c r="CP351" s="512"/>
      <c r="CQ351" s="512"/>
      <c r="CR351" s="512"/>
      <c r="CS351" s="512"/>
      <c r="CT351" s="512"/>
      <c r="CU351" s="512"/>
      <c r="CV351" s="515"/>
    </row>
    <row r="352" spans="1:100">
      <c r="A352" s="844"/>
      <c r="B352" s="845" t="s">
        <v>889</v>
      </c>
      <c r="C352" s="846"/>
      <c r="D352" s="846"/>
      <c r="E352" s="846"/>
      <c r="F352" s="846"/>
      <c r="G352" s="846"/>
      <c r="H352" s="846"/>
      <c r="I352" s="846"/>
      <c r="J352" s="846"/>
      <c r="K352" s="846"/>
      <c r="L352" s="846"/>
      <c r="M352" s="846"/>
      <c r="N352" s="846"/>
      <c r="O352" s="846"/>
      <c r="P352" s="846"/>
      <c r="Q352" s="846"/>
      <c r="R352" s="846"/>
      <c r="S352" s="846"/>
      <c r="T352" s="847"/>
      <c r="U352" s="848"/>
      <c r="V352" s="848"/>
      <c r="W352" s="848"/>
      <c r="X352" s="848"/>
      <c r="Y352" s="848"/>
      <c r="Z352" s="848"/>
      <c r="AA352" s="848"/>
      <c r="AB352" s="848"/>
      <c r="AC352" s="848"/>
      <c r="AD352" s="848"/>
      <c r="AE352" s="849"/>
      <c r="AF352" s="850">
        <f t="shared" si="238"/>
        <v>0</v>
      </c>
      <c r="AG352" s="851"/>
      <c r="AH352" s="852"/>
      <c r="AI352" s="852"/>
      <c r="AJ352" s="852"/>
      <c r="AK352" s="852"/>
      <c r="AL352" s="852"/>
      <c r="AM352" s="852"/>
      <c r="AN352" s="852"/>
      <c r="AO352" s="852"/>
      <c r="AP352" s="852"/>
      <c r="AQ352" s="852"/>
      <c r="AR352" s="853"/>
      <c r="AS352" s="854">
        <f t="shared" ref="AS352:AS383" si="240">SUM(AG352:AR352)</f>
        <v>0</v>
      </c>
      <c r="AT352" s="864">
        <v>143.88</v>
      </c>
      <c r="AU352" s="856">
        <v>431.64</v>
      </c>
      <c r="AV352" s="857">
        <v>143.88</v>
      </c>
      <c r="AW352" s="857"/>
      <c r="AX352" s="857">
        <v>1283.6199999999999</v>
      </c>
      <c r="AY352" s="856">
        <v>740.55</v>
      </c>
      <c r="AZ352" s="856">
        <v>3011.57</v>
      </c>
      <c r="BA352" s="856">
        <v>2419.13</v>
      </c>
      <c r="BB352" s="857">
        <v>296.22000000000003</v>
      </c>
      <c r="BC352" s="857">
        <v>1184.8800000000001</v>
      </c>
      <c r="BD352" s="856">
        <v>10318.33</v>
      </c>
      <c r="BE352" s="865">
        <v>4196.45</v>
      </c>
      <c r="BF352" s="866">
        <f t="shared" si="239"/>
        <v>24170.149999999998</v>
      </c>
      <c r="BG352" s="864">
        <v>3752.12</v>
      </c>
      <c r="BH352" s="857">
        <v>2024.17</v>
      </c>
      <c r="BI352" s="859">
        <v>610.67999999999995</v>
      </c>
      <c r="BJ352" s="859">
        <v>356.23</v>
      </c>
      <c r="BK352" s="860">
        <v>101.78</v>
      </c>
      <c r="BL352" s="860"/>
      <c r="BM352" s="860"/>
      <c r="BN352" s="860"/>
      <c r="BO352" s="860"/>
      <c r="BP352" s="860"/>
      <c r="BQ352" s="860"/>
      <c r="BR352" s="861"/>
      <c r="BS352" s="854">
        <f t="shared" ref="BS352:BS383" si="241">SUM(BG352:BR352)</f>
        <v>6844.9800000000005</v>
      </c>
      <c r="BT352" s="862"/>
      <c r="BU352" s="862"/>
      <c r="BV352" s="862"/>
      <c r="BW352" s="862"/>
      <c r="BX352" s="862"/>
      <c r="BY352" s="862"/>
      <c r="BZ352" s="862"/>
      <c r="CA352" s="862"/>
      <c r="CB352" s="862"/>
      <c r="CC352" s="862"/>
      <c r="CD352" s="862"/>
      <c r="CE352" s="862"/>
      <c r="CF352" s="862"/>
      <c r="CG352" s="862"/>
      <c r="CH352" s="863">
        <f t="shared" ref="CH352:CH383" si="242">SUMIF(($S$5:$CG$5),"Actual",(S352:CG352))</f>
        <v>31015.129999999994</v>
      </c>
      <c r="CI352" s="863">
        <f t="shared" ref="CI352:CI383" si="243">SUMIF(($S$5:$CG$5),"Forecast",(S352:CG352))</f>
        <v>0</v>
      </c>
      <c r="CJ352" s="863">
        <f t="shared" ref="CJ352:CJ383" si="244">+CH352+CI352</f>
        <v>31015.129999999994</v>
      </c>
      <c r="CK352" s="710"/>
      <c r="CL352" s="710"/>
      <c r="CM352" s="710"/>
      <c r="CN352" s="512"/>
      <c r="CO352" s="512"/>
      <c r="CP352" s="512"/>
      <c r="CQ352" s="512"/>
      <c r="CR352" s="512"/>
      <c r="CS352" s="512"/>
      <c r="CT352" s="512"/>
      <c r="CU352" s="512"/>
      <c r="CV352" s="515"/>
    </row>
    <row r="353" spans="1:100">
      <c r="A353" s="844"/>
      <c r="B353" s="845" t="s">
        <v>890</v>
      </c>
      <c r="C353" s="846"/>
      <c r="D353" s="846"/>
      <c r="E353" s="846"/>
      <c r="F353" s="846"/>
      <c r="G353" s="846"/>
      <c r="H353" s="846"/>
      <c r="I353" s="846"/>
      <c r="J353" s="846"/>
      <c r="K353" s="846"/>
      <c r="L353" s="846" t="s">
        <v>559</v>
      </c>
      <c r="M353" s="846"/>
      <c r="N353" s="846"/>
      <c r="O353" s="846"/>
      <c r="P353" s="846"/>
      <c r="Q353" s="846"/>
      <c r="R353" s="846"/>
      <c r="S353" s="846"/>
      <c r="T353" s="847"/>
      <c r="U353" s="848"/>
      <c r="V353" s="848"/>
      <c r="W353" s="848"/>
      <c r="X353" s="848"/>
      <c r="Y353" s="848"/>
      <c r="Z353" s="848"/>
      <c r="AA353" s="848"/>
      <c r="AB353" s="848"/>
      <c r="AC353" s="848"/>
      <c r="AD353" s="848"/>
      <c r="AE353" s="849"/>
      <c r="AF353" s="850">
        <f t="shared" si="238"/>
        <v>0</v>
      </c>
      <c r="AG353" s="851"/>
      <c r="AH353" s="852"/>
      <c r="AI353" s="852"/>
      <c r="AJ353" s="852"/>
      <c r="AK353" s="852"/>
      <c r="AL353" s="852"/>
      <c r="AM353" s="852"/>
      <c r="AN353" s="852"/>
      <c r="AO353" s="852"/>
      <c r="AP353" s="852"/>
      <c r="AQ353" s="852"/>
      <c r="AR353" s="853"/>
      <c r="AS353" s="854">
        <f t="shared" si="240"/>
        <v>0</v>
      </c>
      <c r="AT353" s="864"/>
      <c r="AU353" s="856"/>
      <c r="AV353" s="857"/>
      <c r="AW353" s="857"/>
      <c r="AX353" s="856"/>
      <c r="AY353" s="856"/>
      <c r="AZ353" s="856"/>
      <c r="BA353" s="856"/>
      <c r="BB353" s="857"/>
      <c r="BC353" s="856"/>
      <c r="BD353" s="856"/>
      <c r="BE353" s="865"/>
      <c r="BF353" s="866">
        <f t="shared" si="239"/>
        <v>0</v>
      </c>
      <c r="BG353" s="864"/>
      <c r="BH353" s="857"/>
      <c r="BI353" s="859">
        <v>0</v>
      </c>
      <c r="BJ353" s="859">
        <v>35.58</v>
      </c>
      <c r="BK353" s="860">
        <v>0</v>
      </c>
      <c r="BL353" s="860"/>
      <c r="BM353" s="860"/>
      <c r="BN353" s="860"/>
      <c r="BO353" s="860"/>
      <c r="BP353" s="860"/>
      <c r="BQ353" s="860"/>
      <c r="BR353" s="861"/>
      <c r="BS353" s="854">
        <f t="shared" si="241"/>
        <v>35.58</v>
      </c>
      <c r="BT353" s="862"/>
      <c r="BU353" s="862"/>
      <c r="BV353" s="862"/>
      <c r="BW353" s="862"/>
      <c r="BX353" s="862"/>
      <c r="BY353" s="862"/>
      <c r="BZ353" s="862"/>
      <c r="CA353" s="862"/>
      <c r="CB353" s="862"/>
      <c r="CC353" s="862"/>
      <c r="CD353" s="862"/>
      <c r="CE353" s="862"/>
      <c r="CF353" s="862"/>
      <c r="CG353" s="862"/>
      <c r="CH353" s="863">
        <f t="shared" si="242"/>
        <v>35.58</v>
      </c>
      <c r="CI353" s="863">
        <f t="shared" si="243"/>
        <v>0</v>
      </c>
      <c r="CJ353" s="863">
        <f t="shared" si="244"/>
        <v>35.58</v>
      </c>
      <c r="CK353" s="710"/>
      <c r="CL353" s="710"/>
      <c r="CM353" s="710"/>
      <c r="CN353" s="512"/>
      <c r="CO353" s="512"/>
      <c r="CP353" s="512"/>
      <c r="CQ353" s="512"/>
      <c r="CR353" s="512"/>
      <c r="CS353" s="512"/>
      <c r="CT353" s="512"/>
      <c r="CU353" s="512"/>
      <c r="CV353" s="515"/>
    </row>
    <row r="354" spans="1:100">
      <c r="A354" s="844"/>
      <c r="B354" s="845" t="s">
        <v>891</v>
      </c>
      <c r="C354" s="846"/>
      <c r="D354" s="846"/>
      <c r="E354" s="846"/>
      <c r="F354" s="846"/>
      <c r="G354" s="846"/>
      <c r="H354" s="846"/>
      <c r="I354" s="846"/>
      <c r="J354" s="846"/>
      <c r="K354" s="846"/>
      <c r="L354" s="846"/>
      <c r="M354" s="846"/>
      <c r="N354" s="846"/>
      <c r="O354" s="846"/>
      <c r="P354" s="846"/>
      <c r="Q354" s="846"/>
      <c r="R354" s="846"/>
      <c r="S354" s="846"/>
      <c r="T354" s="847"/>
      <c r="U354" s="848"/>
      <c r="V354" s="848"/>
      <c r="W354" s="848"/>
      <c r="X354" s="848"/>
      <c r="Y354" s="848"/>
      <c r="Z354" s="848"/>
      <c r="AA354" s="848"/>
      <c r="AB354" s="848"/>
      <c r="AC354" s="848"/>
      <c r="AD354" s="848"/>
      <c r="AE354" s="849"/>
      <c r="AF354" s="850">
        <f t="shared" si="238"/>
        <v>0</v>
      </c>
      <c r="AG354" s="851"/>
      <c r="AH354" s="852"/>
      <c r="AI354" s="852"/>
      <c r="AJ354" s="852"/>
      <c r="AK354" s="852"/>
      <c r="AL354" s="852"/>
      <c r="AM354" s="852"/>
      <c r="AN354" s="852"/>
      <c r="AO354" s="852"/>
      <c r="AP354" s="852"/>
      <c r="AQ354" s="852"/>
      <c r="AR354" s="853"/>
      <c r="AS354" s="854">
        <f t="shared" si="240"/>
        <v>0</v>
      </c>
      <c r="AT354" s="864"/>
      <c r="AU354" s="856"/>
      <c r="AV354" s="857"/>
      <c r="AW354" s="857"/>
      <c r="AX354" s="856"/>
      <c r="AY354" s="856"/>
      <c r="AZ354" s="856"/>
      <c r="BA354" s="856"/>
      <c r="BB354" s="857"/>
      <c r="BC354" s="856"/>
      <c r="BD354" s="856"/>
      <c r="BE354" s="865"/>
      <c r="BF354" s="866">
        <f t="shared" si="239"/>
        <v>0</v>
      </c>
      <c r="BG354" s="864"/>
      <c r="BH354" s="857"/>
      <c r="BI354" s="859">
        <v>0</v>
      </c>
      <c r="BJ354" s="859">
        <v>63.46</v>
      </c>
      <c r="BK354" s="860">
        <v>0</v>
      </c>
      <c r="BL354" s="860"/>
      <c r="BM354" s="860"/>
      <c r="BN354" s="860"/>
      <c r="BO354" s="860"/>
      <c r="BP354" s="860"/>
      <c r="BQ354" s="860"/>
      <c r="BR354" s="861"/>
      <c r="BS354" s="854">
        <f t="shared" si="241"/>
        <v>63.46</v>
      </c>
      <c r="BT354" s="862"/>
      <c r="BU354" s="862"/>
      <c r="BV354" s="862"/>
      <c r="BW354" s="862"/>
      <c r="BX354" s="862"/>
      <c r="BY354" s="862"/>
      <c r="BZ354" s="862"/>
      <c r="CA354" s="862"/>
      <c r="CB354" s="862"/>
      <c r="CC354" s="862"/>
      <c r="CD354" s="862"/>
      <c r="CE354" s="862"/>
      <c r="CF354" s="862"/>
      <c r="CG354" s="862"/>
      <c r="CH354" s="863">
        <f t="shared" si="242"/>
        <v>63.46</v>
      </c>
      <c r="CI354" s="863">
        <f t="shared" si="243"/>
        <v>0</v>
      </c>
      <c r="CJ354" s="863">
        <f t="shared" si="244"/>
        <v>63.46</v>
      </c>
      <c r="CK354" s="710"/>
      <c r="CL354" s="710"/>
      <c r="CM354" s="710"/>
      <c r="CN354" s="512"/>
      <c r="CO354" s="512"/>
      <c r="CP354" s="512"/>
      <c r="CQ354" s="512"/>
      <c r="CR354" s="512"/>
      <c r="CS354" s="512"/>
      <c r="CT354" s="512"/>
      <c r="CU354" s="512"/>
      <c r="CV354" s="515"/>
    </row>
    <row r="355" spans="1:100">
      <c r="A355" s="844"/>
      <c r="B355" s="845" t="s">
        <v>892</v>
      </c>
      <c r="C355" s="846"/>
      <c r="D355" s="846"/>
      <c r="E355" s="846"/>
      <c r="F355" s="846"/>
      <c r="G355" s="846"/>
      <c r="H355" s="846"/>
      <c r="I355" s="846"/>
      <c r="J355" s="846"/>
      <c r="K355" s="846"/>
      <c r="L355" s="846"/>
      <c r="M355" s="846"/>
      <c r="N355" s="846"/>
      <c r="O355" s="846"/>
      <c r="P355" s="846"/>
      <c r="Q355" s="846"/>
      <c r="R355" s="846"/>
      <c r="S355" s="846"/>
      <c r="T355" s="847">
        <v>183.4</v>
      </c>
      <c r="U355" s="848">
        <v>146.72</v>
      </c>
      <c r="V355" s="848">
        <v>513.52</v>
      </c>
      <c r="W355" s="848">
        <v>1173.76</v>
      </c>
      <c r="X355" s="848">
        <v>623.55999999999995</v>
      </c>
      <c r="Y355" s="848">
        <v>330.12</v>
      </c>
      <c r="Z355" s="848">
        <v>440.16</v>
      </c>
      <c r="AA355" s="848">
        <v>330.12</v>
      </c>
      <c r="AB355" s="848">
        <v>476.84</v>
      </c>
      <c r="AC355" s="848">
        <v>513.52</v>
      </c>
      <c r="AD355" s="848">
        <v>1063.72</v>
      </c>
      <c r="AE355" s="849">
        <v>1393.84</v>
      </c>
      <c r="AF355" s="850">
        <f t="shared" si="238"/>
        <v>7189.28</v>
      </c>
      <c r="AG355" s="851">
        <v>843.64</v>
      </c>
      <c r="AH355" s="852">
        <v>623.55999999999995</v>
      </c>
      <c r="AI355" s="852">
        <v>794.28</v>
      </c>
      <c r="AJ355" s="852">
        <v>765.6</v>
      </c>
      <c r="AK355" s="852">
        <v>1110.1199999999999</v>
      </c>
      <c r="AL355" s="852">
        <v>918.72</v>
      </c>
      <c r="AM355" s="852">
        <v>497.64</v>
      </c>
      <c r="AN355" s="852">
        <v>880.44</v>
      </c>
      <c r="AO355" s="852">
        <v>765.6</v>
      </c>
      <c r="AP355" s="852">
        <v>1116.27</v>
      </c>
      <c r="AQ355" s="852">
        <v>459.36</v>
      </c>
      <c r="AR355" s="853">
        <v>650.76</v>
      </c>
      <c r="AS355" s="854">
        <f t="shared" si="240"/>
        <v>9425.9900000000016</v>
      </c>
      <c r="AT355" s="864">
        <v>153.12</v>
      </c>
      <c r="AU355" s="856">
        <v>229.68</v>
      </c>
      <c r="AV355" s="857"/>
      <c r="AW355" s="857"/>
      <c r="AX355" s="857">
        <v>315.76</v>
      </c>
      <c r="AY355" s="856">
        <v>197.35</v>
      </c>
      <c r="AZ355" s="856">
        <v>315.76</v>
      </c>
      <c r="BA355" s="856">
        <v>710.46</v>
      </c>
      <c r="BB355" s="857">
        <v>0</v>
      </c>
      <c r="BC355" s="857">
        <v>78.94</v>
      </c>
      <c r="BD355" s="856">
        <v>78.94</v>
      </c>
      <c r="BE355" s="865">
        <v>0</v>
      </c>
      <c r="BF355" s="866">
        <f t="shared" si="239"/>
        <v>2080.0100000000002</v>
      </c>
      <c r="BG355" s="864">
        <v>0</v>
      </c>
      <c r="BH355" s="857">
        <v>0</v>
      </c>
      <c r="BI355" s="859">
        <v>0</v>
      </c>
      <c r="BJ355" s="859">
        <v>0</v>
      </c>
      <c r="BK355" s="860">
        <v>0</v>
      </c>
      <c r="BL355" s="860"/>
      <c r="BM355" s="860"/>
      <c r="BN355" s="860"/>
      <c r="BO355" s="860"/>
      <c r="BP355" s="860"/>
      <c r="BQ355" s="860"/>
      <c r="BR355" s="861"/>
      <c r="BS355" s="854">
        <f t="shared" si="241"/>
        <v>0</v>
      </c>
      <c r="BT355" s="862"/>
      <c r="BU355" s="862"/>
      <c r="BV355" s="862"/>
      <c r="BW355" s="862"/>
      <c r="BX355" s="862"/>
      <c r="BY355" s="862"/>
      <c r="BZ355" s="862"/>
      <c r="CA355" s="862"/>
      <c r="CB355" s="862"/>
      <c r="CC355" s="862"/>
      <c r="CD355" s="862"/>
      <c r="CE355" s="862"/>
      <c r="CF355" s="862"/>
      <c r="CG355" s="862"/>
      <c r="CH355" s="863">
        <f t="shared" si="242"/>
        <v>18695.279999999992</v>
      </c>
      <c r="CI355" s="863">
        <f t="shared" si="243"/>
        <v>0</v>
      </c>
      <c r="CJ355" s="863">
        <f t="shared" si="244"/>
        <v>18695.279999999992</v>
      </c>
      <c r="CK355" s="710"/>
      <c r="CL355" s="710"/>
      <c r="CM355" s="710"/>
      <c r="CN355" s="512"/>
      <c r="CO355" s="512"/>
      <c r="CP355" s="512"/>
      <c r="CQ355" s="512"/>
      <c r="CR355" s="512"/>
      <c r="CS355" s="512"/>
      <c r="CT355" s="512"/>
      <c r="CU355" s="512"/>
      <c r="CV355" s="515"/>
    </row>
    <row r="356" spans="1:100">
      <c r="A356" s="844"/>
      <c r="B356" s="845" t="s">
        <v>893</v>
      </c>
      <c r="C356" s="846"/>
      <c r="D356" s="846"/>
      <c r="E356" s="846"/>
      <c r="F356" s="846"/>
      <c r="G356" s="846"/>
      <c r="H356" s="846"/>
      <c r="I356" s="846"/>
      <c r="J356" s="846"/>
      <c r="K356" s="846"/>
      <c r="L356" s="846"/>
      <c r="M356" s="846"/>
      <c r="N356" s="846"/>
      <c r="O356" s="846"/>
      <c r="P356" s="846"/>
      <c r="Q356" s="846"/>
      <c r="R356" s="846"/>
      <c r="S356" s="846"/>
      <c r="T356" s="847">
        <v>302.77999999999997</v>
      </c>
      <c r="U356" s="848"/>
      <c r="V356" s="848"/>
      <c r="W356" s="848"/>
      <c r="X356" s="848"/>
      <c r="Y356" s="848"/>
      <c r="Z356" s="848"/>
      <c r="AA356" s="848"/>
      <c r="AB356" s="848"/>
      <c r="AC356" s="848"/>
      <c r="AD356" s="848"/>
      <c r="AE356" s="849"/>
      <c r="AF356" s="850">
        <f t="shared" si="238"/>
        <v>302.77999999999997</v>
      </c>
      <c r="AG356" s="851"/>
      <c r="AH356" s="852"/>
      <c r="AI356" s="852"/>
      <c r="AJ356" s="852"/>
      <c r="AK356" s="852"/>
      <c r="AL356" s="852"/>
      <c r="AM356" s="852"/>
      <c r="AN356" s="852"/>
      <c r="AO356" s="852"/>
      <c r="AP356" s="852"/>
      <c r="AQ356" s="852"/>
      <c r="AR356" s="853"/>
      <c r="AS356" s="854">
        <f t="shared" si="240"/>
        <v>0</v>
      </c>
      <c r="AT356" s="864"/>
      <c r="AU356" s="856"/>
      <c r="AV356" s="857"/>
      <c r="AW356" s="857"/>
      <c r="AX356" s="857"/>
      <c r="AY356" s="856"/>
      <c r="AZ356" s="856"/>
      <c r="BA356" s="856"/>
      <c r="BB356" s="857">
        <v>0</v>
      </c>
      <c r="BC356" s="857">
        <v>0</v>
      </c>
      <c r="BD356" s="856">
        <v>0</v>
      </c>
      <c r="BE356" s="865">
        <v>0</v>
      </c>
      <c r="BF356" s="866">
        <f t="shared" si="239"/>
        <v>0</v>
      </c>
      <c r="BG356" s="864">
        <v>0</v>
      </c>
      <c r="BH356" s="857">
        <v>0</v>
      </c>
      <c r="BI356" s="859">
        <v>0</v>
      </c>
      <c r="BJ356" s="859">
        <v>0</v>
      </c>
      <c r="BK356" s="860">
        <v>0</v>
      </c>
      <c r="BL356" s="860"/>
      <c r="BM356" s="860"/>
      <c r="BN356" s="860"/>
      <c r="BO356" s="860"/>
      <c r="BP356" s="860"/>
      <c r="BQ356" s="860"/>
      <c r="BR356" s="861"/>
      <c r="BS356" s="854">
        <f t="shared" si="241"/>
        <v>0</v>
      </c>
      <c r="BT356" s="862"/>
      <c r="BU356" s="862"/>
      <c r="BV356" s="862"/>
      <c r="BW356" s="862"/>
      <c r="BX356" s="862"/>
      <c r="BY356" s="862"/>
      <c r="BZ356" s="862"/>
      <c r="CA356" s="862"/>
      <c r="CB356" s="862"/>
      <c r="CC356" s="862"/>
      <c r="CD356" s="862"/>
      <c r="CE356" s="862"/>
      <c r="CF356" s="862"/>
      <c r="CG356" s="862"/>
      <c r="CH356" s="863">
        <f t="shared" si="242"/>
        <v>302.77999999999997</v>
      </c>
      <c r="CI356" s="863">
        <f t="shared" si="243"/>
        <v>0</v>
      </c>
      <c r="CJ356" s="863">
        <f t="shared" si="244"/>
        <v>302.77999999999997</v>
      </c>
      <c r="CK356" s="710"/>
      <c r="CL356" s="710"/>
      <c r="CM356" s="710"/>
      <c r="CN356" s="512"/>
      <c r="CO356" s="512"/>
      <c r="CP356" s="512"/>
      <c r="CQ356" s="512"/>
      <c r="CR356" s="512"/>
      <c r="CS356" s="512"/>
      <c r="CT356" s="512"/>
      <c r="CU356" s="512"/>
      <c r="CV356" s="515"/>
    </row>
    <row r="357" spans="1:100">
      <c r="A357" s="844"/>
      <c r="B357" s="845" t="s">
        <v>894</v>
      </c>
      <c r="C357" s="846"/>
      <c r="D357" s="846"/>
      <c r="E357" s="846"/>
      <c r="F357" s="846"/>
      <c r="G357" s="846"/>
      <c r="H357" s="846"/>
      <c r="I357" s="846"/>
      <c r="J357" s="846"/>
      <c r="K357" s="846"/>
      <c r="L357" s="846"/>
      <c r="M357" s="846"/>
      <c r="N357" s="846"/>
      <c r="O357" s="846"/>
      <c r="P357" s="846"/>
      <c r="Q357" s="846"/>
      <c r="R357" s="846"/>
      <c r="S357" s="846"/>
      <c r="T357" s="847"/>
      <c r="U357" s="848"/>
      <c r="V357" s="848"/>
      <c r="W357" s="848"/>
      <c r="X357" s="848"/>
      <c r="Y357" s="848"/>
      <c r="Z357" s="848"/>
      <c r="AA357" s="848"/>
      <c r="AB357" s="848"/>
      <c r="AC357" s="848"/>
      <c r="AD357" s="848"/>
      <c r="AE357" s="849"/>
      <c r="AF357" s="850">
        <f t="shared" si="238"/>
        <v>0</v>
      </c>
      <c r="AG357" s="851"/>
      <c r="AH357" s="852"/>
      <c r="AI357" s="852"/>
      <c r="AJ357" s="852"/>
      <c r="AK357" s="852"/>
      <c r="AL357" s="852"/>
      <c r="AM357" s="852"/>
      <c r="AN357" s="852"/>
      <c r="AO357" s="852"/>
      <c r="AP357" s="852"/>
      <c r="AQ357" s="852"/>
      <c r="AR357" s="853"/>
      <c r="AS357" s="854">
        <f t="shared" si="240"/>
        <v>0</v>
      </c>
      <c r="AT357" s="864"/>
      <c r="AU357" s="856"/>
      <c r="AV357" s="857"/>
      <c r="AW357" s="857"/>
      <c r="AX357" s="856"/>
      <c r="AY357" s="856">
        <v>89.04</v>
      </c>
      <c r="AZ357" s="856">
        <v>77.91</v>
      </c>
      <c r="BA357" s="856">
        <v>22.26</v>
      </c>
      <c r="BB357" s="857">
        <v>0</v>
      </c>
      <c r="BC357" s="857">
        <v>0</v>
      </c>
      <c r="BD357" s="856">
        <v>0</v>
      </c>
      <c r="BE357" s="865">
        <v>0</v>
      </c>
      <c r="BF357" s="866">
        <f t="shared" si="239"/>
        <v>189.20999999999998</v>
      </c>
      <c r="BG357" s="864">
        <v>0</v>
      </c>
      <c r="BH357" s="857">
        <v>77.91</v>
      </c>
      <c r="BI357" s="859">
        <v>0</v>
      </c>
      <c r="BJ357" s="859">
        <v>0</v>
      </c>
      <c r="BK357" s="860">
        <v>0</v>
      </c>
      <c r="BL357" s="860"/>
      <c r="BM357" s="860"/>
      <c r="BN357" s="860"/>
      <c r="BO357" s="860"/>
      <c r="BP357" s="860"/>
      <c r="BQ357" s="860"/>
      <c r="BR357" s="861"/>
      <c r="BS357" s="854">
        <f t="shared" si="241"/>
        <v>77.91</v>
      </c>
      <c r="BT357" s="862"/>
      <c r="BU357" s="862"/>
      <c r="BV357" s="862"/>
      <c r="BW357" s="862"/>
      <c r="BX357" s="862"/>
      <c r="BY357" s="862"/>
      <c r="BZ357" s="862"/>
      <c r="CA357" s="862"/>
      <c r="CB357" s="862"/>
      <c r="CC357" s="862"/>
      <c r="CD357" s="862"/>
      <c r="CE357" s="862"/>
      <c r="CF357" s="862"/>
      <c r="CG357" s="862"/>
      <c r="CH357" s="863">
        <f t="shared" si="242"/>
        <v>267.12</v>
      </c>
      <c r="CI357" s="863">
        <f t="shared" si="243"/>
        <v>0</v>
      </c>
      <c r="CJ357" s="863">
        <f t="shared" si="244"/>
        <v>267.12</v>
      </c>
      <c r="CK357" s="710"/>
      <c r="CL357" s="710"/>
      <c r="CM357" s="710"/>
      <c r="CN357" s="512"/>
      <c r="CO357" s="512"/>
      <c r="CP357" s="512"/>
      <c r="CQ357" s="512"/>
      <c r="CR357" s="512"/>
      <c r="CS357" s="512"/>
      <c r="CT357" s="512"/>
      <c r="CU357" s="512"/>
      <c r="CV357" s="515"/>
    </row>
    <row r="358" spans="1:100">
      <c r="A358" s="844"/>
      <c r="B358" s="845" t="s">
        <v>895</v>
      </c>
      <c r="C358" s="846"/>
      <c r="D358" s="846"/>
      <c r="E358" s="846"/>
      <c r="F358" s="846"/>
      <c r="G358" s="846"/>
      <c r="H358" s="846"/>
      <c r="I358" s="846"/>
      <c r="J358" s="846"/>
      <c r="K358" s="846"/>
      <c r="L358" s="846"/>
      <c r="M358" s="846"/>
      <c r="N358" s="846"/>
      <c r="O358" s="846"/>
      <c r="P358" s="846"/>
      <c r="Q358" s="846"/>
      <c r="R358" s="846"/>
      <c r="S358" s="846"/>
      <c r="T358" s="847"/>
      <c r="U358" s="848"/>
      <c r="V358" s="848"/>
      <c r="W358" s="848"/>
      <c r="X358" s="848"/>
      <c r="Y358" s="848"/>
      <c r="Z358" s="848"/>
      <c r="AA358" s="848">
        <v>289.64</v>
      </c>
      <c r="AB358" s="848"/>
      <c r="AC358" s="848"/>
      <c r="AD358" s="848"/>
      <c r="AE358" s="849"/>
      <c r="AF358" s="850">
        <f t="shared" si="238"/>
        <v>289.64</v>
      </c>
      <c r="AG358" s="851"/>
      <c r="AH358" s="852"/>
      <c r="AI358" s="852"/>
      <c r="AJ358" s="852"/>
      <c r="AK358" s="852"/>
      <c r="AL358" s="852"/>
      <c r="AM358" s="852"/>
      <c r="AN358" s="852"/>
      <c r="AO358" s="852"/>
      <c r="AP358" s="852"/>
      <c r="AQ358" s="852"/>
      <c r="AR358" s="853"/>
      <c r="AS358" s="854">
        <f t="shared" si="240"/>
        <v>0</v>
      </c>
      <c r="AT358" s="864"/>
      <c r="AU358" s="856"/>
      <c r="AV358" s="857"/>
      <c r="AW358" s="857"/>
      <c r="AX358" s="857"/>
      <c r="AY358" s="856"/>
      <c r="AZ358" s="856"/>
      <c r="BA358" s="856"/>
      <c r="BB358" s="857">
        <v>0</v>
      </c>
      <c r="BC358" s="857">
        <v>0</v>
      </c>
      <c r="BD358" s="856">
        <v>0</v>
      </c>
      <c r="BE358" s="865">
        <v>0</v>
      </c>
      <c r="BF358" s="866">
        <f t="shared" si="239"/>
        <v>0</v>
      </c>
      <c r="BG358" s="864">
        <v>0</v>
      </c>
      <c r="BH358" s="857">
        <v>0</v>
      </c>
      <c r="BI358" s="859">
        <v>0</v>
      </c>
      <c r="BJ358" s="859">
        <v>0</v>
      </c>
      <c r="BK358" s="860">
        <v>0</v>
      </c>
      <c r="BL358" s="860"/>
      <c r="BM358" s="860"/>
      <c r="BN358" s="860"/>
      <c r="BO358" s="860"/>
      <c r="BP358" s="860"/>
      <c r="BQ358" s="860"/>
      <c r="BR358" s="861"/>
      <c r="BS358" s="854">
        <f t="shared" si="241"/>
        <v>0</v>
      </c>
      <c r="BT358" s="862"/>
      <c r="BU358" s="862"/>
      <c r="BV358" s="862"/>
      <c r="BW358" s="862"/>
      <c r="BX358" s="862"/>
      <c r="BY358" s="862"/>
      <c r="BZ358" s="862"/>
      <c r="CA358" s="862"/>
      <c r="CB358" s="862"/>
      <c r="CC358" s="862"/>
      <c r="CD358" s="862"/>
      <c r="CE358" s="862"/>
      <c r="CF358" s="862"/>
      <c r="CG358" s="862"/>
      <c r="CH358" s="863">
        <f t="shared" si="242"/>
        <v>289.64</v>
      </c>
      <c r="CI358" s="863">
        <f t="shared" si="243"/>
        <v>0</v>
      </c>
      <c r="CJ358" s="863">
        <f t="shared" si="244"/>
        <v>289.64</v>
      </c>
      <c r="CK358" s="710"/>
      <c r="CL358" s="710"/>
      <c r="CM358" s="710"/>
      <c r="CN358" s="512"/>
      <c r="CO358" s="512"/>
      <c r="CP358" s="512"/>
      <c r="CQ358" s="512"/>
      <c r="CR358" s="512"/>
      <c r="CS358" s="512"/>
      <c r="CT358" s="512"/>
      <c r="CU358" s="512"/>
      <c r="CV358" s="515"/>
    </row>
    <row r="359" spans="1:100">
      <c r="A359" s="844"/>
      <c r="B359" s="845" t="s">
        <v>896</v>
      </c>
      <c r="C359" s="846"/>
      <c r="D359" s="846"/>
      <c r="E359" s="846"/>
      <c r="F359" s="846"/>
      <c r="G359" s="846"/>
      <c r="H359" s="846"/>
      <c r="I359" s="846"/>
      <c r="J359" s="846"/>
      <c r="K359" s="846"/>
      <c r="L359" s="846"/>
      <c r="M359" s="846"/>
      <c r="N359" s="846"/>
      <c r="O359" s="846"/>
      <c r="P359" s="846"/>
      <c r="Q359" s="846"/>
      <c r="R359" s="846"/>
      <c r="S359" s="846"/>
      <c r="T359" s="847"/>
      <c r="U359" s="848"/>
      <c r="V359" s="848"/>
      <c r="W359" s="848"/>
      <c r="X359" s="848"/>
      <c r="Y359" s="848"/>
      <c r="Z359" s="848"/>
      <c r="AA359" s="848"/>
      <c r="AB359" s="848"/>
      <c r="AC359" s="848">
        <v>121.85</v>
      </c>
      <c r="AD359" s="848"/>
      <c r="AE359" s="849"/>
      <c r="AF359" s="850">
        <f t="shared" si="238"/>
        <v>121.85</v>
      </c>
      <c r="AG359" s="851"/>
      <c r="AH359" s="852"/>
      <c r="AI359" s="852"/>
      <c r="AJ359" s="852"/>
      <c r="AK359" s="852"/>
      <c r="AL359" s="852"/>
      <c r="AM359" s="852"/>
      <c r="AN359" s="852"/>
      <c r="AO359" s="852"/>
      <c r="AP359" s="852"/>
      <c r="AQ359" s="852"/>
      <c r="AR359" s="853"/>
      <c r="AS359" s="854">
        <f t="shared" si="240"/>
        <v>0</v>
      </c>
      <c r="AT359" s="864"/>
      <c r="AU359" s="856"/>
      <c r="AV359" s="857"/>
      <c r="AW359" s="857"/>
      <c r="AX359" s="857"/>
      <c r="AY359" s="856"/>
      <c r="AZ359" s="857"/>
      <c r="BA359" s="856"/>
      <c r="BB359" s="857">
        <v>0</v>
      </c>
      <c r="BC359" s="857">
        <v>0</v>
      </c>
      <c r="BD359" s="856">
        <v>0</v>
      </c>
      <c r="BE359" s="865">
        <v>279.62</v>
      </c>
      <c r="BF359" s="866">
        <f t="shared" si="239"/>
        <v>279.62</v>
      </c>
      <c r="BG359" s="864">
        <v>0</v>
      </c>
      <c r="BH359" s="857">
        <v>88.97</v>
      </c>
      <c r="BI359" s="859">
        <v>0</v>
      </c>
      <c r="BJ359" s="859">
        <v>0</v>
      </c>
      <c r="BK359" s="860">
        <v>0</v>
      </c>
      <c r="BL359" s="860"/>
      <c r="BM359" s="860"/>
      <c r="BN359" s="860"/>
      <c r="BO359" s="860"/>
      <c r="BP359" s="860"/>
      <c r="BQ359" s="860"/>
      <c r="BR359" s="861"/>
      <c r="BS359" s="854">
        <f t="shared" si="241"/>
        <v>88.97</v>
      </c>
      <c r="BT359" s="862"/>
      <c r="BU359" s="862"/>
      <c r="BV359" s="862"/>
      <c r="BW359" s="862"/>
      <c r="BX359" s="862"/>
      <c r="BY359" s="862"/>
      <c r="BZ359" s="862"/>
      <c r="CA359" s="862"/>
      <c r="CB359" s="862"/>
      <c r="CC359" s="862"/>
      <c r="CD359" s="862"/>
      <c r="CE359" s="862"/>
      <c r="CF359" s="862"/>
      <c r="CG359" s="862"/>
      <c r="CH359" s="863">
        <f t="shared" si="242"/>
        <v>490.44000000000005</v>
      </c>
      <c r="CI359" s="863">
        <f t="shared" si="243"/>
        <v>0</v>
      </c>
      <c r="CJ359" s="863">
        <f t="shared" si="244"/>
        <v>490.44000000000005</v>
      </c>
      <c r="CK359" s="710"/>
      <c r="CL359" s="710"/>
      <c r="CM359" s="710"/>
      <c r="CN359" s="512"/>
      <c r="CO359" s="512"/>
      <c r="CP359" s="512"/>
      <c r="CQ359" s="512"/>
      <c r="CR359" s="512"/>
      <c r="CS359" s="512"/>
      <c r="CT359" s="512"/>
      <c r="CU359" s="512"/>
      <c r="CV359" s="515"/>
    </row>
    <row r="360" spans="1:100">
      <c r="A360" s="844"/>
      <c r="B360" s="845" t="s">
        <v>897</v>
      </c>
      <c r="C360" s="846"/>
      <c r="D360" s="846"/>
      <c r="E360" s="846"/>
      <c r="F360" s="846"/>
      <c r="G360" s="846"/>
      <c r="H360" s="846"/>
      <c r="I360" s="846"/>
      <c r="J360" s="846"/>
      <c r="K360" s="846"/>
      <c r="L360" s="846"/>
      <c r="M360" s="846"/>
      <c r="N360" s="846"/>
      <c r="O360" s="846"/>
      <c r="P360" s="846"/>
      <c r="Q360" s="846"/>
      <c r="R360" s="846"/>
      <c r="S360" s="846"/>
      <c r="T360" s="847"/>
      <c r="U360" s="848"/>
      <c r="V360" s="848"/>
      <c r="W360" s="848"/>
      <c r="X360" s="848"/>
      <c r="Y360" s="848"/>
      <c r="Z360" s="848"/>
      <c r="AA360" s="848"/>
      <c r="AB360" s="848"/>
      <c r="AC360" s="848"/>
      <c r="AD360" s="848"/>
      <c r="AE360" s="849"/>
      <c r="AF360" s="850">
        <f t="shared" si="238"/>
        <v>0</v>
      </c>
      <c r="AG360" s="851"/>
      <c r="AH360" s="852"/>
      <c r="AI360" s="852"/>
      <c r="AJ360" s="852"/>
      <c r="AK360" s="852"/>
      <c r="AL360" s="852"/>
      <c r="AM360" s="852"/>
      <c r="AN360" s="852"/>
      <c r="AO360" s="852"/>
      <c r="AP360" s="852"/>
      <c r="AQ360" s="852">
        <v>3008.88</v>
      </c>
      <c r="AR360" s="853">
        <v>6017.76</v>
      </c>
      <c r="AS360" s="854">
        <f t="shared" si="240"/>
        <v>9026.64</v>
      </c>
      <c r="AT360" s="864">
        <v>5301.36</v>
      </c>
      <c r="AU360" s="856">
        <v>4680.4799999999996</v>
      </c>
      <c r="AV360" s="857">
        <v>3156.08</v>
      </c>
      <c r="AW360" s="857">
        <v>3586.65</v>
      </c>
      <c r="AX360" s="857">
        <v>4338.45</v>
      </c>
      <c r="AY360" s="856">
        <v>3473.2</v>
      </c>
      <c r="AZ360" s="857">
        <v>4860.57</v>
      </c>
      <c r="BA360" s="856">
        <v>4900</v>
      </c>
      <c r="BB360" s="857">
        <v>2793</v>
      </c>
      <c r="BC360" s="857">
        <v>6122.94</v>
      </c>
      <c r="BD360" s="856">
        <v>4566.3</v>
      </c>
      <c r="BE360" s="865">
        <v>1178.4000000000001</v>
      </c>
      <c r="BF360" s="866">
        <f t="shared" si="239"/>
        <v>48957.430000000008</v>
      </c>
      <c r="BG360" s="864">
        <v>3633.4</v>
      </c>
      <c r="BH360" s="857">
        <v>5008.2</v>
      </c>
      <c r="BI360" s="859">
        <v>3927.3</v>
      </c>
      <c r="BJ360" s="859">
        <v>2718.9</v>
      </c>
      <c r="BK360" s="860">
        <v>2366.4499999999998</v>
      </c>
      <c r="BL360" s="860"/>
      <c r="BM360" s="860"/>
      <c r="BN360" s="860"/>
      <c r="BO360" s="860"/>
      <c r="BP360" s="860"/>
      <c r="BQ360" s="860"/>
      <c r="BR360" s="861"/>
      <c r="BS360" s="854">
        <f t="shared" si="241"/>
        <v>17654.25</v>
      </c>
      <c r="BT360" s="862"/>
      <c r="BU360" s="862"/>
      <c r="BV360" s="862"/>
      <c r="BW360" s="862"/>
      <c r="BX360" s="862"/>
      <c r="BY360" s="862"/>
      <c r="BZ360" s="862"/>
      <c r="CA360" s="862"/>
      <c r="CB360" s="862"/>
      <c r="CC360" s="862"/>
      <c r="CD360" s="862"/>
      <c r="CE360" s="862"/>
      <c r="CF360" s="862"/>
      <c r="CG360" s="862"/>
      <c r="CH360" s="863">
        <f t="shared" si="242"/>
        <v>75638.320000000007</v>
      </c>
      <c r="CI360" s="863">
        <f t="shared" si="243"/>
        <v>0</v>
      </c>
      <c r="CJ360" s="863">
        <f t="shared" si="244"/>
        <v>75638.320000000007</v>
      </c>
      <c r="CK360" s="710"/>
      <c r="CL360" s="710"/>
      <c r="CM360" s="710"/>
      <c r="CN360" s="512"/>
      <c r="CO360" s="512"/>
      <c r="CP360" s="512"/>
      <c r="CQ360" s="512"/>
      <c r="CR360" s="512"/>
      <c r="CS360" s="512"/>
      <c r="CT360" s="512"/>
      <c r="CU360" s="512"/>
      <c r="CV360" s="515"/>
    </row>
    <row r="361" spans="1:100">
      <c r="A361" s="844"/>
      <c r="B361" s="845" t="s">
        <v>898</v>
      </c>
      <c r="C361" s="846"/>
      <c r="D361" s="846"/>
      <c r="E361" s="846"/>
      <c r="F361" s="846"/>
      <c r="G361" s="846"/>
      <c r="H361" s="846"/>
      <c r="I361" s="846"/>
      <c r="J361" s="846"/>
      <c r="K361" s="846"/>
      <c r="L361" s="846" t="s">
        <v>559</v>
      </c>
      <c r="M361" s="846"/>
      <c r="N361" s="846"/>
      <c r="O361" s="846"/>
      <c r="P361" s="846"/>
      <c r="Q361" s="846"/>
      <c r="R361" s="846"/>
      <c r="S361" s="846"/>
      <c r="T361" s="847"/>
      <c r="U361" s="848"/>
      <c r="V361" s="848"/>
      <c r="W361" s="848"/>
      <c r="X361" s="848"/>
      <c r="Y361" s="848"/>
      <c r="Z361" s="848"/>
      <c r="AA361" s="848"/>
      <c r="AB361" s="848"/>
      <c r="AC361" s="848"/>
      <c r="AD361" s="848"/>
      <c r="AE361" s="849"/>
      <c r="AF361" s="850">
        <f t="shared" si="238"/>
        <v>0</v>
      </c>
      <c r="AG361" s="851"/>
      <c r="AH361" s="852"/>
      <c r="AI361" s="852"/>
      <c r="AJ361" s="852"/>
      <c r="AK361" s="852"/>
      <c r="AL361" s="852"/>
      <c r="AM361" s="852"/>
      <c r="AN361" s="852"/>
      <c r="AO361" s="852"/>
      <c r="AP361" s="852"/>
      <c r="AQ361" s="852"/>
      <c r="AR361" s="853"/>
      <c r="AS361" s="854">
        <f t="shared" si="240"/>
        <v>0</v>
      </c>
      <c r="AT361" s="864"/>
      <c r="AU361" s="856"/>
      <c r="AV361" s="857"/>
      <c r="AW361" s="857"/>
      <c r="AX361" s="857"/>
      <c r="AY361" s="856"/>
      <c r="AZ361" s="857">
        <v>94.9</v>
      </c>
      <c r="BA361" s="856"/>
      <c r="BB361" s="857">
        <v>0</v>
      </c>
      <c r="BC361" s="857">
        <v>113.88</v>
      </c>
      <c r="BD361" s="856">
        <v>0</v>
      </c>
      <c r="BE361" s="865">
        <v>0</v>
      </c>
      <c r="BF361" s="866">
        <f t="shared" si="239"/>
        <v>208.78</v>
      </c>
      <c r="BG361" s="864">
        <v>0</v>
      </c>
      <c r="BH361" s="857">
        <v>0</v>
      </c>
      <c r="BI361" s="859">
        <v>0</v>
      </c>
      <c r="BJ361" s="859">
        <v>0</v>
      </c>
      <c r="BK361" s="860">
        <v>154.96</v>
      </c>
      <c r="BL361" s="860"/>
      <c r="BM361" s="860"/>
      <c r="BN361" s="860"/>
      <c r="BO361" s="860"/>
      <c r="BP361" s="860"/>
      <c r="BQ361" s="860"/>
      <c r="BR361" s="861"/>
      <c r="BS361" s="854">
        <f t="shared" si="241"/>
        <v>154.96</v>
      </c>
      <c r="BT361" s="862"/>
      <c r="BU361" s="862"/>
      <c r="BV361" s="862"/>
      <c r="BW361" s="862"/>
      <c r="BX361" s="862"/>
      <c r="BY361" s="862"/>
      <c r="BZ361" s="862"/>
      <c r="CA361" s="862"/>
      <c r="CB361" s="862"/>
      <c r="CC361" s="862"/>
      <c r="CD361" s="862"/>
      <c r="CE361" s="862"/>
      <c r="CF361" s="862"/>
      <c r="CG361" s="862"/>
      <c r="CH361" s="863">
        <f t="shared" si="242"/>
        <v>363.74</v>
      </c>
      <c r="CI361" s="863">
        <f t="shared" si="243"/>
        <v>0</v>
      </c>
      <c r="CJ361" s="863">
        <f t="shared" si="244"/>
        <v>363.74</v>
      </c>
      <c r="CK361" s="710"/>
      <c r="CL361" s="710"/>
      <c r="CM361" s="710"/>
      <c r="CN361" s="512"/>
      <c r="CO361" s="512"/>
      <c r="CP361" s="512"/>
      <c r="CQ361" s="512"/>
      <c r="CR361" s="512"/>
      <c r="CS361" s="512"/>
      <c r="CT361" s="512"/>
      <c r="CU361" s="512"/>
      <c r="CV361" s="515"/>
    </row>
    <row r="362" spans="1:100">
      <c r="A362" s="844"/>
      <c r="B362" s="845" t="s">
        <v>899</v>
      </c>
      <c r="C362" s="846"/>
      <c r="D362" s="846"/>
      <c r="E362" s="846"/>
      <c r="F362" s="846"/>
      <c r="G362" s="846"/>
      <c r="H362" s="846"/>
      <c r="I362" s="846"/>
      <c r="J362" s="846"/>
      <c r="K362" s="846"/>
      <c r="L362" s="846"/>
      <c r="M362" s="846"/>
      <c r="N362" s="846"/>
      <c r="O362" s="846"/>
      <c r="P362" s="846"/>
      <c r="Q362" s="846"/>
      <c r="R362" s="846"/>
      <c r="S362" s="846"/>
      <c r="T362" s="847"/>
      <c r="U362" s="848"/>
      <c r="V362" s="848"/>
      <c r="W362" s="848"/>
      <c r="X362" s="848"/>
      <c r="Y362" s="848"/>
      <c r="Z362" s="848"/>
      <c r="AA362" s="848"/>
      <c r="AB362" s="848"/>
      <c r="AC362" s="848"/>
      <c r="AD362" s="848">
        <v>670.15</v>
      </c>
      <c r="AE362" s="849">
        <v>163.44999999999999</v>
      </c>
      <c r="AF362" s="850">
        <f t="shared" si="238"/>
        <v>833.59999999999991</v>
      </c>
      <c r="AG362" s="851"/>
      <c r="AH362" s="852"/>
      <c r="AI362" s="852"/>
      <c r="AJ362" s="852"/>
      <c r="AK362" s="852"/>
      <c r="AL362" s="852"/>
      <c r="AM362" s="852"/>
      <c r="AN362" s="852"/>
      <c r="AO362" s="852"/>
      <c r="AP362" s="852"/>
      <c r="AQ362" s="852"/>
      <c r="AR362" s="853"/>
      <c r="AS362" s="854">
        <f t="shared" si="240"/>
        <v>0</v>
      </c>
      <c r="AT362" s="864"/>
      <c r="AU362" s="856"/>
      <c r="AV362" s="857"/>
      <c r="AW362" s="857"/>
      <c r="AX362" s="857"/>
      <c r="AY362" s="856"/>
      <c r="AZ362" s="857"/>
      <c r="BA362" s="856"/>
      <c r="BB362" s="857">
        <v>0</v>
      </c>
      <c r="BC362" s="857">
        <v>0</v>
      </c>
      <c r="BD362" s="856">
        <v>0</v>
      </c>
      <c r="BE362" s="865">
        <v>0</v>
      </c>
      <c r="BF362" s="866">
        <f t="shared" si="239"/>
        <v>0</v>
      </c>
      <c r="BG362" s="864">
        <v>0</v>
      </c>
      <c r="BH362" s="857">
        <v>0</v>
      </c>
      <c r="BI362" s="859">
        <v>0</v>
      </c>
      <c r="BJ362" s="859">
        <v>0</v>
      </c>
      <c r="BK362" s="860">
        <v>0</v>
      </c>
      <c r="BL362" s="860"/>
      <c r="BM362" s="860"/>
      <c r="BN362" s="860"/>
      <c r="BO362" s="860"/>
      <c r="BP362" s="860"/>
      <c r="BQ362" s="860"/>
      <c r="BR362" s="861"/>
      <c r="BS362" s="854">
        <f t="shared" si="241"/>
        <v>0</v>
      </c>
      <c r="BT362" s="862"/>
      <c r="BU362" s="862"/>
      <c r="BV362" s="862"/>
      <c r="BW362" s="862"/>
      <c r="BX362" s="862"/>
      <c r="BY362" s="862"/>
      <c r="BZ362" s="862"/>
      <c r="CA362" s="862"/>
      <c r="CB362" s="862"/>
      <c r="CC362" s="862"/>
      <c r="CD362" s="862"/>
      <c r="CE362" s="862"/>
      <c r="CF362" s="862"/>
      <c r="CG362" s="862"/>
      <c r="CH362" s="863">
        <f t="shared" si="242"/>
        <v>833.59999999999991</v>
      </c>
      <c r="CI362" s="863">
        <f t="shared" si="243"/>
        <v>0</v>
      </c>
      <c r="CJ362" s="863">
        <f t="shared" si="244"/>
        <v>833.59999999999991</v>
      </c>
      <c r="CK362" s="710"/>
      <c r="CL362" s="710"/>
      <c r="CM362" s="710"/>
      <c r="CN362" s="512"/>
      <c r="CO362" s="512"/>
      <c r="CP362" s="512"/>
      <c r="CQ362" s="512"/>
      <c r="CR362" s="512"/>
      <c r="CS362" s="512"/>
      <c r="CT362" s="512"/>
      <c r="CU362" s="512"/>
      <c r="CV362" s="515"/>
    </row>
    <row r="363" spans="1:100">
      <c r="A363" s="844"/>
      <c r="B363" s="845" t="s">
        <v>900</v>
      </c>
      <c r="C363" s="846"/>
      <c r="D363" s="846"/>
      <c r="E363" s="846"/>
      <c r="F363" s="846"/>
      <c r="G363" s="846"/>
      <c r="H363" s="846"/>
      <c r="I363" s="846"/>
      <c r="J363" s="846"/>
      <c r="K363" s="846"/>
      <c r="L363" s="846"/>
      <c r="M363" s="846"/>
      <c r="N363" s="846"/>
      <c r="O363" s="846"/>
      <c r="P363" s="846"/>
      <c r="Q363" s="846"/>
      <c r="R363" s="846"/>
      <c r="S363" s="846"/>
      <c r="T363" s="847"/>
      <c r="U363" s="848"/>
      <c r="V363" s="848"/>
      <c r="W363" s="848"/>
      <c r="X363" s="848"/>
      <c r="Y363" s="848"/>
      <c r="Z363" s="848">
        <v>192.12</v>
      </c>
      <c r="AA363" s="848">
        <v>5120.0600000000004</v>
      </c>
      <c r="AB363" s="848">
        <v>6486.94</v>
      </c>
      <c r="AC363" s="848">
        <v>4862.24</v>
      </c>
      <c r="AD363" s="848">
        <v>7105</v>
      </c>
      <c r="AE363" s="849">
        <v>7693</v>
      </c>
      <c r="AF363" s="850">
        <f t="shared" si="238"/>
        <v>31459.360000000001</v>
      </c>
      <c r="AG363" s="851">
        <v>7393.2</v>
      </c>
      <c r="AH363" s="852">
        <v>4953.5200000000004</v>
      </c>
      <c r="AI363" s="852">
        <v>9333.1200000000008</v>
      </c>
      <c r="AJ363" s="852">
        <v>7100.64</v>
      </c>
      <c r="AK363" s="852">
        <v>4142.04</v>
      </c>
      <c r="AL363" s="852"/>
      <c r="AM363" s="852"/>
      <c r="AN363" s="852"/>
      <c r="AO363" s="852"/>
      <c r="AP363" s="852">
        <v>536.79999999999995</v>
      </c>
      <c r="AQ363" s="852">
        <v>1289.52</v>
      </c>
      <c r="AR363" s="853">
        <v>1862.64</v>
      </c>
      <c r="AS363" s="854">
        <f t="shared" si="240"/>
        <v>36611.480000000003</v>
      </c>
      <c r="AT363" s="864">
        <v>47.76</v>
      </c>
      <c r="AU363" s="856"/>
      <c r="AV363" s="857"/>
      <c r="AW363" s="857"/>
      <c r="AX363" s="857"/>
      <c r="AY363" s="856"/>
      <c r="AZ363" s="857"/>
      <c r="BA363" s="856"/>
      <c r="BB363" s="857">
        <v>0</v>
      </c>
      <c r="BC363" s="857">
        <v>0</v>
      </c>
      <c r="BD363" s="856">
        <v>0</v>
      </c>
      <c r="BE363" s="865">
        <v>0</v>
      </c>
      <c r="BF363" s="866">
        <f t="shared" si="239"/>
        <v>47.76</v>
      </c>
      <c r="BG363" s="864">
        <v>0</v>
      </c>
      <c r="BH363" s="857">
        <v>0</v>
      </c>
      <c r="BI363" s="859">
        <v>0</v>
      </c>
      <c r="BJ363" s="859">
        <v>0</v>
      </c>
      <c r="BK363" s="860">
        <v>0</v>
      </c>
      <c r="BL363" s="860"/>
      <c r="BM363" s="860"/>
      <c r="BN363" s="860"/>
      <c r="BO363" s="860"/>
      <c r="BP363" s="860"/>
      <c r="BQ363" s="860"/>
      <c r="BR363" s="861"/>
      <c r="BS363" s="854">
        <f t="shared" si="241"/>
        <v>0</v>
      </c>
      <c r="BT363" s="862"/>
      <c r="BU363" s="862"/>
      <c r="BV363" s="862"/>
      <c r="BW363" s="862"/>
      <c r="BX363" s="862"/>
      <c r="BY363" s="862"/>
      <c r="BZ363" s="862"/>
      <c r="CA363" s="862"/>
      <c r="CB363" s="862"/>
      <c r="CC363" s="862"/>
      <c r="CD363" s="862"/>
      <c r="CE363" s="862"/>
      <c r="CF363" s="862"/>
      <c r="CG363" s="862"/>
      <c r="CH363" s="863">
        <f t="shared" si="242"/>
        <v>68118.600000000006</v>
      </c>
      <c r="CI363" s="863">
        <f t="shared" si="243"/>
        <v>0</v>
      </c>
      <c r="CJ363" s="863">
        <f t="shared" si="244"/>
        <v>68118.600000000006</v>
      </c>
      <c r="CK363" s="710"/>
      <c r="CL363" s="710"/>
      <c r="CM363" s="710"/>
      <c r="CN363" s="512"/>
      <c r="CO363" s="512"/>
      <c r="CP363" s="512"/>
      <c r="CQ363" s="512"/>
      <c r="CR363" s="512"/>
      <c r="CS363" s="512"/>
      <c r="CT363" s="512"/>
      <c r="CU363" s="512"/>
      <c r="CV363" s="515"/>
    </row>
    <row r="364" spans="1:100">
      <c r="A364" s="844"/>
      <c r="B364" s="845" t="s">
        <v>901</v>
      </c>
      <c r="C364" s="846"/>
      <c r="D364" s="846"/>
      <c r="E364" s="846"/>
      <c r="F364" s="846"/>
      <c r="G364" s="846"/>
      <c r="H364" s="846"/>
      <c r="I364" s="846"/>
      <c r="J364" s="846"/>
      <c r="K364" s="846"/>
      <c r="L364" s="846"/>
      <c r="M364" s="846"/>
      <c r="N364" s="846"/>
      <c r="O364" s="846"/>
      <c r="P364" s="846"/>
      <c r="Q364" s="846"/>
      <c r="R364" s="846"/>
      <c r="S364" s="846"/>
      <c r="T364" s="847"/>
      <c r="U364" s="848"/>
      <c r="V364" s="848"/>
      <c r="W364" s="848"/>
      <c r="X364" s="848"/>
      <c r="Y364" s="848"/>
      <c r="Z364" s="848">
        <v>56.95</v>
      </c>
      <c r="AA364" s="848"/>
      <c r="AB364" s="848"/>
      <c r="AC364" s="848"/>
      <c r="AD364" s="848"/>
      <c r="AE364" s="849"/>
      <c r="AF364" s="850">
        <f t="shared" si="238"/>
        <v>56.95</v>
      </c>
      <c r="AG364" s="851"/>
      <c r="AH364" s="852"/>
      <c r="AI364" s="852"/>
      <c r="AJ364" s="852"/>
      <c r="AK364" s="852"/>
      <c r="AL364" s="852"/>
      <c r="AM364" s="852">
        <v>117.32</v>
      </c>
      <c r="AN364" s="852"/>
      <c r="AO364" s="852"/>
      <c r="AP364" s="852">
        <v>234.64</v>
      </c>
      <c r="AQ364" s="852"/>
      <c r="AR364" s="853"/>
      <c r="AS364" s="854">
        <f t="shared" si="240"/>
        <v>351.96</v>
      </c>
      <c r="AT364" s="864"/>
      <c r="AU364" s="856"/>
      <c r="AV364" s="857"/>
      <c r="AW364" s="857"/>
      <c r="AX364" s="857"/>
      <c r="AY364" s="856"/>
      <c r="AZ364" s="856"/>
      <c r="BA364" s="856"/>
      <c r="BB364" s="857">
        <v>0</v>
      </c>
      <c r="BC364" s="857">
        <v>0</v>
      </c>
      <c r="BD364" s="856">
        <v>0</v>
      </c>
      <c r="BE364" s="865">
        <v>0</v>
      </c>
      <c r="BF364" s="866">
        <f t="shared" si="239"/>
        <v>0</v>
      </c>
      <c r="BG364" s="864">
        <v>0</v>
      </c>
      <c r="BH364" s="857">
        <v>0</v>
      </c>
      <c r="BI364" s="859">
        <v>0</v>
      </c>
      <c r="BJ364" s="859">
        <v>0</v>
      </c>
      <c r="BK364" s="860">
        <v>0</v>
      </c>
      <c r="BL364" s="860"/>
      <c r="BM364" s="860"/>
      <c r="BN364" s="860"/>
      <c r="BO364" s="860"/>
      <c r="BP364" s="860"/>
      <c r="BQ364" s="860"/>
      <c r="BR364" s="861"/>
      <c r="BS364" s="854">
        <f t="shared" si="241"/>
        <v>0</v>
      </c>
      <c r="BT364" s="862"/>
      <c r="BU364" s="862"/>
      <c r="BV364" s="862"/>
      <c r="BW364" s="862"/>
      <c r="BX364" s="862"/>
      <c r="BY364" s="862"/>
      <c r="BZ364" s="862"/>
      <c r="CA364" s="862"/>
      <c r="CB364" s="862"/>
      <c r="CC364" s="862"/>
      <c r="CD364" s="862"/>
      <c r="CE364" s="862"/>
      <c r="CF364" s="862"/>
      <c r="CG364" s="862"/>
      <c r="CH364" s="863">
        <f t="shared" si="242"/>
        <v>408.90999999999997</v>
      </c>
      <c r="CI364" s="863">
        <f t="shared" si="243"/>
        <v>0</v>
      </c>
      <c r="CJ364" s="863">
        <f t="shared" si="244"/>
        <v>408.90999999999997</v>
      </c>
      <c r="CK364" s="710"/>
      <c r="CL364" s="710"/>
      <c r="CM364" s="710"/>
      <c r="CN364" s="512"/>
      <c r="CO364" s="512"/>
      <c r="CP364" s="512"/>
      <c r="CQ364" s="512"/>
      <c r="CR364" s="512"/>
      <c r="CS364" s="512"/>
      <c r="CT364" s="512"/>
      <c r="CU364" s="512"/>
      <c r="CV364" s="515"/>
    </row>
    <row r="365" spans="1:100">
      <c r="A365" s="844"/>
      <c r="B365" s="845" t="s">
        <v>902</v>
      </c>
      <c r="C365" s="846"/>
      <c r="D365" s="846"/>
      <c r="E365" s="846"/>
      <c r="F365" s="846"/>
      <c r="G365" s="846"/>
      <c r="H365" s="846"/>
      <c r="I365" s="846"/>
      <c r="J365" s="846"/>
      <c r="K365" s="846"/>
      <c r="L365" s="846" t="s">
        <v>558</v>
      </c>
      <c r="M365" s="846"/>
      <c r="N365" s="846"/>
      <c r="O365" s="846"/>
      <c r="P365" s="846"/>
      <c r="Q365" s="846"/>
      <c r="R365" s="846"/>
      <c r="S365" s="846"/>
      <c r="T365" s="847"/>
      <c r="U365" s="848"/>
      <c r="V365" s="848"/>
      <c r="W365" s="848"/>
      <c r="X365" s="848"/>
      <c r="Y365" s="848"/>
      <c r="Z365" s="848"/>
      <c r="AA365" s="848"/>
      <c r="AB365" s="848"/>
      <c r="AC365" s="848"/>
      <c r="AD365" s="848"/>
      <c r="AE365" s="849"/>
      <c r="AF365" s="850">
        <f t="shared" si="238"/>
        <v>0</v>
      </c>
      <c r="AG365" s="851"/>
      <c r="AH365" s="852"/>
      <c r="AI365" s="852"/>
      <c r="AJ365" s="852"/>
      <c r="AK365" s="852"/>
      <c r="AL365" s="852"/>
      <c r="AM365" s="852"/>
      <c r="AN365" s="852"/>
      <c r="AO365" s="852"/>
      <c r="AP365" s="852"/>
      <c r="AQ365" s="852"/>
      <c r="AR365" s="853"/>
      <c r="AS365" s="854">
        <f t="shared" si="240"/>
        <v>0</v>
      </c>
      <c r="AT365" s="864"/>
      <c r="AU365" s="856"/>
      <c r="AV365" s="857"/>
      <c r="AW365" s="857"/>
      <c r="AX365" s="856"/>
      <c r="AY365" s="856"/>
      <c r="AZ365" s="856"/>
      <c r="BA365" s="856"/>
      <c r="BB365" s="857"/>
      <c r="BC365" s="856"/>
      <c r="BD365" s="856"/>
      <c r="BE365" s="865"/>
      <c r="BF365" s="866">
        <f t="shared" si="239"/>
        <v>0</v>
      </c>
      <c r="BG365" s="864"/>
      <c r="BH365" s="857"/>
      <c r="BI365" s="859">
        <v>0</v>
      </c>
      <c r="BJ365" s="859">
        <v>670.84</v>
      </c>
      <c r="BK365" s="860">
        <v>0</v>
      </c>
      <c r="BL365" s="860"/>
      <c r="BM365" s="860"/>
      <c r="BN365" s="860"/>
      <c r="BO365" s="860"/>
      <c r="BP365" s="860"/>
      <c r="BQ365" s="860"/>
      <c r="BR365" s="861"/>
      <c r="BS365" s="854">
        <f t="shared" si="241"/>
        <v>670.84</v>
      </c>
      <c r="BT365" s="862"/>
      <c r="BU365" s="862"/>
      <c r="BV365" s="862"/>
      <c r="BW365" s="862"/>
      <c r="BX365" s="862"/>
      <c r="BY365" s="862"/>
      <c r="BZ365" s="862"/>
      <c r="CA365" s="862"/>
      <c r="CB365" s="862"/>
      <c r="CC365" s="862"/>
      <c r="CD365" s="862"/>
      <c r="CE365" s="862"/>
      <c r="CF365" s="862"/>
      <c r="CG365" s="862"/>
      <c r="CH365" s="863">
        <f t="shared" si="242"/>
        <v>670.84</v>
      </c>
      <c r="CI365" s="863">
        <f t="shared" si="243"/>
        <v>0</v>
      </c>
      <c r="CJ365" s="863">
        <f t="shared" si="244"/>
        <v>670.84</v>
      </c>
      <c r="CK365" s="710"/>
      <c r="CL365" s="710"/>
      <c r="CM365" s="710"/>
      <c r="CN365" s="512"/>
      <c r="CO365" s="512"/>
      <c r="CP365" s="512"/>
      <c r="CQ365" s="512"/>
      <c r="CR365" s="512"/>
      <c r="CS365" s="512"/>
      <c r="CT365" s="512"/>
      <c r="CU365" s="512"/>
      <c r="CV365" s="515"/>
    </row>
    <row r="366" spans="1:100">
      <c r="A366" s="844"/>
      <c r="B366" s="845" t="s">
        <v>903</v>
      </c>
      <c r="C366" s="846"/>
      <c r="D366" s="846"/>
      <c r="E366" s="846"/>
      <c r="F366" s="846"/>
      <c r="G366" s="846"/>
      <c r="H366" s="846"/>
      <c r="I366" s="846"/>
      <c r="J366" s="846"/>
      <c r="K366" s="846"/>
      <c r="L366" s="846"/>
      <c r="M366" s="846"/>
      <c r="N366" s="846"/>
      <c r="O366" s="846"/>
      <c r="P366" s="846"/>
      <c r="Q366" s="846"/>
      <c r="R366" s="846"/>
      <c r="S366" s="846"/>
      <c r="T366" s="847"/>
      <c r="U366" s="848">
        <v>586.88</v>
      </c>
      <c r="V366" s="848">
        <v>586.88</v>
      </c>
      <c r="W366" s="848">
        <v>1173.76</v>
      </c>
      <c r="X366" s="848"/>
      <c r="Y366" s="848"/>
      <c r="Z366" s="848">
        <v>403.48</v>
      </c>
      <c r="AA366" s="848"/>
      <c r="AB366" s="848"/>
      <c r="AC366" s="848"/>
      <c r="AD366" s="848"/>
      <c r="AE366" s="849"/>
      <c r="AF366" s="850">
        <f t="shared" si="238"/>
        <v>2751</v>
      </c>
      <c r="AG366" s="851"/>
      <c r="AH366" s="852"/>
      <c r="AI366" s="852">
        <v>220.08</v>
      </c>
      <c r="AJ366" s="852"/>
      <c r="AK366" s="852"/>
      <c r="AL366" s="852"/>
      <c r="AM366" s="852"/>
      <c r="AN366" s="852">
        <v>306.24</v>
      </c>
      <c r="AO366" s="852">
        <v>76.56</v>
      </c>
      <c r="AP366" s="852"/>
      <c r="AQ366" s="852">
        <v>306.24</v>
      </c>
      <c r="AR366" s="853">
        <v>421.08</v>
      </c>
      <c r="AS366" s="854">
        <f t="shared" si="240"/>
        <v>1330.2</v>
      </c>
      <c r="AT366" s="864">
        <v>1607.76</v>
      </c>
      <c r="AU366" s="856">
        <v>1378.08</v>
      </c>
      <c r="AV366" s="857">
        <v>389.94</v>
      </c>
      <c r="AW366" s="857"/>
      <c r="AX366" s="857">
        <v>473.64</v>
      </c>
      <c r="AY366" s="856">
        <v>236.82</v>
      </c>
      <c r="AZ366" s="856">
        <v>236.82</v>
      </c>
      <c r="BA366" s="856">
        <v>1184.0999999999999</v>
      </c>
      <c r="BB366" s="857">
        <v>276.29000000000002</v>
      </c>
      <c r="BC366" s="857">
        <v>118.41</v>
      </c>
      <c r="BD366" s="856">
        <v>0</v>
      </c>
      <c r="BE366" s="865">
        <v>118.41</v>
      </c>
      <c r="BF366" s="866">
        <f t="shared" si="239"/>
        <v>6020.2699999999995</v>
      </c>
      <c r="BG366" s="864">
        <v>473.64</v>
      </c>
      <c r="BH366" s="857">
        <v>236.82</v>
      </c>
      <c r="BI366" s="859">
        <v>81.42</v>
      </c>
      <c r="BJ366" s="859">
        <v>0</v>
      </c>
      <c r="BK366" s="860">
        <v>0</v>
      </c>
      <c r="BL366" s="860"/>
      <c r="BM366" s="860"/>
      <c r="BN366" s="860"/>
      <c r="BO366" s="860"/>
      <c r="BP366" s="860"/>
      <c r="BQ366" s="860"/>
      <c r="BR366" s="861"/>
      <c r="BS366" s="854">
        <f t="shared" si="241"/>
        <v>791.88</v>
      </c>
      <c r="BT366" s="862"/>
      <c r="BU366" s="862"/>
      <c r="BV366" s="862"/>
      <c r="BW366" s="862"/>
      <c r="BX366" s="862"/>
      <c r="BY366" s="862"/>
      <c r="BZ366" s="862"/>
      <c r="CA366" s="862"/>
      <c r="CB366" s="862"/>
      <c r="CC366" s="862"/>
      <c r="CD366" s="862"/>
      <c r="CE366" s="862"/>
      <c r="CF366" s="862"/>
      <c r="CG366" s="862"/>
      <c r="CH366" s="863">
        <f t="shared" si="242"/>
        <v>10893.35</v>
      </c>
      <c r="CI366" s="863">
        <f t="shared" si="243"/>
        <v>0</v>
      </c>
      <c r="CJ366" s="863">
        <f t="shared" si="244"/>
        <v>10893.35</v>
      </c>
      <c r="CK366" s="710"/>
      <c r="CL366" s="710"/>
      <c r="CM366" s="710"/>
      <c r="CN366" s="512"/>
      <c r="CO366" s="512"/>
      <c r="CP366" s="512"/>
      <c r="CQ366" s="512"/>
      <c r="CR366" s="512"/>
      <c r="CS366" s="512"/>
      <c r="CT366" s="512"/>
      <c r="CU366" s="512"/>
      <c r="CV366" s="515"/>
    </row>
    <row r="367" spans="1:100">
      <c r="A367" s="844"/>
      <c r="B367" s="845" t="s">
        <v>904</v>
      </c>
      <c r="C367" s="846"/>
      <c r="D367" s="846"/>
      <c r="E367" s="846"/>
      <c r="F367" s="846"/>
      <c r="G367" s="846"/>
      <c r="H367" s="846"/>
      <c r="I367" s="846"/>
      <c r="J367" s="846"/>
      <c r="K367" s="846"/>
      <c r="L367" s="846" t="s">
        <v>558</v>
      </c>
      <c r="M367" s="846"/>
      <c r="N367" s="846"/>
      <c r="O367" s="846"/>
      <c r="P367" s="846"/>
      <c r="Q367" s="846"/>
      <c r="R367" s="846"/>
      <c r="S367" s="846"/>
      <c r="T367" s="847"/>
      <c r="U367" s="848"/>
      <c r="V367" s="848"/>
      <c r="W367" s="848"/>
      <c r="X367" s="848"/>
      <c r="Y367" s="848"/>
      <c r="Z367" s="848"/>
      <c r="AA367" s="848"/>
      <c r="AB367" s="848"/>
      <c r="AC367" s="848"/>
      <c r="AD367" s="848"/>
      <c r="AE367" s="849"/>
      <c r="AF367" s="850">
        <f t="shared" si="238"/>
        <v>0</v>
      </c>
      <c r="AG367" s="851"/>
      <c r="AH367" s="852"/>
      <c r="AI367" s="852"/>
      <c r="AJ367" s="852"/>
      <c r="AK367" s="852"/>
      <c r="AL367" s="852"/>
      <c r="AM367" s="852"/>
      <c r="AN367" s="852"/>
      <c r="AO367" s="852"/>
      <c r="AP367" s="852"/>
      <c r="AQ367" s="852"/>
      <c r="AR367" s="853"/>
      <c r="AS367" s="854">
        <f t="shared" si="240"/>
        <v>0</v>
      </c>
      <c r="AT367" s="864"/>
      <c r="AU367" s="856"/>
      <c r="AV367" s="857"/>
      <c r="AW367" s="857"/>
      <c r="AX367" s="856"/>
      <c r="AY367" s="856"/>
      <c r="AZ367" s="856"/>
      <c r="BA367" s="856"/>
      <c r="BB367" s="857"/>
      <c r="BC367" s="856"/>
      <c r="BD367" s="856"/>
      <c r="BE367" s="865">
        <v>85.98</v>
      </c>
      <c r="BF367" s="866">
        <f t="shared" si="239"/>
        <v>85.98</v>
      </c>
      <c r="BG367" s="864">
        <v>0</v>
      </c>
      <c r="BH367" s="857">
        <v>0</v>
      </c>
      <c r="BI367" s="859">
        <v>0</v>
      </c>
      <c r="BJ367" s="859">
        <v>0</v>
      </c>
      <c r="BK367" s="860">
        <v>0</v>
      </c>
      <c r="BL367" s="860"/>
      <c r="BM367" s="860"/>
      <c r="BN367" s="860"/>
      <c r="BO367" s="860"/>
      <c r="BP367" s="860"/>
      <c r="BQ367" s="860"/>
      <c r="BR367" s="861"/>
      <c r="BS367" s="854">
        <f t="shared" si="241"/>
        <v>0</v>
      </c>
      <c r="BT367" s="862"/>
      <c r="BU367" s="862"/>
      <c r="BV367" s="862"/>
      <c r="BW367" s="862"/>
      <c r="BX367" s="862"/>
      <c r="BY367" s="862"/>
      <c r="BZ367" s="862"/>
      <c r="CA367" s="862"/>
      <c r="CB367" s="862"/>
      <c r="CC367" s="862"/>
      <c r="CD367" s="862"/>
      <c r="CE367" s="862"/>
      <c r="CF367" s="862"/>
      <c r="CG367" s="862"/>
      <c r="CH367" s="863">
        <f t="shared" si="242"/>
        <v>85.98</v>
      </c>
      <c r="CI367" s="863">
        <f t="shared" si="243"/>
        <v>0</v>
      </c>
      <c r="CJ367" s="863">
        <f t="shared" si="244"/>
        <v>85.98</v>
      </c>
      <c r="CK367" s="710"/>
      <c r="CL367" s="710"/>
      <c r="CM367" s="710"/>
      <c r="CN367" s="512"/>
      <c r="CO367" s="512"/>
      <c r="CP367" s="512"/>
      <c r="CQ367" s="512"/>
      <c r="CR367" s="512"/>
      <c r="CS367" s="512"/>
      <c r="CT367" s="512"/>
      <c r="CU367" s="512"/>
      <c r="CV367" s="515"/>
    </row>
    <row r="368" spans="1:100">
      <c r="A368" s="844"/>
      <c r="B368" s="845" t="s">
        <v>905</v>
      </c>
      <c r="C368" s="846"/>
      <c r="D368" s="846"/>
      <c r="E368" s="846"/>
      <c r="F368" s="846"/>
      <c r="G368" s="846"/>
      <c r="H368" s="846"/>
      <c r="I368" s="846"/>
      <c r="J368" s="846"/>
      <c r="K368" s="846"/>
      <c r="L368" s="846"/>
      <c r="M368" s="846"/>
      <c r="N368" s="846"/>
      <c r="O368" s="846"/>
      <c r="P368" s="846"/>
      <c r="Q368" s="846"/>
      <c r="R368" s="846"/>
      <c r="S368" s="846"/>
      <c r="T368" s="847"/>
      <c r="U368" s="848"/>
      <c r="V368" s="848"/>
      <c r="W368" s="848"/>
      <c r="X368" s="848"/>
      <c r="Y368" s="848"/>
      <c r="Z368" s="848"/>
      <c r="AA368" s="848"/>
      <c r="AB368" s="848"/>
      <c r="AC368" s="848"/>
      <c r="AD368" s="848"/>
      <c r="AE368" s="849"/>
      <c r="AF368" s="850">
        <f t="shared" si="238"/>
        <v>0</v>
      </c>
      <c r="AG368" s="851"/>
      <c r="AH368" s="852"/>
      <c r="AI368" s="852"/>
      <c r="AJ368" s="852"/>
      <c r="AK368" s="852"/>
      <c r="AL368" s="852"/>
      <c r="AM368" s="852"/>
      <c r="AN368" s="852">
        <v>5599.68</v>
      </c>
      <c r="AO368" s="852">
        <v>3904</v>
      </c>
      <c r="AP368" s="852">
        <v>2561.44</v>
      </c>
      <c r="AQ368" s="852">
        <v>2817.84</v>
      </c>
      <c r="AR368" s="853">
        <v>955.2</v>
      </c>
      <c r="AS368" s="854">
        <f t="shared" si="240"/>
        <v>15838.160000000002</v>
      </c>
      <c r="AT368" s="864">
        <v>2865.6</v>
      </c>
      <c r="AU368" s="856">
        <v>2483.52</v>
      </c>
      <c r="AV368" s="857">
        <v>2533.8000000000002</v>
      </c>
      <c r="AW368" s="857">
        <v>2269.1999999999998</v>
      </c>
      <c r="AX368" s="857">
        <v>2379.15</v>
      </c>
      <c r="AY368" s="856">
        <v>1604.46</v>
      </c>
      <c r="AZ368" s="856">
        <v>1419.33</v>
      </c>
      <c r="BA368" s="856">
        <v>1591.37</v>
      </c>
      <c r="BB368" s="857">
        <v>860.2</v>
      </c>
      <c r="BC368" s="857">
        <v>946.22</v>
      </c>
      <c r="BD368" s="856">
        <v>688.16</v>
      </c>
      <c r="BE368" s="865">
        <v>687.14</v>
      </c>
      <c r="BF368" s="866">
        <f t="shared" si="239"/>
        <v>20328.150000000001</v>
      </c>
      <c r="BG368" s="864">
        <v>485.04</v>
      </c>
      <c r="BH368" s="857">
        <v>464.83</v>
      </c>
      <c r="BI368" s="859">
        <v>268.70999999999998</v>
      </c>
      <c r="BJ368" s="859">
        <v>0</v>
      </c>
      <c r="BK368" s="860">
        <v>0</v>
      </c>
      <c r="BL368" s="860"/>
      <c r="BM368" s="860"/>
      <c r="BN368" s="860"/>
      <c r="BO368" s="860"/>
      <c r="BP368" s="860"/>
      <c r="BQ368" s="860"/>
      <c r="BR368" s="861"/>
      <c r="BS368" s="854">
        <f t="shared" si="241"/>
        <v>1218.58</v>
      </c>
      <c r="BT368" s="862"/>
      <c r="BU368" s="862"/>
      <c r="BV368" s="862"/>
      <c r="BW368" s="862"/>
      <c r="BX368" s="862"/>
      <c r="BY368" s="862"/>
      <c r="BZ368" s="862"/>
      <c r="CA368" s="862"/>
      <c r="CB368" s="862"/>
      <c r="CC368" s="862"/>
      <c r="CD368" s="862"/>
      <c r="CE368" s="862"/>
      <c r="CF368" s="862"/>
      <c r="CG368" s="862"/>
      <c r="CH368" s="863">
        <f t="shared" si="242"/>
        <v>37384.890000000007</v>
      </c>
      <c r="CI368" s="863">
        <f t="shared" si="243"/>
        <v>0</v>
      </c>
      <c r="CJ368" s="863">
        <f t="shared" si="244"/>
        <v>37384.890000000007</v>
      </c>
      <c r="CK368" s="710"/>
      <c r="CL368" s="710"/>
      <c r="CM368" s="710"/>
      <c r="CN368" s="512"/>
      <c r="CO368" s="512"/>
      <c r="CP368" s="512"/>
      <c r="CQ368" s="512"/>
      <c r="CR368" s="512"/>
      <c r="CS368" s="512"/>
      <c r="CT368" s="512"/>
      <c r="CU368" s="512"/>
      <c r="CV368" s="515"/>
    </row>
    <row r="369" spans="1:100">
      <c r="A369" s="844"/>
      <c r="B369" s="845" t="s">
        <v>906</v>
      </c>
      <c r="C369" s="846"/>
      <c r="D369" s="846"/>
      <c r="E369" s="846"/>
      <c r="F369" s="846"/>
      <c r="G369" s="846"/>
      <c r="H369" s="846"/>
      <c r="I369" s="846"/>
      <c r="J369" s="846"/>
      <c r="K369" s="846"/>
      <c r="L369" s="846"/>
      <c r="M369" s="846"/>
      <c r="N369" s="846"/>
      <c r="O369" s="846"/>
      <c r="P369" s="846"/>
      <c r="Q369" s="846"/>
      <c r="R369" s="846"/>
      <c r="S369" s="846"/>
      <c r="T369" s="847"/>
      <c r="U369" s="848"/>
      <c r="V369" s="848"/>
      <c r="W369" s="848"/>
      <c r="X369" s="848"/>
      <c r="Y369" s="848"/>
      <c r="Z369" s="848"/>
      <c r="AA369" s="848"/>
      <c r="AB369" s="848"/>
      <c r="AC369" s="848"/>
      <c r="AD369" s="848">
        <v>3327.94</v>
      </c>
      <c r="AE369" s="849">
        <v>1166.94</v>
      </c>
      <c r="AF369" s="850">
        <f t="shared" si="238"/>
        <v>4494.88</v>
      </c>
      <c r="AG369" s="851"/>
      <c r="AH369" s="852"/>
      <c r="AI369" s="852"/>
      <c r="AJ369" s="852"/>
      <c r="AK369" s="852"/>
      <c r="AL369" s="852"/>
      <c r="AM369" s="852"/>
      <c r="AN369" s="852"/>
      <c r="AO369" s="852"/>
      <c r="AP369" s="852"/>
      <c r="AQ369" s="852"/>
      <c r="AR369" s="853"/>
      <c r="AS369" s="854">
        <f t="shared" si="240"/>
        <v>0</v>
      </c>
      <c r="AT369" s="864"/>
      <c r="AU369" s="856"/>
      <c r="AV369" s="857"/>
      <c r="AW369" s="857"/>
      <c r="AX369" s="857"/>
      <c r="AY369" s="856"/>
      <c r="AZ369" s="856"/>
      <c r="BA369" s="856"/>
      <c r="BB369" s="857">
        <v>0</v>
      </c>
      <c r="BC369" s="857">
        <v>0</v>
      </c>
      <c r="BD369" s="856">
        <v>0</v>
      </c>
      <c r="BE369" s="865">
        <v>0</v>
      </c>
      <c r="BF369" s="866">
        <f t="shared" si="239"/>
        <v>0</v>
      </c>
      <c r="BG369" s="864">
        <v>0</v>
      </c>
      <c r="BH369" s="857">
        <v>0</v>
      </c>
      <c r="BI369" s="859">
        <v>0</v>
      </c>
      <c r="BJ369" s="859">
        <v>0</v>
      </c>
      <c r="BK369" s="860">
        <v>0</v>
      </c>
      <c r="BL369" s="860"/>
      <c r="BM369" s="860"/>
      <c r="BN369" s="860"/>
      <c r="BO369" s="860"/>
      <c r="BP369" s="860"/>
      <c r="BQ369" s="860"/>
      <c r="BR369" s="861"/>
      <c r="BS369" s="854">
        <f t="shared" si="241"/>
        <v>0</v>
      </c>
      <c r="BT369" s="862"/>
      <c r="BU369" s="862"/>
      <c r="BV369" s="862"/>
      <c r="BW369" s="862"/>
      <c r="BX369" s="862"/>
      <c r="BY369" s="862"/>
      <c r="BZ369" s="862"/>
      <c r="CA369" s="862"/>
      <c r="CB369" s="862"/>
      <c r="CC369" s="862"/>
      <c r="CD369" s="862"/>
      <c r="CE369" s="862"/>
      <c r="CF369" s="862"/>
      <c r="CG369" s="862"/>
      <c r="CH369" s="863">
        <f t="shared" si="242"/>
        <v>4494.88</v>
      </c>
      <c r="CI369" s="863">
        <f t="shared" si="243"/>
        <v>0</v>
      </c>
      <c r="CJ369" s="863">
        <f t="shared" si="244"/>
        <v>4494.88</v>
      </c>
      <c r="CK369" s="710"/>
      <c r="CL369" s="710"/>
      <c r="CM369" s="710"/>
      <c r="CN369" s="512"/>
      <c r="CO369" s="512"/>
      <c r="CP369" s="512"/>
      <c r="CQ369" s="512"/>
      <c r="CR369" s="512"/>
      <c r="CS369" s="512"/>
      <c r="CT369" s="512"/>
      <c r="CU369" s="512"/>
      <c r="CV369" s="515"/>
    </row>
    <row r="370" spans="1:100">
      <c r="A370" s="844"/>
      <c r="B370" s="845" t="s">
        <v>907</v>
      </c>
      <c r="C370" s="846"/>
      <c r="D370" s="846"/>
      <c r="E370" s="846"/>
      <c r="F370" s="846"/>
      <c r="G370" s="846"/>
      <c r="H370" s="846"/>
      <c r="I370" s="846"/>
      <c r="J370" s="846"/>
      <c r="K370" s="846"/>
      <c r="L370" s="846"/>
      <c r="M370" s="846"/>
      <c r="N370" s="846"/>
      <c r="O370" s="846"/>
      <c r="P370" s="846"/>
      <c r="Q370" s="846"/>
      <c r="R370" s="846"/>
      <c r="S370" s="846"/>
      <c r="T370" s="847"/>
      <c r="U370" s="848"/>
      <c r="V370" s="848"/>
      <c r="W370" s="848"/>
      <c r="X370" s="848"/>
      <c r="Y370" s="848"/>
      <c r="Z370" s="848"/>
      <c r="AA370" s="848"/>
      <c r="AB370" s="848"/>
      <c r="AC370" s="848"/>
      <c r="AD370" s="848"/>
      <c r="AE370" s="849"/>
      <c r="AF370" s="850">
        <f t="shared" si="238"/>
        <v>0</v>
      </c>
      <c r="AG370" s="851"/>
      <c r="AH370" s="852"/>
      <c r="AI370" s="852"/>
      <c r="AJ370" s="852"/>
      <c r="AK370" s="852"/>
      <c r="AL370" s="852"/>
      <c r="AM370" s="852"/>
      <c r="AN370" s="852"/>
      <c r="AO370" s="852">
        <v>395</v>
      </c>
      <c r="AP370" s="852">
        <v>632</v>
      </c>
      <c r="AQ370" s="852">
        <v>790</v>
      </c>
      <c r="AR370" s="853">
        <v>513.5</v>
      </c>
      <c r="AS370" s="854">
        <f t="shared" si="240"/>
        <v>2330.5</v>
      </c>
      <c r="AT370" s="864"/>
      <c r="AU370" s="856">
        <v>158</v>
      </c>
      <c r="AV370" s="857"/>
      <c r="AW370" s="857"/>
      <c r="AX370" s="857"/>
      <c r="AY370" s="856"/>
      <c r="AZ370" s="856"/>
      <c r="BA370" s="856"/>
      <c r="BB370" s="857">
        <v>0</v>
      </c>
      <c r="BC370" s="857">
        <v>0</v>
      </c>
      <c r="BD370" s="856">
        <v>0</v>
      </c>
      <c r="BE370" s="865">
        <v>0</v>
      </c>
      <c r="BF370" s="866">
        <f t="shared" si="239"/>
        <v>158</v>
      </c>
      <c r="BG370" s="864">
        <v>0</v>
      </c>
      <c r="BH370" s="857">
        <v>0</v>
      </c>
      <c r="BI370" s="859">
        <v>0</v>
      </c>
      <c r="BJ370" s="859">
        <v>0</v>
      </c>
      <c r="BK370" s="860">
        <v>0</v>
      </c>
      <c r="BL370" s="860"/>
      <c r="BM370" s="860"/>
      <c r="BN370" s="860"/>
      <c r="BO370" s="860"/>
      <c r="BP370" s="860"/>
      <c r="BQ370" s="860"/>
      <c r="BR370" s="861"/>
      <c r="BS370" s="854">
        <f t="shared" si="241"/>
        <v>0</v>
      </c>
      <c r="BT370" s="862"/>
      <c r="BU370" s="862"/>
      <c r="BV370" s="862"/>
      <c r="BW370" s="862"/>
      <c r="BX370" s="862"/>
      <c r="BY370" s="862"/>
      <c r="BZ370" s="862"/>
      <c r="CA370" s="862"/>
      <c r="CB370" s="862"/>
      <c r="CC370" s="862"/>
      <c r="CD370" s="862"/>
      <c r="CE370" s="862"/>
      <c r="CF370" s="862"/>
      <c r="CG370" s="862"/>
      <c r="CH370" s="863">
        <f t="shared" si="242"/>
        <v>2488.5</v>
      </c>
      <c r="CI370" s="863">
        <f t="shared" si="243"/>
        <v>0</v>
      </c>
      <c r="CJ370" s="863">
        <f t="shared" si="244"/>
        <v>2488.5</v>
      </c>
      <c r="CK370" s="710"/>
      <c r="CL370" s="710"/>
      <c r="CM370" s="710"/>
      <c r="CN370" s="512"/>
      <c r="CO370" s="512"/>
      <c r="CP370" s="512"/>
      <c r="CQ370" s="512"/>
      <c r="CR370" s="512"/>
      <c r="CS370" s="512"/>
      <c r="CT370" s="512"/>
      <c r="CU370" s="512"/>
      <c r="CV370" s="515"/>
    </row>
    <row r="371" spans="1:100">
      <c r="A371" s="844"/>
      <c r="B371" s="845" t="s">
        <v>908</v>
      </c>
      <c r="C371" s="846"/>
      <c r="D371" s="846"/>
      <c r="E371" s="846"/>
      <c r="F371" s="846"/>
      <c r="G371" s="846"/>
      <c r="H371" s="846"/>
      <c r="I371" s="846"/>
      <c r="J371" s="846"/>
      <c r="K371" s="846"/>
      <c r="L371" s="846"/>
      <c r="M371" s="846"/>
      <c r="N371" s="846"/>
      <c r="O371" s="846"/>
      <c r="P371" s="846"/>
      <c r="Q371" s="846"/>
      <c r="R371" s="846"/>
      <c r="S371" s="846"/>
      <c r="T371" s="847"/>
      <c r="U371" s="848"/>
      <c r="V371" s="848"/>
      <c r="W371" s="848"/>
      <c r="X371" s="848">
        <v>3842.4</v>
      </c>
      <c r="Y371" s="848">
        <v>8453.2800000000007</v>
      </c>
      <c r="Z371" s="848">
        <v>6147.84</v>
      </c>
      <c r="AA371" s="848">
        <v>8489.76</v>
      </c>
      <c r="AB371" s="848">
        <v>8132.88</v>
      </c>
      <c r="AC371" s="848">
        <v>5445.52</v>
      </c>
      <c r="AD371" s="848">
        <v>7056</v>
      </c>
      <c r="AE371" s="849">
        <v>9016</v>
      </c>
      <c r="AF371" s="850">
        <f t="shared" si="238"/>
        <v>56583.679999999993</v>
      </c>
      <c r="AG371" s="851">
        <v>7393.2</v>
      </c>
      <c r="AH371" s="852">
        <v>5715.6</v>
      </c>
      <c r="AI371" s="852">
        <v>10911.04</v>
      </c>
      <c r="AJ371" s="852">
        <v>8284.08</v>
      </c>
      <c r="AK371" s="852">
        <v>8284.08</v>
      </c>
      <c r="AL371" s="852">
        <v>8720.9599999999991</v>
      </c>
      <c r="AM371" s="852">
        <v>6379.52</v>
      </c>
      <c r="AN371" s="852">
        <v>9926.4</v>
      </c>
      <c r="AO371" s="852">
        <v>3513.6</v>
      </c>
      <c r="AP371" s="852">
        <v>3472</v>
      </c>
      <c r="AQ371" s="852">
        <v>2483.52</v>
      </c>
      <c r="AR371" s="853">
        <v>1910.4</v>
      </c>
      <c r="AS371" s="854">
        <f t="shared" si="240"/>
        <v>76994.399999999994</v>
      </c>
      <c r="AT371" s="864">
        <v>3056.64</v>
      </c>
      <c r="AU371" s="856">
        <v>3438.72</v>
      </c>
      <c r="AV371" s="857">
        <v>3061.12</v>
      </c>
      <c r="AW371" s="857">
        <v>766.4</v>
      </c>
      <c r="AX371" s="857"/>
      <c r="AY371" s="856"/>
      <c r="AZ371" s="856"/>
      <c r="BA371" s="856"/>
      <c r="BB371" s="857">
        <v>0</v>
      </c>
      <c r="BC371" s="857">
        <v>0</v>
      </c>
      <c r="BD371" s="856">
        <v>0</v>
      </c>
      <c r="BE371" s="865">
        <v>0</v>
      </c>
      <c r="BF371" s="866">
        <f t="shared" si="239"/>
        <v>10322.879999999999</v>
      </c>
      <c r="BG371" s="864">
        <v>0</v>
      </c>
      <c r="BH371" s="857">
        <v>0</v>
      </c>
      <c r="BI371" s="859">
        <v>0</v>
      </c>
      <c r="BJ371" s="859">
        <v>0</v>
      </c>
      <c r="BK371" s="860">
        <v>0</v>
      </c>
      <c r="BL371" s="860">
        <f>49*160</f>
        <v>7840</v>
      </c>
      <c r="BM371" s="860"/>
      <c r="BN371" s="860"/>
      <c r="BO371" s="860"/>
      <c r="BP371" s="860"/>
      <c r="BQ371" s="860"/>
      <c r="BR371" s="861"/>
      <c r="BS371" s="854">
        <f t="shared" si="241"/>
        <v>7840</v>
      </c>
      <c r="BT371" s="862"/>
      <c r="BU371" s="862"/>
      <c r="BV371" s="862"/>
      <c r="BW371" s="862"/>
      <c r="BX371" s="862"/>
      <c r="BY371" s="862"/>
      <c r="BZ371" s="862"/>
      <c r="CA371" s="862"/>
      <c r="CB371" s="862"/>
      <c r="CC371" s="862"/>
      <c r="CD371" s="862"/>
      <c r="CE371" s="862"/>
      <c r="CF371" s="862"/>
      <c r="CG371" s="862"/>
      <c r="CH371" s="863">
        <f t="shared" si="242"/>
        <v>143900.96</v>
      </c>
      <c r="CI371" s="863">
        <f t="shared" si="243"/>
        <v>7840</v>
      </c>
      <c r="CJ371" s="863">
        <f t="shared" si="244"/>
        <v>151740.96</v>
      </c>
      <c r="CK371" s="710"/>
      <c r="CL371" s="710"/>
      <c r="CM371" s="710"/>
      <c r="CN371" s="512"/>
      <c r="CO371" s="512"/>
      <c r="CP371" s="512"/>
      <c r="CQ371" s="512"/>
      <c r="CR371" s="512"/>
      <c r="CS371" s="512"/>
      <c r="CT371" s="512"/>
      <c r="CU371" s="512"/>
      <c r="CV371" s="515"/>
    </row>
    <row r="372" spans="1:100">
      <c r="A372" s="844"/>
      <c r="B372" s="845" t="s">
        <v>909</v>
      </c>
      <c r="C372" s="846"/>
      <c r="D372" s="846"/>
      <c r="E372" s="846"/>
      <c r="F372" s="846"/>
      <c r="G372" s="846"/>
      <c r="H372" s="846"/>
      <c r="I372" s="846"/>
      <c r="J372" s="846"/>
      <c r="K372" s="846"/>
      <c r="L372" s="846"/>
      <c r="M372" s="846"/>
      <c r="N372" s="846"/>
      <c r="O372" s="846"/>
      <c r="P372" s="846"/>
      <c r="Q372" s="846"/>
      <c r="R372" s="846"/>
      <c r="S372" s="846"/>
      <c r="T372" s="847"/>
      <c r="U372" s="848"/>
      <c r="V372" s="848"/>
      <c r="W372" s="848"/>
      <c r="X372" s="848"/>
      <c r="Y372" s="848"/>
      <c r="Z372" s="848"/>
      <c r="AA372" s="848"/>
      <c r="AB372" s="848"/>
      <c r="AC372" s="848"/>
      <c r="AD372" s="848"/>
      <c r="AE372" s="849"/>
      <c r="AF372" s="850">
        <f t="shared" si="238"/>
        <v>0</v>
      </c>
      <c r="AG372" s="851"/>
      <c r="AH372" s="852"/>
      <c r="AI372" s="852"/>
      <c r="AJ372" s="852"/>
      <c r="AK372" s="852"/>
      <c r="AL372" s="852"/>
      <c r="AM372" s="852"/>
      <c r="AN372" s="852"/>
      <c r="AO372" s="852"/>
      <c r="AP372" s="852"/>
      <c r="AQ372" s="852"/>
      <c r="AR372" s="853"/>
      <c r="AS372" s="854">
        <f t="shared" si="240"/>
        <v>0</v>
      </c>
      <c r="AT372" s="864"/>
      <c r="AU372" s="856"/>
      <c r="AV372" s="857">
        <v>909.65</v>
      </c>
      <c r="AW372" s="857">
        <v>3045.35</v>
      </c>
      <c r="AX372" s="857"/>
      <c r="AY372" s="856"/>
      <c r="AZ372" s="856"/>
      <c r="BA372" s="856"/>
      <c r="BB372" s="857">
        <v>0</v>
      </c>
      <c r="BC372" s="857">
        <v>0</v>
      </c>
      <c r="BD372" s="856">
        <v>0</v>
      </c>
      <c r="BE372" s="865">
        <v>285.11</v>
      </c>
      <c r="BF372" s="866">
        <f t="shared" si="239"/>
        <v>4240.1099999999997</v>
      </c>
      <c r="BG372" s="864">
        <v>0</v>
      </c>
      <c r="BH372" s="857">
        <v>0</v>
      </c>
      <c r="BI372" s="859">
        <v>0</v>
      </c>
      <c r="BJ372" s="859">
        <v>208.75</v>
      </c>
      <c r="BK372" s="860">
        <v>0</v>
      </c>
      <c r="BL372" s="860"/>
      <c r="BM372" s="860"/>
      <c r="BN372" s="860"/>
      <c r="BO372" s="860"/>
      <c r="BP372" s="860"/>
      <c r="BQ372" s="860"/>
      <c r="BR372" s="861"/>
      <c r="BS372" s="854">
        <f t="shared" si="241"/>
        <v>208.75</v>
      </c>
      <c r="BT372" s="862"/>
      <c r="BU372" s="862"/>
      <c r="BV372" s="862"/>
      <c r="BW372" s="862"/>
      <c r="BX372" s="862"/>
      <c r="BY372" s="862"/>
      <c r="BZ372" s="862"/>
      <c r="CA372" s="862"/>
      <c r="CB372" s="862"/>
      <c r="CC372" s="862"/>
      <c r="CD372" s="862"/>
      <c r="CE372" s="862"/>
      <c r="CF372" s="862"/>
      <c r="CG372" s="862"/>
      <c r="CH372" s="863">
        <f t="shared" si="242"/>
        <v>4448.8599999999997</v>
      </c>
      <c r="CI372" s="863">
        <f t="shared" si="243"/>
        <v>0</v>
      </c>
      <c r="CJ372" s="863">
        <f t="shared" si="244"/>
        <v>4448.8599999999997</v>
      </c>
      <c r="CK372" s="710"/>
      <c r="CL372" s="710"/>
      <c r="CM372" s="710"/>
      <c r="CN372" s="512"/>
      <c r="CO372" s="512"/>
      <c r="CP372" s="512"/>
      <c r="CQ372" s="512"/>
      <c r="CR372" s="512"/>
      <c r="CS372" s="512"/>
      <c r="CT372" s="512"/>
      <c r="CU372" s="512"/>
      <c r="CV372" s="515"/>
    </row>
    <row r="373" spans="1:100">
      <c r="A373" s="844"/>
      <c r="B373" s="845" t="s">
        <v>910</v>
      </c>
      <c r="C373" s="846"/>
      <c r="D373" s="846"/>
      <c r="E373" s="846"/>
      <c r="F373" s="846"/>
      <c r="G373" s="846"/>
      <c r="H373" s="846"/>
      <c r="I373" s="846"/>
      <c r="J373" s="846"/>
      <c r="K373" s="846"/>
      <c r="L373" s="846"/>
      <c r="M373" s="846"/>
      <c r="N373" s="846"/>
      <c r="O373" s="846"/>
      <c r="P373" s="846"/>
      <c r="Q373" s="846"/>
      <c r="R373" s="846"/>
      <c r="S373" s="846"/>
      <c r="T373" s="847"/>
      <c r="U373" s="848"/>
      <c r="V373" s="848"/>
      <c r="W373" s="848"/>
      <c r="X373" s="848"/>
      <c r="Y373" s="848"/>
      <c r="Z373" s="848"/>
      <c r="AA373" s="848"/>
      <c r="AB373" s="848"/>
      <c r="AC373" s="848"/>
      <c r="AD373" s="848"/>
      <c r="AE373" s="849"/>
      <c r="AF373" s="850">
        <f t="shared" si="238"/>
        <v>0</v>
      </c>
      <c r="AG373" s="851"/>
      <c r="AH373" s="852"/>
      <c r="AI373" s="852"/>
      <c r="AJ373" s="852"/>
      <c r="AK373" s="852"/>
      <c r="AL373" s="852"/>
      <c r="AM373" s="852"/>
      <c r="AN373" s="852"/>
      <c r="AO373" s="852"/>
      <c r="AP373" s="852"/>
      <c r="AQ373" s="852"/>
      <c r="AR373" s="853"/>
      <c r="AS373" s="854">
        <f t="shared" si="240"/>
        <v>0</v>
      </c>
      <c r="AT373" s="864"/>
      <c r="AU373" s="856"/>
      <c r="AV373" s="857"/>
      <c r="AW373" s="857"/>
      <c r="AX373" s="857"/>
      <c r="AY373" s="856"/>
      <c r="AZ373" s="856"/>
      <c r="BA373" s="856"/>
      <c r="BB373" s="857">
        <v>0</v>
      </c>
      <c r="BC373" s="857">
        <v>0</v>
      </c>
      <c r="BD373" s="856">
        <v>0</v>
      </c>
      <c r="BE373" s="865"/>
      <c r="BF373" s="866">
        <f t="shared" si="239"/>
        <v>0</v>
      </c>
      <c r="BG373" s="864">
        <v>373.06</v>
      </c>
      <c r="BH373" s="857">
        <v>0</v>
      </c>
      <c r="BI373" s="859">
        <v>161.52000000000001</v>
      </c>
      <c r="BJ373" s="859">
        <v>579.46</v>
      </c>
      <c r="BK373" s="860">
        <v>0</v>
      </c>
      <c r="BL373" s="860"/>
      <c r="BM373" s="860"/>
      <c r="BN373" s="860"/>
      <c r="BO373" s="860"/>
      <c r="BP373" s="860"/>
      <c r="BQ373" s="860"/>
      <c r="BR373" s="861"/>
      <c r="BS373" s="854">
        <f t="shared" si="241"/>
        <v>1114.04</v>
      </c>
      <c r="BT373" s="862"/>
      <c r="BU373" s="862"/>
      <c r="BV373" s="862"/>
      <c r="BW373" s="862"/>
      <c r="BX373" s="862"/>
      <c r="BY373" s="862"/>
      <c r="BZ373" s="862"/>
      <c r="CA373" s="862"/>
      <c r="CB373" s="862"/>
      <c r="CC373" s="862"/>
      <c r="CD373" s="862"/>
      <c r="CE373" s="862"/>
      <c r="CF373" s="862"/>
      <c r="CG373" s="862"/>
      <c r="CH373" s="863">
        <f t="shared" si="242"/>
        <v>1114.04</v>
      </c>
      <c r="CI373" s="863">
        <f t="shared" si="243"/>
        <v>0</v>
      </c>
      <c r="CJ373" s="863">
        <f t="shared" si="244"/>
        <v>1114.04</v>
      </c>
      <c r="CK373" s="710"/>
      <c r="CL373" s="710"/>
      <c r="CM373" s="710"/>
      <c r="CN373" s="512"/>
      <c r="CO373" s="512"/>
      <c r="CP373" s="512"/>
      <c r="CQ373" s="512"/>
      <c r="CR373" s="512"/>
      <c r="CS373" s="512"/>
      <c r="CT373" s="512"/>
      <c r="CU373" s="512"/>
      <c r="CV373" s="515"/>
    </row>
    <row r="374" spans="1:100">
      <c r="A374" s="844"/>
      <c r="B374" s="845" t="s">
        <v>911</v>
      </c>
      <c r="C374" s="846"/>
      <c r="D374" s="846"/>
      <c r="E374" s="846"/>
      <c r="F374" s="846"/>
      <c r="G374" s="846"/>
      <c r="H374" s="846"/>
      <c r="I374" s="846"/>
      <c r="J374" s="846"/>
      <c r="K374" s="846"/>
      <c r="L374" s="846"/>
      <c r="M374" s="846"/>
      <c r="N374" s="846"/>
      <c r="O374" s="846"/>
      <c r="P374" s="846"/>
      <c r="Q374" s="846"/>
      <c r="R374" s="846"/>
      <c r="S374" s="846"/>
      <c r="T374" s="847"/>
      <c r="U374" s="848"/>
      <c r="V374" s="848"/>
      <c r="W374" s="848"/>
      <c r="X374" s="848"/>
      <c r="Y374" s="848"/>
      <c r="Z374" s="848"/>
      <c r="AA374" s="848"/>
      <c r="AB374" s="848"/>
      <c r="AC374" s="848"/>
      <c r="AD374" s="848"/>
      <c r="AE374" s="849"/>
      <c r="AF374" s="850">
        <f t="shared" si="238"/>
        <v>0</v>
      </c>
      <c r="AG374" s="851"/>
      <c r="AH374" s="852"/>
      <c r="AI374" s="852"/>
      <c r="AJ374" s="852"/>
      <c r="AK374" s="852"/>
      <c r="AL374" s="852"/>
      <c r="AM374" s="852"/>
      <c r="AN374" s="852"/>
      <c r="AO374" s="852"/>
      <c r="AP374" s="852"/>
      <c r="AQ374" s="852"/>
      <c r="AR374" s="853"/>
      <c r="AS374" s="854">
        <f t="shared" si="240"/>
        <v>0</v>
      </c>
      <c r="AT374" s="864"/>
      <c r="AU374" s="856"/>
      <c r="AV374" s="857"/>
      <c r="AW374" s="857">
        <v>204.12</v>
      </c>
      <c r="AX374" s="857">
        <v>110.72</v>
      </c>
      <c r="AY374" s="856"/>
      <c r="AZ374" s="856"/>
      <c r="BA374" s="856"/>
      <c r="BB374" s="857">
        <v>0</v>
      </c>
      <c r="BC374" s="857">
        <v>0</v>
      </c>
      <c r="BD374" s="856">
        <v>0</v>
      </c>
      <c r="BE374" s="865">
        <v>0</v>
      </c>
      <c r="BF374" s="866">
        <f t="shared" si="239"/>
        <v>314.84000000000003</v>
      </c>
      <c r="BG374" s="864">
        <v>224.2</v>
      </c>
      <c r="BH374" s="857">
        <v>0</v>
      </c>
      <c r="BI374" s="859">
        <v>0</v>
      </c>
      <c r="BJ374" s="859">
        <v>21.28</v>
      </c>
      <c r="BK374" s="860">
        <v>0</v>
      </c>
      <c r="BL374" s="860"/>
      <c r="BM374" s="860"/>
      <c r="BN374" s="860"/>
      <c r="BO374" s="860"/>
      <c r="BP374" s="860"/>
      <c r="BQ374" s="860"/>
      <c r="BR374" s="861"/>
      <c r="BS374" s="854">
        <f t="shared" si="241"/>
        <v>245.48</v>
      </c>
      <c r="BT374" s="862"/>
      <c r="BU374" s="862"/>
      <c r="BV374" s="862"/>
      <c r="BW374" s="862"/>
      <c r="BX374" s="862"/>
      <c r="BY374" s="862"/>
      <c r="BZ374" s="862"/>
      <c r="CA374" s="862"/>
      <c r="CB374" s="862"/>
      <c r="CC374" s="862"/>
      <c r="CD374" s="862"/>
      <c r="CE374" s="862"/>
      <c r="CF374" s="862"/>
      <c r="CG374" s="862"/>
      <c r="CH374" s="863">
        <f t="shared" si="242"/>
        <v>560.31999999999994</v>
      </c>
      <c r="CI374" s="863">
        <f t="shared" si="243"/>
        <v>0</v>
      </c>
      <c r="CJ374" s="863">
        <f t="shared" si="244"/>
        <v>560.31999999999994</v>
      </c>
      <c r="CK374" s="710"/>
      <c r="CL374" s="710"/>
      <c r="CM374" s="710"/>
      <c r="CN374" s="512"/>
      <c r="CO374" s="512"/>
      <c r="CP374" s="512"/>
      <c r="CQ374" s="512"/>
      <c r="CR374" s="512"/>
      <c r="CS374" s="512"/>
      <c r="CT374" s="512"/>
      <c r="CU374" s="512"/>
      <c r="CV374" s="515"/>
    </row>
    <row r="375" spans="1:100">
      <c r="A375" s="844"/>
      <c r="B375" s="845" t="s">
        <v>912</v>
      </c>
      <c r="C375" s="846"/>
      <c r="D375" s="846"/>
      <c r="E375" s="846"/>
      <c r="F375" s="846"/>
      <c r="G375" s="846"/>
      <c r="H375" s="846"/>
      <c r="I375" s="846"/>
      <c r="J375" s="846"/>
      <c r="K375" s="846"/>
      <c r="L375" s="846"/>
      <c r="M375" s="846"/>
      <c r="N375" s="846"/>
      <c r="O375" s="846"/>
      <c r="P375" s="846"/>
      <c r="Q375" s="846"/>
      <c r="R375" s="846"/>
      <c r="S375" s="846"/>
      <c r="T375" s="847"/>
      <c r="U375" s="848"/>
      <c r="V375" s="848"/>
      <c r="W375" s="848"/>
      <c r="X375" s="848"/>
      <c r="Y375" s="848"/>
      <c r="Z375" s="848"/>
      <c r="AA375" s="848"/>
      <c r="AB375" s="848"/>
      <c r="AC375" s="848"/>
      <c r="AD375" s="848"/>
      <c r="AE375" s="849"/>
      <c r="AF375" s="850">
        <f t="shared" si="238"/>
        <v>0</v>
      </c>
      <c r="AG375" s="851"/>
      <c r="AH375" s="852"/>
      <c r="AI375" s="852"/>
      <c r="AJ375" s="852"/>
      <c r="AK375" s="852"/>
      <c r="AL375" s="852"/>
      <c r="AM375" s="852"/>
      <c r="AN375" s="852"/>
      <c r="AO375" s="852"/>
      <c r="AP375" s="852"/>
      <c r="AQ375" s="852"/>
      <c r="AR375" s="853"/>
      <c r="AS375" s="854">
        <f t="shared" si="240"/>
        <v>0</v>
      </c>
      <c r="AT375" s="864"/>
      <c r="AU375" s="856"/>
      <c r="AV375" s="857">
        <v>92.72</v>
      </c>
      <c r="AW375" s="857"/>
      <c r="AX375" s="857"/>
      <c r="AY375" s="856"/>
      <c r="AZ375" s="856"/>
      <c r="BA375" s="856"/>
      <c r="BB375" s="857">
        <v>0</v>
      </c>
      <c r="BC375" s="857">
        <v>0</v>
      </c>
      <c r="BD375" s="856">
        <v>0</v>
      </c>
      <c r="BE375" s="865">
        <v>0</v>
      </c>
      <c r="BF375" s="866">
        <f t="shared" si="239"/>
        <v>92.72</v>
      </c>
      <c r="BG375" s="864">
        <v>0</v>
      </c>
      <c r="BH375" s="857">
        <v>0</v>
      </c>
      <c r="BI375" s="859">
        <v>0</v>
      </c>
      <c r="BJ375" s="859">
        <v>74.48</v>
      </c>
      <c r="BK375" s="860">
        <v>0</v>
      </c>
      <c r="BL375" s="860"/>
      <c r="BM375" s="860"/>
      <c r="BN375" s="860"/>
      <c r="BO375" s="860"/>
      <c r="BP375" s="860"/>
      <c r="BQ375" s="860"/>
      <c r="BR375" s="861"/>
      <c r="BS375" s="854">
        <f t="shared" si="241"/>
        <v>74.48</v>
      </c>
      <c r="BT375" s="862"/>
      <c r="BU375" s="862"/>
      <c r="BV375" s="862"/>
      <c r="BW375" s="862"/>
      <c r="BX375" s="862"/>
      <c r="BY375" s="862"/>
      <c r="BZ375" s="862"/>
      <c r="CA375" s="862"/>
      <c r="CB375" s="862"/>
      <c r="CC375" s="862"/>
      <c r="CD375" s="862"/>
      <c r="CE375" s="862"/>
      <c r="CF375" s="862"/>
      <c r="CG375" s="862"/>
      <c r="CH375" s="863">
        <f t="shared" si="242"/>
        <v>167.2</v>
      </c>
      <c r="CI375" s="863">
        <f t="shared" si="243"/>
        <v>0</v>
      </c>
      <c r="CJ375" s="863">
        <f t="shared" si="244"/>
        <v>167.2</v>
      </c>
      <c r="CK375" s="710"/>
      <c r="CL375" s="710"/>
      <c r="CM375" s="710"/>
      <c r="CN375" s="512"/>
      <c r="CO375" s="512"/>
      <c r="CP375" s="512"/>
      <c r="CQ375" s="512"/>
      <c r="CR375" s="512"/>
      <c r="CS375" s="512"/>
      <c r="CT375" s="512"/>
      <c r="CU375" s="512"/>
      <c r="CV375" s="515"/>
    </row>
    <row r="376" spans="1:100">
      <c r="A376" s="844"/>
      <c r="B376" s="845" t="s">
        <v>913</v>
      </c>
      <c r="C376" s="846"/>
      <c r="D376" s="846"/>
      <c r="E376" s="846"/>
      <c r="F376" s="846"/>
      <c r="G376" s="846"/>
      <c r="H376" s="846"/>
      <c r="I376" s="846"/>
      <c r="J376" s="846"/>
      <c r="K376" s="846"/>
      <c r="L376" s="846"/>
      <c r="M376" s="846"/>
      <c r="N376" s="846"/>
      <c r="O376" s="846"/>
      <c r="P376" s="846"/>
      <c r="Q376" s="846"/>
      <c r="R376" s="846"/>
      <c r="S376" s="846"/>
      <c r="T376" s="847"/>
      <c r="U376" s="848"/>
      <c r="V376" s="848"/>
      <c r="W376" s="848"/>
      <c r="X376" s="848"/>
      <c r="Y376" s="848"/>
      <c r="Z376" s="848"/>
      <c r="AA376" s="848">
        <v>103.76</v>
      </c>
      <c r="AB376" s="848">
        <v>415.04</v>
      </c>
      <c r="AC376" s="848">
        <v>103.76</v>
      </c>
      <c r="AD376" s="848">
        <v>415.04</v>
      </c>
      <c r="AE376" s="849"/>
      <c r="AF376" s="850">
        <f t="shared" si="238"/>
        <v>1037.6000000000001</v>
      </c>
      <c r="AG376" s="851">
        <v>99.12</v>
      </c>
      <c r="AH376" s="852"/>
      <c r="AI376" s="852">
        <v>49.56</v>
      </c>
      <c r="AJ376" s="852">
        <v>103.3</v>
      </c>
      <c r="AK376" s="852"/>
      <c r="AL376" s="852">
        <v>258.25</v>
      </c>
      <c r="AM376" s="852">
        <v>210.8</v>
      </c>
      <c r="AN376" s="852">
        <v>105.4</v>
      </c>
      <c r="AO376" s="852"/>
      <c r="AP376" s="852"/>
      <c r="AQ376" s="852"/>
      <c r="AR376" s="853"/>
      <c r="AS376" s="854">
        <f t="shared" si="240"/>
        <v>826.43</v>
      </c>
      <c r="AT376" s="864"/>
      <c r="AU376" s="856"/>
      <c r="AV376" s="857"/>
      <c r="AW376" s="857"/>
      <c r="AX376" s="857"/>
      <c r="AY376" s="856"/>
      <c r="AZ376" s="856"/>
      <c r="BA376" s="856"/>
      <c r="BB376" s="857">
        <v>0</v>
      </c>
      <c r="BC376" s="857">
        <v>0</v>
      </c>
      <c r="BD376" s="856">
        <v>0</v>
      </c>
      <c r="BE376" s="865">
        <v>0</v>
      </c>
      <c r="BF376" s="866">
        <f t="shared" si="239"/>
        <v>0</v>
      </c>
      <c r="BG376" s="864">
        <v>0</v>
      </c>
      <c r="BH376" s="857">
        <v>0</v>
      </c>
      <c r="BI376" s="859">
        <v>0</v>
      </c>
      <c r="BJ376" s="859">
        <v>0</v>
      </c>
      <c r="BK376" s="860">
        <v>0</v>
      </c>
      <c r="BL376" s="860"/>
      <c r="BM376" s="860"/>
      <c r="BN376" s="860"/>
      <c r="BO376" s="860"/>
      <c r="BP376" s="860"/>
      <c r="BQ376" s="860"/>
      <c r="BR376" s="861"/>
      <c r="BS376" s="854">
        <f t="shared" si="241"/>
        <v>0</v>
      </c>
      <c r="BT376" s="862"/>
      <c r="BU376" s="862"/>
      <c r="BV376" s="862"/>
      <c r="BW376" s="862"/>
      <c r="BX376" s="862"/>
      <c r="BY376" s="862"/>
      <c r="BZ376" s="862"/>
      <c r="CA376" s="862"/>
      <c r="CB376" s="862"/>
      <c r="CC376" s="862"/>
      <c r="CD376" s="862"/>
      <c r="CE376" s="862"/>
      <c r="CF376" s="862"/>
      <c r="CG376" s="862"/>
      <c r="CH376" s="863">
        <f t="shared" si="242"/>
        <v>1864.0300000000002</v>
      </c>
      <c r="CI376" s="863">
        <f t="shared" si="243"/>
        <v>0</v>
      </c>
      <c r="CJ376" s="863">
        <f t="shared" si="244"/>
        <v>1864.0300000000002</v>
      </c>
      <c r="CK376" s="710"/>
      <c r="CL376" s="710"/>
      <c r="CM376" s="710"/>
      <c r="CN376" s="512"/>
      <c r="CO376" s="512"/>
      <c r="CP376" s="512"/>
      <c r="CQ376" s="512"/>
      <c r="CR376" s="512"/>
      <c r="CS376" s="512"/>
      <c r="CT376" s="512"/>
      <c r="CU376" s="512"/>
      <c r="CV376" s="515"/>
    </row>
    <row r="377" spans="1:100">
      <c r="A377" s="844"/>
      <c r="B377" s="845" t="s">
        <v>914</v>
      </c>
      <c r="C377" s="846"/>
      <c r="D377" s="846"/>
      <c r="E377" s="846"/>
      <c r="F377" s="846"/>
      <c r="G377" s="846"/>
      <c r="H377" s="846"/>
      <c r="I377" s="846"/>
      <c r="J377" s="846"/>
      <c r="K377" s="846"/>
      <c r="L377" s="846"/>
      <c r="M377" s="846"/>
      <c r="N377" s="846"/>
      <c r="O377" s="846"/>
      <c r="P377" s="846"/>
      <c r="Q377" s="846"/>
      <c r="R377" s="846"/>
      <c r="S377" s="846"/>
      <c r="T377" s="847"/>
      <c r="U377" s="848"/>
      <c r="V377" s="848"/>
      <c r="W377" s="848"/>
      <c r="X377" s="848"/>
      <c r="Y377" s="848"/>
      <c r="Z377" s="848"/>
      <c r="AA377" s="848"/>
      <c r="AB377" s="848"/>
      <c r="AC377" s="848"/>
      <c r="AD377" s="848"/>
      <c r="AE377" s="849"/>
      <c r="AF377" s="850">
        <f t="shared" si="238"/>
        <v>0</v>
      </c>
      <c r="AG377" s="851"/>
      <c r="AH377" s="852"/>
      <c r="AI377" s="852"/>
      <c r="AJ377" s="852"/>
      <c r="AK377" s="852"/>
      <c r="AL377" s="852"/>
      <c r="AM377" s="852"/>
      <c r="AN377" s="852"/>
      <c r="AO377" s="852"/>
      <c r="AP377" s="852"/>
      <c r="AQ377" s="852">
        <v>310.10000000000002</v>
      </c>
      <c r="AR377" s="853"/>
      <c r="AS377" s="854">
        <f t="shared" si="240"/>
        <v>310.10000000000002</v>
      </c>
      <c r="AT377" s="864">
        <v>243.65</v>
      </c>
      <c r="AU377" s="856"/>
      <c r="AV377" s="857">
        <v>333.55</v>
      </c>
      <c r="AW377" s="857">
        <v>378.76</v>
      </c>
      <c r="AX377" s="857"/>
      <c r="AY377" s="856"/>
      <c r="AZ377" s="856">
        <v>168.72</v>
      </c>
      <c r="BA377" s="856">
        <v>210.9</v>
      </c>
      <c r="BB377" s="857">
        <v>0</v>
      </c>
      <c r="BC377" s="857">
        <v>0</v>
      </c>
      <c r="BD377" s="856">
        <v>0</v>
      </c>
      <c r="BE377" s="865">
        <v>0</v>
      </c>
      <c r="BF377" s="866">
        <f t="shared" si="239"/>
        <v>1335.5800000000002</v>
      </c>
      <c r="BG377" s="864">
        <v>0</v>
      </c>
      <c r="BH377" s="857">
        <v>0</v>
      </c>
      <c r="BI377" s="859">
        <v>0</v>
      </c>
      <c r="BJ377" s="859">
        <v>0</v>
      </c>
      <c r="BK377" s="860">
        <v>0</v>
      </c>
      <c r="BL377" s="860"/>
      <c r="BM377" s="860"/>
      <c r="BN377" s="860"/>
      <c r="BO377" s="860"/>
      <c r="BP377" s="860"/>
      <c r="BQ377" s="860"/>
      <c r="BR377" s="861"/>
      <c r="BS377" s="854">
        <f t="shared" si="241"/>
        <v>0</v>
      </c>
      <c r="BT377" s="862"/>
      <c r="BU377" s="862"/>
      <c r="BV377" s="862"/>
      <c r="BW377" s="862"/>
      <c r="BX377" s="862"/>
      <c r="BY377" s="862"/>
      <c r="BZ377" s="862"/>
      <c r="CA377" s="862"/>
      <c r="CB377" s="862"/>
      <c r="CC377" s="862"/>
      <c r="CD377" s="862"/>
      <c r="CE377" s="862"/>
      <c r="CF377" s="862"/>
      <c r="CG377" s="862"/>
      <c r="CH377" s="863">
        <f t="shared" si="242"/>
        <v>1645.68</v>
      </c>
      <c r="CI377" s="863">
        <f t="shared" si="243"/>
        <v>0</v>
      </c>
      <c r="CJ377" s="863">
        <f t="shared" si="244"/>
        <v>1645.68</v>
      </c>
      <c r="CK377" s="710"/>
      <c r="CL377" s="710"/>
      <c r="CM377" s="710"/>
      <c r="CN377" s="512"/>
      <c r="CO377" s="512"/>
      <c r="CP377" s="512"/>
      <c r="CQ377" s="512"/>
      <c r="CR377" s="512"/>
      <c r="CS377" s="512"/>
      <c r="CT377" s="512"/>
      <c r="CU377" s="512"/>
      <c r="CV377" s="515"/>
    </row>
    <row r="378" spans="1:100">
      <c r="A378" s="844"/>
      <c r="B378" s="845" t="s">
        <v>915</v>
      </c>
      <c r="C378" s="846"/>
      <c r="D378" s="846"/>
      <c r="E378" s="846"/>
      <c r="F378" s="846"/>
      <c r="G378" s="846"/>
      <c r="H378" s="846"/>
      <c r="I378" s="846"/>
      <c r="J378" s="846"/>
      <c r="K378" s="846"/>
      <c r="L378" s="846" t="s">
        <v>558</v>
      </c>
      <c r="M378" s="846"/>
      <c r="N378" s="846"/>
      <c r="O378" s="846"/>
      <c r="P378" s="846"/>
      <c r="Q378" s="846"/>
      <c r="R378" s="846"/>
      <c r="S378" s="846"/>
      <c r="T378" s="847"/>
      <c r="U378" s="848"/>
      <c r="V378" s="848"/>
      <c r="W378" s="848"/>
      <c r="X378" s="848"/>
      <c r="Y378" s="848"/>
      <c r="Z378" s="848"/>
      <c r="AA378" s="848"/>
      <c r="AB378" s="848"/>
      <c r="AC378" s="848"/>
      <c r="AD378" s="848"/>
      <c r="AE378" s="849"/>
      <c r="AF378" s="850">
        <f t="shared" si="238"/>
        <v>0</v>
      </c>
      <c r="AG378" s="851"/>
      <c r="AH378" s="852"/>
      <c r="AI378" s="852"/>
      <c r="AJ378" s="852"/>
      <c r="AK378" s="852"/>
      <c r="AL378" s="852"/>
      <c r="AM378" s="852"/>
      <c r="AN378" s="852"/>
      <c r="AO378" s="852"/>
      <c r="AP378" s="852"/>
      <c r="AQ378" s="852"/>
      <c r="AR378" s="853"/>
      <c r="AS378" s="854">
        <f t="shared" si="240"/>
        <v>0</v>
      </c>
      <c r="AT378" s="864"/>
      <c r="AU378" s="856"/>
      <c r="AV378" s="857"/>
      <c r="AW378" s="857"/>
      <c r="AX378" s="857">
        <v>42.01</v>
      </c>
      <c r="AY378" s="856"/>
      <c r="AZ378" s="856"/>
      <c r="BA378" s="856"/>
      <c r="BB378" s="857">
        <v>0</v>
      </c>
      <c r="BC378" s="857">
        <v>0</v>
      </c>
      <c r="BD378" s="856">
        <v>0</v>
      </c>
      <c r="BE378" s="865">
        <v>0</v>
      </c>
      <c r="BF378" s="866">
        <f t="shared" si="239"/>
        <v>42.01</v>
      </c>
      <c r="BG378" s="864">
        <v>0</v>
      </c>
      <c r="BH378" s="857">
        <v>0</v>
      </c>
      <c r="BI378" s="859">
        <v>0</v>
      </c>
      <c r="BJ378" s="859">
        <v>0</v>
      </c>
      <c r="BK378" s="860">
        <v>0</v>
      </c>
      <c r="BL378" s="860"/>
      <c r="BM378" s="860"/>
      <c r="BN378" s="860"/>
      <c r="BO378" s="860"/>
      <c r="BP378" s="860"/>
      <c r="BQ378" s="860"/>
      <c r="BR378" s="861"/>
      <c r="BS378" s="854">
        <f t="shared" si="241"/>
        <v>0</v>
      </c>
      <c r="BT378" s="862"/>
      <c r="BU378" s="862"/>
      <c r="BV378" s="862"/>
      <c r="BW378" s="862"/>
      <c r="BX378" s="862"/>
      <c r="BY378" s="862"/>
      <c r="BZ378" s="862"/>
      <c r="CA378" s="862"/>
      <c r="CB378" s="862"/>
      <c r="CC378" s="862"/>
      <c r="CD378" s="862"/>
      <c r="CE378" s="862"/>
      <c r="CF378" s="862"/>
      <c r="CG378" s="862"/>
      <c r="CH378" s="863">
        <f t="shared" si="242"/>
        <v>42.01</v>
      </c>
      <c r="CI378" s="863">
        <f t="shared" si="243"/>
        <v>0</v>
      </c>
      <c r="CJ378" s="863">
        <f t="shared" si="244"/>
        <v>42.01</v>
      </c>
      <c r="CK378" s="710"/>
      <c r="CL378" s="710"/>
      <c r="CM378" s="710"/>
      <c r="CN378" s="512"/>
      <c r="CO378" s="512"/>
      <c r="CP378" s="512"/>
      <c r="CQ378" s="512"/>
      <c r="CR378" s="512"/>
      <c r="CS378" s="512"/>
      <c r="CT378" s="512"/>
      <c r="CU378" s="512"/>
      <c r="CV378" s="515"/>
    </row>
    <row r="379" spans="1:100">
      <c r="A379" s="844"/>
      <c r="B379" s="845" t="s">
        <v>916</v>
      </c>
      <c r="C379" s="846"/>
      <c r="D379" s="846"/>
      <c r="E379" s="846"/>
      <c r="F379" s="846"/>
      <c r="G379" s="846"/>
      <c r="H379" s="846"/>
      <c r="I379" s="846"/>
      <c r="J379" s="846"/>
      <c r="K379" s="846"/>
      <c r="L379" s="846"/>
      <c r="M379" s="846"/>
      <c r="N379" s="846"/>
      <c r="O379" s="846"/>
      <c r="P379" s="846"/>
      <c r="Q379" s="846"/>
      <c r="R379" s="846"/>
      <c r="S379" s="846"/>
      <c r="T379" s="847"/>
      <c r="U379" s="848"/>
      <c r="V379" s="848"/>
      <c r="W379" s="848"/>
      <c r="X379" s="848"/>
      <c r="Y379" s="848"/>
      <c r="Z379" s="848"/>
      <c r="AA379" s="848"/>
      <c r="AB379" s="848"/>
      <c r="AC379" s="848"/>
      <c r="AD379" s="848"/>
      <c r="AE379" s="849"/>
      <c r="AF379" s="850">
        <f t="shared" si="238"/>
        <v>0</v>
      </c>
      <c r="AG379" s="851"/>
      <c r="AH379" s="852"/>
      <c r="AI379" s="852"/>
      <c r="AJ379" s="852"/>
      <c r="AK379" s="852"/>
      <c r="AL379" s="852"/>
      <c r="AM379" s="852"/>
      <c r="AN379" s="852"/>
      <c r="AO379" s="852"/>
      <c r="AP379" s="852"/>
      <c r="AQ379" s="852">
        <v>291.2</v>
      </c>
      <c r="AR379" s="853"/>
      <c r="AS379" s="854">
        <f t="shared" si="240"/>
        <v>291.2</v>
      </c>
      <c r="AT379" s="864"/>
      <c r="AU379" s="856"/>
      <c r="AV379" s="857"/>
      <c r="AW379" s="857"/>
      <c r="AX379" s="857"/>
      <c r="AY379" s="856"/>
      <c r="AZ379" s="856"/>
      <c r="BA379" s="856"/>
      <c r="BB379" s="857">
        <v>0</v>
      </c>
      <c r="BC379" s="857">
        <v>0</v>
      </c>
      <c r="BD379" s="856">
        <v>0</v>
      </c>
      <c r="BE379" s="865">
        <v>0</v>
      </c>
      <c r="BF379" s="866">
        <f t="shared" si="239"/>
        <v>0</v>
      </c>
      <c r="BG379" s="864">
        <v>0</v>
      </c>
      <c r="BH379" s="857">
        <v>0</v>
      </c>
      <c r="BI379" s="859">
        <v>0</v>
      </c>
      <c r="BJ379" s="859">
        <v>0</v>
      </c>
      <c r="BK379" s="860">
        <v>0</v>
      </c>
      <c r="BL379" s="860"/>
      <c r="BM379" s="860"/>
      <c r="BN379" s="860"/>
      <c r="BO379" s="860"/>
      <c r="BP379" s="860"/>
      <c r="BQ379" s="860"/>
      <c r="BR379" s="861"/>
      <c r="BS379" s="854">
        <f t="shared" si="241"/>
        <v>0</v>
      </c>
      <c r="BT379" s="862"/>
      <c r="BU379" s="862"/>
      <c r="BV379" s="862"/>
      <c r="BW379" s="862"/>
      <c r="BX379" s="862"/>
      <c r="BY379" s="862"/>
      <c r="BZ379" s="862"/>
      <c r="CA379" s="862"/>
      <c r="CB379" s="862"/>
      <c r="CC379" s="862"/>
      <c r="CD379" s="862"/>
      <c r="CE379" s="862"/>
      <c r="CF379" s="862"/>
      <c r="CG379" s="862"/>
      <c r="CH379" s="863">
        <f t="shared" si="242"/>
        <v>291.2</v>
      </c>
      <c r="CI379" s="863">
        <f t="shared" si="243"/>
        <v>0</v>
      </c>
      <c r="CJ379" s="863">
        <f t="shared" si="244"/>
        <v>291.2</v>
      </c>
      <c r="CK379" s="710"/>
      <c r="CL379" s="710"/>
      <c r="CM379" s="710"/>
      <c r="CN379" s="512"/>
      <c r="CO379" s="512"/>
      <c r="CP379" s="512"/>
      <c r="CQ379" s="512"/>
      <c r="CR379" s="512"/>
      <c r="CS379" s="512"/>
      <c r="CT379" s="512"/>
      <c r="CU379" s="512"/>
      <c r="CV379" s="515"/>
    </row>
    <row r="380" spans="1:100">
      <c r="A380" s="844"/>
      <c r="B380" s="845" t="s">
        <v>917</v>
      </c>
      <c r="C380" s="846"/>
      <c r="D380" s="846"/>
      <c r="E380" s="846"/>
      <c r="F380" s="846"/>
      <c r="G380" s="846"/>
      <c r="H380" s="846"/>
      <c r="I380" s="846"/>
      <c r="J380" s="846"/>
      <c r="K380" s="846"/>
      <c r="L380" s="846"/>
      <c r="M380" s="846"/>
      <c r="N380" s="846"/>
      <c r="O380" s="846"/>
      <c r="P380" s="846"/>
      <c r="Q380" s="846"/>
      <c r="R380" s="846"/>
      <c r="S380" s="846"/>
      <c r="T380" s="847">
        <v>192.13</v>
      </c>
      <c r="U380" s="848">
        <v>186.28</v>
      </c>
      <c r="V380" s="848"/>
      <c r="W380" s="848"/>
      <c r="X380" s="848"/>
      <c r="Y380" s="848"/>
      <c r="Z380" s="848"/>
      <c r="AA380" s="848"/>
      <c r="AB380" s="848"/>
      <c r="AC380" s="848"/>
      <c r="AD380" s="848"/>
      <c r="AE380" s="849">
        <v>243.9</v>
      </c>
      <c r="AF380" s="850">
        <f t="shared" si="238"/>
        <v>622.30999999999995</v>
      </c>
      <c r="AG380" s="851"/>
      <c r="AH380" s="852"/>
      <c r="AI380" s="852"/>
      <c r="AJ380" s="852"/>
      <c r="AK380" s="852"/>
      <c r="AL380" s="852"/>
      <c r="AM380" s="852"/>
      <c r="AN380" s="852"/>
      <c r="AO380" s="852"/>
      <c r="AP380" s="852"/>
      <c r="AQ380" s="852">
        <v>97.8</v>
      </c>
      <c r="AR380" s="853"/>
      <c r="AS380" s="854">
        <f t="shared" si="240"/>
        <v>97.8</v>
      </c>
      <c r="AT380" s="864">
        <v>220.05</v>
      </c>
      <c r="AU380" s="856"/>
      <c r="AV380" s="857">
        <v>278.16000000000003</v>
      </c>
      <c r="AW380" s="857">
        <v>1089.56</v>
      </c>
      <c r="AX380" s="857">
        <v>21.33</v>
      </c>
      <c r="AY380" s="856">
        <v>21.78</v>
      </c>
      <c r="AZ380" s="856"/>
      <c r="BA380" s="856"/>
      <c r="BB380" s="857">
        <v>24.28</v>
      </c>
      <c r="BC380" s="857">
        <v>0</v>
      </c>
      <c r="BD380" s="856">
        <v>50.1</v>
      </c>
      <c r="BE380" s="865">
        <v>0</v>
      </c>
      <c r="BF380" s="866">
        <f t="shared" si="239"/>
        <v>1705.2599999999998</v>
      </c>
      <c r="BG380" s="864">
        <v>261.2</v>
      </c>
      <c r="BH380" s="857">
        <v>483.22</v>
      </c>
      <c r="BI380" s="859">
        <v>78.36</v>
      </c>
      <c r="BJ380" s="859">
        <v>642.48</v>
      </c>
      <c r="BK380" s="860">
        <v>0</v>
      </c>
      <c r="BL380" s="860"/>
      <c r="BM380" s="860"/>
      <c r="BN380" s="860"/>
      <c r="BO380" s="860"/>
      <c r="BP380" s="860"/>
      <c r="BQ380" s="860"/>
      <c r="BR380" s="861"/>
      <c r="BS380" s="854">
        <f t="shared" si="241"/>
        <v>1465.2600000000002</v>
      </c>
      <c r="BT380" s="862"/>
      <c r="BU380" s="862"/>
      <c r="BV380" s="862"/>
      <c r="BW380" s="862"/>
      <c r="BX380" s="862"/>
      <c r="BY380" s="862"/>
      <c r="BZ380" s="862"/>
      <c r="CA380" s="862"/>
      <c r="CB380" s="862"/>
      <c r="CC380" s="862"/>
      <c r="CD380" s="862"/>
      <c r="CE380" s="862"/>
      <c r="CF380" s="862"/>
      <c r="CG380" s="862"/>
      <c r="CH380" s="863">
        <f t="shared" si="242"/>
        <v>3890.63</v>
      </c>
      <c r="CI380" s="863">
        <f t="shared" si="243"/>
        <v>0</v>
      </c>
      <c r="CJ380" s="863">
        <f t="shared" si="244"/>
        <v>3890.63</v>
      </c>
      <c r="CK380" s="710"/>
      <c r="CL380" s="710"/>
      <c r="CM380" s="710"/>
      <c r="CN380" s="512"/>
      <c r="CO380" s="512"/>
      <c r="CP380" s="512"/>
      <c r="CQ380" s="512"/>
      <c r="CR380" s="512"/>
      <c r="CS380" s="512"/>
      <c r="CT380" s="512"/>
      <c r="CU380" s="512"/>
      <c r="CV380" s="515"/>
    </row>
    <row r="381" spans="1:100">
      <c r="A381" s="844"/>
      <c r="B381" s="845" t="s">
        <v>918</v>
      </c>
      <c r="C381" s="846"/>
      <c r="D381" s="846"/>
      <c r="E381" s="846"/>
      <c r="F381" s="846"/>
      <c r="G381" s="846"/>
      <c r="H381" s="846"/>
      <c r="I381" s="846"/>
      <c r="J381" s="846"/>
      <c r="K381" s="846"/>
      <c r="L381" s="846"/>
      <c r="M381" s="846"/>
      <c r="N381" s="846"/>
      <c r="O381" s="846"/>
      <c r="P381" s="846"/>
      <c r="Q381" s="846"/>
      <c r="R381" s="846"/>
      <c r="S381" s="846"/>
      <c r="T381" s="847">
        <v>216.78</v>
      </c>
      <c r="U381" s="848">
        <v>56.55</v>
      </c>
      <c r="V381" s="848"/>
      <c r="W381" s="848"/>
      <c r="X381" s="848"/>
      <c r="Y381" s="848"/>
      <c r="Z381" s="848"/>
      <c r="AA381" s="848"/>
      <c r="AB381" s="848"/>
      <c r="AC381" s="848"/>
      <c r="AD381" s="848"/>
      <c r="AE381" s="849">
        <v>737.68</v>
      </c>
      <c r="AF381" s="850">
        <f t="shared" si="238"/>
        <v>1011.01</v>
      </c>
      <c r="AG381" s="851"/>
      <c r="AH381" s="852"/>
      <c r="AI381" s="852"/>
      <c r="AJ381" s="852"/>
      <c r="AK381" s="852"/>
      <c r="AL381" s="852"/>
      <c r="AM381" s="852"/>
      <c r="AN381" s="852"/>
      <c r="AO381" s="852"/>
      <c r="AP381" s="852"/>
      <c r="AQ381" s="852">
        <v>79.099999999999994</v>
      </c>
      <c r="AR381" s="853"/>
      <c r="AS381" s="854">
        <f t="shared" si="240"/>
        <v>79.099999999999994</v>
      </c>
      <c r="AT381" s="864"/>
      <c r="AU381" s="856"/>
      <c r="AV381" s="857"/>
      <c r="AW381" s="857"/>
      <c r="AX381" s="857"/>
      <c r="AY381" s="856"/>
      <c r="AZ381" s="856"/>
      <c r="BA381" s="856"/>
      <c r="BB381" s="857">
        <v>0</v>
      </c>
      <c r="BC381" s="857">
        <v>0</v>
      </c>
      <c r="BD381" s="856">
        <v>0</v>
      </c>
      <c r="BE381" s="865">
        <v>0</v>
      </c>
      <c r="BF381" s="866">
        <f t="shared" si="239"/>
        <v>0</v>
      </c>
      <c r="BG381" s="864">
        <v>0</v>
      </c>
      <c r="BH381" s="857">
        <v>570.22</v>
      </c>
      <c r="BI381" s="859">
        <v>0</v>
      </c>
      <c r="BJ381" s="859">
        <v>0</v>
      </c>
      <c r="BK381" s="860">
        <v>0</v>
      </c>
      <c r="BL381" s="860"/>
      <c r="BM381" s="860"/>
      <c r="BN381" s="860"/>
      <c r="BO381" s="860"/>
      <c r="BP381" s="860"/>
      <c r="BQ381" s="860"/>
      <c r="BR381" s="861"/>
      <c r="BS381" s="854">
        <f t="shared" si="241"/>
        <v>570.22</v>
      </c>
      <c r="BT381" s="862"/>
      <c r="BU381" s="862"/>
      <c r="BV381" s="862"/>
      <c r="BW381" s="862"/>
      <c r="BX381" s="862"/>
      <c r="BY381" s="862"/>
      <c r="BZ381" s="862"/>
      <c r="CA381" s="862"/>
      <c r="CB381" s="862"/>
      <c r="CC381" s="862"/>
      <c r="CD381" s="862"/>
      <c r="CE381" s="862"/>
      <c r="CF381" s="862"/>
      <c r="CG381" s="862"/>
      <c r="CH381" s="863">
        <f t="shared" si="242"/>
        <v>1660.33</v>
      </c>
      <c r="CI381" s="863">
        <f t="shared" si="243"/>
        <v>0</v>
      </c>
      <c r="CJ381" s="863">
        <f t="shared" si="244"/>
        <v>1660.33</v>
      </c>
      <c r="CK381" s="710"/>
      <c r="CL381" s="710"/>
      <c r="CM381" s="710"/>
      <c r="CN381" s="512"/>
      <c r="CO381" s="512"/>
      <c r="CP381" s="512"/>
      <c r="CQ381" s="512"/>
      <c r="CR381" s="512"/>
      <c r="CS381" s="512"/>
      <c r="CT381" s="512"/>
      <c r="CU381" s="512"/>
      <c r="CV381" s="515"/>
    </row>
    <row r="382" spans="1:100">
      <c r="A382" s="844"/>
      <c r="B382" s="845" t="s">
        <v>919</v>
      </c>
      <c r="C382" s="846"/>
      <c r="D382" s="846"/>
      <c r="E382" s="846"/>
      <c r="F382" s="846"/>
      <c r="G382" s="846"/>
      <c r="H382" s="846"/>
      <c r="I382" s="846"/>
      <c r="J382" s="846"/>
      <c r="K382" s="846"/>
      <c r="L382" s="846"/>
      <c r="M382" s="846"/>
      <c r="N382" s="846"/>
      <c r="O382" s="846"/>
      <c r="P382" s="846"/>
      <c r="Q382" s="846"/>
      <c r="R382" s="846"/>
      <c r="S382" s="846"/>
      <c r="T382" s="847">
        <v>3143.21</v>
      </c>
      <c r="U382" s="848">
        <v>3862.74</v>
      </c>
      <c r="V382" s="848">
        <v>1175.1199999999999</v>
      </c>
      <c r="W382" s="848">
        <v>2247.9</v>
      </c>
      <c r="X382" s="848">
        <v>2668.92</v>
      </c>
      <c r="Y382" s="848">
        <v>3481.66</v>
      </c>
      <c r="Z382" s="848">
        <v>4820.76</v>
      </c>
      <c r="AA382" s="848">
        <v>5495.76</v>
      </c>
      <c r="AB382" s="848">
        <v>6243.48</v>
      </c>
      <c r="AC382" s="848">
        <v>6310.02</v>
      </c>
      <c r="AD382" s="848">
        <v>5182.71</v>
      </c>
      <c r="AE382" s="849">
        <v>5144.88</v>
      </c>
      <c r="AF382" s="850">
        <f t="shared" si="238"/>
        <v>49777.16</v>
      </c>
      <c r="AG382" s="851">
        <v>5863.65</v>
      </c>
      <c r="AH382" s="852">
        <v>3026.4</v>
      </c>
      <c r="AI382" s="852">
        <v>4597.32</v>
      </c>
      <c r="AJ382" s="852">
        <v>2324.0100000000002</v>
      </c>
      <c r="AK382" s="852">
        <v>6932.64</v>
      </c>
      <c r="AL382" s="852">
        <v>5173.7</v>
      </c>
      <c r="AM382" s="852">
        <v>7068.25</v>
      </c>
      <c r="AN382" s="852">
        <v>4479.76</v>
      </c>
      <c r="AO382" s="852">
        <v>6658.9</v>
      </c>
      <c r="AP382" s="852">
        <v>5286.94</v>
      </c>
      <c r="AQ382" s="852">
        <v>5284.78</v>
      </c>
      <c r="AR382" s="853">
        <v>4410.32</v>
      </c>
      <c r="AS382" s="854">
        <f t="shared" si="240"/>
        <v>61106.670000000006</v>
      </c>
      <c r="AT382" s="864">
        <v>4258.24</v>
      </c>
      <c r="AU382" s="856">
        <v>3193.68</v>
      </c>
      <c r="AV382" s="857">
        <v>7348.64</v>
      </c>
      <c r="AW382" s="857">
        <v>5532.84</v>
      </c>
      <c r="AX382" s="857">
        <v>5101.2</v>
      </c>
      <c r="AY382" s="856">
        <v>4787.28</v>
      </c>
      <c r="AZ382" s="856">
        <v>4120.2</v>
      </c>
      <c r="BA382" s="856">
        <v>1648.08</v>
      </c>
      <c r="BB382" s="857">
        <v>6553.08</v>
      </c>
      <c r="BC382" s="857">
        <v>4551.84</v>
      </c>
      <c r="BD382" s="856">
        <v>15570.32</v>
      </c>
      <c r="BE382" s="865">
        <v>2282.56</v>
      </c>
      <c r="BF382" s="866">
        <f t="shared" si="239"/>
        <v>64947.96</v>
      </c>
      <c r="BG382" s="864">
        <v>5543.36</v>
      </c>
      <c r="BH382" s="857">
        <v>1222.8</v>
      </c>
      <c r="BI382" s="859">
        <v>4851.8500000000004</v>
      </c>
      <c r="BJ382" s="859">
        <v>9155.23</v>
      </c>
      <c r="BK382" s="860">
        <v>2826.73</v>
      </c>
      <c r="BL382" s="860">
        <f>38*160*0.4</f>
        <v>2432</v>
      </c>
      <c r="BM382" s="860"/>
      <c r="BN382" s="860"/>
      <c r="BO382" s="860"/>
      <c r="BP382" s="860"/>
      <c r="BQ382" s="860"/>
      <c r="BR382" s="861"/>
      <c r="BS382" s="854">
        <f t="shared" si="241"/>
        <v>26031.969999999998</v>
      </c>
      <c r="BT382" s="862"/>
      <c r="BU382" s="862"/>
      <c r="BV382" s="862"/>
      <c r="BW382" s="862"/>
      <c r="BX382" s="862"/>
      <c r="BY382" s="862"/>
      <c r="BZ382" s="862"/>
      <c r="CA382" s="862"/>
      <c r="CB382" s="862"/>
      <c r="CC382" s="862"/>
      <c r="CD382" s="862"/>
      <c r="CE382" s="862"/>
      <c r="CF382" s="862"/>
      <c r="CG382" s="862"/>
      <c r="CH382" s="863">
        <f t="shared" si="242"/>
        <v>199431.75999999998</v>
      </c>
      <c r="CI382" s="863">
        <f t="shared" si="243"/>
        <v>2432</v>
      </c>
      <c r="CJ382" s="863">
        <f t="shared" si="244"/>
        <v>201863.75999999998</v>
      </c>
      <c r="CK382" s="710"/>
      <c r="CL382" s="710"/>
      <c r="CM382" s="710"/>
      <c r="CN382" s="512"/>
      <c r="CO382" s="512"/>
      <c r="CP382" s="512"/>
      <c r="CQ382" s="512"/>
      <c r="CR382" s="512"/>
      <c r="CS382" s="512"/>
      <c r="CT382" s="512"/>
      <c r="CU382" s="512"/>
      <c r="CV382" s="515"/>
    </row>
    <row r="383" spans="1:100">
      <c r="A383" s="844"/>
      <c r="B383" s="845" t="s">
        <v>920</v>
      </c>
      <c r="C383" s="846"/>
      <c r="D383" s="846"/>
      <c r="E383" s="846"/>
      <c r="F383" s="846"/>
      <c r="G383" s="846"/>
      <c r="H383" s="846"/>
      <c r="I383" s="846"/>
      <c r="J383" s="846"/>
      <c r="K383" s="846"/>
      <c r="L383" s="846"/>
      <c r="M383" s="846"/>
      <c r="N383" s="846"/>
      <c r="O383" s="846"/>
      <c r="P383" s="846"/>
      <c r="Q383" s="846"/>
      <c r="R383" s="846"/>
      <c r="S383" s="846"/>
      <c r="T383" s="847"/>
      <c r="U383" s="848"/>
      <c r="V383" s="848"/>
      <c r="W383" s="848"/>
      <c r="X383" s="848"/>
      <c r="Y383" s="848"/>
      <c r="Z383" s="848"/>
      <c r="AA383" s="848"/>
      <c r="AB383" s="848"/>
      <c r="AC383" s="848"/>
      <c r="AD383" s="848"/>
      <c r="AE383" s="849"/>
      <c r="AF383" s="850">
        <f t="shared" ref="AF383:AF385" si="245">SUM(T383:AE383)</f>
        <v>0</v>
      </c>
      <c r="AG383" s="851"/>
      <c r="AH383" s="852"/>
      <c r="AI383" s="852"/>
      <c r="AJ383" s="852"/>
      <c r="AK383" s="852"/>
      <c r="AL383" s="852"/>
      <c r="AM383" s="852"/>
      <c r="AN383" s="852"/>
      <c r="AO383" s="852"/>
      <c r="AP383" s="852"/>
      <c r="AQ383" s="852"/>
      <c r="AR383" s="853"/>
      <c r="AS383" s="854">
        <f t="shared" si="240"/>
        <v>0</v>
      </c>
      <c r="AT383" s="864"/>
      <c r="AU383" s="856"/>
      <c r="AV383" s="857"/>
      <c r="AW383" s="857">
        <v>254.98</v>
      </c>
      <c r="AX383" s="857"/>
      <c r="AY383" s="856"/>
      <c r="AZ383" s="856"/>
      <c r="BA383" s="856"/>
      <c r="BB383" s="857">
        <v>0</v>
      </c>
      <c r="BC383" s="857">
        <v>0</v>
      </c>
      <c r="BD383" s="856">
        <v>0</v>
      </c>
      <c r="BE383" s="865">
        <v>0</v>
      </c>
      <c r="BF383" s="866">
        <f t="shared" ref="BF383:BF385" si="246">SUM(AT383:BE383)</f>
        <v>254.98</v>
      </c>
      <c r="BG383" s="864">
        <v>0</v>
      </c>
      <c r="BH383" s="857">
        <v>0</v>
      </c>
      <c r="BI383" s="859">
        <v>0</v>
      </c>
      <c r="BJ383" s="859">
        <v>0</v>
      </c>
      <c r="BK383" s="860">
        <v>0</v>
      </c>
      <c r="BL383" s="860"/>
      <c r="BM383" s="860"/>
      <c r="BN383" s="860"/>
      <c r="BO383" s="860"/>
      <c r="BP383" s="860"/>
      <c r="BQ383" s="860"/>
      <c r="BR383" s="861"/>
      <c r="BS383" s="854">
        <f t="shared" si="241"/>
        <v>0</v>
      </c>
      <c r="BT383" s="862"/>
      <c r="BU383" s="862"/>
      <c r="BV383" s="862"/>
      <c r="BW383" s="862"/>
      <c r="BX383" s="862"/>
      <c r="BY383" s="862"/>
      <c r="BZ383" s="862"/>
      <c r="CA383" s="862"/>
      <c r="CB383" s="862"/>
      <c r="CC383" s="862"/>
      <c r="CD383" s="862"/>
      <c r="CE383" s="862"/>
      <c r="CF383" s="862"/>
      <c r="CG383" s="862"/>
      <c r="CH383" s="863">
        <f t="shared" si="242"/>
        <v>254.98</v>
      </c>
      <c r="CI383" s="863">
        <f t="shared" si="243"/>
        <v>0</v>
      </c>
      <c r="CJ383" s="863">
        <f t="shared" si="244"/>
        <v>254.98</v>
      </c>
      <c r="CK383" s="710"/>
      <c r="CL383" s="710"/>
      <c r="CM383" s="710"/>
      <c r="CN383" s="512"/>
      <c r="CO383" s="512"/>
      <c r="CP383" s="512"/>
      <c r="CQ383" s="512"/>
      <c r="CR383" s="512"/>
      <c r="CS383" s="512"/>
      <c r="CT383" s="512"/>
      <c r="CU383" s="512"/>
      <c r="CV383" s="515"/>
    </row>
    <row r="384" spans="1:100">
      <c r="A384" s="844"/>
      <c r="B384" s="845" t="s">
        <v>921</v>
      </c>
      <c r="C384" s="846"/>
      <c r="D384" s="846"/>
      <c r="E384" s="846"/>
      <c r="F384" s="846"/>
      <c r="G384" s="846"/>
      <c r="H384" s="846"/>
      <c r="I384" s="846"/>
      <c r="J384" s="846"/>
      <c r="K384" s="846"/>
      <c r="L384" s="846"/>
      <c r="M384" s="846"/>
      <c r="N384" s="846"/>
      <c r="O384" s="846"/>
      <c r="P384" s="846"/>
      <c r="Q384" s="846"/>
      <c r="R384" s="846"/>
      <c r="S384" s="846"/>
      <c r="T384" s="847"/>
      <c r="U384" s="848"/>
      <c r="V384" s="848"/>
      <c r="W384" s="848"/>
      <c r="X384" s="848"/>
      <c r="Y384" s="848"/>
      <c r="Z384" s="848"/>
      <c r="AA384" s="848"/>
      <c r="AB384" s="848"/>
      <c r="AC384" s="848"/>
      <c r="AD384" s="848"/>
      <c r="AE384" s="849"/>
      <c r="AF384" s="850">
        <f t="shared" si="245"/>
        <v>0</v>
      </c>
      <c r="AG384" s="851"/>
      <c r="AH384" s="852"/>
      <c r="AI384" s="852"/>
      <c r="AJ384" s="852"/>
      <c r="AK384" s="852"/>
      <c r="AL384" s="852"/>
      <c r="AM384" s="852"/>
      <c r="AN384" s="852"/>
      <c r="AO384" s="852"/>
      <c r="AP384" s="852"/>
      <c r="AQ384" s="852"/>
      <c r="AR384" s="853"/>
      <c r="AS384" s="854">
        <f t="shared" ref="AS384:AS385" si="247">SUM(AG384:AR384)</f>
        <v>0</v>
      </c>
      <c r="AT384" s="864"/>
      <c r="AU384" s="856"/>
      <c r="AV384" s="857">
        <v>92.72</v>
      </c>
      <c r="AW384" s="857"/>
      <c r="AX384" s="857"/>
      <c r="AY384" s="856"/>
      <c r="AZ384" s="856"/>
      <c r="BA384" s="856"/>
      <c r="BB384" s="857">
        <v>0</v>
      </c>
      <c r="BC384" s="857">
        <v>0</v>
      </c>
      <c r="BD384" s="856">
        <v>0</v>
      </c>
      <c r="BE384" s="865">
        <v>0</v>
      </c>
      <c r="BF384" s="866">
        <f t="shared" si="246"/>
        <v>92.72</v>
      </c>
      <c r="BG384" s="864">
        <v>0</v>
      </c>
      <c r="BH384" s="857">
        <v>0</v>
      </c>
      <c r="BI384" s="859">
        <v>59.45</v>
      </c>
      <c r="BJ384" s="859">
        <v>21.28</v>
      </c>
      <c r="BK384" s="860">
        <v>0</v>
      </c>
      <c r="BL384" s="860"/>
      <c r="BM384" s="860"/>
      <c r="BN384" s="860"/>
      <c r="BO384" s="860"/>
      <c r="BP384" s="860"/>
      <c r="BQ384" s="860"/>
      <c r="BR384" s="861"/>
      <c r="BS384" s="854">
        <f t="shared" ref="BS384:BS385" si="248">SUM(BG384:BR384)</f>
        <v>80.73</v>
      </c>
      <c r="BT384" s="862"/>
      <c r="BU384" s="862"/>
      <c r="BV384" s="862"/>
      <c r="BW384" s="862"/>
      <c r="BX384" s="862"/>
      <c r="BY384" s="862"/>
      <c r="BZ384" s="862"/>
      <c r="CA384" s="862"/>
      <c r="CB384" s="862"/>
      <c r="CC384" s="862"/>
      <c r="CD384" s="862"/>
      <c r="CE384" s="862"/>
      <c r="CF384" s="862"/>
      <c r="CG384" s="862"/>
      <c r="CH384" s="863">
        <f t="shared" ref="CH384:CH415" si="249">SUMIF(($S$5:$CG$5),"Actual",(S384:CG384))</f>
        <v>173.45000000000002</v>
      </c>
      <c r="CI384" s="863">
        <f t="shared" ref="CI384:CI415" si="250">SUMIF(($S$5:$CG$5),"Forecast",(S384:CG384))</f>
        <v>0</v>
      </c>
      <c r="CJ384" s="863">
        <f t="shared" ref="CJ384:CJ415" si="251">+CH384+CI384</f>
        <v>173.45000000000002</v>
      </c>
      <c r="CK384" s="710"/>
      <c r="CL384" s="710"/>
      <c r="CM384" s="710"/>
      <c r="CN384" s="512"/>
      <c r="CO384" s="512"/>
      <c r="CP384" s="512"/>
      <c r="CQ384" s="512"/>
      <c r="CR384" s="512"/>
      <c r="CS384" s="512"/>
      <c r="CT384" s="512"/>
      <c r="CU384" s="512"/>
      <c r="CV384" s="515"/>
    </row>
    <row r="385" spans="1:100">
      <c r="A385" s="844"/>
      <c r="B385" s="845" t="s">
        <v>922</v>
      </c>
      <c r="C385" s="846"/>
      <c r="D385" s="846"/>
      <c r="E385" s="846"/>
      <c r="F385" s="846"/>
      <c r="G385" s="846"/>
      <c r="H385" s="846"/>
      <c r="I385" s="846"/>
      <c r="J385" s="846"/>
      <c r="K385" s="846"/>
      <c r="L385" s="846"/>
      <c r="M385" s="846"/>
      <c r="N385" s="846"/>
      <c r="O385" s="846"/>
      <c r="P385" s="846"/>
      <c r="Q385" s="846"/>
      <c r="R385" s="846"/>
      <c r="S385" s="846"/>
      <c r="T385" s="847"/>
      <c r="U385" s="848"/>
      <c r="V385" s="848"/>
      <c r="W385" s="848"/>
      <c r="X385" s="848"/>
      <c r="Y385" s="848"/>
      <c r="Z385" s="848"/>
      <c r="AA385" s="848"/>
      <c r="AB385" s="848"/>
      <c r="AC385" s="848"/>
      <c r="AD385" s="848"/>
      <c r="AE385" s="849"/>
      <c r="AF385" s="850">
        <f t="shared" si="245"/>
        <v>0</v>
      </c>
      <c r="AG385" s="851"/>
      <c r="AH385" s="852"/>
      <c r="AI385" s="852"/>
      <c r="AJ385" s="852"/>
      <c r="AK385" s="852"/>
      <c r="AL385" s="852"/>
      <c r="AM385" s="852"/>
      <c r="AN385" s="852"/>
      <c r="AO385" s="852"/>
      <c r="AP385" s="852"/>
      <c r="AQ385" s="852"/>
      <c r="AR385" s="853"/>
      <c r="AS385" s="854">
        <f t="shared" si="247"/>
        <v>0</v>
      </c>
      <c r="AT385" s="864">
        <v>237.3</v>
      </c>
      <c r="AU385" s="856"/>
      <c r="AV385" s="857"/>
      <c r="AW385" s="857">
        <v>2313.6799999999998</v>
      </c>
      <c r="AX385" s="857"/>
      <c r="AY385" s="856">
        <v>242.64</v>
      </c>
      <c r="AZ385" s="856">
        <v>970.56</v>
      </c>
      <c r="BA385" s="856"/>
      <c r="BB385" s="857">
        <v>0</v>
      </c>
      <c r="BC385" s="857">
        <v>0</v>
      </c>
      <c r="BD385" s="856">
        <v>0</v>
      </c>
      <c r="BE385" s="865">
        <v>0</v>
      </c>
      <c r="BF385" s="866">
        <f t="shared" si="246"/>
        <v>3764.18</v>
      </c>
      <c r="BG385" s="864">
        <v>814.6</v>
      </c>
      <c r="BH385" s="857">
        <v>122.19</v>
      </c>
      <c r="BI385" s="859">
        <v>40.74</v>
      </c>
      <c r="BJ385" s="859">
        <v>1002</v>
      </c>
      <c r="BK385" s="860">
        <v>836.8</v>
      </c>
      <c r="BL385" s="860"/>
      <c r="BM385" s="860"/>
      <c r="BN385" s="860"/>
      <c r="BO385" s="860"/>
      <c r="BP385" s="860"/>
      <c r="BQ385" s="860"/>
      <c r="BR385" s="861"/>
      <c r="BS385" s="854">
        <f t="shared" si="248"/>
        <v>2816.33</v>
      </c>
      <c r="BT385" s="862"/>
      <c r="BU385" s="862"/>
      <c r="BV385" s="862"/>
      <c r="BW385" s="862"/>
      <c r="BX385" s="862"/>
      <c r="BY385" s="862"/>
      <c r="BZ385" s="862"/>
      <c r="CA385" s="862"/>
      <c r="CB385" s="862"/>
      <c r="CC385" s="862"/>
      <c r="CD385" s="862"/>
      <c r="CE385" s="862"/>
      <c r="CF385" s="862"/>
      <c r="CG385" s="862"/>
      <c r="CH385" s="863">
        <f t="shared" si="249"/>
        <v>6580.5099999999993</v>
      </c>
      <c r="CI385" s="863">
        <f t="shared" si="250"/>
        <v>0</v>
      </c>
      <c r="CJ385" s="863">
        <f t="shared" si="251"/>
        <v>6580.5099999999993</v>
      </c>
      <c r="CK385" s="710"/>
      <c r="CL385" s="710"/>
      <c r="CM385" s="710"/>
      <c r="CN385" s="512"/>
      <c r="CO385" s="512"/>
      <c r="CP385" s="512"/>
      <c r="CQ385" s="512"/>
      <c r="CR385" s="512"/>
      <c r="CS385" s="512"/>
      <c r="CT385" s="512"/>
      <c r="CU385" s="512"/>
      <c r="CV385" s="515"/>
    </row>
    <row r="386" spans="1:100">
      <c r="A386" s="844"/>
      <c r="B386" s="845" t="s">
        <v>923</v>
      </c>
      <c r="C386" s="846"/>
      <c r="D386" s="846"/>
      <c r="E386" s="846"/>
      <c r="F386" s="846"/>
      <c r="G386" s="846"/>
      <c r="H386" s="846"/>
      <c r="I386" s="846"/>
      <c r="J386" s="846"/>
      <c r="K386" s="846"/>
      <c r="L386" s="846" t="s">
        <v>558</v>
      </c>
      <c r="M386" s="846"/>
      <c r="N386" s="846"/>
      <c r="O386" s="846"/>
      <c r="P386" s="846"/>
      <c r="Q386" s="846"/>
      <c r="R386" s="846"/>
      <c r="S386" s="846"/>
      <c r="T386" s="847"/>
      <c r="U386" s="848"/>
      <c r="V386" s="848"/>
      <c r="W386" s="848"/>
      <c r="X386" s="848"/>
      <c r="Y386" s="848"/>
      <c r="Z386" s="848"/>
      <c r="AA386" s="848"/>
      <c r="AB386" s="848"/>
      <c r="AC386" s="848"/>
      <c r="AD386" s="848"/>
      <c r="AE386" s="849"/>
      <c r="AF386" s="850"/>
      <c r="AG386" s="851"/>
      <c r="AH386" s="852"/>
      <c r="AI386" s="852"/>
      <c r="AJ386" s="852"/>
      <c r="AK386" s="852"/>
      <c r="AL386" s="852"/>
      <c r="AM386" s="852"/>
      <c r="AN386" s="852"/>
      <c r="AO386" s="852"/>
      <c r="AP386" s="852"/>
      <c r="AQ386" s="852"/>
      <c r="AR386" s="853"/>
      <c r="AS386" s="854"/>
      <c r="AT386" s="855"/>
      <c r="AU386" s="856"/>
      <c r="AV386" s="857"/>
      <c r="AW386" s="857"/>
      <c r="AX386" s="856"/>
      <c r="AY386" s="856"/>
      <c r="AZ386" s="856"/>
      <c r="BA386" s="856"/>
      <c r="BB386" s="857"/>
      <c r="BC386" s="856"/>
      <c r="BD386" s="856"/>
      <c r="BE386" s="858">
        <v>0</v>
      </c>
      <c r="BF386" s="854"/>
      <c r="BG386" s="855"/>
      <c r="BH386" s="856"/>
      <c r="BI386" s="859">
        <v>189.86</v>
      </c>
      <c r="BJ386" s="859">
        <v>779.04</v>
      </c>
      <c r="BK386" s="860">
        <v>1244.3</v>
      </c>
      <c r="BL386" s="860"/>
      <c r="BM386" s="860"/>
      <c r="BN386" s="860"/>
      <c r="BO386" s="860"/>
      <c r="BP386" s="860"/>
      <c r="BQ386" s="860"/>
      <c r="BR386" s="861"/>
      <c r="BS386" s="854"/>
      <c r="BT386" s="862"/>
      <c r="BU386" s="862"/>
      <c r="BV386" s="862"/>
      <c r="BW386" s="862"/>
      <c r="BX386" s="862"/>
      <c r="BY386" s="862"/>
      <c r="BZ386" s="862"/>
      <c r="CA386" s="862"/>
      <c r="CB386" s="862"/>
      <c r="CC386" s="862"/>
      <c r="CD386" s="862"/>
      <c r="CE386" s="862"/>
      <c r="CF386" s="862"/>
      <c r="CG386" s="862"/>
      <c r="CH386" s="863">
        <f t="shared" si="249"/>
        <v>2213.1999999999998</v>
      </c>
      <c r="CI386" s="863">
        <f t="shared" si="250"/>
        <v>0</v>
      </c>
      <c r="CJ386" s="863">
        <f t="shared" si="251"/>
        <v>2213.1999999999998</v>
      </c>
      <c r="CK386" s="710"/>
      <c r="CL386" s="710"/>
      <c r="CM386" s="710"/>
      <c r="CN386" s="512"/>
      <c r="CO386" s="512"/>
      <c r="CP386" s="512"/>
      <c r="CQ386" s="512"/>
      <c r="CR386" s="512"/>
      <c r="CS386" s="512"/>
      <c r="CT386" s="512"/>
      <c r="CU386" s="512"/>
      <c r="CV386" s="515"/>
    </row>
    <row r="387" spans="1:100">
      <c r="A387" s="844"/>
      <c r="B387" s="845" t="s">
        <v>924</v>
      </c>
      <c r="C387" s="846"/>
      <c r="D387" s="846"/>
      <c r="E387" s="846"/>
      <c r="F387" s="846"/>
      <c r="G387" s="846"/>
      <c r="H387" s="846"/>
      <c r="I387" s="846"/>
      <c r="J387" s="846"/>
      <c r="K387" s="846"/>
      <c r="L387" s="846"/>
      <c r="M387" s="846"/>
      <c r="N387" s="846"/>
      <c r="O387" s="846"/>
      <c r="P387" s="846"/>
      <c r="Q387" s="846"/>
      <c r="R387" s="846"/>
      <c r="S387" s="846"/>
      <c r="T387" s="847"/>
      <c r="U387" s="848"/>
      <c r="V387" s="848"/>
      <c r="W387" s="848"/>
      <c r="X387" s="848"/>
      <c r="Y387" s="848"/>
      <c r="Z387" s="848"/>
      <c r="AA387" s="848"/>
      <c r="AB387" s="848"/>
      <c r="AC387" s="848"/>
      <c r="AD387" s="848"/>
      <c r="AE387" s="849"/>
      <c r="AF387" s="850">
        <f t="shared" ref="AF387:AF395" si="252">SUM(T387:AE387)</f>
        <v>0</v>
      </c>
      <c r="AG387" s="851"/>
      <c r="AH387" s="852"/>
      <c r="AI387" s="852"/>
      <c r="AJ387" s="852"/>
      <c r="AK387" s="852"/>
      <c r="AL387" s="852"/>
      <c r="AM387" s="852"/>
      <c r="AN387" s="852"/>
      <c r="AO387" s="852"/>
      <c r="AP387" s="852"/>
      <c r="AQ387" s="852"/>
      <c r="AR387" s="853"/>
      <c r="AS387" s="854">
        <f t="shared" ref="AS387:AS395" si="253">SUM(AG387:AR387)</f>
        <v>0</v>
      </c>
      <c r="AT387" s="864"/>
      <c r="AU387" s="856"/>
      <c r="AV387" s="857"/>
      <c r="AW387" s="857">
        <v>509.98</v>
      </c>
      <c r="AX387" s="857"/>
      <c r="AY387" s="856"/>
      <c r="AZ387" s="856"/>
      <c r="BA387" s="856"/>
      <c r="BB387" s="857">
        <v>0</v>
      </c>
      <c r="BC387" s="857">
        <v>0</v>
      </c>
      <c r="BD387" s="856">
        <v>0</v>
      </c>
      <c r="BE387" s="865">
        <v>0</v>
      </c>
      <c r="BF387" s="866">
        <f t="shared" ref="BF387:BF395" si="254">SUM(AT387:BE387)</f>
        <v>509.98</v>
      </c>
      <c r="BG387" s="864">
        <v>0</v>
      </c>
      <c r="BH387" s="857">
        <v>0</v>
      </c>
      <c r="BI387" s="859">
        <v>0</v>
      </c>
      <c r="BJ387" s="859">
        <v>0</v>
      </c>
      <c r="BK387" s="860">
        <v>0</v>
      </c>
      <c r="BL387" s="860"/>
      <c r="BM387" s="860"/>
      <c r="BN387" s="860"/>
      <c r="BO387" s="860"/>
      <c r="BP387" s="860"/>
      <c r="BQ387" s="860"/>
      <c r="BR387" s="861"/>
      <c r="BS387" s="854">
        <f t="shared" ref="BS387:BS395" si="255">SUM(BG387:BR387)</f>
        <v>0</v>
      </c>
      <c r="BT387" s="862"/>
      <c r="BU387" s="862"/>
      <c r="BV387" s="862"/>
      <c r="BW387" s="862"/>
      <c r="BX387" s="862"/>
      <c r="BY387" s="862"/>
      <c r="BZ387" s="862"/>
      <c r="CA387" s="862"/>
      <c r="CB387" s="862"/>
      <c r="CC387" s="862"/>
      <c r="CD387" s="862"/>
      <c r="CE387" s="862"/>
      <c r="CF387" s="862"/>
      <c r="CG387" s="862"/>
      <c r="CH387" s="863">
        <f t="shared" si="249"/>
        <v>509.98</v>
      </c>
      <c r="CI387" s="863">
        <f t="shared" si="250"/>
        <v>0</v>
      </c>
      <c r="CJ387" s="863">
        <f t="shared" si="251"/>
        <v>509.98</v>
      </c>
      <c r="CK387" s="710"/>
      <c r="CL387" s="710"/>
      <c r="CM387" s="710"/>
      <c r="CN387" s="512"/>
      <c r="CO387" s="512"/>
      <c r="CP387" s="512"/>
      <c r="CQ387" s="512"/>
      <c r="CR387" s="512"/>
      <c r="CS387" s="512"/>
      <c r="CT387" s="512"/>
      <c r="CU387" s="512"/>
      <c r="CV387" s="515"/>
    </row>
    <row r="388" spans="1:100">
      <c r="A388" s="844"/>
      <c r="B388" s="845" t="s">
        <v>925</v>
      </c>
      <c r="C388" s="846"/>
      <c r="D388" s="846"/>
      <c r="E388" s="846"/>
      <c r="F388" s="846"/>
      <c r="G388" s="846"/>
      <c r="H388" s="846"/>
      <c r="I388" s="846"/>
      <c r="J388" s="846"/>
      <c r="K388" s="846"/>
      <c r="L388" s="846"/>
      <c r="M388" s="846"/>
      <c r="N388" s="846"/>
      <c r="O388" s="846"/>
      <c r="P388" s="846"/>
      <c r="Q388" s="846"/>
      <c r="R388" s="846"/>
      <c r="S388" s="846"/>
      <c r="T388" s="847"/>
      <c r="U388" s="848">
        <v>1672.8</v>
      </c>
      <c r="V388" s="848">
        <v>557.6</v>
      </c>
      <c r="W388" s="848">
        <v>280.39999999999998</v>
      </c>
      <c r="X388" s="848">
        <v>420.6</v>
      </c>
      <c r="Y388" s="848">
        <v>1226.75</v>
      </c>
      <c r="Z388" s="848">
        <v>1542.2</v>
      </c>
      <c r="AA388" s="848">
        <v>562.79999999999995</v>
      </c>
      <c r="AB388" s="848">
        <v>282</v>
      </c>
      <c r="AC388" s="848">
        <v>703.08</v>
      </c>
      <c r="AD388" s="848">
        <v>558.88</v>
      </c>
      <c r="AE388" s="849">
        <v>628.74</v>
      </c>
      <c r="AF388" s="850">
        <f t="shared" si="252"/>
        <v>8435.85</v>
      </c>
      <c r="AG388" s="851">
        <v>489.02</v>
      </c>
      <c r="AH388" s="852">
        <v>768.46</v>
      </c>
      <c r="AI388" s="852">
        <v>360.7</v>
      </c>
      <c r="AJ388" s="852">
        <v>216.42</v>
      </c>
      <c r="AK388" s="852">
        <v>432.84</v>
      </c>
      <c r="AL388" s="852">
        <v>431.4</v>
      </c>
      <c r="AM388" s="852">
        <v>501.62</v>
      </c>
      <c r="AN388" s="852">
        <v>358.3</v>
      </c>
      <c r="AO388" s="852">
        <v>214.98</v>
      </c>
      <c r="AP388" s="852">
        <v>214.98</v>
      </c>
      <c r="AQ388" s="852">
        <v>282.08</v>
      </c>
      <c r="AR388" s="853">
        <v>71.099999999999994</v>
      </c>
      <c r="AS388" s="854">
        <f t="shared" si="253"/>
        <v>4341.9000000000005</v>
      </c>
      <c r="AT388" s="864">
        <v>213.3</v>
      </c>
      <c r="AU388" s="856"/>
      <c r="AV388" s="857"/>
      <c r="AW388" s="857"/>
      <c r="AX388" s="857"/>
      <c r="AY388" s="856"/>
      <c r="AZ388" s="856"/>
      <c r="BA388" s="856"/>
      <c r="BB388" s="857">
        <v>0</v>
      </c>
      <c r="BC388" s="857">
        <v>0</v>
      </c>
      <c r="BD388" s="856">
        <v>0</v>
      </c>
      <c r="BE388" s="865">
        <v>0</v>
      </c>
      <c r="BF388" s="866">
        <f t="shared" si="254"/>
        <v>213.3</v>
      </c>
      <c r="BG388" s="864">
        <v>0</v>
      </c>
      <c r="BH388" s="857">
        <v>0</v>
      </c>
      <c r="BI388" s="859">
        <v>0</v>
      </c>
      <c r="BJ388" s="859">
        <v>0</v>
      </c>
      <c r="BK388" s="860">
        <v>0</v>
      </c>
      <c r="BL388" s="860"/>
      <c r="BM388" s="860"/>
      <c r="BN388" s="860"/>
      <c r="BO388" s="860"/>
      <c r="BP388" s="860"/>
      <c r="BQ388" s="860"/>
      <c r="BR388" s="861"/>
      <c r="BS388" s="854">
        <f t="shared" si="255"/>
        <v>0</v>
      </c>
      <c r="BT388" s="862"/>
      <c r="BU388" s="862"/>
      <c r="BV388" s="862"/>
      <c r="BW388" s="862"/>
      <c r="BX388" s="862"/>
      <c r="BY388" s="862"/>
      <c r="BZ388" s="862"/>
      <c r="CA388" s="862"/>
      <c r="CB388" s="862"/>
      <c r="CC388" s="862"/>
      <c r="CD388" s="862"/>
      <c r="CE388" s="862"/>
      <c r="CF388" s="862"/>
      <c r="CG388" s="862"/>
      <c r="CH388" s="863">
        <f t="shared" si="249"/>
        <v>12991.050000000001</v>
      </c>
      <c r="CI388" s="863">
        <f t="shared" si="250"/>
        <v>0</v>
      </c>
      <c r="CJ388" s="863">
        <f t="shared" si="251"/>
        <v>12991.050000000001</v>
      </c>
      <c r="CK388" s="710"/>
      <c r="CL388" s="710"/>
      <c r="CM388" s="710"/>
      <c r="CN388" s="512"/>
      <c r="CO388" s="512"/>
      <c r="CP388" s="512"/>
      <c r="CQ388" s="512"/>
      <c r="CR388" s="512"/>
      <c r="CS388" s="512"/>
      <c r="CT388" s="512"/>
      <c r="CU388" s="512"/>
      <c r="CV388" s="515"/>
    </row>
    <row r="389" spans="1:100">
      <c r="A389" s="844"/>
      <c r="B389" s="845" t="s">
        <v>926</v>
      </c>
      <c r="C389" s="846"/>
      <c r="D389" s="846"/>
      <c r="E389" s="846"/>
      <c r="F389" s="846"/>
      <c r="G389" s="846"/>
      <c r="H389" s="846"/>
      <c r="I389" s="846"/>
      <c r="J389" s="846"/>
      <c r="K389" s="846"/>
      <c r="L389" s="846"/>
      <c r="M389" s="846"/>
      <c r="N389" s="846"/>
      <c r="O389" s="846"/>
      <c r="P389" s="846"/>
      <c r="Q389" s="846"/>
      <c r="R389" s="846"/>
      <c r="S389" s="846"/>
      <c r="T389" s="847">
        <v>116.45</v>
      </c>
      <c r="U389" s="848"/>
      <c r="V389" s="848"/>
      <c r="W389" s="848"/>
      <c r="X389" s="848"/>
      <c r="Y389" s="848"/>
      <c r="Z389" s="848"/>
      <c r="AA389" s="848"/>
      <c r="AB389" s="848"/>
      <c r="AC389" s="848"/>
      <c r="AD389" s="848"/>
      <c r="AE389" s="849"/>
      <c r="AF389" s="850">
        <f t="shared" si="252"/>
        <v>116.45</v>
      </c>
      <c r="AG389" s="851"/>
      <c r="AH389" s="852"/>
      <c r="AI389" s="852"/>
      <c r="AJ389" s="852"/>
      <c r="AK389" s="852"/>
      <c r="AL389" s="852"/>
      <c r="AM389" s="852"/>
      <c r="AN389" s="852"/>
      <c r="AO389" s="852"/>
      <c r="AP389" s="852">
        <v>111.11</v>
      </c>
      <c r="AQ389" s="852"/>
      <c r="AR389" s="853"/>
      <c r="AS389" s="854">
        <f t="shared" si="253"/>
        <v>111.11</v>
      </c>
      <c r="AT389" s="864"/>
      <c r="AU389" s="856"/>
      <c r="AV389" s="857"/>
      <c r="AW389" s="857"/>
      <c r="AX389" s="857"/>
      <c r="AY389" s="856"/>
      <c r="AZ389" s="856"/>
      <c r="BA389" s="856"/>
      <c r="BB389" s="857">
        <v>0</v>
      </c>
      <c r="BC389" s="857">
        <v>0</v>
      </c>
      <c r="BD389" s="856">
        <v>0</v>
      </c>
      <c r="BE389" s="865">
        <v>0</v>
      </c>
      <c r="BF389" s="866">
        <f t="shared" si="254"/>
        <v>0</v>
      </c>
      <c r="BG389" s="864">
        <v>0</v>
      </c>
      <c r="BH389" s="857">
        <v>0</v>
      </c>
      <c r="BI389" s="859">
        <v>0</v>
      </c>
      <c r="BJ389" s="859">
        <v>0</v>
      </c>
      <c r="BK389" s="860">
        <v>0</v>
      </c>
      <c r="BL389" s="860"/>
      <c r="BM389" s="860"/>
      <c r="BN389" s="860"/>
      <c r="BO389" s="860"/>
      <c r="BP389" s="860"/>
      <c r="BQ389" s="860"/>
      <c r="BR389" s="861"/>
      <c r="BS389" s="854">
        <f t="shared" si="255"/>
        <v>0</v>
      </c>
      <c r="BT389" s="862"/>
      <c r="BU389" s="862"/>
      <c r="BV389" s="862"/>
      <c r="BW389" s="862"/>
      <c r="BX389" s="862"/>
      <c r="BY389" s="862"/>
      <c r="BZ389" s="862"/>
      <c r="CA389" s="862"/>
      <c r="CB389" s="862"/>
      <c r="CC389" s="862"/>
      <c r="CD389" s="862"/>
      <c r="CE389" s="862"/>
      <c r="CF389" s="862"/>
      <c r="CG389" s="862"/>
      <c r="CH389" s="863">
        <f t="shared" si="249"/>
        <v>227.56</v>
      </c>
      <c r="CI389" s="863">
        <f t="shared" si="250"/>
        <v>0</v>
      </c>
      <c r="CJ389" s="863">
        <f t="shared" si="251"/>
        <v>227.56</v>
      </c>
      <c r="CK389" s="710"/>
      <c r="CL389" s="710"/>
      <c r="CM389" s="710"/>
      <c r="CN389" s="512"/>
      <c r="CO389" s="512"/>
      <c r="CP389" s="512"/>
      <c r="CQ389" s="512"/>
      <c r="CR389" s="512"/>
      <c r="CS389" s="512"/>
      <c r="CT389" s="512"/>
      <c r="CU389" s="512"/>
      <c r="CV389" s="515"/>
    </row>
    <row r="390" spans="1:100">
      <c r="A390" s="844"/>
      <c r="B390" s="845" t="s">
        <v>927</v>
      </c>
      <c r="C390" s="846"/>
      <c r="D390" s="846"/>
      <c r="E390" s="846"/>
      <c r="F390" s="846"/>
      <c r="G390" s="846"/>
      <c r="H390" s="846"/>
      <c r="I390" s="846"/>
      <c r="J390" s="846"/>
      <c r="K390" s="846"/>
      <c r="L390" s="846"/>
      <c r="M390" s="846"/>
      <c r="N390" s="846"/>
      <c r="O390" s="846"/>
      <c r="P390" s="846"/>
      <c r="Q390" s="846"/>
      <c r="R390" s="846"/>
      <c r="S390" s="846"/>
      <c r="T390" s="847"/>
      <c r="U390" s="848"/>
      <c r="V390" s="848"/>
      <c r="W390" s="848"/>
      <c r="X390" s="848"/>
      <c r="Y390" s="848">
        <v>112.38</v>
      </c>
      <c r="Z390" s="848">
        <v>149.84</v>
      </c>
      <c r="AA390" s="848"/>
      <c r="AB390" s="848">
        <v>74.92</v>
      </c>
      <c r="AC390" s="848"/>
      <c r="AD390" s="848"/>
      <c r="AE390" s="849"/>
      <c r="AF390" s="850">
        <f t="shared" si="252"/>
        <v>337.14000000000004</v>
      </c>
      <c r="AG390" s="851">
        <v>115.89</v>
      </c>
      <c r="AH390" s="852"/>
      <c r="AI390" s="852">
        <v>40.15</v>
      </c>
      <c r="AJ390" s="852"/>
      <c r="AK390" s="852"/>
      <c r="AL390" s="852">
        <v>120.45</v>
      </c>
      <c r="AM390" s="852"/>
      <c r="AN390" s="852"/>
      <c r="AO390" s="852">
        <v>40.4</v>
      </c>
      <c r="AP390" s="852"/>
      <c r="AQ390" s="852"/>
      <c r="AR390" s="853"/>
      <c r="AS390" s="854">
        <f t="shared" si="253"/>
        <v>316.89</v>
      </c>
      <c r="AT390" s="864"/>
      <c r="AU390" s="856"/>
      <c r="AV390" s="857"/>
      <c r="AW390" s="857"/>
      <c r="AX390" s="857"/>
      <c r="AY390" s="856"/>
      <c r="AZ390" s="856"/>
      <c r="BA390" s="856"/>
      <c r="BB390" s="857">
        <v>0</v>
      </c>
      <c r="BC390" s="857">
        <v>0</v>
      </c>
      <c r="BD390" s="856">
        <v>0</v>
      </c>
      <c r="BE390" s="865">
        <v>0</v>
      </c>
      <c r="BF390" s="866">
        <f t="shared" si="254"/>
        <v>0</v>
      </c>
      <c r="BG390" s="864">
        <v>0</v>
      </c>
      <c r="BH390" s="857">
        <v>0</v>
      </c>
      <c r="BI390" s="859">
        <v>0</v>
      </c>
      <c r="BJ390" s="859">
        <v>0</v>
      </c>
      <c r="BK390" s="860">
        <v>0</v>
      </c>
      <c r="BL390" s="860"/>
      <c r="BM390" s="860"/>
      <c r="BN390" s="860"/>
      <c r="BO390" s="860"/>
      <c r="BP390" s="860"/>
      <c r="BQ390" s="860"/>
      <c r="BR390" s="861"/>
      <c r="BS390" s="854">
        <f t="shared" si="255"/>
        <v>0</v>
      </c>
      <c r="BT390" s="862"/>
      <c r="BU390" s="862"/>
      <c r="BV390" s="862"/>
      <c r="BW390" s="862"/>
      <c r="BX390" s="862"/>
      <c r="BY390" s="862"/>
      <c r="BZ390" s="862"/>
      <c r="CA390" s="862"/>
      <c r="CB390" s="862"/>
      <c r="CC390" s="862"/>
      <c r="CD390" s="862"/>
      <c r="CE390" s="862"/>
      <c r="CF390" s="862"/>
      <c r="CG390" s="862"/>
      <c r="CH390" s="863">
        <f t="shared" si="249"/>
        <v>654.03</v>
      </c>
      <c r="CI390" s="863">
        <f t="shared" si="250"/>
        <v>0</v>
      </c>
      <c r="CJ390" s="863">
        <f t="shared" si="251"/>
        <v>654.03</v>
      </c>
      <c r="CK390" s="710"/>
      <c r="CL390" s="710"/>
      <c r="CM390" s="710"/>
      <c r="CN390" s="512"/>
      <c r="CO390" s="512"/>
      <c r="CP390" s="512"/>
      <c r="CQ390" s="512"/>
      <c r="CR390" s="512"/>
      <c r="CS390" s="512"/>
      <c r="CT390" s="512"/>
      <c r="CU390" s="512"/>
      <c r="CV390" s="515"/>
    </row>
    <row r="391" spans="1:100">
      <c r="A391" s="844"/>
      <c r="B391" s="845" t="s">
        <v>928</v>
      </c>
      <c r="C391" s="846"/>
      <c r="D391" s="846"/>
      <c r="E391" s="846"/>
      <c r="F391" s="846"/>
      <c r="G391" s="846"/>
      <c r="H391" s="846"/>
      <c r="I391" s="846"/>
      <c r="J391" s="846"/>
      <c r="K391" s="846"/>
      <c r="L391" s="846"/>
      <c r="M391" s="846"/>
      <c r="N391" s="846"/>
      <c r="O391" s="846"/>
      <c r="P391" s="846"/>
      <c r="Q391" s="846"/>
      <c r="R391" s="846"/>
      <c r="S391" s="846"/>
      <c r="T391" s="847"/>
      <c r="U391" s="848">
        <v>23.29</v>
      </c>
      <c r="V391" s="848"/>
      <c r="W391" s="848"/>
      <c r="X391" s="848"/>
      <c r="Y391" s="848"/>
      <c r="Z391" s="848"/>
      <c r="AA391" s="848"/>
      <c r="AB391" s="848"/>
      <c r="AC391" s="848"/>
      <c r="AD391" s="848"/>
      <c r="AE391" s="849"/>
      <c r="AF391" s="850">
        <f t="shared" si="252"/>
        <v>23.29</v>
      </c>
      <c r="AG391" s="851"/>
      <c r="AH391" s="852"/>
      <c r="AI391" s="852"/>
      <c r="AJ391" s="852"/>
      <c r="AK391" s="852"/>
      <c r="AL391" s="852"/>
      <c r="AM391" s="852"/>
      <c r="AN391" s="852"/>
      <c r="AO391" s="852"/>
      <c r="AP391" s="852"/>
      <c r="AQ391" s="852"/>
      <c r="AR391" s="853"/>
      <c r="AS391" s="854">
        <f t="shared" si="253"/>
        <v>0</v>
      </c>
      <c r="AT391" s="864"/>
      <c r="AU391" s="856"/>
      <c r="AV391" s="857"/>
      <c r="AW391" s="857"/>
      <c r="AX391" s="857"/>
      <c r="AY391" s="856"/>
      <c r="AZ391" s="856"/>
      <c r="BA391" s="856"/>
      <c r="BB391" s="857">
        <v>0</v>
      </c>
      <c r="BC391" s="857">
        <v>0</v>
      </c>
      <c r="BD391" s="856">
        <v>0</v>
      </c>
      <c r="BE391" s="865">
        <v>0</v>
      </c>
      <c r="BF391" s="866">
        <f t="shared" si="254"/>
        <v>0</v>
      </c>
      <c r="BG391" s="864">
        <v>0</v>
      </c>
      <c r="BH391" s="857">
        <v>0</v>
      </c>
      <c r="BI391" s="859">
        <v>0</v>
      </c>
      <c r="BJ391" s="859">
        <v>0</v>
      </c>
      <c r="BK391" s="860">
        <v>0</v>
      </c>
      <c r="BL391" s="860"/>
      <c r="BM391" s="860"/>
      <c r="BN391" s="860"/>
      <c r="BO391" s="860"/>
      <c r="BP391" s="860"/>
      <c r="BQ391" s="860"/>
      <c r="BR391" s="861"/>
      <c r="BS391" s="854">
        <f t="shared" si="255"/>
        <v>0</v>
      </c>
      <c r="BT391" s="862"/>
      <c r="BU391" s="862"/>
      <c r="BV391" s="862"/>
      <c r="BW391" s="862"/>
      <c r="BX391" s="862"/>
      <c r="BY391" s="862"/>
      <c r="BZ391" s="862"/>
      <c r="CA391" s="862"/>
      <c r="CB391" s="862"/>
      <c r="CC391" s="862"/>
      <c r="CD391" s="862"/>
      <c r="CE391" s="862"/>
      <c r="CF391" s="862"/>
      <c r="CG391" s="862"/>
      <c r="CH391" s="863">
        <f t="shared" si="249"/>
        <v>23.29</v>
      </c>
      <c r="CI391" s="863">
        <f t="shared" si="250"/>
        <v>0</v>
      </c>
      <c r="CJ391" s="863">
        <f t="shared" si="251"/>
        <v>23.29</v>
      </c>
      <c r="CK391" s="710"/>
      <c r="CL391" s="710"/>
      <c r="CM391" s="710"/>
      <c r="CN391" s="512"/>
      <c r="CO391" s="512"/>
      <c r="CP391" s="512"/>
      <c r="CQ391" s="512"/>
      <c r="CR391" s="512"/>
      <c r="CS391" s="512"/>
      <c r="CT391" s="512"/>
      <c r="CU391" s="512"/>
      <c r="CV391" s="515"/>
    </row>
    <row r="392" spans="1:100">
      <c r="A392" s="844"/>
      <c r="B392" s="845" t="s">
        <v>929</v>
      </c>
      <c r="C392" s="846"/>
      <c r="D392" s="846"/>
      <c r="E392" s="846"/>
      <c r="F392" s="846"/>
      <c r="G392" s="846"/>
      <c r="H392" s="846"/>
      <c r="I392" s="846"/>
      <c r="J392" s="846"/>
      <c r="K392" s="846"/>
      <c r="L392" s="846"/>
      <c r="M392" s="846"/>
      <c r="N392" s="846"/>
      <c r="O392" s="846"/>
      <c r="P392" s="846"/>
      <c r="Q392" s="846"/>
      <c r="R392" s="846"/>
      <c r="S392" s="846"/>
      <c r="T392" s="847">
        <v>155.68</v>
      </c>
      <c r="U392" s="848">
        <v>155.68</v>
      </c>
      <c r="V392" s="848">
        <v>973</v>
      </c>
      <c r="W392" s="848">
        <v>622.72</v>
      </c>
      <c r="X392" s="848">
        <v>311.36</v>
      </c>
      <c r="Y392" s="848">
        <v>155.63999999999999</v>
      </c>
      <c r="Z392" s="848">
        <v>233.46</v>
      </c>
      <c r="AA392" s="848">
        <v>715.68</v>
      </c>
      <c r="AB392" s="848">
        <v>715.68</v>
      </c>
      <c r="AC392" s="848">
        <v>636.16</v>
      </c>
      <c r="AD392" s="848">
        <v>477.12</v>
      </c>
      <c r="AE392" s="849">
        <v>834.96</v>
      </c>
      <c r="AF392" s="850">
        <f t="shared" si="252"/>
        <v>5987.1399999999994</v>
      </c>
      <c r="AG392" s="851">
        <v>834.96</v>
      </c>
      <c r="AH392" s="852">
        <v>1073.52</v>
      </c>
      <c r="AI392" s="852">
        <v>932.3</v>
      </c>
      <c r="AJ392" s="852">
        <v>1241.4000000000001</v>
      </c>
      <c r="AK392" s="852">
        <v>620.70000000000005</v>
      </c>
      <c r="AL392" s="852">
        <v>455.18</v>
      </c>
      <c r="AM392" s="852">
        <v>951.74</v>
      </c>
      <c r="AN392" s="852">
        <v>993.12</v>
      </c>
      <c r="AO392" s="852">
        <v>331.04</v>
      </c>
      <c r="AP392" s="852"/>
      <c r="AQ392" s="852">
        <v>575.67999999999995</v>
      </c>
      <c r="AR392" s="853">
        <v>493.44</v>
      </c>
      <c r="AS392" s="854">
        <f t="shared" si="253"/>
        <v>8503.08</v>
      </c>
      <c r="AT392" s="864">
        <v>945.76</v>
      </c>
      <c r="AU392" s="856">
        <v>740.16</v>
      </c>
      <c r="AV392" s="857">
        <v>287.83999999999997</v>
      </c>
      <c r="AW392" s="857"/>
      <c r="AX392" s="857"/>
      <c r="AY392" s="856"/>
      <c r="AZ392" s="856">
        <v>469.7</v>
      </c>
      <c r="BA392" s="856">
        <v>256.2</v>
      </c>
      <c r="BB392" s="857">
        <v>170.8</v>
      </c>
      <c r="BC392" s="857">
        <v>0</v>
      </c>
      <c r="BD392" s="856">
        <v>89.36</v>
      </c>
      <c r="BE392" s="865">
        <v>446.8</v>
      </c>
      <c r="BF392" s="866">
        <f t="shared" si="254"/>
        <v>3406.6200000000003</v>
      </c>
      <c r="BG392" s="864">
        <v>0</v>
      </c>
      <c r="BH392" s="857">
        <v>89.36</v>
      </c>
      <c r="BI392" s="859">
        <v>230.3</v>
      </c>
      <c r="BJ392" s="859">
        <v>1750.28</v>
      </c>
      <c r="BK392" s="860">
        <v>414.54</v>
      </c>
      <c r="BL392" s="860"/>
      <c r="BM392" s="860"/>
      <c r="BN392" s="860"/>
      <c r="BO392" s="860"/>
      <c r="BP392" s="860"/>
      <c r="BQ392" s="860"/>
      <c r="BR392" s="861"/>
      <c r="BS392" s="854">
        <f t="shared" si="255"/>
        <v>2484.48</v>
      </c>
      <c r="BT392" s="862"/>
      <c r="BU392" s="862"/>
      <c r="BV392" s="862"/>
      <c r="BW392" s="862"/>
      <c r="BX392" s="862"/>
      <c r="BY392" s="862"/>
      <c r="BZ392" s="862"/>
      <c r="CA392" s="862"/>
      <c r="CB392" s="862"/>
      <c r="CC392" s="862"/>
      <c r="CD392" s="862"/>
      <c r="CE392" s="862"/>
      <c r="CF392" s="862"/>
      <c r="CG392" s="862"/>
      <c r="CH392" s="863">
        <f t="shared" si="249"/>
        <v>20381.32</v>
      </c>
      <c r="CI392" s="863">
        <f t="shared" si="250"/>
        <v>0</v>
      </c>
      <c r="CJ392" s="863">
        <f t="shared" si="251"/>
        <v>20381.32</v>
      </c>
      <c r="CK392" s="710"/>
      <c r="CL392" s="710"/>
      <c r="CM392" s="710"/>
      <c r="CN392" s="512"/>
      <c r="CO392" s="512"/>
      <c r="CP392" s="512"/>
      <c r="CQ392" s="512"/>
      <c r="CR392" s="512"/>
      <c r="CS392" s="512"/>
      <c r="CT392" s="512"/>
      <c r="CU392" s="512"/>
      <c r="CV392" s="515"/>
    </row>
    <row r="393" spans="1:100">
      <c r="A393" s="844"/>
      <c r="B393" s="845" t="s">
        <v>930</v>
      </c>
      <c r="C393" s="846"/>
      <c r="D393" s="846"/>
      <c r="E393" s="846"/>
      <c r="F393" s="846"/>
      <c r="G393" s="846"/>
      <c r="H393" s="846"/>
      <c r="I393" s="846"/>
      <c r="J393" s="846"/>
      <c r="K393" s="846"/>
      <c r="L393" s="846" t="s">
        <v>558</v>
      </c>
      <c r="M393" s="846"/>
      <c r="N393" s="846"/>
      <c r="O393" s="846"/>
      <c r="P393" s="846"/>
      <c r="Q393" s="846"/>
      <c r="R393" s="846"/>
      <c r="S393" s="846"/>
      <c r="T393" s="847"/>
      <c r="U393" s="848"/>
      <c r="V393" s="848"/>
      <c r="W393" s="848"/>
      <c r="X393" s="848"/>
      <c r="Y393" s="848"/>
      <c r="Z393" s="848"/>
      <c r="AA393" s="848"/>
      <c r="AB393" s="848"/>
      <c r="AC393" s="848"/>
      <c r="AD393" s="848"/>
      <c r="AE393" s="849"/>
      <c r="AF393" s="850">
        <f t="shared" si="252"/>
        <v>0</v>
      </c>
      <c r="AG393" s="851"/>
      <c r="AH393" s="852"/>
      <c r="AI393" s="852"/>
      <c r="AJ393" s="852"/>
      <c r="AK393" s="852"/>
      <c r="AL393" s="852"/>
      <c r="AM393" s="852"/>
      <c r="AN393" s="852"/>
      <c r="AO393" s="852"/>
      <c r="AP393" s="852"/>
      <c r="AQ393" s="852"/>
      <c r="AR393" s="853"/>
      <c r="AS393" s="854">
        <f t="shared" si="253"/>
        <v>0</v>
      </c>
      <c r="AT393" s="864"/>
      <c r="AU393" s="856"/>
      <c r="AV393" s="857"/>
      <c r="AW393" s="857"/>
      <c r="AX393" s="856"/>
      <c r="AY393" s="856"/>
      <c r="AZ393" s="856"/>
      <c r="BA393" s="856"/>
      <c r="BB393" s="857"/>
      <c r="BC393" s="856"/>
      <c r="BD393" s="856"/>
      <c r="BE393" s="865"/>
      <c r="BF393" s="866">
        <f t="shared" si="254"/>
        <v>0</v>
      </c>
      <c r="BG393" s="864"/>
      <c r="BH393" s="857"/>
      <c r="BI393" s="859">
        <v>0</v>
      </c>
      <c r="BJ393" s="859">
        <v>649.20000000000005</v>
      </c>
      <c r="BK393" s="860">
        <v>0</v>
      </c>
      <c r="BL393" s="860"/>
      <c r="BM393" s="860"/>
      <c r="BN393" s="860"/>
      <c r="BO393" s="860"/>
      <c r="BP393" s="860"/>
      <c r="BQ393" s="860"/>
      <c r="BR393" s="861"/>
      <c r="BS393" s="854">
        <f t="shared" si="255"/>
        <v>649.20000000000005</v>
      </c>
      <c r="BT393" s="862"/>
      <c r="BU393" s="862"/>
      <c r="BV393" s="862"/>
      <c r="BW393" s="862"/>
      <c r="BX393" s="862"/>
      <c r="BY393" s="862"/>
      <c r="BZ393" s="862"/>
      <c r="CA393" s="862"/>
      <c r="CB393" s="862"/>
      <c r="CC393" s="862"/>
      <c r="CD393" s="862"/>
      <c r="CE393" s="862"/>
      <c r="CF393" s="862"/>
      <c r="CG393" s="862"/>
      <c r="CH393" s="863">
        <f t="shared" si="249"/>
        <v>649.20000000000005</v>
      </c>
      <c r="CI393" s="863">
        <f t="shared" si="250"/>
        <v>0</v>
      </c>
      <c r="CJ393" s="863">
        <f t="shared" si="251"/>
        <v>649.20000000000005</v>
      </c>
      <c r="CK393" s="710"/>
      <c r="CL393" s="710"/>
      <c r="CM393" s="710"/>
      <c r="CN393" s="512"/>
      <c r="CO393" s="512"/>
      <c r="CP393" s="512"/>
      <c r="CQ393" s="512"/>
      <c r="CR393" s="512"/>
      <c r="CS393" s="512"/>
      <c r="CT393" s="512"/>
      <c r="CU393" s="512"/>
      <c r="CV393" s="515"/>
    </row>
    <row r="394" spans="1:100">
      <c r="A394" s="844"/>
      <c r="B394" s="845" t="s">
        <v>931</v>
      </c>
      <c r="C394" s="846"/>
      <c r="D394" s="846"/>
      <c r="E394" s="846"/>
      <c r="F394" s="846"/>
      <c r="G394" s="846"/>
      <c r="H394" s="846"/>
      <c r="I394" s="846"/>
      <c r="J394" s="846"/>
      <c r="K394" s="846"/>
      <c r="L394" s="846"/>
      <c r="M394" s="846"/>
      <c r="N394" s="846"/>
      <c r="O394" s="846"/>
      <c r="P394" s="846"/>
      <c r="Q394" s="846"/>
      <c r="R394" s="846"/>
      <c r="S394" s="846"/>
      <c r="T394" s="847"/>
      <c r="U394" s="848"/>
      <c r="V394" s="848"/>
      <c r="W394" s="848"/>
      <c r="X394" s="848"/>
      <c r="Y394" s="848"/>
      <c r="Z394" s="848"/>
      <c r="AA394" s="848"/>
      <c r="AB394" s="848"/>
      <c r="AC394" s="848"/>
      <c r="AD394" s="848"/>
      <c r="AE394" s="849"/>
      <c r="AF394" s="850">
        <f t="shared" si="252"/>
        <v>0</v>
      </c>
      <c r="AG394" s="851"/>
      <c r="AH394" s="852"/>
      <c r="AI394" s="852"/>
      <c r="AJ394" s="852"/>
      <c r="AK394" s="852"/>
      <c r="AL394" s="852"/>
      <c r="AM394" s="852"/>
      <c r="AN394" s="852"/>
      <c r="AO394" s="852"/>
      <c r="AP394" s="852"/>
      <c r="AQ394" s="852"/>
      <c r="AR394" s="853"/>
      <c r="AS394" s="854">
        <f t="shared" si="253"/>
        <v>0</v>
      </c>
      <c r="AT394" s="864"/>
      <c r="AU394" s="856"/>
      <c r="AV394" s="857"/>
      <c r="AW394" s="857">
        <v>351.9</v>
      </c>
      <c r="AX394" s="857">
        <v>207.97</v>
      </c>
      <c r="AY394" s="856"/>
      <c r="AZ394" s="856"/>
      <c r="BA394" s="856"/>
      <c r="BB394" s="857">
        <v>0</v>
      </c>
      <c r="BC394" s="857">
        <v>0</v>
      </c>
      <c r="BD394" s="856">
        <v>0</v>
      </c>
      <c r="BE394" s="865">
        <v>0</v>
      </c>
      <c r="BF394" s="866">
        <f t="shared" si="254"/>
        <v>559.87</v>
      </c>
      <c r="BG394" s="864">
        <v>0</v>
      </c>
      <c r="BH394" s="857">
        <v>0</v>
      </c>
      <c r="BI394" s="859">
        <v>23.78</v>
      </c>
      <c r="BJ394" s="859">
        <v>85.12</v>
      </c>
      <c r="BK394" s="860">
        <v>0</v>
      </c>
      <c r="BL394" s="860"/>
      <c r="BM394" s="860"/>
      <c r="BN394" s="860"/>
      <c r="BO394" s="860"/>
      <c r="BP394" s="860"/>
      <c r="BQ394" s="860"/>
      <c r="BR394" s="861"/>
      <c r="BS394" s="854">
        <f t="shared" si="255"/>
        <v>108.9</v>
      </c>
      <c r="BT394" s="862"/>
      <c r="BU394" s="862"/>
      <c r="BV394" s="862"/>
      <c r="BW394" s="862"/>
      <c r="BX394" s="862"/>
      <c r="BY394" s="862"/>
      <c r="BZ394" s="862"/>
      <c r="CA394" s="862"/>
      <c r="CB394" s="862"/>
      <c r="CC394" s="862"/>
      <c r="CD394" s="862"/>
      <c r="CE394" s="862"/>
      <c r="CF394" s="862"/>
      <c r="CG394" s="862"/>
      <c r="CH394" s="863">
        <f t="shared" si="249"/>
        <v>668.77</v>
      </c>
      <c r="CI394" s="863">
        <f t="shared" si="250"/>
        <v>0</v>
      </c>
      <c r="CJ394" s="863">
        <f t="shared" si="251"/>
        <v>668.77</v>
      </c>
      <c r="CK394" s="710"/>
      <c r="CL394" s="710"/>
      <c r="CM394" s="710"/>
      <c r="CN394" s="512"/>
      <c r="CO394" s="512"/>
      <c r="CP394" s="512"/>
      <c r="CQ394" s="512"/>
      <c r="CR394" s="512"/>
      <c r="CS394" s="512"/>
      <c r="CT394" s="512"/>
      <c r="CU394" s="512"/>
      <c r="CV394" s="515"/>
    </row>
    <row r="395" spans="1:100">
      <c r="A395" s="844"/>
      <c r="B395" s="845" t="s">
        <v>932</v>
      </c>
      <c r="C395" s="846"/>
      <c r="D395" s="846"/>
      <c r="E395" s="846"/>
      <c r="F395" s="846"/>
      <c r="G395" s="846"/>
      <c r="H395" s="846"/>
      <c r="I395" s="846"/>
      <c r="J395" s="846"/>
      <c r="K395" s="846"/>
      <c r="L395" s="846"/>
      <c r="M395" s="846"/>
      <c r="N395" s="846"/>
      <c r="O395" s="846"/>
      <c r="P395" s="846"/>
      <c r="Q395" s="846"/>
      <c r="R395" s="846"/>
      <c r="S395" s="846"/>
      <c r="T395" s="847">
        <v>4544.3999999999996</v>
      </c>
      <c r="U395" s="848">
        <v>2726.64</v>
      </c>
      <c r="V395" s="848">
        <v>3941.7</v>
      </c>
      <c r="W395" s="848">
        <v>2705.1</v>
      </c>
      <c r="X395" s="848">
        <v>2594</v>
      </c>
      <c r="Y395" s="848">
        <v>3137.32</v>
      </c>
      <c r="Z395" s="848">
        <v>1530.4</v>
      </c>
      <c r="AA395" s="848">
        <v>1829.64</v>
      </c>
      <c r="AB395" s="848">
        <v>685.26</v>
      </c>
      <c r="AC395" s="848">
        <v>1521.36</v>
      </c>
      <c r="AD395" s="848">
        <v>151.32</v>
      </c>
      <c r="AE395" s="849"/>
      <c r="AF395" s="850">
        <f t="shared" si="252"/>
        <v>25367.139999999996</v>
      </c>
      <c r="AG395" s="851"/>
      <c r="AH395" s="852">
        <v>529.62</v>
      </c>
      <c r="AI395" s="852">
        <v>620.88</v>
      </c>
      <c r="AJ395" s="852">
        <v>315.12</v>
      </c>
      <c r="AK395" s="852"/>
      <c r="AL395" s="852"/>
      <c r="AM395" s="852">
        <v>323.12</v>
      </c>
      <c r="AN395" s="852">
        <v>1126.04</v>
      </c>
      <c r="AO395" s="852">
        <v>1135.93</v>
      </c>
      <c r="AP395" s="852">
        <v>344.48</v>
      </c>
      <c r="AQ395" s="852">
        <v>380.2</v>
      </c>
      <c r="AR395" s="853">
        <v>152.08000000000001</v>
      </c>
      <c r="AS395" s="854">
        <f t="shared" si="253"/>
        <v>4927.47</v>
      </c>
      <c r="AT395" s="864">
        <v>684.36</v>
      </c>
      <c r="AU395" s="856">
        <v>608.32000000000005</v>
      </c>
      <c r="AV395" s="857">
        <v>575.17999999999995</v>
      </c>
      <c r="AW395" s="857">
        <v>1177.2</v>
      </c>
      <c r="AX395" s="857">
        <v>627.84</v>
      </c>
      <c r="AY395" s="856"/>
      <c r="AZ395" s="856">
        <v>627.84</v>
      </c>
      <c r="BA395" s="856">
        <v>156.96</v>
      </c>
      <c r="BB395" s="857">
        <v>39.24</v>
      </c>
      <c r="BC395" s="857">
        <v>0</v>
      </c>
      <c r="BD395" s="856">
        <v>0</v>
      </c>
      <c r="BE395" s="865">
        <v>0</v>
      </c>
      <c r="BF395" s="866">
        <f t="shared" si="254"/>
        <v>4496.9400000000005</v>
      </c>
      <c r="BG395" s="864">
        <v>0</v>
      </c>
      <c r="BH395" s="857">
        <v>0</v>
      </c>
      <c r="BI395" s="859">
        <v>0</v>
      </c>
      <c r="BJ395" s="859">
        <v>0</v>
      </c>
      <c r="BK395" s="860">
        <v>0</v>
      </c>
      <c r="BL395" s="860"/>
      <c r="BM395" s="860"/>
      <c r="BN395" s="860"/>
      <c r="BO395" s="860"/>
      <c r="BP395" s="860"/>
      <c r="BQ395" s="860"/>
      <c r="BR395" s="861"/>
      <c r="BS395" s="854">
        <f t="shared" si="255"/>
        <v>0</v>
      </c>
      <c r="BT395" s="862"/>
      <c r="BU395" s="862"/>
      <c r="BV395" s="862"/>
      <c r="BW395" s="862"/>
      <c r="BX395" s="862"/>
      <c r="BY395" s="862"/>
      <c r="BZ395" s="862"/>
      <c r="CA395" s="862"/>
      <c r="CB395" s="862"/>
      <c r="CC395" s="862"/>
      <c r="CD395" s="862"/>
      <c r="CE395" s="862"/>
      <c r="CF395" s="862"/>
      <c r="CG395" s="862"/>
      <c r="CH395" s="863">
        <f t="shared" si="249"/>
        <v>34791.549999999988</v>
      </c>
      <c r="CI395" s="863">
        <f t="shared" si="250"/>
        <v>0</v>
      </c>
      <c r="CJ395" s="863">
        <f t="shared" si="251"/>
        <v>34791.549999999988</v>
      </c>
      <c r="CK395" s="710"/>
      <c r="CL395" s="710"/>
      <c r="CM395" s="710"/>
      <c r="CN395" s="512"/>
      <c r="CO395" s="512"/>
      <c r="CP395" s="512"/>
      <c r="CQ395" s="512"/>
      <c r="CR395" s="512"/>
      <c r="CS395" s="512"/>
      <c r="CT395" s="512"/>
      <c r="CU395" s="512"/>
      <c r="CV395" s="515"/>
    </row>
    <row r="396" spans="1:100">
      <c r="A396" s="844"/>
      <c r="B396" s="845" t="s">
        <v>933</v>
      </c>
      <c r="C396" s="846"/>
      <c r="D396" s="846"/>
      <c r="E396" s="846"/>
      <c r="F396" s="846"/>
      <c r="G396" s="846"/>
      <c r="H396" s="846"/>
      <c r="I396" s="846"/>
      <c r="J396" s="846"/>
      <c r="K396" s="846"/>
      <c r="L396" s="846"/>
      <c r="M396" s="846"/>
      <c r="N396" s="846"/>
      <c r="O396" s="846"/>
      <c r="P396" s="846"/>
      <c r="Q396" s="846"/>
      <c r="R396" s="846"/>
      <c r="S396" s="846"/>
      <c r="T396" s="847"/>
      <c r="U396" s="848"/>
      <c r="V396" s="848"/>
      <c r="W396" s="848"/>
      <c r="X396" s="848"/>
      <c r="Y396" s="848"/>
      <c r="Z396" s="848"/>
      <c r="AA396" s="848"/>
      <c r="AB396" s="848"/>
      <c r="AC396" s="848"/>
      <c r="AD396" s="848"/>
      <c r="AE396" s="849"/>
      <c r="AF396" s="850"/>
      <c r="AG396" s="851"/>
      <c r="AH396" s="852"/>
      <c r="AI396" s="852"/>
      <c r="AJ396" s="852"/>
      <c r="AK396" s="852"/>
      <c r="AL396" s="852"/>
      <c r="AM396" s="852"/>
      <c r="AN396" s="852"/>
      <c r="AO396" s="852"/>
      <c r="AP396" s="852"/>
      <c r="AQ396" s="852"/>
      <c r="AR396" s="853"/>
      <c r="AS396" s="854"/>
      <c r="AT396" s="855"/>
      <c r="AU396" s="856"/>
      <c r="AV396" s="857"/>
      <c r="AW396" s="857"/>
      <c r="AX396" s="856"/>
      <c r="AY396" s="856"/>
      <c r="AZ396" s="856"/>
      <c r="BA396" s="856"/>
      <c r="BB396" s="857"/>
      <c r="BC396" s="856"/>
      <c r="BD396" s="856"/>
      <c r="BE396" s="858">
        <v>0</v>
      </c>
      <c r="BF396" s="854"/>
      <c r="BG396" s="855"/>
      <c r="BH396" s="856"/>
      <c r="BI396" s="859">
        <v>1312.21</v>
      </c>
      <c r="BJ396" s="859">
        <v>3145.64</v>
      </c>
      <c r="BK396" s="860">
        <v>1865.25</v>
      </c>
      <c r="BL396" s="860"/>
      <c r="BM396" s="860"/>
      <c r="BN396" s="860"/>
      <c r="BO396" s="860"/>
      <c r="BP396" s="860"/>
      <c r="BQ396" s="860"/>
      <c r="BR396" s="861"/>
      <c r="BS396" s="854"/>
      <c r="BT396" s="862"/>
      <c r="BU396" s="862"/>
      <c r="BV396" s="862"/>
      <c r="BW396" s="862"/>
      <c r="BX396" s="862"/>
      <c r="BY396" s="862"/>
      <c r="BZ396" s="862"/>
      <c r="CA396" s="862"/>
      <c r="CB396" s="862"/>
      <c r="CC396" s="862"/>
      <c r="CD396" s="862"/>
      <c r="CE396" s="862"/>
      <c r="CF396" s="862"/>
      <c r="CG396" s="862"/>
      <c r="CH396" s="863">
        <f t="shared" si="249"/>
        <v>6323.1</v>
      </c>
      <c r="CI396" s="863">
        <f t="shared" si="250"/>
        <v>0</v>
      </c>
      <c r="CJ396" s="863">
        <f t="shared" si="251"/>
        <v>6323.1</v>
      </c>
      <c r="CK396" s="710"/>
      <c r="CL396" s="710"/>
      <c r="CM396" s="710"/>
      <c r="CN396" s="512"/>
      <c r="CO396" s="512"/>
      <c r="CP396" s="512"/>
      <c r="CQ396" s="512"/>
      <c r="CR396" s="512"/>
      <c r="CS396" s="512"/>
      <c r="CT396" s="512"/>
      <c r="CU396" s="512"/>
      <c r="CV396" s="515"/>
    </row>
    <row r="397" spans="1:100">
      <c r="A397" s="844"/>
      <c r="B397" s="845" t="s">
        <v>934</v>
      </c>
      <c r="C397" s="846"/>
      <c r="D397" s="846"/>
      <c r="E397" s="846"/>
      <c r="F397" s="846"/>
      <c r="G397" s="846"/>
      <c r="H397" s="846"/>
      <c r="I397" s="846"/>
      <c r="J397" s="846"/>
      <c r="K397" s="846"/>
      <c r="L397" s="846"/>
      <c r="M397" s="846"/>
      <c r="N397" s="846"/>
      <c r="O397" s="846"/>
      <c r="P397" s="846"/>
      <c r="Q397" s="846"/>
      <c r="R397" s="846"/>
      <c r="S397" s="846"/>
      <c r="T397" s="847">
        <v>795.27</v>
      </c>
      <c r="U397" s="848">
        <v>605.91999999999996</v>
      </c>
      <c r="V397" s="848"/>
      <c r="W397" s="848"/>
      <c r="X397" s="848"/>
      <c r="Y397" s="848"/>
      <c r="Z397" s="848"/>
      <c r="AA397" s="848"/>
      <c r="AB397" s="848"/>
      <c r="AC397" s="848"/>
      <c r="AD397" s="848"/>
      <c r="AE397" s="849">
        <v>151.32</v>
      </c>
      <c r="AF397" s="850">
        <f t="shared" ref="AF397:AF437" si="256">SUM(T397:AE397)</f>
        <v>1552.51</v>
      </c>
      <c r="AG397" s="851"/>
      <c r="AH397" s="852"/>
      <c r="AI397" s="852"/>
      <c r="AJ397" s="852"/>
      <c r="AK397" s="852"/>
      <c r="AL397" s="852"/>
      <c r="AM397" s="852"/>
      <c r="AN397" s="852"/>
      <c r="AO397" s="852"/>
      <c r="AP397" s="852"/>
      <c r="AQ397" s="852"/>
      <c r="AR397" s="853"/>
      <c r="AS397" s="854">
        <f t="shared" ref="AS397:AS437" si="257">SUM(AG397:AR397)</f>
        <v>0</v>
      </c>
      <c r="AT397" s="864"/>
      <c r="AU397" s="856"/>
      <c r="AV397" s="857"/>
      <c r="AW397" s="857"/>
      <c r="AX397" s="857"/>
      <c r="AY397" s="856"/>
      <c r="AZ397" s="856"/>
      <c r="BA397" s="856"/>
      <c r="BB397" s="857">
        <v>0</v>
      </c>
      <c r="BC397" s="857">
        <v>0</v>
      </c>
      <c r="BD397" s="856">
        <v>0</v>
      </c>
      <c r="BE397" s="865">
        <v>0</v>
      </c>
      <c r="BF397" s="866">
        <f t="shared" ref="BF397:BF437" si="258">SUM(AT397:BE397)</f>
        <v>0</v>
      </c>
      <c r="BG397" s="864">
        <v>0</v>
      </c>
      <c r="BH397" s="857">
        <v>0</v>
      </c>
      <c r="BI397" s="859">
        <v>0</v>
      </c>
      <c r="BJ397" s="859">
        <v>0</v>
      </c>
      <c r="BK397" s="860">
        <v>0</v>
      </c>
      <c r="BL397" s="860"/>
      <c r="BM397" s="860"/>
      <c r="BN397" s="860"/>
      <c r="BO397" s="860"/>
      <c r="BP397" s="860"/>
      <c r="BQ397" s="860"/>
      <c r="BR397" s="861"/>
      <c r="BS397" s="854">
        <f t="shared" ref="BS397:BS437" si="259">SUM(BG397:BR397)</f>
        <v>0</v>
      </c>
      <c r="BT397" s="862"/>
      <c r="BU397" s="862"/>
      <c r="BV397" s="862"/>
      <c r="BW397" s="862"/>
      <c r="BX397" s="862"/>
      <c r="BY397" s="862"/>
      <c r="BZ397" s="862"/>
      <c r="CA397" s="862"/>
      <c r="CB397" s="862"/>
      <c r="CC397" s="862"/>
      <c r="CD397" s="862"/>
      <c r="CE397" s="862"/>
      <c r="CF397" s="862"/>
      <c r="CG397" s="862"/>
      <c r="CH397" s="863">
        <f t="shared" si="249"/>
        <v>1552.51</v>
      </c>
      <c r="CI397" s="863">
        <f t="shared" si="250"/>
        <v>0</v>
      </c>
      <c r="CJ397" s="863">
        <f t="shared" si="251"/>
        <v>1552.51</v>
      </c>
      <c r="CK397" s="710"/>
      <c r="CL397" s="710"/>
      <c r="CM397" s="710"/>
      <c r="CN397" s="512"/>
      <c r="CO397" s="512"/>
      <c r="CP397" s="512"/>
      <c r="CQ397" s="512"/>
      <c r="CR397" s="512"/>
      <c r="CS397" s="512"/>
      <c r="CT397" s="512"/>
      <c r="CU397" s="512"/>
      <c r="CV397" s="515"/>
    </row>
    <row r="398" spans="1:100">
      <c r="A398" s="844"/>
      <c r="B398" s="845" t="s">
        <v>935</v>
      </c>
      <c r="C398" s="846"/>
      <c r="D398" s="846"/>
      <c r="E398" s="846"/>
      <c r="F398" s="846"/>
      <c r="G398" s="846"/>
      <c r="H398" s="846"/>
      <c r="I398" s="846"/>
      <c r="J398" s="846"/>
      <c r="K398" s="846"/>
      <c r="L398" s="846"/>
      <c r="M398" s="846"/>
      <c r="N398" s="846"/>
      <c r="O398" s="846"/>
      <c r="P398" s="846"/>
      <c r="Q398" s="846"/>
      <c r="R398" s="846"/>
      <c r="S398" s="846"/>
      <c r="T398" s="847">
        <v>129.84</v>
      </c>
      <c r="U398" s="848">
        <v>32.46</v>
      </c>
      <c r="V398" s="848"/>
      <c r="W398" s="848"/>
      <c r="X398" s="848"/>
      <c r="Y398" s="848"/>
      <c r="Z398" s="848"/>
      <c r="AA398" s="848"/>
      <c r="AB398" s="848"/>
      <c r="AC398" s="848"/>
      <c r="AD398" s="848"/>
      <c r="AE398" s="849"/>
      <c r="AF398" s="850">
        <f t="shared" si="256"/>
        <v>162.30000000000001</v>
      </c>
      <c r="AG398" s="851"/>
      <c r="AH398" s="852"/>
      <c r="AI398" s="852"/>
      <c r="AJ398" s="852"/>
      <c r="AK398" s="852"/>
      <c r="AL398" s="852"/>
      <c r="AM398" s="852"/>
      <c r="AN398" s="852"/>
      <c r="AO398" s="852"/>
      <c r="AP398" s="852"/>
      <c r="AQ398" s="852"/>
      <c r="AR398" s="853"/>
      <c r="AS398" s="854">
        <f t="shared" si="257"/>
        <v>0</v>
      </c>
      <c r="AT398" s="864">
        <v>155.05000000000001</v>
      </c>
      <c r="AU398" s="856"/>
      <c r="AV398" s="857">
        <v>132.9</v>
      </c>
      <c r="AW398" s="857">
        <v>571.34</v>
      </c>
      <c r="AX398" s="857">
        <v>548.28</v>
      </c>
      <c r="AY398" s="856"/>
      <c r="AZ398" s="856">
        <v>158.18</v>
      </c>
      <c r="BA398" s="856"/>
      <c r="BB398" s="857">
        <v>189.81</v>
      </c>
      <c r="BC398" s="857">
        <v>0</v>
      </c>
      <c r="BD398" s="856">
        <v>0</v>
      </c>
      <c r="BE398" s="865">
        <v>425.97</v>
      </c>
      <c r="BF398" s="866">
        <f t="shared" si="258"/>
        <v>2181.5300000000002</v>
      </c>
      <c r="BG398" s="864">
        <v>1434.87</v>
      </c>
      <c r="BH398" s="857">
        <v>310.60000000000002</v>
      </c>
      <c r="BI398" s="859">
        <v>190.24</v>
      </c>
      <c r="BJ398" s="859">
        <v>42.56</v>
      </c>
      <c r="BK398" s="860">
        <v>149.1</v>
      </c>
      <c r="BL398" s="860"/>
      <c r="BM398" s="860"/>
      <c r="BN398" s="860"/>
      <c r="BO398" s="860"/>
      <c r="BP398" s="860"/>
      <c r="BQ398" s="860"/>
      <c r="BR398" s="861"/>
      <c r="BS398" s="854">
        <f t="shared" si="259"/>
        <v>2127.37</v>
      </c>
      <c r="BT398" s="862"/>
      <c r="BU398" s="862"/>
      <c r="BV398" s="862"/>
      <c r="BW398" s="862"/>
      <c r="BX398" s="862"/>
      <c r="BY398" s="862"/>
      <c r="BZ398" s="862"/>
      <c r="CA398" s="862"/>
      <c r="CB398" s="862"/>
      <c r="CC398" s="862"/>
      <c r="CD398" s="862"/>
      <c r="CE398" s="862"/>
      <c r="CF398" s="862"/>
      <c r="CG398" s="862"/>
      <c r="CH398" s="863">
        <f t="shared" si="249"/>
        <v>4471.2000000000007</v>
      </c>
      <c r="CI398" s="863">
        <f t="shared" si="250"/>
        <v>0</v>
      </c>
      <c r="CJ398" s="863">
        <f t="shared" si="251"/>
        <v>4471.2000000000007</v>
      </c>
      <c r="CK398" s="710"/>
      <c r="CL398" s="710"/>
      <c r="CM398" s="710"/>
      <c r="CN398" s="512"/>
      <c r="CO398" s="512"/>
      <c r="CP398" s="512"/>
      <c r="CQ398" s="512"/>
      <c r="CR398" s="512"/>
      <c r="CS398" s="512"/>
      <c r="CT398" s="512"/>
      <c r="CU398" s="512"/>
      <c r="CV398" s="515"/>
    </row>
    <row r="399" spans="1:100">
      <c r="A399" s="844"/>
      <c r="B399" s="845" t="s">
        <v>936</v>
      </c>
      <c r="C399" s="846"/>
      <c r="D399" s="846"/>
      <c r="E399" s="846"/>
      <c r="F399" s="846"/>
      <c r="G399" s="846"/>
      <c r="H399" s="846"/>
      <c r="I399" s="846"/>
      <c r="J399" s="846"/>
      <c r="K399" s="846"/>
      <c r="L399" s="846"/>
      <c r="M399" s="846"/>
      <c r="N399" s="846"/>
      <c r="O399" s="846"/>
      <c r="P399" s="846"/>
      <c r="Q399" s="846"/>
      <c r="R399" s="846"/>
      <c r="S399" s="846"/>
      <c r="T399" s="847"/>
      <c r="U399" s="848"/>
      <c r="V399" s="848"/>
      <c r="W399" s="848"/>
      <c r="X399" s="848"/>
      <c r="Y399" s="848"/>
      <c r="Z399" s="848"/>
      <c r="AA399" s="848"/>
      <c r="AB399" s="848"/>
      <c r="AC399" s="848"/>
      <c r="AD399" s="848"/>
      <c r="AE399" s="849"/>
      <c r="AF399" s="850">
        <f t="shared" si="256"/>
        <v>0</v>
      </c>
      <c r="AG399" s="851"/>
      <c r="AH399" s="852"/>
      <c r="AI399" s="852"/>
      <c r="AJ399" s="852"/>
      <c r="AK399" s="852"/>
      <c r="AL399" s="852"/>
      <c r="AM399" s="852"/>
      <c r="AN399" s="852"/>
      <c r="AO399" s="852"/>
      <c r="AP399" s="852"/>
      <c r="AQ399" s="852"/>
      <c r="AR399" s="853"/>
      <c r="AS399" s="854">
        <f t="shared" si="257"/>
        <v>0</v>
      </c>
      <c r="AT399" s="864">
        <v>73.349999999999994</v>
      </c>
      <c r="AU399" s="856">
        <v>244.5</v>
      </c>
      <c r="AV399" s="857">
        <v>489</v>
      </c>
      <c r="AW399" s="857">
        <v>185.44</v>
      </c>
      <c r="AX399" s="857"/>
      <c r="AY399" s="856">
        <v>196.02</v>
      </c>
      <c r="AZ399" s="856">
        <v>92.02</v>
      </c>
      <c r="BA399" s="856"/>
      <c r="BB399" s="857">
        <v>48.56</v>
      </c>
      <c r="BC399" s="857">
        <v>0</v>
      </c>
      <c r="BD399" s="856">
        <v>0</v>
      </c>
      <c r="BE399" s="865">
        <v>0</v>
      </c>
      <c r="BF399" s="866">
        <f t="shared" si="258"/>
        <v>1328.8899999999999</v>
      </c>
      <c r="BG399" s="864">
        <v>0</v>
      </c>
      <c r="BH399" s="857">
        <v>0</v>
      </c>
      <c r="BI399" s="859">
        <v>208.96</v>
      </c>
      <c r="BJ399" s="859">
        <v>214.16</v>
      </c>
      <c r="BK399" s="860">
        <v>107.08</v>
      </c>
      <c r="BL399" s="860"/>
      <c r="BM399" s="860"/>
      <c r="BN399" s="860"/>
      <c r="BO399" s="860"/>
      <c r="BP399" s="860"/>
      <c r="BQ399" s="860"/>
      <c r="BR399" s="861"/>
      <c r="BS399" s="854">
        <f t="shared" si="259"/>
        <v>530.20000000000005</v>
      </c>
      <c r="BT399" s="862"/>
      <c r="BU399" s="862"/>
      <c r="BV399" s="862"/>
      <c r="BW399" s="862"/>
      <c r="BX399" s="862"/>
      <c r="BY399" s="862"/>
      <c r="BZ399" s="862"/>
      <c r="CA399" s="862"/>
      <c r="CB399" s="862"/>
      <c r="CC399" s="862"/>
      <c r="CD399" s="862"/>
      <c r="CE399" s="862"/>
      <c r="CF399" s="862"/>
      <c r="CG399" s="862"/>
      <c r="CH399" s="863">
        <f t="shared" si="249"/>
        <v>1859.09</v>
      </c>
      <c r="CI399" s="863">
        <f t="shared" si="250"/>
        <v>0</v>
      </c>
      <c r="CJ399" s="863">
        <f t="shared" si="251"/>
        <v>1859.09</v>
      </c>
      <c r="CK399" s="710"/>
      <c r="CL399" s="710"/>
      <c r="CM399" s="710"/>
      <c r="CN399" s="512"/>
      <c r="CO399" s="512"/>
      <c r="CP399" s="512"/>
      <c r="CQ399" s="512"/>
      <c r="CR399" s="512"/>
      <c r="CS399" s="512"/>
      <c r="CT399" s="512"/>
      <c r="CU399" s="512"/>
      <c r="CV399" s="515"/>
    </row>
    <row r="400" spans="1:100">
      <c r="A400" s="844"/>
      <c r="B400" s="845" t="s">
        <v>937</v>
      </c>
      <c r="C400" s="846"/>
      <c r="D400" s="846"/>
      <c r="E400" s="846"/>
      <c r="F400" s="846"/>
      <c r="G400" s="846"/>
      <c r="H400" s="846"/>
      <c r="I400" s="846"/>
      <c r="J400" s="846"/>
      <c r="K400" s="846"/>
      <c r="L400" s="846"/>
      <c r="M400" s="846"/>
      <c r="N400" s="846"/>
      <c r="O400" s="846"/>
      <c r="P400" s="846"/>
      <c r="Q400" s="846"/>
      <c r="R400" s="846"/>
      <c r="S400" s="846"/>
      <c r="T400" s="847"/>
      <c r="U400" s="848"/>
      <c r="V400" s="848"/>
      <c r="W400" s="848"/>
      <c r="X400" s="848"/>
      <c r="Y400" s="848"/>
      <c r="Z400" s="848"/>
      <c r="AA400" s="848"/>
      <c r="AB400" s="848"/>
      <c r="AC400" s="848"/>
      <c r="AD400" s="848"/>
      <c r="AE400" s="849"/>
      <c r="AF400" s="850">
        <f t="shared" si="256"/>
        <v>0</v>
      </c>
      <c r="AG400" s="851"/>
      <c r="AH400" s="852"/>
      <c r="AI400" s="852"/>
      <c r="AJ400" s="852"/>
      <c r="AK400" s="852"/>
      <c r="AL400" s="852"/>
      <c r="AM400" s="852">
        <v>88.51</v>
      </c>
      <c r="AN400" s="852"/>
      <c r="AO400" s="852"/>
      <c r="AP400" s="852"/>
      <c r="AQ400" s="852"/>
      <c r="AR400" s="853"/>
      <c r="AS400" s="854">
        <f t="shared" si="257"/>
        <v>88.51</v>
      </c>
      <c r="AT400" s="864"/>
      <c r="AU400" s="856"/>
      <c r="AV400" s="857"/>
      <c r="AW400" s="857"/>
      <c r="AX400" s="857"/>
      <c r="AY400" s="856"/>
      <c r="AZ400" s="856"/>
      <c r="BA400" s="856"/>
      <c r="BB400" s="857">
        <v>0</v>
      </c>
      <c r="BC400" s="857">
        <v>0</v>
      </c>
      <c r="BD400" s="856">
        <v>0</v>
      </c>
      <c r="BE400" s="865">
        <v>0</v>
      </c>
      <c r="BF400" s="866">
        <f t="shared" si="258"/>
        <v>0</v>
      </c>
      <c r="BG400" s="864">
        <v>0</v>
      </c>
      <c r="BH400" s="857">
        <v>0</v>
      </c>
      <c r="BI400" s="859">
        <v>0</v>
      </c>
      <c r="BJ400" s="859">
        <v>0</v>
      </c>
      <c r="BK400" s="860">
        <v>0</v>
      </c>
      <c r="BL400" s="860"/>
      <c r="BM400" s="860"/>
      <c r="BN400" s="860"/>
      <c r="BO400" s="860"/>
      <c r="BP400" s="860"/>
      <c r="BQ400" s="860"/>
      <c r="BR400" s="861"/>
      <c r="BS400" s="854">
        <f t="shared" si="259"/>
        <v>0</v>
      </c>
      <c r="BT400" s="862"/>
      <c r="BU400" s="862"/>
      <c r="BV400" s="862"/>
      <c r="BW400" s="862"/>
      <c r="BX400" s="862"/>
      <c r="BY400" s="862"/>
      <c r="BZ400" s="862"/>
      <c r="CA400" s="862"/>
      <c r="CB400" s="862"/>
      <c r="CC400" s="862"/>
      <c r="CD400" s="862"/>
      <c r="CE400" s="862"/>
      <c r="CF400" s="862"/>
      <c r="CG400" s="862"/>
      <c r="CH400" s="863">
        <f t="shared" si="249"/>
        <v>88.51</v>
      </c>
      <c r="CI400" s="863">
        <f t="shared" si="250"/>
        <v>0</v>
      </c>
      <c r="CJ400" s="863">
        <f t="shared" si="251"/>
        <v>88.51</v>
      </c>
      <c r="CK400" s="710"/>
      <c r="CL400" s="710"/>
      <c r="CM400" s="710"/>
      <c r="CN400" s="512"/>
      <c r="CO400" s="512"/>
      <c r="CP400" s="512"/>
      <c r="CQ400" s="512"/>
      <c r="CR400" s="512"/>
      <c r="CS400" s="512"/>
      <c r="CT400" s="512"/>
      <c r="CU400" s="512"/>
      <c r="CV400" s="515"/>
    </row>
    <row r="401" spans="1:100">
      <c r="A401" s="844"/>
      <c r="B401" s="845" t="s">
        <v>938</v>
      </c>
      <c r="C401" s="846"/>
      <c r="D401" s="846"/>
      <c r="E401" s="846"/>
      <c r="F401" s="846"/>
      <c r="G401" s="846"/>
      <c r="H401" s="846"/>
      <c r="I401" s="846"/>
      <c r="J401" s="846"/>
      <c r="K401" s="846"/>
      <c r="L401" s="846"/>
      <c r="M401" s="846"/>
      <c r="N401" s="846"/>
      <c r="O401" s="846"/>
      <c r="P401" s="846"/>
      <c r="Q401" s="846"/>
      <c r="R401" s="846"/>
      <c r="S401" s="846"/>
      <c r="T401" s="847"/>
      <c r="U401" s="848">
        <v>227.68</v>
      </c>
      <c r="V401" s="848"/>
      <c r="W401" s="848"/>
      <c r="X401" s="848"/>
      <c r="Y401" s="848"/>
      <c r="Z401" s="848"/>
      <c r="AA401" s="848"/>
      <c r="AB401" s="848"/>
      <c r="AC401" s="848"/>
      <c r="AD401" s="848"/>
      <c r="AE401" s="849"/>
      <c r="AF401" s="850">
        <f t="shared" si="256"/>
        <v>227.68</v>
      </c>
      <c r="AG401" s="851"/>
      <c r="AH401" s="852"/>
      <c r="AI401" s="852"/>
      <c r="AJ401" s="852"/>
      <c r="AK401" s="852"/>
      <c r="AL401" s="852"/>
      <c r="AM401" s="852"/>
      <c r="AN401" s="852"/>
      <c r="AO401" s="852"/>
      <c r="AP401" s="852"/>
      <c r="AQ401" s="852"/>
      <c r="AR401" s="853"/>
      <c r="AS401" s="854">
        <f t="shared" si="257"/>
        <v>0</v>
      </c>
      <c r="AT401" s="864"/>
      <c r="AU401" s="856"/>
      <c r="AV401" s="857"/>
      <c r="AW401" s="857"/>
      <c r="AX401" s="857"/>
      <c r="AY401" s="856"/>
      <c r="AZ401" s="856"/>
      <c r="BA401" s="856"/>
      <c r="BB401" s="857">
        <v>0</v>
      </c>
      <c r="BC401" s="857">
        <v>0</v>
      </c>
      <c r="BD401" s="856">
        <v>0</v>
      </c>
      <c r="BE401" s="865">
        <v>0</v>
      </c>
      <c r="BF401" s="866">
        <f t="shared" si="258"/>
        <v>0</v>
      </c>
      <c r="BG401" s="864">
        <v>0</v>
      </c>
      <c r="BH401" s="857">
        <v>0</v>
      </c>
      <c r="BI401" s="859">
        <v>0</v>
      </c>
      <c r="BJ401" s="859">
        <v>0</v>
      </c>
      <c r="BK401" s="860">
        <v>0</v>
      </c>
      <c r="BL401" s="860"/>
      <c r="BM401" s="860"/>
      <c r="BN401" s="860"/>
      <c r="BO401" s="860"/>
      <c r="BP401" s="860"/>
      <c r="BQ401" s="860"/>
      <c r="BR401" s="861"/>
      <c r="BS401" s="854">
        <f t="shared" si="259"/>
        <v>0</v>
      </c>
      <c r="BT401" s="862"/>
      <c r="BU401" s="862"/>
      <c r="BV401" s="862"/>
      <c r="BW401" s="862"/>
      <c r="BX401" s="862"/>
      <c r="BY401" s="862"/>
      <c r="BZ401" s="862"/>
      <c r="CA401" s="862"/>
      <c r="CB401" s="862"/>
      <c r="CC401" s="862"/>
      <c r="CD401" s="862"/>
      <c r="CE401" s="862"/>
      <c r="CF401" s="862"/>
      <c r="CG401" s="862"/>
      <c r="CH401" s="863">
        <f t="shared" si="249"/>
        <v>227.68</v>
      </c>
      <c r="CI401" s="863">
        <f t="shared" si="250"/>
        <v>0</v>
      </c>
      <c r="CJ401" s="863">
        <f t="shared" si="251"/>
        <v>227.68</v>
      </c>
      <c r="CK401" s="710"/>
      <c r="CL401" s="710"/>
      <c r="CM401" s="710"/>
      <c r="CN401" s="512"/>
      <c r="CO401" s="512"/>
      <c r="CP401" s="512"/>
      <c r="CQ401" s="512"/>
      <c r="CR401" s="512"/>
      <c r="CS401" s="512"/>
      <c r="CT401" s="512"/>
      <c r="CU401" s="512"/>
      <c r="CV401" s="515"/>
    </row>
    <row r="402" spans="1:100">
      <c r="A402" s="844"/>
      <c r="B402" s="845" t="s">
        <v>939</v>
      </c>
      <c r="C402" s="846"/>
      <c r="D402" s="846"/>
      <c r="E402" s="846"/>
      <c r="F402" s="846"/>
      <c r="G402" s="846"/>
      <c r="H402" s="846"/>
      <c r="I402" s="846"/>
      <c r="J402" s="846"/>
      <c r="K402" s="846"/>
      <c r="L402" s="846" t="s">
        <v>558</v>
      </c>
      <c r="M402" s="846"/>
      <c r="N402" s="846"/>
      <c r="O402" s="846"/>
      <c r="P402" s="846"/>
      <c r="Q402" s="846"/>
      <c r="R402" s="846"/>
      <c r="S402" s="846"/>
      <c r="T402" s="847"/>
      <c r="U402" s="848"/>
      <c r="V402" s="848"/>
      <c r="W402" s="848"/>
      <c r="X402" s="848"/>
      <c r="Y402" s="848"/>
      <c r="Z402" s="848"/>
      <c r="AA402" s="848"/>
      <c r="AB402" s="848"/>
      <c r="AC402" s="848"/>
      <c r="AD402" s="848"/>
      <c r="AE402" s="849"/>
      <c r="AF402" s="850">
        <f t="shared" si="256"/>
        <v>0</v>
      </c>
      <c r="AG402" s="851"/>
      <c r="AH402" s="852"/>
      <c r="AI402" s="852"/>
      <c r="AJ402" s="852"/>
      <c r="AK402" s="852"/>
      <c r="AL402" s="852"/>
      <c r="AM402" s="852"/>
      <c r="AN402" s="852"/>
      <c r="AO402" s="852"/>
      <c r="AP402" s="852"/>
      <c r="AQ402" s="852"/>
      <c r="AR402" s="853"/>
      <c r="AS402" s="854">
        <f t="shared" si="257"/>
        <v>0</v>
      </c>
      <c r="AT402" s="864"/>
      <c r="AU402" s="856"/>
      <c r="AV402" s="857"/>
      <c r="AW402" s="857"/>
      <c r="AX402" s="857">
        <v>42.01</v>
      </c>
      <c r="AY402" s="856"/>
      <c r="AZ402" s="856"/>
      <c r="BA402" s="856"/>
      <c r="BB402" s="857">
        <v>0</v>
      </c>
      <c r="BC402" s="857">
        <v>0</v>
      </c>
      <c r="BD402" s="856">
        <v>0</v>
      </c>
      <c r="BE402" s="865">
        <v>0</v>
      </c>
      <c r="BF402" s="866">
        <f t="shared" si="258"/>
        <v>42.01</v>
      </c>
      <c r="BG402" s="864">
        <v>0</v>
      </c>
      <c r="BH402" s="857">
        <v>0</v>
      </c>
      <c r="BI402" s="859">
        <v>0</v>
      </c>
      <c r="BJ402" s="859">
        <v>0</v>
      </c>
      <c r="BK402" s="860">
        <v>0</v>
      </c>
      <c r="BL402" s="860"/>
      <c r="BM402" s="860"/>
      <c r="BN402" s="860"/>
      <c r="BO402" s="860"/>
      <c r="BP402" s="860"/>
      <c r="BQ402" s="860"/>
      <c r="BR402" s="861"/>
      <c r="BS402" s="854">
        <f t="shared" si="259"/>
        <v>0</v>
      </c>
      <c r="BT402" s="862"/>
      <c r="BU402" s="862"/>
      <c r="BV402" s="862"/>
      <c r="BW402" s="862"/>
      <c r="BX402" s="862"/>
      <c r="BY402" s="862"/>
      <c r="BZ402" s="862"/>
      <c r="CA402" s="862"/>
      <c r="CB402" s="862"/>
      <c r="CC402" s="862"/>
      <c r="CD402" s="862"/>
      <c r="CE402" s="862"/>
      <c r="CF402" s="862"/>
      <c r="CG402" s="862"/>
      <c r="CH402" s="863">
        <f t="shared" si="249"/>
        <v>42.01</v>
      </c>
      <c r="CI402" s="863">
        <f t="shared" si="250"/>
        <v>0</v>
      </c>
      <c r="CJ402" s="863">
        <f t="shared" si="251"/>
        <v>42.01</v>
      </c>
      <c r="CK402" s="710"/>
      <c r="CL402" s="710"/>
      <c r="CM402" s="710"/>
      <c r="CN402" s="512"/>
      <c r="CO402" s="512"/>
      <c r="CP402" s="512"/>
      <c r="CQ402" s="512"/>
      <c r="CR402" s="512"/>
      <c r="CS402" s="512"/>
      <c r="CT402" s="512"/>
      <c r="CU402" s="512"/>
      <c r="CV402" s="515"/>
    </row>
    <row r="403" spans="1:100">
      <c r="A403" s="844"/>
      <c r="B403" s="845" t="s">
        <v>940</v>
      </c>
      <c r="C403" s="846"/>
      <c r="D403" s="846"/>
      <c r="E403" s="846"/>
      <c r="F403" s="846"/>
      <c r="G403" s="846"/>
      <c r="H403" s="846"/>
      <c r="I403" s="846"/>
      <c r="J403" s="846"/>
      <c r="K403" s="846"/>
      <c r="L403" s="846"/>
      <c r="M403" s="846"/>
      <c r="N403" s="846"/>
      <c r="O403" s="846"/>
      <c r="P403" s="846"/>
      <c r="Q403" s="846"/>
      <c r="R403" s="846"/>
      <c r="S403" s="846"/>
      <c r="T403" s="847"/>
      <c r="U403" s="848"/>
      <c r="V403" s="848"/>
      <c r="W403" s="848"/>
      <c r="X403" s="848"/>
      <c r="Y403" s="848"/>
      <c r="Z403" s="848"/>
      <c r="AA403" s="848"/>
      <c r="AB403" s="848"/>
      <c r="AC403" s="848"/>
      <c r="AD403" s="848">
        <v>356.96</v>
      </c>
      <c r="AE403" s="849">
        <v>446.2</v>
      </c>
      <c r="AF403" s="850">
        <f t="shared" si="256"/>
        <v>803.16</v>
      </c>
      <c r="AG403" s="851">
        <v>44.62</v>
      </c>
      <c r="AH403" s="852">
        <v>44.62</v>
      </c>
      <c r="AI403" s="852">
        <v>44.62</v>
      </c>
      <c r="AJ403" s="852">
        <v>185.96</v>
      </c>
      <c r="AK403" s="852">
        <v>232.45</v>
      </c>
      <c r="AL403" s="852">
        <v>46.49</v>
      </c>
      <c r="AM403" s="852">
        <v>139.47</v>
      </c>
      <c r="AN403" s="852"/>
      <c r="AO403" s="852"/>
      <c r="AP403" s="852"/>
      <c r="AQ403" s="852"/>
      <c r="AR403" s="853"/>
      <c r="AS403" s="854">
        <f t="shared" si="257"/>
        <v>738.23</v>
      </c>
      <c r="AT403" s="864"/>
      <c r="AU403" s="856"/>
      <c r="AV403" s="857"/>
      <c r="AW403" s="857"/>
      <c r="AX403" s="857"/>
      <c r="AY403" s="856"/>
      <c r="AZ403" s="856"/>
      <c r="BA403" s="856"/>
      <c r="BB403" s="857">
        <v>0</v>
      </c>
      <c r="BC403" s="857">
        <v>0</v>
      </c>
      <c r="BD403" s="856">
        <v>0</v>
      </c>
      <c r="BE403" s="865">
        <v>0</v>
      </c>
      <c r="BF403" s="866">
        <f t="shared" si="258"/>
        <v>0</v>
      </c>
      <c r="BG403" s="864">
        <v>0</v>
      </c>
      <c r="BH403" s="857">
        <v>0</v>
      </c>
      <c r="BI403" s="859">
        <v>0</v>
      </c>
      <c r="BJ403" s="859">
        <v>0</v>
      </c>
      <c r="BK403" s="860">
        <v>0</v>
      </c>
      <c r="BL403" s="860"/>
      <c r="BM403" s="860"/>
      <c r="BN403" s="860"/>
      <c r="BO403" s="860"/>
      <c r="BP403" s="860"/>
      <c r="BQ403" s="860"/>
      <c r="BR403" s="861"/>
      <c r="BS403" s="854">
        <f t="shared" si="259"/>
        <v>0</v>
      </c>
      <c r="BT403" s="862"/>
      <c r="BU403" s="862"/>
      <c r="BV403" s="862"/>
      <c r="BW403" s="862"/>
      <c r="BX403" s="862"/>
      <c r="BY403" s="862"/>
      <c r="BZ403" s="862"/>
      <c r="CA403" s="862"/>
      <c r="CB403" s="862"/>
      <c r="CC403" s="862"/>
      <c r="CD403" s="862"/>
      <c r="CE403" s="862"/>
      <c r="CF403" s="862"/>
      <c r="CG403" s="862"/>
      <c r="CH403" s="863">
        <f t="shared" si="249"/>
        <v>1541.39</v>
      </c>
      <c r="CI403" s="863">
        <f t="shared" si="250"/>
        <v>0</v>
      </c>
      <c r="CJ403" s="863">
        <f t="shared" si="251"/>
        <v>1541.39</v>
      </c>
      <c r="CK403" s="710"/>
      <c r="CL403" s="710"/>
      <c r="CM403" s="710"/>
      <c r="CN403" s="512"/>
      <c r="CO403" s="512"/>
      <c r="CP403" s="512"/>
      <c r="CQ403" s="512"/>
      <c r="CR403" s="512"/>
      <c r="CS403" s="512"/>
      <c r="CT403" s="512"/>
      <c r="CU403" s="512"/>
      <c r="CV403" s="515"/>
    </row>
    <row r="404" spans="1:100">
      <c r="A404" s="844"/>
      <c r="B404" s="845" t="s">
        <v>941</v>
      </c>
      <c r="C404" s="846"/>
      <c r="D404" s="846"/>
      <c r="E404" s="846"/>
      <c r="F404" s="846"/>
      <c r="G404" s="846"/>
      <c r="H404" s="846"/>
      <c r="I404" s="846"/>
      <c r="J404" s="846"/>
      <c r="K404" s="846"/>
      <c r="L404" s="846"/>
      <c r="M404" s="846"/>
      <c r="N404" s="846"/>
      <c r="O404" s="846"/>
      <c r="P404" s="846"/>
      <c r="Q404" s="846"/>
      <c r="R404" s="846"/>
      <c r="S404" s="846"/>
      <c r="T404" s="847">
        <v>1141.8499999999999</v>
      </c>
      <c r="U404" s="848">
        <v>267.36</v>
      </c>
      <c r="V404" s="848"/>
      <c r="W404" s="848"/>
      <c r="X404" s="848"/>
      <c r="Y404" s="848"/>
      <c r="Z404" s="848"/>
      <c r="AA404" s="848"/>
      <c r="AB404" s="848"/>
      <c r="AC404" s="848"/>
      <c r="AD404" s="848"/>
      <c r="AE404" s="849"/>
      <c r="AF404" s="850">
        <f t="shared" si="256"/>
        <v>1409.21</v>
      </c>
      <c r="AG404" s="851"/>
      <c r="AH404" s="852"/>
      <c r="AI404" s="852"/>
      <c r="AJ404" s="852"/>
      <c r="AK404" s="852"/>
      <c r="AL404" s="852"/>
      <c r="AM404" s="852"/>
      <c r="AN404" s="852"/>
      <c r="AO404" s="852"/>
      <c r="AP404" s="852"/>
      <c r="AQ404" s="852"/>
      <c r="AR404" s="853"/>
      <c r="AS404" s="854">
        <f t="shared" si="257"/>
        <v>0</v>
      </c>
      <c r="AT404" s="864"/>
      <c r="AU404" s="856"/>
      <c r="AV404" s="857"/>
      <c r="AW404" s="857"/>
      <c r="AX404" s="857"/>
      <c r="AY404" s="856"/>
      <c r="AZ404" s="856"/>
      <c r="BA404" s="856"/>
      <c r="BB404" s="857">
        <v>0</v>
      </c>
      <c r="BC404" s="857">
        <v>0</v>
      </c>
      <c r="BD404" s="856">
        <v>0</v>
      </c>
      <c r="BE404" s="865">
        <v>0</v>
      </c>
      <c r="BF404" s="866">
        <f t="shared" si="258"/>
        <v>0</v>
      </c>
      <c r="BG404" s="864">
        <v>0</v>
      </c>
      <c r="BH404" s="857">
        <v>0</v>
      </c>
      <c r="BI404" s="859">
        <v>0</v>
      </c>
      <c r="BJ404" s="859">
        <v>0</v>
      </c>
      <c r="BK404" s="860">
        <v>0</v>
      </c>
      <c r="BL404" s="860"/>
      <c r="BM404" s="860"/>
      <c r="BN404" s="860"/>
      <c r="BO404" s="860"/>
      <c r="BP404" s="860"/>
      <c r="BQ404" s="860"/>
      <c r="BR404" s="861"/>
      <c r="BS404" s="854">
        <f t="shared" si="259"/>
        <v>0</v>
      </c>
      <c r="BT404" s="862"/>
      <c r="BU404" s="862"/>
      <c r="BV404" s="862"/>
      <c r="BW404" s="862"/>
      <c r="BX404" s="862"/>
      <c r="BY404" s="862"/>
      <c r="BZ404" s="862"/>
      <c r="CA404" s="862"/>
      <c r="CB404" s="862"/>
      <c r="CC404" s="862"/>
      <c r="CD404" s="862"/>
      <c r="CE404" s="862"/>
      <c r="CF404" s="862"/>
      <c r="CG404" s="862"/>
      <c r="CH404" s="863">
        <f t="shared" si="249"/>
        <v>1409.21</v>
      </c>
      <c r="CI404" s="863">
        <f t="shared" si="250"/>
        <v>0</v>
      </c>
      <c r="CJ404" s="863">
        <f t="shared" si="251"/>
        <v>1409.21</v>
      </c>
      <c r="CK404" s="710"/>
      <c r="CL404" s="710"/>
      <c r="CM404" s="710"/>
      <c r="CN404" s="512"/>
      <c r="CO404" s="512"/>
      <c r="CP404" s="512"/>
      <c r="CQ404" s="512"/>
      <c r="CR404" s="512"/>
      <c r="CS404" s="512"/>
      <c r="CT404" s="512"/>
      <c r="CU404" s="512"/>
      <c r="CV404" s="515"/>
    </row>
    <row r="405" spans="1:100">
      <c r="A405" s="844"/>
      <c r="B405" s="845" t="s">
        <v>942</v>
      </c>
      <c r="C405" s="846"/>
      <c r="D405" s="846"/>
      <c r="E405" s="846"/>
      <c r="F405" s="846"/>
      <c r="G405" s="846"/>
      <c r="H405" s="846"/>
      <c r="I405" s="846"/>
      <c r="J405" s="846"/>
      <c r="K405" s="846"/>
      <c r="L405" s="846"/>
      <c r="M405" s="846"/>
      <c r="N405" s="846"/>
      <c r="O405" s="846"/>
      <c r="P405" s="846"/>
      <c r="Q405" s="846"/>
      <c r="R405" s="846"/>
      <c r="S405" s="846"/>
      <c r="T405" s="847"/>
      <c r="U405" s="848"/>
      <c r="V405" s="848"/>
      <c r="W405" s="848"/>
      <c r="X405" s="848"/>
      <c r="Y405" s="848"/>
      <c r="Z405" s="848"/>
      <c r="AA405" s="848"/>
      <c r="AB405" s="848"/>
      <c r="AC405" s="848">
        <v>154.18</v>
      </c>
      <c r="AD405" s="848"/>
      <c r="AE405" s="849"/>
      <c r="AF405" s="850">
        <f t="shared" si="256"/>
        <v>154.18</v>
      </c>
      <c r="AG405" s="851"/>
      <c r="AH405" s="852"/>
      <c r="AI405" s="852"/>
      <c r="AJ405" s="852"/>
      <c r="AK405" s="852"/>
      <c r="AL405" s="852"/>
      <c r="AM405" s="852"/>
      <c r="AN405" s="852"/>
      <c r="AO405" s="852"/>
      <c r="AP405" s="852"/>
      <c r="AQ405" s="852"/>
      <c r="AR405" s="853"/>
      <c r="AS405" s="854">
        <f t="shared" si="257"/>
        <v>0</v>
      </c>
      <c r="AT405" s="864"/>
      <c r="AU405" s="856"/>
      <c r="AV405" s="857"/>
      <c r="AW405" s="857"/>
      <c r="AX405" s="857"/>
      <c r="AY405" s="856"/>
      <c r="AZ405" s="856"/>
      <c r="BA405" s="856"/>
      <c r="BB405" s="857">
        <v>0</v>
      </c>
      <c r="BC405" s="857">
        <v>0</v>
      </c>
      <c r="BD405" s="856">
        <v>0</v>
      </c>
      <c r="BE405" s="865">
        <v>0</v>
      </c>
      <c r="BF405" s="866">
        <f t="shared" si="258"/>
        <v>0</v>
      </c>
      <c r="BG405" s="864">
        <v>0</v>
      </c>
      <c r="BH405" s="857">
        <v>0</v>
      </c>
      <c r="BI405" s="859">
        <v>0</v>
      </c>
      <c r="BJ405" s="859">
        <v>0</v>
      </c>
      <c r="BK405" s="860">
        <v>0</v>
      </c>
      <c r="BL405" s="860"/>
      <c r="BM405" s="860"/>
      <c r="BN405" s="860"/>
      <c r="BO405" s="860"/>
      <c r="BP405" s="860"/>
      <c r="BQ405" s="860"/>
      <c r="BR405" s="861"/>
      <c r="BS405" s="854">
        <f t="shared" si="259"/>
        <v>0</v>
      </c>
      <c r="BT405" s="862"/>
      <c r="BU405" s="862"/>
      <c r="BV405" s="862"/>
      <c r="BW405" s="862"/>
      <c r="BX405" s="862"/>
      <c r="BY405" s="862"/>
      <c r="BZ405" s="862"/>
      <c r="CA405" s="862"/>
      <c r="CB405" s="862"/>
      <c r="CC405" s="862"/>
      <c r="CD405" s="862"/>
      <c r="CE405" s="862"/>
      <c r="CF405" s="862"/>
      <c r="CG405" s="862"/>
      <c r="CH405" s="863">
        <f t="shared" si="249"/>
        <v>154.18</v>
      </c>
      <c r="CI405" s="863">
        <f t="shared" si="250"/>
        <v>0</v>
      </c>
      <c r="CJ405" s="863">
        <f t="shared" si="251"/>
        <v>154.18</v>
      </c>
      <c r="CK405" s="710"/>
      <c r="CL405" s="710"/>
      <c r="CM405" s="710"/>
      <c r="CN405" s="512"/>
      <c r="CO405" s="512"/>
      <c r="CP405" s="512"/>
      <c r="CQ405" s="512"/>
      <c r="CR405" s="512"/>
      <c r="CS405" s="512"/>
      <c r="CT405" s="512"/>
      <c r="CU405" s="512"/>
      <c r="CV405" s="515"/>
    </row>
    <row r="406" spans="1:100">
      <c r="A406" s="844"/>
      <c r="B406" s="845" t="s">
        <v>943</v>
      </c>
      <c r="C406" s="846"/>
      <c r="D406" s="846"/>
      <c r="E406" s="846"/>
      <c r="F406" s="846"/>
      <c r="G406" s="846"/>
      <c r="H406" s="846"/>
      <c r="I406" s="846"/>
      <c r="J406" s="846"/>
      <c r="K406" s="846"/>
      <c r="L406" s="846"/>
      <c r="M406" s="846"/>
      <c r="N406" s="846"/>
      <c r="O406" s="846"/>
      <c r="P406" s="846"/>
      <c r="Q406" s="846"/>
      <c r="R406" s="846"/>
      <c r="S406" s="846"/>
      <c r="T406" s="847"/>
      <c r="U406" s="848"/>
      <c r="V406" s="848"/>
      <c r="W406" s="848"/>
      <c r="X406" s="848"/>
      <c r="Y406" s="848"/>
      <c r="Z406" s="848"/>
      <c r="AA406" s="848"/>
      <c r="AB406" s="848"/>
      <c r="AC406" s="848"/>
      <c r="AD406" s="848"/>
      <c r="AE406" s="849"/>
      <c r="AF406" s="850">
        <f t="shared" si="256"/>
        <v>0</v>
      </c>
      <c r="AG406" s="851"/>
      <c r="AH406" s="852"/>
      <c r="AI406" s="852"/>
      <c r="AJ406" s="852"/>
      <c r="AK406" s="852">
        <v>381.6</v>
      </c>
      <c r="AL406" s="852"/>
      <c r="AM406" s="852"/>
      <c r="AN406" s="852"/>
      <c r="AO406" s="852"/>
      <c r="AP406" s="852"/>
      <c r="AQ406" s="852"/>
      <c r="AR406" s="853"/>
      <c r="AS406" s="854">
        <f t="shared" si="257"/>
        <v>381.6</v>
      </c>
      <c r="AT406" s="864"/>
      <c r="AU406" s="856"/>
      <c r="AV406" s="857"/>
      <c r="AW406" s="857"/>
      <c r="AX406" s="857"/>
      <c r="AY406" s="856"/>
      <c r="AZ406" s="856"/>
      <c r="BA406" s="856"/>
      <c r="BB406" s="857">
        <v>0</v>
      </c>
      <c r="BC406" s="857">
        <v>0</v>
      </c>
      <c r="BD406" s="856">
        <v>0</v>
      </c>
      <c r="BE406" s="865">
        <v>0</v>
      </c>
      <c r="BF406" s="866">
        <f t="shared" si="258"/>
        <v>0</v>
      </c>
      <c r="BG406" s="864">
        <v>0</v>
      </c>
      <c r="BH406" s="857">
        <v>0</v>
      </c>
      <c r="BI406" s="859">
        <v>0</v>
      </c>
      <c r="BJ406" s="859">
        <v>0</v>
      </c>
      <c r="BK406" s="860">
        <v>0</v>
      </c>
      <c r="BL406" s="860"/>
      <c r="BM406" s="860"/>
      <c r="BN406" s="860"/>
      <c r="BO406" s="860"/>
      <c r="BP406" s="860"/>
      <c r="BQ406" s="860"/>
      <c r="BR406" s="861"/>
      <c r="BS406" s="854">
        <f t="shared" si="259"/>
        <v>0</v>
      </c>
      <c r="BT406" s="862"/>
      <c r="BU406" s="862"/>
      <c r="BV406" s="862"/>
      <c r="BW406" s="862"/>
      <c r="BX406" s="862"/>
      <c r="BY406" s="862"/>
      <c r="BZ406" s="862"/>
      <c r="CA406" s="862"/>
      <c r="CB406" s="862"/>
      <c r="CC406" s="862"/>
      <c r="CD406" s="862"/>
      <c r="CE406" s="862"/>
      <c r="CF406" s="862"/>
      <c r="CG406" s="862"/>
      <c r="CH406" s="863">
        <f t="shared" si="249"/>
        <v>381.6</v>
      </c>
      <c r="CI406" s="863">
        <f t="shared" si="250"/>
        <v>0</v>
      </c>
      <c r="CJ406" s="863">
        <f t="shared" si="251"/>
        <v>381.6</v>
      </c>
      <c r="CK406" s="710"/>
      <c r="CL406" s="710"/>
      <c r="CM406" s="710"/>
      <c r="CN406" s="512"/>
      <c r="CO406" s="512"/>
      <c r="CP406" s="512"/>
      <c r="CQ406" s="512"/>
      <c r="CR406" s="512"/>
      <c r="CS406" s="512"/>
      <c r="CT406" s="512"/>
      <c r="CU406" s="512"/>
      <c r="CV406" s="515"/>
    </row>
    <row r="407" spans="1:100">
      <c r="A407" s="844"/>
      <c r="B407" s="845" t="s">
        <v>944</v>
      </c>
      <c r="C407" s="846"/>
      <c r="D407" s="846"/>
      <c r="E407" s="846"/>
      <c r="F407" s="846"/>
      <c r="G407" s="846"/>
      <c r="H407" s="846"/>
      <c r="I407" s="846"/>
      <c r="J407" s="846"/>
      <c r="K407" s="846"/>
      <c r="L407" s="846" t="s">
        <v>558</v>
      </c>
      <c r="M407" s="846"/>
      <c r="N407" s="846"/>
      <c r="O407" s="846"/>
      <c r="P407" s="846"/>
      <c r="Q407" s="846"/>
      <c r="R407" s="846"/>
      <c r="S407" s="846"/>
      <c r="T407" s="847"/>
      <c r="U407" s="848"/>
      <c r="V407" s="848"/>
      <c r="W407" s="848"/>
      <c r="X407" s="848"/>
      <c r="Y407" s="848"/>
      <c r="Z407" s="848"/>
      <c r="AA407" s="848"/>
      <c r="AB407" s="848"/>
      <c r="AC407" s="848"/>
      <c r="AD407" s="848"/>
      <c r="AE407" s="849"/>
      <c r="AF407" s="850">
        <f t="shared" si="256"/>
        <v>0</v>
      </c>
      <c r="AG407" s="851"/>
      <c r="AH407" s="852"/>
      <c r="AI407" s="852"/>
      <c r="AJ407" s="852"/>
      <c r="AK407" s="852"/>
      <c r="AL407" s="852"/>
      <c r="AM407" s="852"/>
      <c r="AN407" s="852"/>
      <c r="AO407" s="852"/>
      <c r="AP407" s="852"/>
      <c r="AQ407" s="852"/>
      <c r="AR407" s="853"/>
      <c r="AS407" s="854">
        <f t="shared" si="257"/>
        <v>0</v>
      </c>
      <c r="AT407" s="864"/>
      <c r="AU407" s="856"/>
      <c r="AV407" s="857"/>
      <c r="AW407" s="857"/>
      <c r="AX407" s="857"/>
      <c r="AY407" s="856"/>
      <c r="AZ407" s="856"/>
      <c r="BA407" s="856"/>
      <c r="BB407" s="857">
        <v>0</v>
      </c>
      <c r="BC407" s="857">
        <v>0</v>
      </c>
      <c r="BD407" s="856">
        <v>0</v>
      </c>
      <c r="BE407" s="865">
        <v>0</v>
      </c>
      <c r="BF407" s="866">
        <f t="shared" si="258"/>
        <v>0</v>
      </c>
      <c r="BG407" s="864">
        <v>0</v>
      </c>
      <c r="BH407" s="857">
        <v>170.16</v>
      </c>
      <c r="BI407" s="859">
        <v>0</v>
      </c>
      <c r="BJ407" s="859">
        <v>0</v>
      </c>
      <c r="BK407" s="860">
        <v>0</v>
      </c>
      <c r="BL407" s="860"/>
      <c r="BM407" s="860"/>
      <c r="BN407" s="860"/>
      <c r="BO407" s="860"/>
      <c r="BP407" s="860"/>
      <c r="BQ407" s="860"/>
      <c r="BR407" s="861"/>
      <c r="BS407" s="854">
        <f t="shared" si="259"/>
        <v>170.16</v>
      </c>
      <c r="BT407" s="862"/>
      <c r="BU407" s="862"/>
      <c r="BV407" s="862"/>
      <c r="BW407" s="862"/>
      <c r="BX407" s="862"/>
      <c r="BY407" s="862"/>
      <c r="BZ407" s="862"/>
      <c r="CA407" s="862"/>
      <c r="CB407" s="862"/>
      <c r="CC407" s="862"/>
      <c r="CD407" s="862"/>
      <c r="CE407" s="862"/>
      <c r="CF407" s="862"/>
      <c r="CG407" s="862"/>
      <c r="CH407" s="863">
        <f t="shared" si="249"/>
        <v>170.16</v>
      </c>
      <c r="CI407" s="863">
        <f t="shared" si="250"/>
        <v>0</v>
      </c>
      <c r="CJ407" s="863">
        <f t="shared" si="251"/>
        <v>170.16</v>
      </c>
      <c r="CK407" s="710"/>
      <c r="CL407" s="710"/>
      <c r="CM407" s="710"/>
      <c r="CN407" s="512"/>
      <c r="CO407" s="512"/>
      <c r="CP407" s="512"/>
      <c r="CQ407" s="512"/>
      <c r="CR407" s="512"/>
      <c r="CS407" s="512"/>
      <c r="CT407" s="512"/>
      <c r="CU407" s="512"/>
      <c r="CV407" s="515"/>
    </row>
    <row r="408" spans="1:100">
      <c r="A408" s="844"/>
      <c r="B408" s="845" t="s">
        <v>945</v>
      </c>
      <c r="C408" s="846"/>
      <c r="D408" s="846"/>
      <c r="E408" s="846"/>
      <c r="F408" s="846"/>
      <c r="G408" s="846"/>
      <c r="H408" s="846"/>
      <c r="I408" s="846"/>
      <c r="J408" s="846"/>
      <c r="K408" s="846"/>
      <c r="L408" s="846"/>
      <c r="M408" s="846"/>
      <c r="N408" s="846"/>
      <c r="O408" s="846"/>
      <c r="P408" s="846"/>
      <c r="Q408" s="846"/>
      <c r="R408" s="846"/>
      <c r="S408" s="846"/>
      <c r="T408" s="847">
        <v>139.74</v>
      </c>
      <c r="U408" s="848"/>
      <c r="V408" s="848"/>
      <c r="W408" s="848"/>
      <c r="X408" s="848"/>
      <c r="Y408" s="848"/>
      <c r="Z408" s="848"/>
      <c r="AA408" s="848"/>
      <c r="AB408" s="848">
        <v>145.19999999999999</v>
      </c>
      <c r="AC408" s="848"/>
      <c r="AD408" s="848"/>
      <c r="AE408" s="849"/>
      <c r="AF408" s="850">
        <f t="shared" si="256"/>
        <v>284.94</v>
      </c>
      <c r="AG408" s="851"/>
      <c r="AH408" s="852"/>
      <c r="AI408" s="852"/>
      <c r="AJ408" s="852"/>
      <c r="AK408" s="852"/>
      <c r="AL408" s="852"/>
      <c r="AM408" s="852"/>
      <c r="AN408" s="852">
        <v>246.9</v>
      </c>
      <c r="AO408" s="852"/>
      <c r="AP408" s="852"/>
      <c r="AQ408" s="852"/>
      <c r="AR408" s="853"/>
      <c r="AS408" s="854">
        <f t="shared" si="257"/>
        <v>246.9</v>
      </c>
      <c r="AT408" s="864"/>
      <c r="AU408" s="856">
        <v>18.34</v>
      </c>
      <c r="AV408" s="857">
        <v>193.07</v>
      </c>
      <c r="AW408" s="857">
        <v>46.36</v>
      </c>
      <c r="AX408" s="857">
        <v>170.61</v>
      </c>
      <c r="AY408" s="856">
        <v>54.45</v>
      </c>
      <c r="AZ408" s="856"/>
      <c r="BA408" s="856">
        <v>194.24</v>
      </c>
      <c r="BB408" s="857">
        <v>72.84</v>
      </c>
      <c r="BC408" s="857">
        <v>0</v>
      </c>
      <c r="BD408" s="856">
        <v>250.5</v>
      </c>
      <c r="BE408" s="865">
        <v>104.48</v>
      </c>
      <c r="BF408" s="866">
        <f t="shared" si="258"/>
        <v>1104.8899999999999</v>
      </c>
      <c r="BG408" s="864">
        <v>261.2</v>
      </c>
      <c r="BH408" s="857">
        <v>195.9</v>
      </c>
      <c r="BI408" s="859">
        <v>156.72</v>
      </c>
      <c r="BJ408" s="859">
        <v>267.70999999999998</v>
      </c>
      <c r="BK408" s="860">
        <v>267.7</v>
      </c>
      <c r="BL408" s="860"/>
      <c r="BM408" s="860"/>
      <c r="BN408" s="860"/>
      <c r="BO408" s="860"/>
      <c r="BP408" s="860"/>
      <c r="BQ408" s="860"/>
      <c r="BR408" s="861"/>
      <c r="BS408" s="854">
        <f t="shared" si="259"/>
        <v>1149.23</v>
      </c>
      <c r="BT408" s="862"/>
      <c r="BU408" s="862"/>
      <c r="BV408" s="862"/>
      <c r="BW408" s="862"/>
      <c r="BX408" s="862"/>
      <c r="BY408" s="862"/>
      <c r="BZ408" s="862"/>
      <c r="CA408" s="862"/>
      <c r="CB408" s="862"/>
      <c r="CC408" s="862"/>
      <c r="CD408" s="862"/>
      <c r="CE408" s="862"/>
      <c r="CF408" s="862"/>
      <c r="CG408" s="862"/>
      <c r="CH408" s="863">
        <f t="shared" si="249"/>
        <v>2785.9599999999996</v>
      </c>
      <c r="CI408" s="863">
        <f t="shared" si="250"/>
        <v>0</v>
      </c>
      <c r="CJ408" s="863">
        <f t="shared" si="251"/>
        <v>2785.9599999999996</v>
      </c>
      <c r="CK408" s="710"/>
      <c r="CL408" s="710"/>
      <c r="CM408" s="710"/>
      <c r="CN408" s="512"/>
      <c r="CO408" s="512"/>
      <c r="CP408" s="512"/>
      <c r="CQ408" s="512"/>
      <c r="CR408" s="512"/>
      <c r="CS408" s="512"/>
      <c r="CT408" s="512"/>
      <c r="CU408" s="512"/>
      <c r="CV408" s="515"/>
    </row>
    <row r="409" spans="1:100">
      <c r="A409" s="844"/>
      <c r="B409" s="845" t="s">
        <v>946</v>
      </c>
      <c r="C409" s="846"/>
      <c r="D409" s="846"/>
      <c r="E409" s="846"/>
      <c r="F409" s="846"/>
      <c r="G409" s="846"/>
      <c r="H409" s="846"/>
      <c r="I409" s="846"/>
      <c r="J409" s="846"/>
      <c r="K409" s="846"/>
      <c r="L409" s="846"/>
      <c r="M409" s="846"/>
      <c r="N409" s="846"/>
      <c r="O409" s="846"/>
      <c r="P409" s="846"/>
      <c r="Q409" s="846"/>
      <c r="R409" s="846"/>
      <c r="S409" s="846"/>
      <c r="T409" s="847"/>
      <c r="U409" s="848">
        <v>113.1</v>
      </c>
      <c r="V409" s="848"/>
      <c r="W409" s="848"/>
      <c r="X409" s="848"/>
      <c r="Y409" s="848"/>
      <c r="Z409" s="848"/>
      <c r="AA409" s="848"/>
      <c r="AB409" s="848"/>
      <c r="AC409" s="848"/>
      <c r="AD409" s="848">
        <v>116.47</v>
      </c>
      <c r="AE409" s="849"/>
      <c r="AF409" s="850">
        <f t="shared" si="256"/>
        <v>229.57</v>
      </c>
      <c r="AG409" s="851"/>
      <c r="AH409" s="852"/>
      <c r="AI409" s="852"/>
      <c r="AJ409" s="852"/>
      <c r="AK409" s="852"/>
      <c r="AL409" s="852"/>
      <c r="AM409" s="852"/>
      <c r="AN409" s="852"/>
      <c r="AO409" s="852"/>
      <c r="AP409" s="852"/>
      <c r="AQ409" s="852"/>
      <c r="AR409" s="853"/>
      <c r="AS409" s="854">
        <f t="shared" si="257"/>
        <v>0</v>
      </c>
      <c r="AT409" s="864">
        <v>2709.21</v>
      </c>
      <c r="AU409" s="856">
        <v>3361.81</v>
      </c>
      <c r="AV409" s="857">
        <v>2570.75</v>
      </c>
      <c r="AW409" s="857">
        <v>835.89</v>
      </c>
      <c r="AX409" s="857">
        <v>323.52</v>
      </c>
      <c r="AY409" s="856">
        <v>363.96</v>
      </c>
      <c r="AZ409" s="856">
        <v>485.28</v>
      </c>
      <c r="BA409" s="856">
        <v>1091.8800000000001</v>
      </c>
      <c r="BB409" s="857">
        <v>444.84</v>
      </c>
      <c r="BC409" s="857">
        <v>1132.32</v>
      </c>
      <c r="BD409" s="856">
        <v>5620.95</v>
      </c>
      <c r="BE409" s="865">
        <v>5335.79</v>
      </c>
      <c r="BF409" s="866">
        <f t="shared" si="258"/>
        <v>24276.2</v>
      </c>
      <c r="BG409" s="864">
        <v>8431.41</v>
      </c>
      <c r="BH409" s="857">
        <v>9083.27</v>
      </c>
      <c r="BI409" s="859">
        <v>11140.36</v>
      </c>
      <c r="BJ409" s="859">
        <v>3882.81</v>
      </c>
      <c r="BK409" s="860">
        <v>3514.5</v>
      </c>
      <c r="BL409" s="860"/>
      <c r="BM409" s="860"/>
      <c r="BN409" s="860"/>
      <c r="BO409" s="860"/>
      <c r="BP409" s="860"/>
      <c r="BQ409" s="860"/>
      <c r="BR409" s="861"/>
      <c r="BS409" s="854">
        <f t="shared" si="259"/>
        <v>36052.350000000006</v>
      </c>
      <c r="BT409" s="862"/>
      <c r="BU409" s="862"/>
      <c r="BV409" s="862"/>
      <c r="BW409" s="862"/>
      <c r="BX409" s="862"/>
      <c r="BY409" s="862"/>
      <c r="BZ409" s="862"/>
      <c r="CA409" s="862"/>
      <c r="CB409" s="862"/>
      <c r="CC409" s="862"/>
      <c r="CD409" s="862"/>
      <c r="CE409" s="862"/>
      <c r="CF409" s="862"/>
      <c r="CG409" s="862"/>
      <c r="CH409" s="863">
        <f t="shared" si="249"/>
        <v>60558.119999999995</v>
      </c>
      <c r="CI409" s="863">
        <f t="shared" si="250"/>
        <v>0</v>
      </c>
      <c r="CJ409" s="863">
        <f t="shared" si="251"/>
        <v>60558.119999999995</v>
      </c>
      <c r="CK409" s="710"/>
      <c r="CL409" s="710"/>
      <c r="CM409" s="710"/>
      <c r="CN409" s="512"/>
      <c r="CO409" s="512"/>
      <c r="CP409" s="512"/>
      <c r="CQ409" s="512"/>
      <c r="CR409" s="512"/>
      <c r="CS409" s="512"/>
      <c r="CT409" s="512"/>
      <c r="CU409" s="512"/>
      <c r="CV409" s="515"/>
    </row>
    <row r="410" spans="1:100">
      <c r="A410" s="844"/>
      <c r="B410" s="845" t="s">
        <v>947</v>
      </c>
      <c r="C410" s="846"/>
      <c r="D410" s="846"/>
      <c r="E410" s="846"/>
      <c r="F410" s="846"/>
      <c r="G410" s="846"/>
      <c r="H410" s="846"/>
      <c r="I410" s="846"/>
      <c r="J410" s="846"/>
      <c r="K410" s="846"/>
      <c r="L410" s="846" t="s">
        <v>558</v>
      </c>
      <c r="M410" s="846"/>
      <c r="N410" s="846"/>
      <c r="O410" s="846"/>
      <c r="P410" s="846"/>
      <c r="Q410" s="846"/>
      <c r="R410" s="846"/>
      <c r="S410" s="846"/>
      <c r="T410" s="847"/>
      <c r="U410" s="848"/>
      <c r="V410" s="848"/>
      <c r="W410" s="848"/>
      <c r="X410" s="848"/>
      <c r="Y410" s="848"/>
      <c r="Z410" s="848"/>
      <c r="AA410" s="848"/>
      <c r="AB410" s="848"/>
      <c r="AC410" s="848"/>
      <c r="AD410" s="848"/>
      <c r="AE410" s="849"/>
      <c r="AF410" s="850">
        <f t="shared" si="256"/>
        <v>0</v>
      </c>
      <c r="AG410" s="851"/>
      <c r="AH410" s="852"/>
      <c r="AI410" s="852"/>
      <c r="AJ410" s="852"/>
      <c r="AK410" s="852"/>
      <c r="AL410" s="852"/>
      <c r="AM410" s="852"/>
      <c r="AN410" s="852"/>
      <c r="AO410" s="852"/>
      <c r="AP410" s="852"/>
      <c r="AQ410" s="852"/>
      <c r="AR410" s="853"/>
      <c r="AS410" s="854">
        <f t="shared" si="257"/>
        <v>0</v>
      </c>
      <c r="AT410" s="864"/>
      <c r="AU410" s="856"/>
      <c r="AV410" s="857"/>
      <c r="AW410" s="857"/>
      <c r="AX410" s="856"/>
      <c r="AY410" s="856">
        <v>498.88</v>
      </c>
      <c r="AZ410" s="856">
        <v>757.02</v>
      </c>
      <c r="BA410" s="856"/>
      <c r="BB410" s="857">
        <v>0</v>
      </c>
      <c r="BC410" s="857">
        <v>0</v>
      </c>
      <c r="BD410" s="856">
        <v>0</v>
      </c>
      <c r="BE410" s="865">
        <v>0</v>
      </c>
      <c r="BF410" s="866">
        <f t="shared" si="258"/>
        <v>1255.9000000000001</v>
      </c>
      <c r="BG410" s="864">
        <v>0</v>
      </c>
      <c r="BH410" s="857">
        <v>0</v>
      </c>
      <c r="BI410" s="859">
        <v>0</v>
      </c>
      <c r="BJ410" s="859">
        <v>0</v>
      </c>
      <c r="BK410" s="860">
        <v>0</v>
      </c>
      <c r="BL410" s="860"/>
      <c r="BM410" s="860"/>
      <c r="BN410" s="860"/>
      <c r="BO410" s="860"/>
      <c r="BP410" s="860"/>
      <c r="BQ410" s="860"/>
      <c r="BR410" s="861"/>
      <c r="BS410" s="854">
        <f t="shared" si="259"/>
        <v>0</v>
      </c>
      <c r="BT410" s="862"/>
      <c r="BU410" s="862"/>
      <c r="BV410" s="862"/>
      <c r="BW410" s="862"/>
      <c r="BX410" s="862"/>
      <c r="BY410" s="862"/>
      <c r="BZ410" s="862"/>
      <c r="CA410" s="862"/>
      <c r="CB410" s="862"/>
      <c r="CC410" s="862"/>
      <c r="CD410" s="862"/>
      <c r="CE410" s="862"/>
      <c r="CF410" s="862"/>
      <c r="CG410" s="862"/>
      <c r="CH410" s="863">
        <f t="shared" si="249"/>
        <v>1255.9000000000001</v>
      </c>
      <c r="CI410" s="863">
        <f t="shared" si="250"/>
        <v>0</v>
      </c>
      <c r="CJ410" s="863">
        <f t="shared" si="251"/>
        <v>1255.9000000000001</v>
      </c>
      <c r="CK410" s="710"/>
      <c r="CL410" s="710"/>
      <c r="CM410" s="710"/>
      <c r="CN410" s="512"/>
      <c r="CO410" s="512"/>
      <c r="CP410" s="512"/>
      <c r="CQ410" s="512"/>
      <c r="CR410" s="512"/>
      <c r="CS410" s="512"/>
      <c r="CT410" s="512"/>
      <c r="CU410" s="512"/>
      <c r="CV410" s="515"/>
    </row>
    <row r="411" spans="1:100">
      <c r="A411" s="844"/>
      <c r="B411" s="845" t="s">
        <v>948</v>
      </c>
      <c r="C411" s="846"/>
      <c r="D411" s="846"/>
      <c r="E411" s="846"/>
      <c r="F411" s="846"/>
      <c r="G411" s="846"/>
      <c r="H411" s="846"/>
      <c r="I411" s="846"/>
      <c r="J411" s="846"/>
      <c r="K411" s="846"/>
      <c r="L411" s="846"/>
      <c r="M411" s="846"/>
      <c r="N411" s="846"/>
      <c r="O411" s="846"/>
      <c r="P411" s="846"/>
      <c r="Q411" s="846"/>
      <c r="R411" s="846"/>
      <c r="S411" s="846"/>
      <c r="T411" s="847"/>
      <c r="U411" s="848"/>
      <c r="V411" s="848"/>
      <c r="W411" s="848"/>
      <c r="X411" s="848"/>
      <c r="Y411" s="848"/>
      <c r="Z411" s="848"/>
      <c r="AA411" s="848"/>
      <c r="AB411" s="848"/>
      <c r="AC411" s="848"/>
      <c r="AD411" s="848"/>
      <c r="AE411" s="849"/>
      <c r="AF411" s="850">
        <f t="shared" si="256"/>
        <v>0</v>
      </c>
      <c r="AG411" s="851"/>
      <c r="AH411" s="852"/>
      <c r="AI411" s="852"/>
      <c r="AJ411" s="852"/>
      <c r="AK411" s="852"/>
      <c r="AL411" s="852"/>
      <c r="AM411" s="852"/>
      <c r="AN411" s="852"/>
      <c r="AO411" s="852"/>
      <c r="AP411" s="852"/>
      <c r="AQ411" s="852"/>
      <c r="AR411" s="853"/>
      <c r="AS411" s="854">
        <f t="shared" si="257"/>
        <v>0</v>
      </c>
      <c r="AT411" s="864"/>
      <c r="AU411" s="856"/>
      <c r="AV411" s="857"/>
      <c r="AW411" s="857"/>
      <c r="AX411" s="857">
        <v>323.52</v>
      </c>
      <c r="AY411" s="856">
        <v>121.32</v>
      </c>
      <c r="AZ411" s="856"/>
      <c r="BA411" s="856"/>
      <c r="BB411" s="857">
        <v>0</v>
      </c>
      <c r="BC411" s="857">
        <v>1294.08</v>
      </c>
      <c r="BD411" s="856">
        <v>0</v>
      </c>
      <c r="BE411" s="865">
        <v>0</v>
      </c>
      <c r="BF411" s="866">
        <f t="shared" si="258"/>
        <v>1738.9199999999998</v>
      </c>
      <c r="BG411" s="864">
        <v>0</v>
      </c>
      <c r="BH411" s="857">
        <v>651.75</v>
      </c>
      <c r="BI411" s="859">
        <v>0</v>
      </c>
      <c r="BJ411" s="859">
        <v>0</v>
      </c>
      <c r="BK411" s="860">
        <v>0</v>
      </c>
      <c r="BL411" s="860"/>
      <c r="BM411" s="860"/>
      <c r="BN411" s="860"/>
      <c r="BO411" s="860"/>
      <c r="BP411" s="860"/>
      <c r="BQ411" s="860"/>
      <c r="BR411" s="861"/>
      <c r="BS411" s="854">
        <f t="shared" si="259"/>
        <v>651.75</v>
      </c>
      <c r="BT411" s="862"/>
      <c r="BU411" s="862"/>
      <c r="BV411" s="862"/>
      <c r="BW411" s="862"/>
      <c r="BX411" s="862"/>
      <c r="BY411" s="862"/>
      <c r="BZ411" s="862"/>
      <c r="CA411" s="862"/>
      <c r="CB411" s="862"/>
      <c r="CC411" s="862"/>
      <c r="CD411" s="862"/>
      <c r="CE411" s="862"/>
      <c r="CF411" s="862"/>
      <c r="CG411" s="862"/>
      <c r="CH411" s="863">
        <f t="shared" si="249"/>
        <v>2390.67</v>
      </c>
      <c r="CI411" s="863">
        <f t="shared" si="250"/>
        <v>0</v>
      </c>
      <c r="CJ411" s="863">
        <f t="shared" si="251"/>
        <v>2390.67</v>
      </c>
      <c r="CK411" s="710"/>
      <c r="CL411" s="710"/>
      <c r="CM411" s="710"/>
      <c r="CN411" s="512"/>
      <c r="CO411" s="512"/>
      <c r="CP411" s="512"/>
      <c r="CQ411" s="512"/>
      <c r="CR411" s="512"/>
      <c r="CS411" s="512"/>
      <c r="CT411" s="512"/>
      <c r="CU411" s="512"/>
      <c r="CV411" s="515"/>
    </row>
    <row r="412" spans="1:100">
      <c r="A412" s="844"/>
      <c r="B412" s="845" t="s">
        <v>949</v>
      </c>
      <c r="C412" s="846"/>
      <c r="D412" s="846"/>
      <c r="E412" s="846"/>
      <c r="F412" s="846"/>
      <c r="G412" s="846"/>
      <c r="H412" s="846"/>
      <c r="I412" s="846"/>
      <c r="J412" s="846"/>
      <c r="K412" s="846"/>
      <c r="L412" s="846"/>
      <c r="M412" s="846"/>
      <c r="N412" s="846"/>
      <c r="O412" s="846"/>
      <c r="P412" s="846"/>
      <c r="Q412" s="846"/>
      <c r="R412" s="846"/>
      <c r="S412" s="846"/>
      <c r="T412" s="847">
        <v>418.75</v>
      </c>
      <c r="U412" s="848">
        <v>335</v>
      </c>
      <c r="V412" s="848">
        <v>586.25</v>
      </c>
      <c r="W412" s="848">
        <v>335</v>
      </c>
      <c r="X412" s="848">
        <v>837.5</v>
      </c>
      <c r="Y412" s="848">
        <v>418.75</v>
      </c>
      <c r="Z412" s="848">
        <v>418.75</v>
      </c>
      <c r="AA412" s="848">
        <v>335</v>
      </c>
      <c r="AB412" s="848">
        <v>335</v>
      </c>
      <c r="AC412" s="848">
        <v>586.25</v>
      </c>
      <c r="AD412" s="848">
        <v>418.75</v>
      </c>
      <c r="AE412" s="849">
        <v>251.25</v>
      </c>
      <c r="AF412" s="850">
        <f t="shared" si="256"/>
        <v>5276.25</v>
      </c>
      <c r="AG412" s="851">
        <v>418.75</v>
      </c>
      <c r="AH412" s="852">
        <v>586.25</v>
      </c>
      <c r="AI412" s="852"/>
      <c r="AJ412" s="852"/>
      <c r="AK412" s="852"/>
      <c r="AL412" s="852"/>
      <c r="AM412" s="852"/>
      <c r="AN412" s="852"/>
      <c r="AO412" s="852"/>
      <c r="AP412" s="852"/>
      <c r="AQ412" s="852"/>
      <c r="AR412" s="853"/>
      <c r="AS412" s="854">
        <f t="shared" si="257"/>
        <v>1005</v>
      </c>
      <c r="AT412" s="864"/>
      <c r="AU412" s="856"/>
      <c r="AV412" s="857"/>
      <c r="AW412" s="857"/>
      <c r="AX412" s="857"/>
      <c r="AY412" s="856"/>
      <c r="AZ412" s="856"/>
      <c r="BA412" s="856"/>
      <c r="BB412" s="857">
        <v>0</v>
      </c>
      <c r="BC412" s="857">
        <v>0</v>
      </c>
      <c r="BD412" s="856">
        <v>0</v>
      </c>
      <c r="BE412" s="865">
        <v>0</v>
      </c>
      <c r="BF412" s="866">
        <f t="shared" si="258"/>
        <v>0</v>
      </c>
      <c r="BG412" s="864">
        <v>0</v>
      </c>
      <c r="BH412" s="857">
        <v>0</v>
      </c>
      <c r="BI412" s="859">
        <v>0</v>
      </c>
      <c r="BJ412" s="859">
        <v>0</v>
      </c>
      <c r="BK412" s="860">
        <v>0</v>
      </c>
      <c r="BL412" s="860"/>
      <c r="BM412" s="860"/>
      <c r="BN412" s="860"/>
      <c r="BO412" s="860"/>
      <c r="BP412" s="860"/>
      <c r="BQ412" s="860"/>
      <c r="BR412" s="861"/>
      <c r="BS412" s="854">
        <f t="shared" si="259"/>
        <v>0</v>
      </c>
      <c r="BT412" s="862"/>
      <c r="BU412" s="862"/>
      <c r="BV412" s="862"/>
      <c r="BW412" s="862"/>
      <c r="BX412" s="862"/>
      <c r="BY412" s="862"/>
      <c r="BZ412" s="862"/>
      <c r="CA412" s="862"/>
      <c r="CB412" s="862"/>
      <c r="CC412" s="862"/>
      <c r="CD412" s="862"/>
      <c r="CE412" s="862"/>
      <c r="CF412" s="862"/>
      <c r="CG412" s="862"/>
      <c r="CH412" s="863">
        <f t="shared" si="249"/>
        <v>6281.25</v>
      </c>
      <c r="CI412" s="863">
        <f t="shared" si="250"/>
        <v>0</v>
      </c>
      <c r="CJ412" s="863">
        <f t="shared" si="251"/>
        <v>6281.25</v>
      </c>
      <c r="CK412" s="710"/>
      <c r="CL412" s="710"/>
      <c r="CM412" s="710"/>
      <c r="CN412" s="512"/>
      <c r="CO412" s="512"/>
      <c r="CP412" s="512"/>
      <c r="CQ412" s="512"/>
      <c r="CR412" s="512"/>
      <c r="CS412" s="512"/>
      <c r="CT412" s="512"/>
      <c r="CU412" s="512"/>
      <c r="CV412" s="515"/>
    </row>
    <row r="413" spans="1:100">
      <c r="A413" s="844"/>
      <c r="B413" s="845" t="s">
        <v>950</v>
      </c>
      <c r="C413" s="846"/>
      <c r="D413" s="846"/>
      <c r="E413" s="846"/>
      <c r="F413" s="846"/>
      <c r="G413" s="846"/>
      <c r="H413" s="846"/>
      <c r="I413" s="846"/>
      <c r="J413" s="846"/>
      <c r="K413" s="846"/>
      <c r="L413" s="846"/>
      <c r="M413" s="846"/>
      <c r="N413" s="846"/>
      <c r="O413" s="846"/>
      <c r="P413" s="846"/>
      <c r="Q413" s="846"/>
      <c r="R413" s="846"/>
      <c r="S413" s="846"/>
      <c r="T413" s="847">
        <v>150.80000000000001</v>
      </c>
      <c r="U413" s="848"/>
      <c r="V413" s="848"/>
      <c r="W413" s="848"/>
      <c r="X413" s="848"/>
      <c r="Y413" s="848"/>
      <c r="Z413" s="848"/>
      <c r="AA413" s="848"/>
      <c r="AB413" s="848"/>
      <c r="AC413" s="848"/>
      <c r="AD413" s="848">
        <v>892.95</v>
      </c>
      <c r="AE413" s="849">
        <v>417.32</v>
      </c>
      <c r="AF413" s="850">
        <f t="shared" si="256"/>
        <v>1461.07</v>
      </c>
      <c r="AG413" s="851"/>
      <c r="AH413" s="852"/>
      <c r="AI413" s="852"/>
      <c r="AJ413" s="852"/>
      <c r="AK413" s="852"/>
      <c r="AL413" s="852"/>
      <c r="AM413" s="852"/>
      <c r="AN413" s="852"/>
      <c r="AO413" s="852"/>
      <c r="AP413" s="852">
        <v>39.549999999999997</v>
      </c>
      <c r="AQ413" s="852">
        <v>2491.65</v>
      </c>
      <c r="AR413" s="853">
        <v>6169.8</v>
      </c>
      <c r="AS413" s="854">
        <f t="shared" si="257"/>
        <v>8701</v>
      </c>
      <c r="AT413" s="864"/>
      <c r="AU413" s="856"/>
      <c r="AV413" s="857"/>
      <c r="AW413" s="857"/>
      <c r="AX413" s="857"/>
      <c r="AY413" s="856"/>
      <c r="AZ413" s="856"/>
      <c r="BA413" s="856"/>
      <c r="BB413" s="857">
        <v>0</v>
      </c>
      <c r="BC413" s="857">
        <v>0</v>
      </c>
      <c r="BD413" s="856">
        <v>0</v>
      </c>
      <c r="BE413" s="865">
        <v>285.11</v>
      </c>
      <c r="BF413" s="866">
        <f t="shared" si="258"/>
        <v>285.11</v>
      </c>
      <c r="BG413" s="864">
        <v>0</v>
      </c>
      <c r="BH413" s="857">
        <v>0</v>
      </c>
      <c r="BI413" s="859">
        <v>0</v>
      </c>
      <c r="BJ413" s="859">
        <v>83.5</v>
      </c>
      <c r="BK413" s="860">
        <v>167.36</v>
      </c>
      <c r="BL413" s="860"/>
      <c r="BM413" s="860"/>
      <c r="BN413" s="860"/>
      <c r="BO413" s="860"/>
      <c r="BP413" s="860"/>
      <c r="BQ413" s="860"/>
      <c r="BR413" s="861"/>
      <c r="BS413" s="854">
        <f t="shared" si="259"/>
        <v>250.86</v>
      </c>
      <c r="BT413" s="862"/>
      <c r="BU413" s="862"/>
      <c r="BV413" s="862"/>
      <c r="BW413" s="862"/>
      <c r="BX413" s="862"/>
      <c r="BY413" s="862"/>
      <c r="BZ413" s="862"/>
      <c r="CA413" s="862"/>
      <c r="CB413" s="862"/>
      <c r="CC413" s="862"/>
      <c r="CD413" s="862"/>
      <c r="CE413" s="862"/>
      <c r="CF413" s="862"/>
      <c r="CG413" s="862"/>
      <c r="CH413" s="863">
        <f t="shared" si="249"/>
        <v>10698.04</v>
      </c>
      <c r="CI413" s="863">
        <f t="shared" si="250"/>
        <v>0</v>
      </c>
      <c r="CJ413" s="863">
        <f t="shared" si="251"/>
        <v>10698.04</v>
      </c>
      <c r="CK413" s="710"/>
      <c r="CL413" s="710"/>
      <c r="CM413" s="710"/>
      <c r="CN413" s="512"/>
      <c r="CO413" s="512"/>
      <c r="CP413" s="512"/>
      <c r="CQ413" s="512"/>
      <c r="CR413" s="512"/>
      <c r="CS413" s="512"/>
      <c r="CT413" s="512"/>
      <c r="CU413" s="512"/>
      <c r="CV413" s="515"/>
    </row>
    <row r="414" spans="1:100">
      <c r="A414" s="844"/>
      <c r="B414" s="845" t="s">
        <v>951</v>
      </c>
      <c r="C414" s="846"/>
      <c r="D414" s="846"/>
      <c r="E414" s="846"/>
      <c r="F414" s="846"/>
      <c r="G414" s="846"/>
      <c r="H414" s="846"/>
      <c r="I414" s="846"/>
      <c r="J414" s="846"/>
      <c r="K414" s="846"/>
      <c r="L414" s="846"/>
      <c r="M414" s="846"/>
      <c r="N414" s="846"/>
      <c r="O414" s="846"/>
      <c r="P414" s="846"/>
      <c r="Q414" s="846"/>
      <c r="R414" s="846"/>
      <c r="S414" s="846"/>
      <c r="T414" s="847"/>
      <c r="U414" s="848"/>
      <c r="V414" s="848"/>
      <c r="W414" s="848"/>
      <c r="X414" s="848"/>
      <c r="Y414" s="848"/>
      <c r="Z414" s="848"/>
      <c r="AA414" s="848"/>
      <c r="AB414" s="848"/>
      <c r="AC414" s="848"/>
      <c r="AD414" s="848"/>
      <c r="AE414" s="849"/>
      <c r="AF414" s="850">
        <f t="shared" si="256"/>
        <v>0</v>
      </c>
      <c r="AG414" s="851"/>
      <c r="AH414" s="852"/>
      <c r="AI414" s="852"/>
      <c r="AJ414" s="852"/>
      <c r="AK414" s="852"/>
      <c r="AL414" s="852"/>
      <c r="AM414" s="852"/>
      <c r="AN414" s="852"/>
      <c r="AO414" s="852"/>
      <c r="AP414" s="852"/>
      <c r="AQ414" s="852"/>
      <c r="AR414" s="853"/>
      <c r="AS414" s="854">
        <f t="shared" si="257"/>
        <v>0</v>
      </c>
      <c r="AT414" s="864"/>
      <c r="AU414" s="856"/>
      <c r="AV414" s="857"/>
      <c r="AW414" s="857">
        <v>117.01</v>
      </c>
      <c r="AX414" s="857">
        <v>158.15</v>
      </c>
      <c r="AY414" s="856">
        <v>21.09</v>
      </c>
      <c r="AZ414" s="856"/>
      <c r="BA414" s="856"/>
      <c r="BB414" s="857">
        <v>105.45</v>
      </c>
      <c r="BC414" s="857">
        <v>0</v>
      </c>
      <c r="BD414" s="856">
        <v>67.5</v>
      </c>
      <c r="BE414" s="865">
        <v>22.42</v>
      </c>
      <c r="BF414" s="866">
        <f t="shared" si="258"/>
        <v>491.62</v>
      </c>
      <c r="BG414" s="864">
        <v>381.14</v>
      </c>
      <c r="BH414" s="857">
        <v>770.48</v>
      </c>
      <c r="BI414" s="859">
        <v>297.25</v>
      </c>
      <c r="BJ414" s="859">
        <v>85.12</v>
      </c>
      <c r="BK414" s="860">
        <v>168.97</v>
      </c>
      <c r="BL414" s="860"/>
      <c r="BM414" s="860"/>
      <c r="BN414" s="860"/>
      <c r="BO414" s="860"/>
      <c r="BP414" s="860"/>
      <c r="BQ414" s="860"/>
      <c r="BR414" s="861"/>
      <c r="BS414" s="854">
        <f t="shared" si="259"/>
        <v>1702.9599999999998</v>
      </c>
      <c r="BT414" s="862"/>
      <c r="BU414" s="862"/>
      <c r="BV414" s="862"/>
      <c r="BW414" s="862"/>
      <c r="BX414" s="862"/>
      <c r="BY414" s="862"/>
      <c r="BZ414" s="862"/>
      <c r="CA414" s="862"/>
      <c r="CB414" s="862"/>
      <c r="CC414" s="862"/>
      <c r="CD414" s="862"/>
      <c r="CE414" s="862"/>
      <c r="CF414" s="862"/>
      <c r="CG414" s="862"/>
      <c r="CH414" s="863">
        <f t="shared" si="249"/>
        <v>2194.58</v>
      </c>
      <c r="CI414" s="863">
        <f t="shared" si="250"/>
        <v>0</v>
      </c>
      <c r="CJ414" s="863">
        <f t="shared" si="251"/>
        <v>2194.58</v>
      </c>
      <c r="CK414" s="710"/>
      <c r="CL414" s="710"/>
      <c r="CM414" s="710"/>
      <c r="CN414" s="512"/>
      <c r="CO414" s="512"/>
      <c r="CP414" s="512"/>
      <c r="CQ414" s="512"/>
      <c r="CR414" s="512"/>
      <c r="CS414" s="512"/>
      <c r="CT414" s="512"/>
      <c r="CU414" s="512"/>
      <c r="CV414" s="515"/>
    </row>
    <row r="415" spans="1:100">
      <c r="A415" s="844"/>
      <c r="B415" s="845" t="s">
        <v>952</v>
      </c>
      <c r="C415" s="846"/>
      <c r="D415" s="846"/>
      <c r="E415" s="846"/>
      <c r="F415" s="846"/>
      <c r="G415" s="846"/>
      <c r="H415" s="846"/>
      <c r="I415" s="846"/>
      <c r="J415" s="846"/>
      <c r="K415" s="846"/>
      <c r="L415" s="846" t="s">
        <v>558</v>
      </c>
      <c r="M415" s="846"/>
      <c r="N415" s="846"/>
      <c r="O415" s="846"/>
      <c r="P415" s="846"/>
      <c r="Q415" s="846"/>
      <c r="R415" s="846"/>
      <c r="S415" s="846"/>
      <c r="T415" s="847"/>
      <c r="U415" s="848"/>
      <c r="V415" s="848"/>
      <c r="W415" s="848"/>
      <c r="X415" s="848"/>
      <c r="Y415" s="848"/>
      <c r="Z415" s="848"/>
      <c r="AA415" s="848"/>
      <c r="AB415" s="848"/>
      <c r="AC415" s="848"/>
      <c r="AD415" s="848"/>
      <c r="AE415" s="849"/>
      <c r="AF415" s="850">
        <f t="shared" si="256"/>
        <v>0</v>
      </c>
      <c r="AG415" s="851"/>
      <c r="AH415" s="852"/>
      <c r="AI415" s="852"/>
      <c r="AJ415" s="852"/>
      <c r="AK415" s="852"/>
      <c r="AL415" s="852"/>
      <c r="AM415" s="852"/>
      <c r="AN415" s="852"/>
      <c r="AO415" s="852"/>
      <c r="AP415" s="852"/>
      <c r="AQ415" s="852"/>
      <c r="AR415" s="853"/>
      <c r="AS415" s="868">
        <f t="shared" si="257"/>
        <v>0</v>
      </c>
      <c r="AT415" s="864"/>
      <c r="AU415" s="856"/>
      <c r="AV415" s="857"/>
      <c r="AW415" s="857"/>
      <c r="AX415" s="856"/>
      <c r="AY415" s="856"/>
      <c r="AZ415" s="856"/>
      <c r="BA415" s="856"/>
      <c r="BB415" s="857"/>
      <c r="BC415" s="856"/>
      <c r="BD415" s="856"/>
      <c r="BE415" s="865"/>
      <c r="BF415" s="869">
        <f t="shared" si="258"/>
        <v>0</v>
      </c>
      <c r="BG415" s="864"/>
      <c r="BH415" s="857"/>
      <c r="BI415" s="859">
        <v>0</v>
      </c>
      <c r="BJ415" s="859">
        <v>757.4</v>
      </c>
      <c r="BK415" s="870">
        <v>324.60000000000002</v>
      </c>
      <c r="BL415" s="870"/>
      <c r="BM415" s="870"/>
      <c r="BN415" s="870"/>
      <c r="BO415" s="870"/>
      <c r="BP415" s="870"/>
      <c r="BQ415" s="870"/>
      <c r="BR415" s="871"/>
      <c r="BS415" s="868">
        <f t="shared" si="259"/>
        <v>1082</v>
      </c>
      <c r="BT415" s="872"/>
      <c r="BU415" s="872"/>
      <c r="BV415" s="872"/>
      <c r="BW415" s="872"/>
      <c r="BX415" s="872"/>
      <c r="BY415" s="872"/>
      <c r="BZ415" s="872"/>
      <c r="CA415" s="872"/>
      <c r="CB415" s="872"/>
      <c r="CC415" s="872"/>
      <c r="CD415" s="872"/>
      <c r="CE415" s="872"/>
      <c r="CF415" s="872"/>
      <c r="CG415" s="872"/>
      <c r="CH415" s="863">
        <f t="shared" si="249"/>
        <v>1082</v>
      </c>
      <c r="CI415" s="863">
        <f t="shared" si="250"/>
        <v>0</v>
      </c>
      <c r="CJ415" s="863">
        <f t="shared" si="251"/>
        <v>1082</v>
      </c>
      <c r="CK415" s="710"/>
      <c r="CL415" s="710"/>
      <c r="CM415" s="710"/>
      <c r="CN415" s="512"/>
      <c r="CO415" s="512"/>
      <c r="CP415" s="512"/>
      <c r="CQ415" s="512"/>
      <c r="CR415" s="512"/>
      <c r="CS415" s="512"/>
      <c r="CT415" s="512"/>
      <c r="CU415" s="512"/>
      <c r="CV415" s="515"/>
    </row>
    <row r="416" spans="1:100">
      <c r="A416" s="844"/>
      <c r="B416" s="845" t="s">
        <v>953</v>
      </c>
      <c r="C416" s="846"/>
      <c r="D416" s="846"/>
      <c r="E416" s="846"/>
      <c r="F416" s="846"/>
      <c r="G416" s="846"/>
      <c r="H416" s="846"/>
      <c r="I416" s="846"/>
      <c r="J416" s="846"/>
      <c r="K416" s="846"/>
      <c r="L416" s="846"/>
      <c r="M416" s="846"/>
      <c r="N416" s="846"/>
      <c r="O416" s="846"/>
      <c r="P416" s="846"/>
      <c r="Q416" s="846"/>
      <c r="R416" s="846"/>
      <c r="S416" s="846"/>
      <c r="T416" s="847"/>
      <c r="U416" s="848"/>
      <c r="V416" s="848"/>
      <c r="W416" s="848"/>
      <c r="X416" s="848"/>
      <c r="Y416" s="848"/>
      <c r="Z416" s="848"/>
      <c r="AA416" s="848"/>
      <c r="AB416" s="848"/>
      <c r="AC416" s="848"/>
      <c r="AD416" s="848"/>
      <c r="AE416" s="849"/>
      <c r="AF416" s="850">
        <f t="shared" si="256"/>
        <v>0</v>
      </c>
      <c r="AG416" s="851"/>
      <c r="AH416" s="852"/>
      <c r="AI416" s="852"/>
      <c r="AJ416" s="852"/>
      <c r="AK416" s="852"/>
      <c r="AL416" s="852">
        <v>287.60000000000002</v>
      </c>
      <c r="AM416" s="852"/>
      <c r="AN416" s="852"/>
      <c r="AO416" s="852"/>
      <c r="AP416" s="852"/>
      <c r="AQ416" s="852"/>
      <c r="AR416" s="853"/>
      <c r="AS416" s="873">
        <f t="shared" si="257"/>
        <v>287.60000000000002</v>
      </c>
      <c r="AT416" s="864"/>
      <c r="AU416" s="856"/>
      <c r="AV416" s="857"/>
      <c r="AW416" s="857"/>
      <c r="AX416" s="857"/>
      <c r="AY416" s="856"/>
      <c r="AZ416" s="856"/>
      <c r="BA416" s="856"/>
      <c r="BB416" s="857">
        <v>0</v>
      </c>
      <c r="BC416" s="857">
        <v>0</v>
      </c>
      <c r="BD416" s="856">
        <v>0</v>
      </c>
      <c r="BE416" s="865">
        <v>0</v>
      </c>
      <c r="BF416" s="850">
        <f t="shared" si="258"/>
        <v>0</v>
      </c>
      <c r="BG416" s="864">
        <v>0</v>
      </c>
      <c r="BH416" s="857">
        <v>0</v>
      </c>
      <c r="BI416" s="859">
        <v>0</v>
      </c>
      <c r="BJ416" s="859">
        <v>0</v>
      </c>
      <c r="BK416" s="856">
        <v>0</v>
      </c>
      <c r="BL416" s="856"/>
      <c r="BM416" s="856"/>
      <c r="BN416" s="856"/>
      <c r="BO416" s="856"/>
      <c r="BP416" s="856"/>
      <c r="BQ416" s="856"/>
      <c r="BR416" s="874"/>
      <c r="BS416" s="873">
        <f t="shared" si="259"/>
        <v>0</v>
      </c>
      <c r="BT416" s="875"/>
      <c r="BU416" s="875"/>
      <c r="BV416" s="875"/>
      <c r="BW416" s="875"/>
      <c r="BX416" s="875"/>
      <c r="BY416" s="875"/>
      <c r="BZ416" s="875"/>
      <c r="CA416" s="875"/>
      <c r="CB416" s="875"/>
      <c r="CC416" s="875"/>
      <c r="CD416" s="875"/>
      <c r="CE416" s="875"/>
      <c r="CF416" s="875"/>
      <c r="CG416" s="875"/>
      <c r="CH416" s="863">
        <f t="shared" ref="CH416:CH437" si="260">SUMIF(($S$5:$CG$5),"Actual",(S416:CG416))</f>
        <v>287.60000000000002</v>
      </c>
      <c r="CI416" s="863">
        <f t="shared" ref="CI416:CI437" si="261">SUMIF(($S$5:$CG$5),"Forecast",(S416:CG416))</f>
        <v>0</v>
      </c>
      <c r="CJ416" s="863">
        <f t="shared" ref="CJ416:CJ437" si="262">+CH416+CI416</f>
        <v>287.60000000000002</v>
      </c>
      <c r="CK416" s="710"/>
      <c r="CL416" s="710"/>
      <c r="CM416" s="710"/>
      <c r="CN416" s="512"/>
      <c r="CO416" s="512"/>
      <c r="CP416" s="512"/>
      <c r="CQ416" s="512"/>
      <c r="CR416" s="512"/>
      <c r="CS416" s="512"/>
      <c r="CT416" s="512"/>
      <c r="CU416" s="512"/>
      <c r="CV416" s="515"/>
    </row>
    <row r="417" spans="1:100">
      <c r="A417" s="844"/>
      <c r="B417" s="845" t="s">
        <v>954</v>
      </c>
      <c r="C417" s="846"/>
      <c r="D417" s="846"/>
      <c r="E417" s="846"/>
      <c r="F417" s="846"/>
      <c r="G417" s="846"/>
      <c r="H417" s="846"/>
      <c r="I417" s="846"/>
      <c r="J417" s="846"/>
      <c r="K417" s="846"/>
      <c r="L417" s="846"/>
      <c r="M417" s="846"/>
      <c r="N417" s="846"/>
      <c r="O417" s="846"/>
      <c r="P417" s="846"/>
      <c r="Q417" s="846"/>
      <c r="R417" s="846"/>
      <c r="S417" s="846"/>
      <c r="T417" s="847"/>
      <c r="U417" s="848">
        <v>42.61</v>
      </c>
      <c r="V417" s="848"/>
      <c r="W417" s="848"/>
      <c r="X417" s="848"/>
      <c r="Y417" s="848"/>
      <c r="Z417" s="848"/>
      <c r="AA417" s="848"/>
      <c r="AB417" s="848"/>
      <c r="AC417" s="848"/>
      <c r="AD417" s="848">
        <v>160.6</v>
      </c>
      <c r="AE417" s="849"/>
      <c r="AF417" s="850">
        <f t="shared" si="256"/>
        <v>203.20999999999998</v>
      </c>
      <c r="AG417" s="851"/>
      <c r="AH417" s="852"/>
      <c r="AI417" s="852"/>
      <c r="AJ417" s="852"/>
      <c r="AK417" s="852"/>
      <c r="AL417" s="852"/>
      <c r="AM417" s="852"/>
      <c r="AN417" s="852"/>
      <c r="AO417" s="852"/>
      <c r="AP417" s="852"/>
      <c r="AQ417" s="852"/>
      <c r="AR417" s="853"/>
      <c r="AS417" s="873">
        <f t="shared" si="257"/>
        <v>0</v>
      </c>
      <c r="AT417" s="864">
        <v>345.3</v>
      </c>
      <c r="AU417" s="856"/>
      <c r="AV417" s="857"/>
      <c r="AW417" s="857">
        <v>1810.4</v>
      </c>
      <c r="AX417" s="857"/>
      <c r="AY417" s="856">
        <v>980</v>
      </c>
      <c r="AZ417" s="856">
        <v>1379.4</v>
      </c>
      <c r="BA417" s="856">
        <v>1488.22</v>
      </c>
      <c r="BB417" s="857">
        <v>0</v>
      </c>
      <c r="BC417" s="857">
        <v>0</v>
      </c>
      <c r="BD417" s="856">
        <v>0</v>
      </c>
      <c r="BE417" s="865">
        <v>0</v>
      </c>
      <c r="BF417" s="850">
        <f t="shared" si="258"/>
        <v>6003.3200000000006</v>
      </c>
      <c r="BG417" s="864">
        <v>430.77</v>
      </c>
      <c r="BH417" s="857">
        <v>0</v>
      </c>
      <c r="BI417" s="859">
        <v>0</v>
      </c>
      <c r="BJ417" s="859">
        <v>0</v>
      </c>
      <c r="BK417" s="856">
        <v>0</v>
      </c>
      <c r="BL417" s="856"/>
      <c r="BM417" s="856"/>
      <c r="BN417" s="856"/>
      <c r="BO417" s="856"/>
      <c r="BP417" s="856"/>
      <c r="BQ417" s="856"/>
      <c r="BR417" s="874"/>
      <c r="BS417" s="873">
        <f t="shared" si="259"/>
        <v>430.77</v>
      </c>
      <c r="BT417" s="875"/>
      <c r="BU417" s="875"/>
      <c r="BV417" s="875"/>
      <c r="BW417" s="875"/>
      <c r="BX417" s="875"/>
      <c r="BY417" s="875"/>
      <c r="BZ417" s="875"/>
      <c r="CA417" s="875"/>
      <c r="CB417" s="875"/>
      <c r="CC417" s="875"/>
      <c r="CD417" s="875"/>
      <c r="CE417" s="875"/>
      <c r="CF417" s="875"/>
      <c r="CG417" s="875"/>
      <c r="CH417" s="863">
        <f t="shared" si="260"/>
        <v>6637.2999999999993</v>
      </c>
      <c r="CI417" s="863">
        <f t="shared" si="261"/>
        <v>0</v>
      </c>
      <c r="CJ417" s="863">
        <f t="shared" si="262"/>
        <v>6637.2999999999993</v>
      </c>
      <c r="CK417" s="710"/>
      <c r="CL417" s="710"/>
      <c r="CM417" s="710"/>
      <c r="CN417" s="512"/>
      <c r="CO417" s="512"/>
      <c r="CP417" s="512"/>
      <c r="CQ417" s="512"/>
      <c r="CR417" s="512"/>
      <c r="CS417" s="512"/>
      <c r="CT417" s="512"/>
      <c r="CU417" s="512"/>
      <c r="CV417" s="515"/>
    </row>
    <row r="418" spans="1:100">
      <c r="A418" s="844"/>
      <c r="B418" s="845" t="s">
        <v>955</v>
      </c>
      <c r="C418" s="846"/>
      <c r="D418" s="846"/>
      <c r="E418" s="846"/>
      <c r="F418" s="846"/>
      <c r="G418" s="846"/>
      <c r="H418" s="846"/>
      <c r="I418" s="846"/>
      <c r="J418" s="846"/>
      <c r="K418" s="846"/>
      <c r="L418" s="846" t="s">
        <v>558</v>
      </c>
      <c r="M418" s="846"/>
      <c r="N418" s="846"/>
      <c r="O418" s="846"/>
      <c r="P418" s="846"/>
      <c r="Q418" s="846"/>
      <c r="R418" s="846"/>
      <c r="S418" s="846"/>
      <c r="T418" s="847"/>
      <c r="U418" s="848"/>
      <c r="V418" s="848"/>
      <c r="W418" s="848"/>
      <c r="X418" s="848"/>
      <c r="Y418" s="848"/>
      <c r="Z418" s="848"/>
      <c r="AA418" s="848"/>
      <c r="AB418" s="848"/>
      <c r="AC418" s="848"/>
      <c r="AD418" s="848"/>
      <c r="AE418" s="849"/>
      <c r="AF418" s="850">
        <f t="shared" si="256"/>
        <v>0</v>
      </c>
      <c r="AG418" s="851"/>
      <c r="AH418" s="852"/>
      <c r="AI418" s="852"/>
      <c r="AJ418" s="852"/>
      <c r="AK418" s="852"/>
      <c r="AL418" s="852"/>
      <c r="AM418" s="852"/>
      <c r="AN418" s="852"/>
      <c r="AO418" s="852"/>
      <c r="AP418" s="852"/>
      <c r="AQ418" s="852"/>
      <c r="AR418" s="853"/>
      <c r="AS418" s="873">
        <f t="shared" si="257"/>
        <v>0</v>
      </c>
      <c r="AT418" s="864"/>
      <c r="AU418" s="856"/>
      <c r="AV418" s="857"/>
      <c r="AW418" s="857"/>
      <c r="AX418" s="856"/>
      <c r="AY418" s="856"/>
      <c r="AZ418" s="856"/>
      <c r="BA418" s="856"/>
      <c r="BB418" s="857"/>
      <c r="BC418" s="856"/>
      <c r="BD418" s="856"/>
      <c r="BE418" s="865"/>
      <c r="BF418" s="850">
        <f t="shared" si="258"/>
        <v>0</v>
      </c>
      <c r="BG418" s="864"/>
      <c r="BH418" s="857"/>
      <c r="BI418" s="859">
        <v>0</v>
      </c>
      <c r="BJ418" s="859">
        <v>1084.2</v>
      </c>
      <c r="BK418" s="856">
        <v>1334.4</v>
      </c>
      <c r="BL418" s="856"/>
      <c r="BM418" s="856"/>
      <c r="BN418" s="856"/>
      <c r="BO418" s="856"/>
      <c r="BP418" s="856"/>
      <c r="BQ418" s="856"/>
      <c r="BR418" s="874"/>
      <c r="BS418" s="873">
        <f t="shared" si="259"/>
        <v>2418.6000000000004</v>
      </c>
      <c r="BT418" s="875"/>
      <c r="BU418" s="875"/>
      <c r="BV418" s="875"/>
      <c r="BW418" s="875"/>
      <c r="BX418" s="875"/>
      <c r="BY418" s="875"/>
      <c r="BZ418" s="875"/>
      <c r="CA418" s="875"/>
      <c r="CB418" s="875"/>
      <c r="CC418" s="875"/>
      <c r="CD418" s="875"/>
      <c r="CE418" s="875"/>
      <c r="CF418" s="875"/>
      <c r="CG418" s="875"/>
      <c r="CH418" s="863">
        <f t="shared" si="260"/>
        <v>2418.6000000000004</v>
      </c>
      <c r="CI418" s="863">
        <f t="shared" si="261"/>
        <v>0</v>
      </c>
      <c r="CJ418" s="863">
        <f t="shared" si="262"/>
        <v>2418.6000000000004</v>
      </c>
      <c r="CK418" s="710"/>
      <c r="CL418" s="710"/>
      <c r="CM418" s="710"/>
      <c r="CN418" s="512"/>
      <c r="CO418" s="512"/>
      <c r="CP418" s="512"/>
      <c r="CQ418" s="512"/>
      <c r="CR418" s="512"/>
      <c r="CS418" s="512"/>
      <c r="CT418" s="512"/>
      <c r="CU418" s="512"/>
      <c r="CV418" s="515"/>
    </row>
    <row r="419" spans="1:100">
      <c r="A419" s="844"/>
      <c r="B419" s="845" t="s">
        <v>956</v>
      </c>
      <c r="C419" s="846"/>
      <c r="D419" s="846"/>
      <c r="E419" s="846"/>
      <c r="F419" s="846"/>
      <c r="G419" s="846"/>
      <c r="H419" s="846"/>
      <c r="I419" s="846"/>
      <c r="J419" s="846"/>
      <c r="K419" s="846"/>
      <c r="L419" s="846"/>
      <c r="M419" s="846"/>
      <c r="N419" s="846"/>
      <c r="O419" s="846"/>
      <c r="P419" s="846"/>
      <c r="Q419" s="846"/>
      <c r="R419" s="846"/>
      <c r="S419" s="846"/>
      <c r="T419" s="847"/>
      <c r="U419" s="848"/>
      <c r="V419" s="848"/>
      <c r="W419" s="848"/>
      <c r="X419" s="848"/>
      <c r="Y419" s="848"/>
      <c r="Z419" s="848"/>
      <c r="AA419" s="848"/>
      <c r="AB419" s="848"/>
      <c r="AC419" s="848"/>
      <c r="AD419" s="848"/>
      <c r="AE419" s="849"/>
      <c r="AF419" s="850">
        <f t="shared" si="256"/>
        <v>0</v>
      </c>
      <c r="AG419" s="851"/>
      <c r="AH419" s="852"/>
      <c r="AI419" s="852"/>
      <c r="AJ419" s="852"/>
      <c r="AK419" s="852"/>
      <c r="AL419" s="852"/>
      <c r="AM419" s="852"/>
      <c r="AN419" s="852"/>
      <c r="AO419" s="852"/>
      <c r="AP419" s="852"/>
      <c r="AQ419" s="852"/>
      <c r="AR419" s="853"/>
      <c r="AS419" s="873">
        <f t="shared" si="257"/>
        <v>0</v>
      </c>
      <c r="AT419" s="864"/>
      <c r="AU419" s="856"/>
      <c r="AV419" s="857"/>
      <c r="AW419" s="857">
        <v>541.71</v>
      </c>
      <c r="AX419" s="857">
        <v>115.99</v>
      </c>
      <c r="AY419" s="856">
        <v>10.55</v>
      </c>
      <c r="AZ419" s="856"/>
      <c r="BA419" s="856"/>
      <c r="BB419" s="857">
        <v>0</v>
      </c>
      <c r="BC419" s="857">
        <v>0</v>
      </c>
      <c r="BD419" s="856">
        <v>0</v>
      </c>
      <c r="BE419" s="865">
        <v>0</v>
      </c>
      <c r="BF419" s="850">
        <f t="shared" si="258"/>
        <v>668.25</v>
      </c>
      <c r="BG419" s="864">
        <v>0</v>
      </c>
      <c r="BH419" s="857">
        <v>0</v>
      </c>
      <c r="BI419" s="859">
        <v>118.9</v>
      </c>
      <c r="BJ419" s="859">
        <v>0</v>
      </c>
      <c r="BK419" s="856">
        <v>0</v>
      </c>
      <c r="BL419" s="856"/>
      <c r="BM419" s="856"/>
      <c r="BN419" s="856"/>
      <c r="BO419" s="856"/>
      <c r="BP419" s="856"/>
      <c r="BQ419" s="856"/>
      <c r="BR419" s="874"/>
      <c r="BS419" s="873">
        <f t="shared" si="259"/>
        <v>118.9</v>
      </c>
      <c r="BT419" s="875"/>
      <c r="BU419" s="875"/>
      <c r="BV419" s="875"/>
      <c r="BW419" s="875"/>
      <c r="BX419" s="875"/>
      <c r="BY419" s="875"/>
      <c r="BZ419" s="875"/>
      <c r="CA419" s="875"/>
      <c r="CB419" s="875"/>
      <c r="CC419" s="875"/>
      <c r="CD419" s="875"/>
      <c r="CE419" s="875"/>
      <c r="CF419" s="875"/>
      <c r="CG419" s="875"/>
      <c r="CH419" s="863">
        <f t="shared" si="260"/>
        <v>787.15</v>
      </c>
      <c r="CI419" s="863">
        <f t="shared" si="261"/>
        <v>0</v>
      </c>
      <c r="CJ419" s="863">
        <f t="shared" si="262"/>
        <v>787.15</v>
      </c>
      <c r="CK419" s="710"/>
      <c r="CL419" s="710"/>
      <c r="CM419" s="710"/>
      <c r="CN419" s="512"/>
      <c r="CO419" s="512"/>
      <c r="CP419" s="512"/>
      <c r="CQ419" s="512"/>
      <c r="CR419" s="512"/>
      <c r="CS419" s="512"/>
      <c r="CT419" s="512"/>
      <c r="CU419" s="512"/>
      <c r="CV419" s="515"/>
    </row>
    <row r="420" spans="1:100">
      <c r="A420" s="844"/>
      <c r="B420" s="845" t="s">
        <v>957</v>
      </c>
      <c r="C420" s="846"/>
      <c r="D420" s="846"/>
      <c r="E420" s="846"/>
      <c r="F420" s="846"/>
      <c r="G420" s="846"/>
      <c r="H420" s="846"/>
      <c r="I420" s="846"/>
      <c r="J420" s="846"/>
      <c r="K420" s="846"/>
      <c r="L420" s="846"/>
      <c r="M420" s="846"/>
      <c r="N420" s="846"/>
      <c r="O420" s="846"/>
      <c r="P420" s="846"/>
      <c r="Q420" s="846"/>
      <c r="R420" s="846"/>
      <c r="S420" s="846"/>
      <c r="T420" s="847"/>
      <c r="U420" s="848"/>
      <c r="V420" s="848"/>
      <c r="W420" s="848"/>
      <c r="X420" s="848"/>
      <c r="Y420" s="848"/>
      <c r="Z420" s="848"/>
      <c r="AA420" s="848"/>
      <c r="AB420" s="848"/>
      <c r="AC420" s="848"/>
      <c r="AD420" s="848"/>
      <c r="AE420" s="849"/>
      <c r="AF420" s="850">
        <f t="shared" si="256"/>
        <v>0</v>
      </c>
      <c r="AG420" s="851"/>
      <c r="AH420" s="852"/>
      <c r="AI420" s="852"/>
      <c r="AJ420" s="852"/>
      <c r="AK420" s="852"/>
      <c r="AL420" s="852"/>
      <c r="AM420" s="852"/>
      <c r="AN420" s="852"/>
      <c r="AO420" s="852"/>
      <c r="AP420" s="852"/>
      <c r="AQ420" s="852">
        <v>39.549999999999997</v>
      </c>
      <c r="AR420" s="853"/>
      <c r="AS420" s="873">
        <f t="shared" si="257"/>
        <v>39.549999999999997</v>
      </c>
      <c r="AT420" s="864">
        <v>158.19999999999999</v>
      </c>
      <c r="AU420" s="856"/>
      <c r="AV420" s="857"/>
      <c r="AW420" s="857"/>
      <c r="AX420" s="857">
        <v>323.52</v>
      </c>
      <c r="AY420" s="856"/>
      <c r="AZ420" s="856"/>
      <c r="BA420" s="856"/>
      <c r="BB420" s="857">
        <v>40.44</v>
      </c>
      <c r="BC420" s="857">
        <v>0</v>
      </c>
      <c r="BD420" s="856">
        <v>0</v>
      </c>
      <c r="BE420" s="865">
        <v>0</v>
      </c>
      <c r="BF420" s="850">
        <f t="shared" si="258"/>
        <v>522.16</v>
      </c>
      <c r="BG420" s="864">
        <v>0</v>
      </c>
      <c r="BH420" s="857">
        <v>407.3</v>
      </c>
      <c r="BI420" s="859">
        <v>1018.32</v>
      </c>
      <c r="BJ420" s="859">
        <v>0</v>
      </c>
      <c r="BK420" s="856">
        <v>251.04</v>
      </c>
      <c r="BL420" s="856"/>
      <c r="BM420" s="856"/>
      <c r="BN420" s="856"/>
      <c r="BO420" s="856"/>
      <c r="BP420" s="856"/>
      <c r="BQ420" s="856"/>
      <c r="BR420" s="874"/>
      <c r="BS420" s="873">
        <f t="shared" si="259"/>
        <v>1676.66</v>
      </c>
      <c r="BT420" s="875"/>
      <c r="BU420" s="875"/>
      <c r="BV420" s="875"/>
      <c r="BW420" s="875"/>
      <c r="BX420" s="875"/>
      <c r="BY420" s="875"/>
      <c r="BZ420" s="875"/>
      <c r="CA420" s="875"/>
      <c r="CB420" s="875"/>
      <c r="CC420" s="875"/>
      <c r="CD420" s="875"/>
      <c r="CE420" s="875"/>
      <c r="CF420" s="875"/>
      <c r="CG420" s="875"/>
      <c r="CH420" s="863">
        <f t="shared" si="260"/>
        <v>2238.37</v>
      </c>
      <c r="CI420" s="863">
        <f t="shared" si="261"/>
        <v>0</v>
      </c>
      <c r="CJ420" s="863">
        <f t="shared" si="262"/>
        <v>2238.37</v>
      </c>
      <c r="CK420" s="710"/>
      <c r="CL420" s="710"/>
      <c r="CM420" s="710"/>
      <c r="CN420" s="512"/>
      <c r="CO420" s="512"/>
      <c r="CP420" s="512"/>
      <c r="CQ420" s="512"/>
      <c r="CR420" s="512"/>
      <c r="CS420" s="512"/>
      <c r="CT420" s="512"/>
      <c r="CU420" s="512"/>
      <c r="CV420" s="515"/>
    </row>
    <row r="421" spans="1:100">
      <c r="A421" s="844"/>
      <c r="B421" s="845" t="s">
        <v>958</v>
      </c>
      <c r="C421" s="846"/>
      <c r="D421" s="846"/>
      <c r="E421" s="846"/>
      <c r="F421" s="846"/>
      <c r="G421" s="846"/>
      <c r="H421" s="846"/>
      <c r="I421" s="846"/>
      <c r="J421" s="846"/>
      <c r="K421" s="846"/>
      <c r="L421" s="846" t="s">
        <v>558</v>
      </c>
      <c r="M421" s="846"/>
      <c r="N421" s="846"/>
      <c r="O421" s="846"/>
      <c r="P421" s="846"/>
      <c r="Q421" s="846"/>
      <c r="R421" s="846"/>
      <c r="S421" s="846"/>
      <c r="T421" s="847"/>
      <c r="U421" s="848"/>
      <c r="V421" s="848"/>
      <c r="W421" s="848"/>
      <c r="X421" s="848"/>
      <c r="Y421" s="848"/>
      <c r="Z421" s="848"/>
      <c r="AA421" s="848"/>
      <c r="AB421" s="848"/>
      <c r="AC421" s="848"/>
      <c r="AD421" s="848"/>
      <c r="AE421" s="849"/>
      <c r="AF421" s="850">
        <f t="shared" si="256"/>
        <v>0</v>
      </c>
      <c r="AG421" s="851"/>
      <c r="AH421" s="852"/>
      <c r="AI421" s="852"/>
      <c r="AJ421" s="852"/>
      <c r="AK421" s="852"/>
      <c r="AL421" s="852"/>
      <c r="AM421" s="852"/>
      <c r="AN421" s="852"/>
      <c r="AO421" s="852"/>
      <c r="AP421" s="852"/>
      <c r="AQ421" s="852"/>
      <c r="AR421" s="853"/>
      <c r="AS421" s="873">
        <f t="shared" si="257"/>
        <v>0</v>
      </c>
      <c r="AT421" s="864"/>
      <c r="AU421" s="856"/>
      <c r="AV421" s="857"/>
      <c r="AW421" s="857"/>
      <c r="AX421" s="856"/>
      <c r="AY421" s="856"/>
      <c r="AZ421" s="856"/>
      <c r="BA421" s="856"/>
      <c r="BB421" s="857"/>
      <c r="BC421" s="856"/>
      <c r="BD421" s="856"/>
      <c r="BE421" s="865"/>
      <c r="BF421" s="850">
        <f t="shared" si="258"/>
        <v>0</v>
      </c>
      <c r="BG421" s="864"/>
      <c r="BH421" s="857"/>
      <c r="BI421" s="859">
        <v>0</v>
      </c>
      <c r="BJ421" s="859">
        <v>573.46</v>
      </c>
      <c r="BK421" s="856">
        <v>0</v>
      </c>
      <c r="BL421" s="856"/>
      <c r="BM421" s="856"/>
      <c r="BN421" s="856"/>
      <c r="BO421" s="856"/>
      <c r="BP421" s="856"/>
      <c r="BQ421" s="856"/>
      <c r="BR421" s="874"/>
      <c r="BS421" s="873">
        <f t="shared" si="259"/>
        <v>573.46</v>
      </c>
      <c r="BT421" s="875"/>
      <c r="BU421" s="875"/>
      <c r="BV421" s="875"/>
      <c r="BW421" s="875"/>
      <c r="BX421" s="875"/>
      <c r="BY421" s="875"/>
      <c r="BZ421" s="875"/>
      <c r="CA421" s="875"/>
      <c r="CB421" s="875"/>
      <c r="CC421" s="875"/>
      <c r="CD421" s="875"/>
      <c r="CE421" s="875"/>
      <c r="CF421" s="875"/>
      <c r="CG421" s="875"/>
      <c r="CH421" s="863">
        <f t="shared" si="260"/>
        <v>573.46</v>
      </c>
      <c r="CI421" s="863">
        <f t="shared" si="261"/>
        <v>0</v>
      </c>
      <c r="CJ421" s="863">
        <f t="shared" si="262"/>
        <v>573.46</v>
      </c>
      <c r="CK421" s="710"/>
      <c r="CL421" s="710"/>
      <c r="CM421" s="710"/>
      <c r="CN421" s="512"/>
      <c r="CO421" s="512"/>
      <c r="CP421" s="512"/>
      <c r="CQ421" s="512"/>
      <c r="CR421" s="512"/>
      <c r="CS421" s="512"/>
      <c r="CT421" s="512"/>
      <c r="CU421" s="512"/>
      <c r="CV421" s="515"/>
    </row>
    <row r="422" spans="1:100">
      <c r="A422" s="844"/>
      <c r="B422" s="845" t="s">
        <v>959</v>
      </c>
      <c r="C422" s="846"/>
      <c r="D422" s="846"/>
      <c r="E422" s="846"/>
      <c r="F422" s="846"/>
      <c r="G422" s="846"/>
      <c r="H422" s="846"/>
      <c r="I422" s="846"/>
      <c r="J422" s="846"/>
      <c r="K422" s="846"/>
      <c r="L422" s="846" t="s">
        <v>558</v>
      </c>
      <c r="M422" s="846"/>
      <c r="N422" s="846"/>
      <c r="O422" s="846"/>
      <c r="P422" s="846"/>
      <c r="Q422" s="846"/>
      <c r="R422" s="846"/>
      <c r="S422" s="846"/>
      <c r="T422" s="847"/>
      <c r="U422" s="848"/>
      <c r="V422" s="848"/>
      <c r="W422" s="848"/>
      <c r="X422" s="848"/>
      <c r="Y422" s="848"/>
      <c r="Z422" s="848"/>
      <c r="AA422" s="848"/>
      <c r="AB422" s="848"/>
      <c r="AC422" s="848"/>
      <c r="AD422" s="848"/>
      <c r="AE422" s="849"/>
      <c r="AF422" s="850">
        <f t="shared" si="256"/>
        <v>0</v>
      </c>
      <c r="AG422" s="851"/>
      <c r="AH422" s="852"/>
      <c r="AI422" s="852"/>
      <c r="AJ422" s="852"/>
      <c r="AK422" s="852"/>
      <c r="AL422" s="852"/>
      <c r="AM422" s="852"/>
      <c r="AN422" s="852"/>
      <c r="AO422" s="852"/>
      <c r="AP422" s="852"/>
      <c r="AQ422" s="852"/>
      <c r="AR422" s="853"/>
      <c r="AS422" s="873">
        <f t="shared" si="257"/>
        <v>0</v>
      </c>
      <c r="AT422" s="864"/>
      <c r="AU422" s="856"/>
      <c r="AV422" s="857"/>
      <c r="AW422" s="857"/>
      <c r="AX422" s="857"/>
      <c r="AY422" s="856"/>
      <c r="AZ422" s="856"/>
      <c r="BA422" s="856"/>
      <c r="BB422" s="857"/>
      <c r="BC422" s="857"/>
      <c r="BD422" s="857">
        <v>320</v>
      </c>
      <c r="BE422" s="865">
        <v>480</v>
      </c>
      <c r="BF422" s="850">
        <f t="shared" si="258"/>
        <v>800</v>
      </c>
      <c r="BG422" s="864">
        <v>161.16</v>
      </c>
      <c r="BH422" s="857">
        <v>283.43</v>
      </c>
      <c r="BI422" s="859">
        <v>167.48</v>
      </c>
      <c r="BJ422" s="859">
        <v>84.72</v>
      </c>
      <c r="BK422" s="856">
        <v>84.72</v>
      </c>
      <c r="BL422" s="856"/>
      <c r="BM422" s="856"/>
      <c r="BN422" s="856"/>
      <c r="BO422" s="856"/>
      <c r="BP422" s="856"/>
      <c r="BQ422" s="856"/>
      <c r="BR422" s="874"/>
      <c r="BS422" s="873">
        <f t="shared" si="259"/>
        <v>781.5100000000001</v>
      </c>
      <c r="BT422" s="875"/>
      <c r="BU422" s="875"/>
      <c r="BV422" s="875"/>
      <c r="BW422" s="875"/>
      <c r="BX422" s="875"/>
      <c r="BY422" s="875"/>
      <c r="BZ422" s="875"/>
      <c r="CA422" s="875"/>
      <c r="CB422" s="875"/>
      <c r="CC422" s="875"/>
      <c r="CD422" s="875"/>
      <c r="CE422" s="875"/>
      <c r="CF422" s="875"/>
      <c r="CG422" s="875"/>
      <c r="CH422" s="863">
        <f t="shared" si="260"/>
        <v>1581.51</v>
      </c>
      <c r="CI422" s="863">
        <f t="shared" si="261"/>
        <v>0</v>
      </c>
      <c r="CJ422" s="863">
        <f t="shared" si="262"/>
        <v>1581.51</v>
      </c>
      <c r="CK422" s="710"/>
      <c r="CL422" s="710"/>
      <c r="CM422" s="710"/>
      <c r="CN422" s="512"/>
      <c r="CO422" s="512"/>
      <c r="CP422" s="512"/>
      <c r="CQ422" s="512"/>
      <c r="CR422" s="512"/>
      <c r="CS422" s="512"/>
      <c r="CT422" s="512"/>
      <c r="CU422" s="512"/>
      <c r="CV422" s="515"/>
    </row>
    <row r="423" spans="1:100">
      <c r="A423" s="844"/>
      <c r="B423" s="845" t="s">
        <v>960</v>
      </c>
      <c r="C423" s="846"/>
      <c r="D423" s="846"/>
      <c r="E423" s="846"/>
      <c r="F423" s="846"/>
      <c r="G423" s="846"/>
      <c r="H423" s="846"/>
      <c r="I423" s="846"/>
      <c r="J423" s="846"/>
      <c r="K423" s="846"/>
      <c r="L423" s="846"/>
      <c r="M423" s="846"/>
      <c r="N423" s="846"/>
      <c r="O423" s="846"/>
      <c r="P423" s="846"/>
      <c r="Q423" s="846"/>
      <c r="R423" s="846"/>
      <c r="S423" s="846"/>
      <c r="T423" s="847"/>
      <c r="U423" s="848"/>
      <c r="V423" s="848"/>
      <c r="W423" s="848"/>
      <c r="X423" s="848"/>
      <c r="Y423" s="848"/>
      <c r="Z423" s="848"/>
      <c r="AA423" s="848">
        <v>838.49</v>
      </c>
      <c r="AB423" s="848">
        <v>1598.94</v>
      </c>
      <c r="AC423" s="848">
        <v>2278.1999999999998</v>
      </c>
      <c r="AD423" s="848">
        <v>1361.88</v>
      </c>
      <c r="AE423" s="849">
        <v>2231.9699999999998</v>
      </c>
      <c r="AF423" s="850">
        <f t="shared" si="256"/>
        <v>8309.48</v>
      </c>
      <c r="AG423" s="851">
        <v>302.64</v>
      </c>
      <c r="AH423" s="852">
        <v>529.62</v>
      </c>
      <c r="AI423" s="852">
        <v>2092.7399999999998</v>
      </c>
      <c r="AJ423" s="852">
        <v>1733.16</v>
      </c>
      <c r="AK423" s="852">
        <v>748.41</v>
      </c>
      <c r="AL423" s="852">
        <v>1231.0899999999999</v>
      </c>
      <c r="AM423" s="852">
        <v>1090.53</v>
      </c>
      <c r="AN423" s="852">
        <v>2805.34</v>
      </c>
      <c r="AO423" s="852">
        <v>1331.78</v>
      </c>
      <c r="AP423" s="852">
        <v>2034.61</v>
      </c>
      <c r="AQ423" s="852">
        <v>1026.54</v>
      </c>
      <c r="AR423" s="853">
        <v>608.32000000000005</v>
      </c>
      <c r="AS423" s="873">
        <f t="shared" si="257"/>
        <v>15534.779999999999</v>
      </c>
      <c r="AT423" s="864">
        <v>646.34</v>
      </c>
      <c r="AU423" s="856">
        <v>1710.9</v>
      </c>
      <c r="AV423" s="857">
        <v>1152.8</v>
      </c>
      <c r="AW423" s="857">
        <v>1883.52</v>
      </c>
      <c r="AX423" s="857">
        <v>1451.88</v>
      </c>
      <c r="AY423" s="856">
        <v>1059.48</v>
      </c>
      <c r="AZ423" s="856">
        <v>1294.92</v>
      </c>
      <c r="BA423" s="856">
        <v>1294.92</v>
      </c>
      <c r="BB423" s="857">
        <v>902.52</v>
      </c>
      <c r="BC423" s="857">
        <v>1491.12</v>
      </c>
      <c r="BD423" s="856">
        <v>1915.72</v>
      </c>
      <c r="BE423" s="865">
        <v>3668.4</v>
      </c>
      <c r="BF423" s="850">
        <f t="shared" si="258"/>
        <v>18472.52</v>
      </c>
      <c r="BG423" s="864">
        <v>2445.6</v>
      </c>
      <c r="BH423" s="857">
        <v>3179.28</v>
      </c>
      <c r="BI423" s="859">
        <v>4176.8100000000004</v>
      </c>
      <c r="BJ423" s="859">
        <v>717.23</v>
      </c>
      <c r="BK423" s="856">
        <v>253.14</v>
      </c>
      <c r="BL423" s="856">
        <f>38*160*0.2</f>
        <v>1216</v>
      </c>
      <c r="BM423" s="856"/>
      <c r="BN423" s="856"/>
      <c r="BO423" s="856"/>
      <c r="BP423" s="856"/>
      <c r="BQ423" s="856"/>
      <c r="BR423" s="874"/>
      <c r="BS423" s="873">
        <f t="shared" si="259"/>
        <v>11988.06</v>
      </c>
      <c r="BT423" s="875"/>
      <c r="BU423" s="875"/>
      <c r="BV423" s="875"/>
      <c r="BW423" s="875"/>
      <c r="BX423" s="875"/>
      <c r="BY423" s="875"/>
      <c r="BZ423" s="875"/>
      <c r="CA423" s="875"/>
      <c r="CB423" s="875"/>
      <c r="CC423" s="875"/>
      <c r="CD423" s="875"/>
      <c r="CE423" s="875"/>
      <c r="CF423" s="875"/>
      <c r="CG423" s="875"/>
      <c r="CH423" s="863">
        <f t="shared" si="260"/>
        <v>53088.840000000004</v>
      </c>
      <c r="CI423" s="863">
        <f t="shared" si="261"/>
        <v>1216</v>
      </c>
      <c r="CJ423" s="863">
        <f t="shared" si="262"/>
        <v>54304.840000000004</v>
      </c>
      <c r="CK423" s="710"/>
      <c r="CL423" s="710"/>
      <c r="CM423" s="710"/>
      <c r="CN423" s="512"/>
      <c r="CO423" s="512"/>
      <c r="CP423" s="512"/>
      <c r="CQ423" s="512"/>
      <c r="CR423" s="512"/>
      <c r="CS423" s="512"/>
      <c r="CT423" s="512"/>
      <c r="CU423" s="512"/>
      <c r="CV423" s="515"/>
    </row>
    <row r="424" spans="1:100">
      <c r="A424" s="844"/>
      <c r="B424" s="845" t="s">
        <v>961</v>
      </c>
      <c r="C424" s="846"/>
      <c r="D424" s="846"/>
      <c r="E424" s="846"/>
      <c r="F424" s="846"/>
      <c r="G424" s="846"/>
      <c r="H424" s="846"/>
      <c r="I424" s="846"/>
      <c r="J424" s="846"/>
      <c r="K424" s="846"/>
      <c r="L424" s="846"/>
      <c r="M424" s="846"/>
      <c r="N424" s="846"/>
      <c r="O424" s="846"/>
      <c r="P424" s="846"/>
      <c r="Q424" s="846"/>
      <c r="R424" s="846"/>
      <c r="S424" s="846"/>
      <c r="T424" s="847"/>
      <c r="U424" s="848"/>
      <c r="V424" s="848"/>
      <c r="W424" s="848"/>
      <c r="X424" s="848"/>
      <c r="Y424" s="848"/>
      <c r="Z424" s="848"/>
      <c r="AA424" s="848"/>
      <c r="AB424" s="848"/>
      <c r="AC424" s="848"/>
      <c r="AD424" s="848"/>
      <c r="AE424" s="849"/>
      <c r="AF424" s="850">
        <f t="shared" si="256"/>
        <v>0</v>
      </c>
      <c r="AG424" s="851"/>
      <c r="AH424" s="852"/>
      <c r="AI424" s="852"/>
      <c r="AJ424" s="852"/>
      <c r="AK424" s="852"/>
      <c r="AL424" s="852"/>
      <c r="AM424" s="852"/>
      <c r="AN424" s="852"/>
      <c r="AO424" s="852"/>
      <c r="AP424" s="852"/>
      <c r="AQ424" s="852"/>
      <c r="AR424" s="853"/>
      <c r="AS424" s="873">
        <f t="shared" si="257"/>
        <v>0</v>
      </c>
      <c r="AT424" s="864"/>
      <c r="AU424" s="856"/>
      <c r="AV424" s="857"/>
      <c r="AW424" s="857"/>
      <c r="AX424" s="856"/>
      <c r="AY424" s="856"/>
      <c r="AZ424" s="856"/>
      <c r="BA424" s="856"/>
      <c r="BB424" s="857"/>
      <c r="BC424" s="856"/>
      <c r="BD424" s="856"/>
      <c r="BE424" s="865"/>
      <c r="BF424" s="850">
        <f t="shared" si="258"/>
        <v>0</v>
      </c>
      <c r="BG424" s="864"/>
      <c r="BH424" s="857"/>
      <c r="BI424" s="859">
        <v>0</v>
      </c>
      <c r="BJ424" s="859">
        <v>127.68</v>
      </c>
      <c r="BK424" s="856">
        <v>0</v>
      </c>
      <c r="BL424" s="856"/>
      <c r="BM424" s="856"/>
      <c r="BN424" s="856"/>
      <c r="BO424" s="856"/>
      <c r="BP424" s="856"/>
      <c r="BQ424" s="856"/>
      <c r="BR424" s="874"/>
      <c r="BS424" s="873">
        <f t="shared" si="259"/>
        <v>127.68</v>
      </c>
      <c r="BT424" s="875"/>
      <c r="BU424" s="875"/>
      <c r="BV424" s="875"/>
      <c r="BW424" s="875"/>
      <c r="BX424" s="875"/>
      <c r="BY424" s="875"/>
      <c r="BZ424" s="875"/>
      <c r="CA424" s="875"/>
      <c r="CB424" s="875"/>
      <c r="CC424" s="875"/>
      <c r="CD424" s="875"/>
      <c r="CE424" s="875"/>
      <c r="CF424" s="875"/>
      <c r="CG424" s="875"/>
      <c r="CH424" s="863">
        <f t="shared" si="260"/>
        <v>127.68</v>
      </c>
      <c r="CI424" s="863">
        <f t="shared" si="261"/>
        <v>0</v>
      </c>
      <c r="CJ424" s="863">
        <f t="shared" si="262"/>
        <v>127.68</v>
      </c>
      <c r="CK424" s="710"/>
      <c r="CL424" s="710"/>
      <c r="CM424" s="710"/>
      <c r="CN424" s="512"/>
      <c r="CO424" s="512"/>
      <c r="CP424" s="512"/>
      <c r="CQ424" s="512"/>
      <c r="CR424" s="512"/>
      <c r="CS424" s="512"/>
      <c r="CT424" s="512"/>
      <c r="CU424" s="512"/>
      <c r="CV424" s="515"/>
    </row>
    <row r="425" spans="1:100">
      <c r="A425" s="844"/>
      <c r="B425" s="845" t="s">
        <v>962</v>
      </c>
      <c r="C425" s="846"/>
      <c r="D425" s="846"/>
      <c r="E425" s="846"/>
      <c r="F425" s="846"/>
      <c r="G425" s="846"/>
      <c r="H425" s="846"/>
      <c r="I425" s="846"/>
      <c r="J425" s="846"/>
      <c r="K425" s="846"/>
      <c r="L425" s="846"/>
      <c r="M425" s="846"/>
      <c r="N425" s="846"/>
      <c r="O425" s="846"/>
      <c r="P425" s="846"/>
      <c r="Q425" s="846"/>
      <c r="R425" s="846"/>
      <c r="S425" s="846"/>
      <c r="T425" s="847"/>
      <c r="U425" s="848">
        <v>398.44</v>
      </c>
      <c r="V425" s="848">
        <v>170.76</v>
      </c>
      <c r="W425" s="848"/>
      <c r="X425" s="848"/>
      <c r="Y425" s="848"/>
      <c r="Z425" s="848"/>
      <c r="AA425" s="848"/>
      <c r="AB425" s="848"/>
      <c r="AC425" s="848"/>
      <c r="AD425" s="848">
        <v>226.56</v>
      </c>
      <c r="AE425" s="849"/>
      <c r="AF425" s="850">
        <f t="shared" si="256"/>
        <v>795.76</v>
      </c>
      <c r="AG425" s="851"/>
      <c r="AH425" s="852"/>
      <c r="AI425" s="852"/>
      <c r="AJ425" s="852"/>
      <c r="AK425" s="852"/>
      <c r="AL425" s="852"/>
      <c r="AM425" s="852"/>
      <c r="AN425" s="852"/>
      <c r="AO425" s="852"/>
      <c r="AP425" s="852"/>
      <c r="AQ425" s="852"/>
      <c r="AR425" s="853"/>
      <c r="AS425" s="873">
        <f t="shared" si="257"/>
        <v>0</v>
      </c>
      <c r="AT425" s="864"/>
      <c r="AU425" s="856"/>
      <c r="AV425" s="857"/>
      <c r="AW425" s="857"/>
      <c r="AX425" s="857"/>
      <c r="AY425" s="856"/>
      <c r="AZ425" s="856"/>
      <c r="BA425" s="856">
        <v>367.32</v>
      </c>
      <c r="BB425" s="857">
        <v>0</v>
      </c>
      <c r="BC425" s="857">
        <v>397.93</v>
      </c>
      <c r="BD425" s="856">
        <v>61.22</v>
      </c>
      <c r="BE425" s="865">
        <v>123.04</v>
      </c>
      <c r="BF425" s="850">
        <f t="shared" si="258"/>
        <v>949.51</v>
      </c>
      <c r="BG425" s="864">
        <v>953.56</v>
      </c>
      <c r="BH425" s="857">
        <v>1015.08</v>
      </c>
      <c r="BI425" s="859">
        <v>253.84</v>
      </c>
      <c r="BJ425" s="859">
        <v>2348.02</v>
      </c>
      <c r="BK425" s="856">
        <v>2712.92</v>
      </c>
      <c r="BL425" s="856"/>
      <c r="BM425" s="856"/>
      <c r="BN425" s="856"/>
      <c r="BO425" s="856"/>
      <c r="BP425" s="856"/>
      <c r="BQ425" s="856"/>
      <c r="BR425" s="874"/>
      <c r="BS425" s="873">
        <f t="shared" si="259"/>
        <v>7283.42</v>
      </c>
      <c r="BT425" s="875"/>
      <c r="BU425" s="875"/>
      <c r="BV425" s="875"/>
      <c r="BW425" s="875"/>
      <c r="BX425" s="875"/>
      <c r="BY425" s="875"/>
      <c r="BZ425" s="875"/>
      <c r="CA425" s="875"/>
      <c r="CB425" s="875"/>
      <c r="CC425" s="875"/>
      <c r="CD425" s="875"/>
      <c r="CE425" s="875"/>
      <c r="CF425" s="875"/>
      <c r="CG425" s="875"/>
      <c r="CH425" s="863">
        <f t="shared" si="260"/>
        <v>9028.69</v>
      </c>
      <c r="CI425" s="863">
        <f t="shared" si="261"/>
        <v>0</v>
      </c>
      <c r="CJ425" s="863">
        <f t="shared" si="262"/>
        <v>9028.69</v>
      </c>
      <c r="CK425" s="710"/>
      <c r="CL425" s="710"/>
      <c r="CM425" s="710"/>
      <c r="CN425" s="512"/>
      <c r="CO425" s="512"/>
      <c r="CP425" s="512"/>
      <c r="CQ425" s="512"/>
      <c r="CR425" s="512"/>
      <c r="CS425" s="512"/>
      <c r="CT425" s="512"/>
      <c r="CU425" s="512"/>
      <c r="CV425" s="515"/>
    </row>
    <row r="426" spans="1:100">
      <c r="A426" s="844"/>
      <c r="B426" s="845" t="s">
        <v>963</v>
      </c>
      <c r="C426" s="846"/>
      <c r="D426" s="846"/>
      <c r="E426" s="846"/>
      <c r="F426" s="846"/>
      <c r="G426" s="846"/>
      <c r="H426" s="846"/>
      <c r="I426" s="846"/>
      <c r="J426" s="846"/>
      <c r="K426" s="846"/>
      <c r="L426" s="846"/>
      <c r="M426" s="846"/>
      <c r="N426" s="846"/>
      <c r="O426" s="846"/>
      <c r="P426" s="846"/>
      <c r="Q426" s="846"/>
      <c r="R426" s="846"/>
      <c r="S426" s="846"/>
      <c r="T426" s="847">
        <v>2272.0500000000002</v>
      </c>
      <c r="U426" s="848">
        <v>1280.6099999999999</v>
      </c>
      <c r="V426" s="848">
        <v>495.72</v>
      </c>
      <c r="W426" s="848">
        <v>3304.8</v>
      </c>
      <c r="X426" s="848">
        <v>1817.64</v>
      </c>
      <c r="Y426" s="848">
        <v>660.96</v>
      </c>
      <c r="Z426" s="848">
        <v>950.13</v>
      </c>
      <c r="AA426" s="848">
        <v>660.96</v>
      </c>
      <c r="AB426" s="848">
        <v>784.89</v>
      </c>
      <c r="AC426" s="848">
        <v>3056.94</v>
      </c>
      <c r="AD426" s="848">
        <v>2395.98</v>
      </c>
      <c r="AE426" s="849">
        <v>2561.2199999999998</v>
      </c>
      <c r="AF426" s="850">
        <f t="shared" si="256"/>
        <v>20241.900000000001</v>
      </c>
      <c r="AG426" s="851">
        <v>3841.83</v>
      </c>
      <c r="AH426" s="852">
        <v>1735.02</v>
      </c>
      <c r="AI426" s="852">
        <v>1000.24</v>
      </c>
      <c r="AJ426" s="852">
        <v>387.63</v>
      </c>
      <c r="AK426" s="852">
        <v>1679.73</v>
      </c>
      <c r="AL426" s="852">
        <v>2024.29</v>
      </c>
      <c r="AM426" s="852">
        <v>646.04999999999995</v>
      </c>
      <c r="AN426" s="852">
        <v>732.19</v>
      </c>
      <c r="AO426" s="852">
        <v>430.7</v>
      </c>
      <c r="AP426" s="852">
        <v>1130.04</v>
      </c>
      <c r="AQ426" s="852">
        <v>4423.8</v>
      </c>
      <c r="AR426" s="853">
        <v>3635.4</v>
      </c>
      <c r="AS426" s="873">
        <f t="shared" si="257"/>
        <v>21666.920000000002</v>
      </c>
      <c r="AT426" s="864">
        <v>1095</v>
      </c>
      <c r="AU426" s="856">
        <v>3723</v>
      </c>
      <c r="AV426" s="857">
        <v>6349.7</v>
      </c>
      <c r="AW426" s="857">
        <v>3919.35</v>
      </c>
      <c r="AX426" s="857">
        <v>2612.9</v>
      </c>
      <c r="AY426" s="856">
        <v>3919.35</v>
      </c>
      <c r="AZ426" s="856">
        <v>2072.3000000000002</v>
      </c>
      <c r="BA426" s="856">
        <v>3739.15</v>
      </c>
      <c r="BB426" s="857">
        <v>765.85</v>
      </c>
      <c r="BC426" s="857">
        <v>1756.95</v>
      </c>
      <c r="BD426" s="856">
        <v>1396.55</v>
      </c>
      <c r="BE426" s="865">
        <v>1494.24</v>
      </c>
      <c r="BF426" s="850">
        <f t="shared" si="258"/>
        <v>32844.339999999997</v>
      </c>
      <c r="BG426" s="864">
        <v>1222.56</v>
      </c>
      <c r="BH426" s="857">
        <v>1267.8399999999999</v>
      </c>
      <c r="BI426" s="859">
        <v>2101.0500000000002</v>
      </c>
      <c r="BJ426" s="859">
        <v>1774.22</v>
      </c>
      <c r="BK426" s="856">
        <v>3781.89</v>
      </c>
      <c r="BL426" s="856">
        <f>41*160*0.2</f>
        <v>1312</v>
      </c>
      <c r="BM426" s="856"/>
      <c r="BN426" s="856"/>
      <c r="BO426" s="856"/>
      <c r="BP426" s="856"/>
      <c r="BQ426" s="856"/>
      <c r="BR426" s="874"/>
      <c r="BS426" s="873">
        <f t="shared" si="259"/>
        <v>11459.56</v>
      </c>
      <c r="BT426" s="875"/>
      <c r="BU426" s="875"/>
      <c r="BV426" s="875"/>
      <c r="BW426" s="875"/>
      <c r="BX426" s="875"/>
      <c r="BY426" s="875"/>
      <c r="BZ426" s="875"/>
      <c r="CA426" s="875"/>
      <c r="CB426" s="875"/>
      <c r="CC426" s="875"/>
      <c r="CD426" s="875"/>
      <c r="CE426" s="875"/>
      <c r="CF426" s="875"/>
      <c r="CG426" s="875"/>
      <c r="CH426" s="863">
        <f t="shared" si="260"/>
        <v>84900.72</v>
      </c>
      <c r="CI426" s="863">
        <f t="shared" si="261"/>
        <v>1312</v>
      </c>
      <c r="CJ426" s="863">
        <f t="shared" si="262"/>
        <v>86212.72</v>
      </c>
      <c r="CK426" s="710"/>
      <c r="CL426" s="710"/>
      <c r="CM426" s="710"/>
      <c r="CN426" s="512"/>
      <c r="CO426" s="512"/>
      <c r="CP426" s="512"/>
      <c r="CQ426" s="512"/>
      <c r="CR426" s="512"/>
      <c r="CS426" s="512"/>
      <c r="CT426" s="512"/>
      <c r="CU426" s="512"/>
      <c r="CV426" s="515"/>
    </row>
    <row r="427" spans="1:100">
      <c r="A427" s="844"/>
      <c r="B427" s="845" t="s">
        <v>964</v>
      </c>
      <c r="C427" s="846"/>
      <c r="D427" s="846"/>
      <c r="E427" s="846"/>
      <c r="F427" s="846"/>
      <c r="G427" s="846"/>
      <c r="H427" s="846"/>
      <c r="I427" s="846"/>
      <c r="J427" s="846"/>
      <c r="K427" s="846"/>
      <c r="L427" s="846"/>
      <c r="M427" s="846"/>
      <c r="N427" s="846"/>
      <c r="O427" s="846"/>
      <c r="P427" s="846"/>
      <c r="Q427" s="846"/>
      <c r="R427" s="846"/>
      <c r="S427" s="846"/>
      <c r="T427" s="847"/>
      <c r="U427" s="848"/>
      <c r="V427" s="848"/>
      <c r="W427" s="848"/>
      <c r="X427" s="848"/>
      <c r="Y427" s="848"/>
      <c r="Z427" s="848"/>
      <c r="AA427" s="848"/>
      <c r="AB427" s="848"/>
      <c r="AC427" s="848"/>
      <c r="AD427" s="848">
        <v>776.5</v>
      </c>
      <c r="AE427" s="849">
        <v>698.85</v>
      </c>
      <c r="AF427" s="850">
        <f t="shared" si="256"/>
        <v>1475.35</v>
      </c>
      <c r="AG427" s="851"/>
      <c r="AH427" s="852"/>
      <c r="AI427" s="852"/>
      <c r="AJ427" s="852"/>
      <c r="AK427" s="852"/>
      <c r="AL427" s="852"/>
      <c r="AM427" s="852"/>
      <c r="AN427" s="852"/>
      <c r="AO427" s="852"/>
      <c r="AP427" s="852"/>
      <c r="AQ427" s="852"/>
      <c r="AR427" s="853"/>
      <c r="AS427" s="873">
        <f t="shared" si="257"/>
        <v>0</v>
      </c>
      <c r="AT427" s="864"/>
      <c r="AU427" s="856"/>
      <c r="AV427" s="857"/>
      <c r="AW427" s="857"/>
      <c r="AX427" s="857"/>
      <c r="AY427" s="856"/>
      <c r="AZ427" s="856"/>
      <c r="BA427" s="856"/>
      <c r="BB427" s="857">
        <v>808.8</v>
      </c>
      <c r="BC427" s="857">
        <v>1536.72</v>
      </c>
      <c r="BD427" s="856">
        <v>3421.32</v>
      </c>
      <c r="BE427" s="865">
        <v>4521.25</v>
      </c>
      <c r="BF427" s="850">
        <f t="shared" si="258"/>
        <v>10288.09</v>
      </c>
      <c r="BG427" s="864">
        <v>1873.58</v>
      </c>
      <c r="BH427" s="857">
        <v>407.3</v>
      </c>
      <c r="BI427" s="859">
        <v>0</v>
      </c>
      <c r="BJ427" s="859">
        <v>250.5</v>
      </c>
      <c r="BK427" s="856">
        <v>0</v>
      </c>
      <c r="BL427" s="856"/>
      <c r="BM427" s="856"/>
      <c r="BN427" s="856"/>
      <c r="BO427" s="856"/>
      <c r="BP427" s="856"/>
      <c r="BQ427" s="856"/>
      <c r="BR427" s="874"/>
      <c r="BS427" s="873">
        <f t="shared" si="259"/>
        <v>2531.38</v>
      </c>
      <c r="BT427" s="875"/>
      <c r="BU427" s="875"/>
      <c r="BV427" s="875"/>
      <c r="BW427" s="875"/>
      <c r="BX427" s="875"/>
      <c r="BY427" s="875"/>
      <c r="BZ427" s="875"/>
      <c r="CA427" s="875"/>
      <c r="CB427" s="875"/>
      <c r="CC427" s="875"/>
      <c r="CD427" s="875"/>
      <c r="CE427" s="875"/>
      <c r="CF427" s="875"/>
      <c r="CG427" s="875"/>
      <c r="CH427" s="863">
        <f t="shared" si="260"/>
        <v>14294.82</v>
      </c>
      <c r="CI427" s="863">
        <f t="shared" si="261"/>
        <v>0</v>
      </c>
      <c r="CJ427" s="863">
        <f t="shared" si="262"/>
        <v>14294.82</v>
      </c>
      <c r="CK427" s="710"/>
      <c r="CL427" s="710"/>
      <c r="CM427" s="710"/>
      <c r="CN427" s="512"/>
      <c r="CO427" s="512"/>
      <c r="CP427" s="512"/>
      <c r="CQ427" s="512"/>
      <c r="CR427" s="512"/>
      <c r="CS427" s="512"/>
      <c r="CT427" s="512"/>
      <c r="CU427" s="512"/>
      <c r="CV427" s="515"/>
    </row>
    <row r="428" spans="1:100">
      <c r="A428" s="844"/>
      <c r="B428" s="845" t="s">
        <v>965</v>
      </c>
      <c r="C428" s="846"/>
      <c r="D428" s="846"/>
      <c r="E428" s="846"/>
      <c r="F428" s="846"/>
      <c r="G428" s="846"/>
      <c r="H428" s="846"/>
      <c r="I428" s="846"/>
      <c r="J428" s="846"/>
      <c r="K428" s="846"/>
      <c r="L428" s="846"/>
      <c r="M428" s="846"/>
      <c r="N428" s="846"/>
      <c r="O428" s="846"/>
      <c r="P428" s="846"/>
      <c r="Q428" s="846"/>
      <c r="R428" s="846"/>
      <c r="S428" s="846"/>
      <c r="T428" s="847"/>
      <c r="U428" s="848"/>
      <c r="V428" s="848"/>
      <c r="W428" s="848"/>
      <c r="X428" s="848"/>
      <c r="Y428" s="848"/>
      <c r="Z428" s="848"/>
      <c r="AA428" s="848"/>
      <c r="AB428" s="848"/>
      <c r="AC428" s="848"/>
      <c r="AD428" s="848"/>
      <c r="AE428" s="849"/>
      <c r="AF428" s="850">
        <f t="shared" si="256"/>
        <v>0</v>
      </c>
      <c r="AG428" s="851"/>
      <c r="AH428" s="852"/>
      <c r="AI428" s="852">
        <v>296.16000000000003</v>
      </c>
      <c r="AJ428" s="852"/>
      <c r="AK428" s="852"/>
      <c r="AL428" s="852"/>
      <c r="AM428" s="852"/>
      <c r="AN428" s="852"/>
      <c r="AO428" s="852"/>
      <c r="AP428" s="852"/>
      <c r="AQ428" s="852"/>
      <c r="AR428" s="853"/>
      <c r="AS428" s="873">
        <f t="shared" si="257"/>
        <v>296.16000000000003</v>
      </c>
      <c r="AT428" s="864"/>
      <c r="AU428" s="856"/>
      <c r="AV428" s="857"/>
      <c r="AW428" s="857"/>
      <c r="AX428" s="856"/>
      <c r="AY428" s="856"/>
      <c r="AZ428" s="856"/>
      <c r="BA428" s="856"/>
      <c r="BB428" s="857">
        <v>0</v>
      </c>
      <c r="BC428" s="857">
        <v>0</v>
      </c>
      <c r="BD428" s="856">
        <v>0</v>
      </c>
      <c r="BE428" s="865">
        <v>0</v>
      </c>
      <c r="BF428" s="850">
        <f t="shared" si="258"/>
        <v>0</v>
      </c>
      <c r="BG428" s="864">
        <v>0</v>
      </c>
      <c r="BH428" s="857">
        <v>0</v>
      </c>
      <c r="BI428" s="859">
        <v>0</v>
      </c>
      <c r="BJ428" s="859">
        <v>0</v>
      </c>
      <c r="BK428" s="856">
        <v>0</v>
      </c>
      <c r="BL428" s="856"/>
      <c r="BM428" s="856"/>
      <c r="BN428" s="856"/>
      <c r="BO428" s="856"/>
      <c r="BP428" s="856"/>
      <c r="BQ428" s="856"/>
      <c r="BR428" s="874"/>
      <c r="BS428" s="873">
        <f t="shared" si="259"/>
        <v>0</v>
      </c>
      <c r="BT428" s="875"/>
      <c r="BU428" s="875"/>
      <c r="BV428" s="875"/>
      <c r="BW428" s="875"/>
      <c r="BX428" s="875"/>
      <c r="BY428" s="875"/>
      <c r="BZ428" s="875"/>
      <c r="CA428" s="875"/>
      <c r="CB428" s="875"/>
      <c r="CC428" s="875"/>
      <c r="CD428" s="875"/>
      <c r="CE428" s="875"/>
      <c r="CF428" s="875"/>
      <c r="CG428" s="875"/>
      <c r="CH428" s="863">
        <f t="shared" si="260"/>
        <v>296.16000000000003</v>
      </c>
      <c r="CI428" s="863">
        <f t="shared" si="261"/>
        <v>0</v>
      </c>
      <c r="CJ428" s="863">
        <f t="shared" si="262"/>
        <v>296.16000000000003</v>
      </c>
      <c r="CK428" s="710"/>
      <c r="CL428" s="710"/>
      <c r="CM428" s="710"/>
      <c r="CN428" s="512"/>
      <c r="CO428" s="512"/>
      <c r="CP428" s="512"/>
      <c r="CQ428" s="512"/>
      <c r="CR428" s="512"/>
      <c r="CS428" s="512"/>
      <c r="CT428" s="512"/>
      <c r="CU428" s="512"/>
      <c r="CV428" s="515"/>
    </row>
    <row r="429" spans="1:100">
      <c r="A429" s="844"/>
      <c r="B429" s="845" t="s">
        <v>966</v>
      </c>
      <c r="C429" s="875"/>
      <c r="D429" s="875"/>
      <c r="E429" s="875"/>
      <c r="F429" s="875"/>
      <c r="G429" s="875"/>
      <c r="H429" s="875"/>
      <c r="I429" s="875"/>
      <c r="J429" s="875"/>
      <c r="K429" s="875"/>
      <c r="L429" s="875"/>
      <c r="M429" s="875"/>
      <c r="N429" s="875"/>
      <c r="O429" s="875"/>
      <c r="P429" s="875"/>
      <c r="Q429" s="875"/>
      <c r="R429" s="875"/>
      <c r="S429" s="875"/>
      <c r="T429" s="876"/>
      <c r="U429" s="877"/>
      <c r="V429" s="877"/>
      <c r="W429" s="877"/>
      <c r="X429" s="877"/>
      <c r="Y429" s="877"/>
      <c r="Z429" s="877"/>
      <c r="AA429" s="877"/>
      <c r="AB429" s="877"/>
      <c r="AC429" s="877"/>
      <c r="AD429" s="877">
        <v>48.4</v>
      </c>
      <c r="AE429" s="878"/>
      <c r="AF429" s="873">
        <f t="shared" si="256"/>
        <v>48.4</v>
      </c>
      <c r="AG429" s="879"/>
      <c r="AH429" s="880"/>
      <c r="AI429" s="880"/>
      <c r="AJ429" s="880"/>
      <c r="AK429" s="880"/>
      <c r="AL429" s="880"/>
      <c r="AM429" s="880"/>
      <c r="AN429" s="880"/>
      <c r="AO429" s="852"/>
      <c r="AP429" s="880"/>
      <c r="AQ429" s="880"/>
      <c r="AR429" s="853"/>
      <c r="AS429" s="873">
        <f t="shared" si="257"/>
        <v>0</v>
      </c>
      <c r="AT429" s="864"/>
      <c r="AU429" s="856"/>
      <c r="AV429" s="857"/>
      <c r="AW429" s="857"/>
      <c r="AX429" s="856"/>
      <c r="AY429" s="856"/>
      <c r="AZ429" s="856"/>
      <c r="BA429" s="856"/>
      <c r="BB429" s="857">
        <v>0</v>
      </c>
      <c r="BC429" s="857">
        <v>0</v>
      </c>
      <c r="BD429" s="856">
        <v>0</v>
      </c>
      <c r="BE429" s="865">
        <v>0</v>
      </c>
      <c r="BF429" s="850">
        <f t="shared" si="258"/>
        <v>0</v>
      </c>
      <c r="BG429" s="864">
        <v>0</v>
      </c>
      <c r="BH429" s="857">
        <v>0</v>
      </c>
      <c r="BI429" s="859">
        <v>0</v>
      </c>
      <c r="BJ429" s="859">
        <v>0</v>
      </c>
      <c r="BK429" s="856">
        <v>0</v>
      </c>
      <c r="BL429" s="856"/>
      <c r="BM429" s="856"/>
      <c r="BN429" s="856"/>
      <c r="BO429" s="856"/>
      <c r="BP429" s="856"/>
      <c r="BQ429" s="856"/>
      <c r="BR429" s="874"/>
      <c r="BS429" s="873">
        <f t="shared" si="259"/>
        <v>0</v>
      </c>
      <c r="BT429" s="875"/>
      <c r="BU429" s="875"/>
      <c r="BV429" s="875"/>
      <c r="BW429" s="875"/>
      <c r="BX429" s="875"/>
      <c r="BY429" s="875"/>
      <c r="BZ429" s="875"/>
      <c r="CA429" s="875"/>
      <c r="CB429" s="875"/>
      <c r="CC429" s="875"/>
      <c r="CD429" s="875"/>
      <c r="CE429" s="875"/>
      <c r="CF429" s="875"/>
      <c r="CG429" s="875"/>
      <c r="CH429" s="863">
        <f t="shared" si="260"/>
        <v>48.4</v>
      </c>
      <c r="CI429" s="863">
        <f t="shared" si="261"/>
        <v>0</v>
      </c>
      <c r="CJ429" s="863">
        <f t="shared" si="262"/>
        <v>48.4</v>
      </c>
      <c r="CK429" s="710"/>
      <c r="CL429" s="710"/>
      <c r="CM429" s="710"/>
      <c r="CN429" s="512"/>
      <c r="CO429" s="512"/>
      <c r="CP429" s="512"/>
      <c r="CQ429" s="512"/>
      <c r="CR429" s="512"/>
      <c r="CS429" s="512"/>
      <c r="CT429" s="512"/>
      <c r="CU429" s="512"/>
      <c r="CV429" s="515"/>
    </row>
    <row r="430" spans="1:100">
      <c r="A430" s="844"/>
      <c r="B430" s="845" t="s">
        <v>967</v>
      </c>
      <c r="C430" s="846"/>
      <c r="D430" s="846"/>
      <c r="E430" s="846"/>
      <c r="F430" s="846"/>
      <c r="G430" s="846"/>
      <c r="H430" s="846"/>
      <c r="I430" s="846"/>
      <c r="J430" s="846"/>
      <c r="K430" s="846"/>
      <c r="L430" s="846"/>
      <c r="M430" s="846"/>
      <c r="N430" s="846"/>
      <c r="O430" s="846"/>
      <c r="P430" s="846"/>
      <c r="Q430" s="846"/>
      <c r="R430" s="846"/>
      <c r="S430" s="846"/>
      <c r="T430" s="847"/>
      <c r="U430" s="848"/>
      <c r="V430" s="848"/>
      <c r="W430" s="848"/>
      <c r="X430" s="848"/>
      <c r="Y430" s="848"/>
      <c r="Z430" s="848"/>
      <c r="AA430" s="848"/>
      <c r="AB430" s="848"/>
      <c r="AC430" s="848"/>
      <c r="AD430" s="848"/>
      <c r="AE430" s="849"/>
      <c r="AF430" s="850">
        <f t="shared" si="256"/>
        <v>0</v>
      </c>
      <c r="AG430" s="851"/>
      <c r="AH430" s="852"/>
      <c r="AI430" s="852"/>
      <c r="AJ430" s="852"/>
      <c r="AK430" s="852"/>
      <c r="AL430" s="852"/>
      <c r="AM430" s="852"/>
      <c r="AN430" s="852"/>
      <c r="AO430" s="852"/>
      <c r="AP430" s="852"/>
      <c r="AQ430" s="852"/>
      <c r="AR430" s="853"/>
      <c r="AS430" s="873">
        <f t="shared" si="257"/>
        <v>0</v>
      </c>
      <c r="AT430" s="864"/>
      <c r="AU430" s="856"/>
      <c r="AV430" s="857"/>
      <c r="AW430" s="857">
        <v>321.36</v>
      </c>
      <c r="AX430" s="856"/>
      <c r="AY430" s="856"/>
      <c r="AZ430" s="856"/>
      <c r="BA430" s="856"/>
      <c r="BB430" s="857">
        <v>97.12</v>
      </c>
      <c r="BC430" s="857">
        <v>0</v>
      </c>
      <c r="BD430" s="856">
        <v>0</v>
      </c>
      <c r="BE430" s="865">
        <v>156.72</v>
      </c>
      <c r="BF430" s="850">
        <f t="shared" si="258"/>
        <v>575.20000000000005</v>
      </c>
      <c r="BG430" s="864">
        <v>600.76</v>
      </c>
      <c r="BH430" s="857">
        <v>52.24</v>
      </c>
      <c r="BI430" s="859">
        <v>430.98</v>
      </c>
      <c r="BJ430" s="859">
        <v>0</v>
      </c>
      <c r="BK430" s="856">
        <v>0</v>
      </c>
      <c r="BL430" s="856"/>
      <c r="BM430" s="856"/>
      <c r="BN430" s="856"/>
      <c r="BO430" s="856"/>
      <c r="BP430" s="856"/>
      <c r="BQ430" s="856"/>
      <c r="BR430" s="874"/>
      <c r="BS430" s="873">
        <f t="shared" si="259"/>
        <v>1083.98</v>
      </c>
      <c r="BT430" s="875"/>
      <c r="BU430" s="875"/>
      <c r="BV430" s="875"/>
      <c r="BW430" s="875"/>
      <c r="BX430" s="875"/>
      <c r="BY430" s="875"/>
      <c r="BZ430" s="875"/>
      <c r="CA430" s="875"/>
      <c r="CB430" s="875"/>
      <c r="CC430" s="875"/>
      <c r="CD430" s="875"/>
      <c r="CE430" s="875"/>
      <c r="CF430" s="875"/>
      <c r="CG430" s="875"/>
      <c r="CH430" s="863">
        <f t="shared" si="260"/>
        <v>1659.18</v>
      </c>
      <c r="CI430" s="863">
        <f t="shared" si="261"/>
        <v>0</v>
      </c>
      <c r="CJ430" s="863">
        <f t="shared" si="262"/>
        <v>1659.18</v>
      </c>
      <c r="CK430" s="710"/>
      <c r="CL430" s="710"/>
      <c r="CM430" s="710"/>
      <c r="CN430" s="512"/>
      <c r="CO430" s="512"/>
      <c r="CP430" s="512"/>
      <c r="CQ430" s="512"/>
      <c r="CR430" s="512"/>
      <c r="CS430" s="512"/>
      <c r="CT430" s="512"/>
      <c r="CU430" s="512"/>
      <c r="CV430" s="515"/>
    </row>
    <row r="431" spans="1:100">
      <c r="A431" s="844"/>
      <c r="B431" s="845" t="s">
        <v>968</v>
      </c>
      <c r="C431" s="846"/>
      <c r="D431" s="846"/>
      <c r="E431" s="846"/>
      <c r="F431" s="846"/>
      <c r="G431" s="846"/>
      <c r="H431" s="846"/>
      <c r="I431" s="846"/>
      <c r="J431" s="846"/>
      <c r="K431" s="846"/>
      <c r="L431" s="846"/>
      <c r="M431" s="846"/>
      <c r="N431" s="846"/>
      <c r="O431" s="846"/>
      <c r="P431" s="846"/>
      <c r="Q431" s="846"/>
      <c r="R431" s="846"/>
      <c r="S431" s="846"/>
      <c r="T431" s="847"/>
      <c r="U431" s="848"/>
      <c r="V431" s="848"/>
      <c r="W431" s="848"/>
      <c r="X431" s="848"/>
      <c r="Y431" s="848"/>
      <c r="Z431" s="848"/>
      <c r="AA431" s="848"/>
      <c r="AB431" s="848"/>
      <c r="AC431" s="848"/>
      <c r="AD431" s="848"/>
      <c r="AE431" s="849"/>
      <c r="AF431" s="850">
        <f t="shared" si="256"/>
        <v>0</v>
      </c>
      <c r="AG431" s="851"/>
      <c r="AH431" s="852"/>
      <c r="AI431" s="852"/>
      <c r="AJ431" s="852"/>
      <c r="AK431" s="852"/>
      <c r="AL431" s="852"/>
      <c r="AM431" s="852"/>
      <c r="AN431" s="852"/>
      <c r="AO431" s="852"/>
      <c r="AP431" s="852"/>
      <c r="AQ431" s="852"/>
      <c r="AR431" s="853"/>
      <c r="AS431" s="873">
        <f t="shared" si="257"/>
        <v>0</v>
      </c>
      <c r="AT431" s="864">
        <v>1178.24</v>
      </c>
      <c r="AU431" s="856">
        <v>382.08</v>
      </c>
      <c r="AV431" s="857">
        <v>143.28</v>
      </c>
      <c r="AW431" s="857">
        <v>35.93</v>
      </c>
      <c r="AX431" s="856"/>
      <c r="AY431" s="856"/>
      <c r="AZ431" s="856"/>
      <c r="BA431" s="856"/>
      <c r="BB431" s="857">
        <v>0</v>
      </c>
      <c r="BC431" s="857">
        <v>0</v>
      </c>
      <c r="BD431" s="856">
        <v>0</v>
      </c>
      <c r="BE431" s="865">
        <v>0</v>
      </c>
      <c r="BF431" s="850">
        <f t="shared" si="258"/>
        <v>1739.53</v>
      </c>
      <c r="BG431" s="864">
        <v>0</v>
      </c>
      <c r="BH431" s="857">
        <v>0</v>
      </c>
      <c r="BI431" s="859">
        <v>0</v>
      </c>
      <c r="BJ431" s="859">
        <v>0</v>
      </c>
      <c r="BK431" s="856">
        <v>0</v>
      </c>
      <c r="BL431" s="856"/>
      <c r="BM431" s="856"/>
      <c r="BN431" s="856"/>
      <c r="BO431" s="856"/>
      <c r="BP431" s="856"/>
      <c r="BQ431" s="856"/>
      <c r="BR431" s="874"/>
      <c r="BS431" s="873">
        <f t="shared" si="259"/>
        <v>0</v>
      </c>
      <c r="BT431" s="875"/>
      <c r="BU431" s="875"/>
      <c r="BV431" s="875"/>
      <c r="BW431" s="875"/>
      <c r="BX431" s="875"/>
      <c r="BY431" s="875"/>
      <c r="BZ431" s="875"/>
      <c r="CA431" s="875"/>
      <c r="CB431" s="875"/>
      <c r="CC431" s="875"/>
      <c r="CD431" s="875"/>
      <c r="CE431" s="875"/>
      <c r="CF431" s="875"/>
      <c r="CG431" s="875"/>
      <c r="CH431" s="863">
        <f t="shared" si="260"/>
        <v>1739.53</v>
      </c>
      <c r="CI431" s="863">
        <f t="shared" si="261"/>
        <v>0</v>
      </c>
      <c r="CJ431" s="863">
        <f t="shared" si="262"/>
        <v>1739.53</v>
      </c>
      <c r="CK431" s="710"/>
      <c r="CL431" s="710"/>
      <c r="CM431" s="710"/>
      <c r="CN431" s="512"/>
      <c r="CO431" s="512"/>
      <c r="CP431" s="512"/>
      <c r="CQ431" s="512"/>
      <c r="CR431" s="512"/>
      <c r="CS431" s="512"/>
      <c r="CT431" s="512"/>
      <c r="CU431" s="512"/>
      <c r="CV431" s="515"/>
    </row>
    <row r="432" spans="1:100">
      <c r="A432" s="844"/>
      <c r="B432" s="845" t="s">
        <v>969</v>
      </c>
      <c r="C432" s="846"/>
      <c r="D432" s="846"/>
      <c r="E432" s="846"/>
      <c r="F432" s="846"/>
      <c r="G432" s="846"/>
      <c r="H432" s="846"/>
      <c r="I432" s="846"/>
      <c r="J432" s="846"/>
      <c r="K432" s="846"/>
      <c r="L432" s="846"/>
      <c r="M432" s="846"/>
      <c r="N432" s="846"/>
      <c r="O432" s="846"/>
      <c r="P432" s="846"/>
      <c r="Q432" s="846"/>
      <c r="R432" s="846"/>
      <c r="S432" s="846"/>
      <c r="T432" s="847"/>
      <c r="U432" s="848"/>
      <c r="V432" s="848"/>
      <c r="W432" s="848"/>
      <c r="X432" s="848"/>
      <c r="Y432" s="848"/>
      <c r="Z432" s="848"/>
      <c r="AA432" s="848"/>
      <c r="AB432" s="848"/>
      <c r="AC432" s="848"/>
      <c r="AD432" s="848"/>
      <c r="AE432" s="849"/>
      <c r="AF432" s="850">
        <f t="shared" si="256"/>
        <v>0</v>
      </c>
      <c r="AG432" s="851"/>
      <c r="AH432" s="852"/>
      <c r="AI432" s="852"/>
      <c r="AJ432" s="852"/>
      <c r="AK432" s="852"/>
      <c r="AL432" s="852"/>
      <c r="AM432" s="852"/>
      <c r="AN432" s="852"/>
      <c r="AO432" s="852"/>
      <c r="AP432" s="852"/>
      <c r="AQ432" s="852"/>
      <c r="AR432" s="853"/>
      <c r="AS432" s="873">
        <f t="shared" si="257"/>
        <v>0</v>
      </c>
      <c r="AT432" s="864">
        <v>287.95</v>
      </c>
      <c r="AU432" s="856"/>
      <c r="AV432" s="857"/>
      <c r="AW432" s="857">
        <v>246.18</v>
      </c>
      <c r="AX432" s="856">
        <v>189.79</v>
      </c>
      <c r="AY432" s="856"/>
      <c r="AZ432" s="856"/>
      <c r="BA432" s="856"/>
      <c r="BB432" s="857">
        <v>73.819999999999993</v>
      </c>
      <c r="BC432" s="856">
        <v>0</v>
      </c>
      <c r="BD432" s="856">
        <v>90</v>
      </c>
      <c r="BE432" s="865">
        <v>269.04000000000002</v>
      </c>
      <c r="BF432" s="850">
        <f t="shared" si="258"/>
        <v>1156.78</v>
      </c>
      <c r="BG432" s="864">
        <v>1087.3699999999999</v>
      </c>
      <c r="BH432" s="857">
        <v>701.86</v>
      </c>
      <c r="BI432" s="859">
        <v>285.36</v>
      </c>
      <c r="BJ432" s="859">
        <v>255.36</v>
      </c>
      <c r="BK432" s="856">
        <v>0</v>
      </c>
      <c r="BL432" s="856"/>
      <c r="BM432" s="856"/>
      <c r="BN432" s="856"/>
      <c r="BO432" s="856"/>
      <c r="BP432" s="856"/>
      <c r="BQ432" s="856"/>
      <c r="BR432" s="874"/>
      <c r="BS432" s="873">
        <f t="shared" si="259"/>
        <v>2329.9500000000003</v>
      </c>
      <c r="BT432" s="875"/>
      <c r="BU432" s="875"/>
      <c r="BV432" s="875"/>
      <c r="BW432" s="875"/>
      <c r="BX432" s="875"/>
      <c r="BY432" s="875"/>
      <c r="BZ432" s="875"/>
      <c r="CA432" s="875"/>
      <c r="CB432" s="875"/>
      <c r="CC432" s="875"/>
      <c r="CD432" s="875"/>
      <c r="CE432" s="875"/>
      <c r="CF432" s="875"/>
      <c r="CG432" s="875"/>
      <c r="CH432" s="863">
        <f t="shared" si="260"/>
        <v>3486.73</v>
      </c>
      <c r="CI432" s="863">
        <f t="shared" si="261"/>
        <v>0</v>
      </c>
      <c r="CJ432" s="863">
        <f t="shared" si="262"/>
        <v>3486.73</v>
      </c>
      <c r="CK432" s="710"/>
      <c r="CL432" s="710"/>
      <c r="CM432" s="710"/>
      <c r="CN432" s="512"/>
      <c r="CO432" s="512"/>
      <c r="CP432" s="512"/>
      <c r="CQ432" s="512"/>
      <c r="CR432" s="512"/>
      <c r="CS432" s="512"/>
      <c r="CT432" s="512"/>
      <c r="CU432" s="512"/>
      <c r="CV432" s="515"/>
    </row>
    <row r="433" spans="1:100">
      <c r="A433" s="844"/>
      <c r="B433" s="845" t="s">
        <v>970</v>
      </c>
      <c r="C433" s="846"/>
      <c r="D433" s="846"/>
      <c r="E433" s="846"/>
      <c r="F433" s="846"/>
      <c r="G433" s="846"/>
      <c r="H433" s="846"/>
      <c r="I433" s="846"/>
      <c r="J433" s="846"/>
      <c r="K433" s="846"/>
      <c r="L433" s="846"/>
      <c r="M433" s="846"/>
      <c r="N433" s="846"/>
      <c r="O433" s="846"/>
      <c r="P433" s="846"/>
      <c r="Q433" s="846"/>
      <c r="R433" s="846"/>
      <c r="S433" s="846"/>
      <c r="T433" s="847"/>
      <c r="U433" s="848"/>
      <c r="V433" s="848"/>
      <c r="W433" s="848"/>
      <c r="X433" s="848"/>
      <c r="Y433" s="848"/>
      <c r="Z433" s="848"/>
      <c r="AA433" s="848"/>
      <c r="AB433" s="848"/>
      <c r="AC433" s="848"/>
      <c r="AD433" s="848"/>
      <c r="AE433" s="849"/>
      <c r="AF433" s="850">
        <f t="shared" si="256"/>
        <v>0</v>
      </c>
      <c r="AG433" s="851"/>
      <c r="AH433" s="852"/>
      <c r="AI433" s="852"/>
      <c r="AJ433" s="852"/>
      <c r="AK433" s="852"/>
      <c r="AL433" s="852"/>
      <c r="AM433" s="852"/>
      <c r="AN433" s="852"/>
      <c r="AO433" s="852"/>
      <c r="AP433" s="852"/>
      <c r="AQ433" s="852"/>
      <c r="AR433" s="853"/>
      <c r="AS433" s="873">
        <f t="shared" si="257"/>
        <v>0</v>
      </c>
      <c r="AT433" s="864"/>
      <c r="AU433" s="856"/>
      <c r="AV433" s="857"/>
      <c r="AW433" s="857"/>
      <c r="AX433" s="856"/>
      <c r="AY433" s="856">
        <v>89.04</v>
      </c>
      <c r="AZ433" s="856"/>
      <c r="BA433" s="856"/>
      <c r="BB433" s="857">
        <v>0</v>
      </c>
      <c r="BC433" s="856">
        <v>77.91</v>
      </c>
      <c r="BD433" s="856">
        <v>0</v>
      </c>
      <c r="BE433" s="865">
        <v>0</v>
      </c>
      <c r="BF433" s="850">
        <f t="shared" si="258"/>
        <v>166.95</v>
      </c>
      <c r="BG433" s="864">
        <v>0</v>
      </c>
      <c r="BH433" s="857">
        <v>0</v>
      </c>
      <c r="BI433" s="859">
        <v>0</v>
      </c>
      <c r="BJ433" s="859">
        <v>0</v>
      </c>
      <c r="BK433" s="856">
        <v>0</v>
      </c>
      <c r="BL433" s="856"/>
      <c r="BM433" s="856"/>
      <c r="BN433" s="856"/>
      <c r="BO433" s="856"/>
      <c r="BP433" s="856"/>
      <c r="BQ433" s="856"/>
      <c r="BR433" s="874"/>
      <c r="BS433" s="873">
        <f t="shared" si="259"/>
        <v>0</v>
      </c>
      <c r="BT433" s="875"/>
      <c r="BU433" s="875"/>
      <c r="BV433" s="875"/>
      <c r="BW433" s="875"/>
      <c r="BX433" s="875"/>
      <c r="BY433" s="875"/>
      <c r="BZ433" s="875"/>
      <c r="CA433" s="875"/>
      <c r="CB433" s="875"/>
      <c r="CC433" s="875"/>
      <c r="CD433" s="875"/>
      <c r="CE433" s="875"/>
      <c r="CF433" s="875"/>
      <c r="CG433" s="875"/>
      <c r="CH433" s="863">
        <f t="shared" si="260"/>
        <v>166.95</v>
      </c>
      <c r="CI433" s="863">
        <f t="shared" si="261"/>
        <v>0</v>
      </c>
      <c r="CJ433" s="863">
        <f t="shared" si="262"/>
        <v>166.95</v>
      </c>
      <c r="CK433" s="710"/>
      <c r="CL433" s="710"/>
      <c r="CM433" s="710"/>
      <c r="CN433" s="512"/>
      <c r="CO433" s="512"/>
      <c r="CP433" s="512"/>
      <c r="CQ433" s="512"/>
      <c r="CR433" s="512"/>
      <c r="CS433" s="512"/>
      <c r="CT433" s="512"/>
      <c r="CU433" s="512"/>
      <c r="CV433" s="515"/>
    </row>
    <row r="434" spans="1:100">
      <c r="A434" s="844"/>
      <c r="B434" s="845" t="s">
        <v>971</v>
      </c>
      <c r="C434" s="846"/>
      <c r="D434" s="846"/>
      <c r="E434" s="846"/>
      <c r="F434" s="846"/>
      <c r="G434" s="846"/>
      <c r="H434" s="846"/>
      <c r="I434" s="846"/>
      <c r="J434" s="846"/>
      <c r="K434" s="846"/>
      <c r="L434" s="846" t="s">
        <v>558</v>
      </c>
      <c r="M434" s="846"/>
      <c r="N434" s="846"/>
      <c r="O434" s="846"/>
      <c r="P434" s="846"/>
      <c r="Q434" s="846"/>
      <c r="R434" s="846"/>
      <c r="S434" s="846"/>
      <c r="T434" s="847"/>
      <c r="U434" s="848"/>
      <c r="V434" s="848"/>
      <c r="W434" s="848"/>
      <c r="X434" s="848"/>
      <c r="Y434" s="848"/>
      <c r="Z434" s="848"/>
      <c r="AA434" s="848"/>
      <c r="AB434" s="848"/>
      <c r="AC434" s="848"/>
      <c r="AD434" s="848"/>
      <c r="AE434" s="849"/>
      <c r="AF434" s="850">
        <f t="shared" si="256"/>
        <v>0</v>
      </c>
      <c r="AG434" s="851"/>
      <c r="AH434" s="852"/>
      <c r="AI434" s="852"/>
      <c r="AJ434" s="852"/>
      <c r="AK434" s="852"/>
      <c r="AL434" s="852"/>
      <c r="AM434" s="852"/>
      <c r="AN434" s="852"/>
      <c r="AO434" s="852"/>
      <c r="AP434" s="852"/>
      <c r="AQ434" s="852"/>
      <c r="AR434" s="853"/>
      <c r="AS434" s="873">
        <f t="shared" si="257"/>
        <v>0</v>
      </c>
      <c r="AT434" s="864"/>
      <c r="AU434" s="856"/>
      <c r="AV434" s="857"/>
      <c r="AW434" s="857"/>
      <c r="AX434" s="856"/>
      <c r="AY434" s="856"/>
      <c r="AZ434" s="856"/>
      <c r="BA434" s="856"/>
      <c r="BB434" s="857"/>
      <c r="BC434" s="856"/>
      <c r="BD434" s="856"/>
      <c r="BE434" s="865">
        <v>592.76</v>
      </c>
      <c r="BF434" s="850">
        <f t="shared" si="258"/>
        <v>592.76</v>
      </c>
      <c r="BG434" s="864">
        <v>255.12</v>
      </c>
      <c r="BH434" s="857">
        <v>0</v>
      </c>
      <c r="BI434" s="859">
        <v>0</v>
      </c>
      <c r="BJ434" s="859">
        <v>0</v>
      </c>
      <c r="BK434" s="856">
        <v>0</v>
      </c>
      <c r="BL434" s="856"/>
      <c r="BM434" s="856"/>
      <c r="BN434" s="856"/>
      <c r="BO434" s="856"/>
      <c r="BP434" s="856"/>
      <c r="BQ434" s="856"/>
      <c r="BR434" s="874"/>
      <c r="BS434" s="873">
        <f t="shared" si="259"/>
        <v>255.12</v>
      </c>
      <c r="BT434" s="875"/>
      <c r="BU434" s="875"/>
      <c r="BV434" s="875"/>
      <c r="BW434" s="875"/>
      <c r="BX434" s="875"/>
      <c r="BY434" s="875"/>
      <c r="BZ434" s="875"/>
      <c r="CA434" s="875"/>
      <c r="CB434" s="875"/>
      <c r="CC434" s="875"/>
      <c r="CD434" s="875"/>
      <c r="CE434" s="875"/>
      <c r="CF434" s="875"/>
      <c r="CG434" s="875"/>
      <c r="CH434" s="863">
        <f t="shared" si="260"/>
        <v>847.88</v>
      </c>
      <c r="CI434" s="863">
        <f t="shared" si="261"/>
        <v>0</v>
      </c>
      <c r="CJ434" s="863">
        <f t="shared" si="262"/>
        <v>847.88</v>
      </c>
      <c r="CK434" s="710"/>
      <c r="CL434" s="710"/>
      <c r="CM434" s="710"/>
      <c r="CN434" s="512"/>
      <c r="CO434" s="512"/>
      <c r="CP434" s="512"/>
      <c r="CQ434" s="512"/>
      <c r="CR434" s="512"/>
      <c r="CS434" s="512"/>
      <c r="CT434" s="512"/>
      <c r="CU434" s="512"/>
      <c r="CV434" s="515"/>
    </row>
    <row r="435" spans="1:100">
      <c r="A435" s="844"/>
      <c r="B435" s="845" t="s">
        <v>972</v>
      </c>
      <c r="C435" s="846"/>
      <c r="D435" s="846"/>
      <c r="E435" s="846"/>
      <c r="F435" s="846"/>
      <c r="G435" s="846"/>
      <c r="H435" s="846"/>
      <c r="I435" s="846"/>
      <c r="J435" s="846"/>
      <c r="K435" s="846"/>
      <c r="L435" s="846"/>
      <c r="M435" s="846"/>
      <c r="N435" s="846"/>
      <c r="O435" s="846"/>
      <c r="P435" s="846"/>
      <c r="Q435" s="846"/>
      <c r="R435" s="846"/>
      <c r="S435" s="846"/>
      <c r="T435" s="847"/>
      <c r="U435" s="848"/>
      <c r="V435" s="848"/>
      <c r="W435" s="848"/>
      <c r="X435" s="848"/>
      <c r="Y435" s="848"/>
      <c r="Z435" s="848"/>
      <c r="AA435" s="848"/>
      <c r="AB435" s="848"/>
      <c r="AC435" s="848"/>
      <c r="AD435" s="848"/>
      <c r="AE435" s="849"/>
      <c r="AF435" s="850">
        <f t="shared" si="256"/>
        <v>0</v>
      </c>
      <c r="AG435" s="851"/>
      <c r="AH435" s="852"/>
      <c r="AI435" s="852"/>
      <c r="AJ435" s="852"/>
      <c r="AK435" s="852"/>
      <c r="AL435" s="852"/>
      <c r="AM435" s="852"/>
      <c r="AN435" s="852"/>
      <c r="AO435" s="852"/>
      <c r="AP435" s="852"/>
      <c r="AQ435" s="852"/>
      <c r="AR435" s="853"/>
      <c r="AS435" s="873">
        <f t="shared" si="257"/>
        <v>0</v>
      </c>
      <c r="AT435" s="864">
        <v>138.12</v>
      </c>
      <c r="AU435" s="856"/>
      <c r="AV435" s="857"/>
      <c r="AW435" s="857">
        <v>1064.9000000000001</v>
      </c>
      <c r="AX435" s="856">
        <v>24</v>
      </c>
      <c r="AY435" s="856"/>
      <c r="AZ435" s="856">
        <v>181.5</v>
      </c>
      <c r="BA435" s="856"/>
      <c r="BB435" s="857">
        <v>0</v>
      </c>
      <c r="BC435" s="856">
        <v>476.97</v>
      </c>
      <c r="BD435" s="856">
        <v>0</v>
      </c>
      <c r="BE435" s="865">
        <v>114.87</v>
      </c>
      <c r="BF435" s="850">
        <f t="shared" si="258"/>
        <v>2000.3600000000001</v>
      </c>
      <c r="BG435" s="864">
        <v>1761.34</v>
      </c>
      <c r="BH435" s="857">
        <v>2105.94</v>
      </c>
      <c r="BI435" s="859">
        <v>0</v>
      </c>
      <c r="BJ435" s="859">
        <v>0</v>
      </c>
      <c r="BK435" s="856">
        <v>245.28</v>
      </c>
      <c r="BL435" s="856"/>
      <c r="BM435" s="856"/>
      <c r="BN435" s="856"/>
      <c r="BO435" s="856"/>
      <c r="BP435" s="856"/>
      <c r="BQ435" s="856"/>
      <c r="BR435" s="874"/>
      <c r="BS435" s="873">
        <f t="shared" si="259"/>
        <v>4112.5599999999995</v>
      </c>
      <c r="BT435" s="875"/>
      <c r="BU435" s="875"/>
      <c r="BV435" s="875"/>
      <c r="BW435" s="875"/>
      <c r="BX435" s="875"/>
      <c r="BY435" s="875"/>
      <c r="BZ435" s="875"/>
      <c r="CA435" s="875"/>
      <c r="CB435" s="875"/>
      <c r="CC435" s="875"/>
      <c r="CD435" s="875"/>
      <c r="CE435" s="875"/>
      <c r="CF435" s="875"/>
      <c r="CG435" s="875"/>
      <c r="CH435" s="863">
        <f t="shared" si="260"/>
        <v>6112.9199999999992</v>
      </c>
      <c r="CI435" s="863">
        <f t="shared" si="261"/>
        <v>0</v>
      </c>
      <c r="CJ435" s="863">
        <f t="shared" si="262"/>
        <v>6112.9199999999992</v>
      </c>
      <c r="CK435" s="710"/>
      <c r="CL435" s="710"/>
      <c r="CM435" s="710"/>
      <c r="CN435" s="512"/>
      <c r="CO435" s="512"/>
      <c r="CP435" s="512"/>
      <c r="CQ435" s="512"/>
      <c r="CR435" s="512"/>
      <c r="CS435" s="512"/>
      <c r="CT435" s="512"/>
      <c r="CU435" s="512"/>
      <c r="CV435" s="515"/>
    </row>
    <row r="436" spans="1:100">
      <c r="A436" s="844"/>
      <c r="B436" s="845"/>
      <c r="C436" s="846"/>
      <c r="D436" s="846"/>
      <c r="E436" s="846"/>
      <c r="F436" s="846"/>
      <c r="G436" s="846"/>
      <c r="H436" s="846"/>
      <c r="I436" s="846"/>
      <c r="J436" s="846"/>
      <c r="K436" s="846"/>
      <c r="L436" s="846"/>
      <c r="M436" s="846"/>
      <c r="N436" s="846"/>
      <c r="O436" s="846"/>
      <c r="P436" s="846"/>
      <c r="Q436" s="846"/>
      <c r="R436" s="846"/>
      <c r="S436" s="846"/>
      <c r="T436" s="847"/>
      <c r="U436" s="848"/>
      <c r="V436" s="848"/>
      <c r="W436" s="848"/>
      <c r="X436" s="848"/>
      <c r="Y436" s="848"/>
      <c r="Z436" s="848"/>
      <c r="AA436" s="848"/>
      <c r="AB436" s="848"/>
      <c r="AC436" s="848"/>
      <c r="AD436" s="848"/>
      <c r="AE436" s="849"/>
      <c r="AF436" s="850">
        <f t="shared" si="256"/>
        <v>0</v>
      </c>
      <c r="AG436" s="851"/>
      <c r="AH436" s="852"/>
      <c r="AI436" s="852"/>
      <c r="AJ436" s="852"/>
      <c r="AK436" s="852"/>
      <c r="AL436" s="852"/>
      <c r="AM436" s="852"/>
      <c r="AN436" s="852"/>
      <c r="AO436" s="852"/>
      <c r="AP436" s="852"/>
      <c r="AQ436" s="852"/>
      <c r="AR436" s="853"/>
      <c r="AS436" s="873">
        <f t="shared" si="257"/>
        <v>0</v>
      </c>
      <c r="AT436" s="864"/>
      <c r="AU436" s="856"/>
      <c r="AV436" s="857"/>
      <c r="AW436" s="857"/>
      <c r="AX436" s="856"/>
      <c r="AY436" s="856"/>
      <c r="AZ436" s="856"/>
      <c r="BA436" s="856"/>
      <c r="BB436" s="857"/>
      <c r="BC436" s="856"/>
      <c r="BD436" s="856"/>
      <c r="BE436" s="865"/>
      <c r="BF436" s="850">
        <f t="shared" si="258"/>
        <v>0</v>
      </c>
      <c r="BG436" s="864"/>
      <c r="BH436" s="857"/>
      <c r="BI436" s="859">
        <v>0</v>
      </c>
      <c r="BJ436" s="859">
        <v>0</v>
      </c>
      <c r="BK436" s="856">
        <v>0</v>
      </c>
      <c r="BL436" s="856"/>
      <c r="BM436" s="856"/>
      <c r="BN436" s="856"/>
      <c r="BO436" s="856"/>
      <c r="BP436" s="856"/>
      <c r="BQ436" s="856"/>
      <c r="BR436" s="874"/>
      <c r="BS436" s="873">
        <f t="shared" si="259"/>
        <v>0</v>
      </c>
      <c r="BT436" s="875"/>
      <c r="BU436" s="875"/>
      <c r="BV436" s="875"/>
      <c r="BW436" s="875"/>
      <c r="BX436" s="875"/>
      <c r="BY436" s="875"/>
      <c r="BZ436" s="875"/>
      <c r="CA436" s="875"/>
      <c r="CB436" s="875"/>
      <c r="CC436" s="875"/>
      <c r="CD436" s="875"/>
      <c r="CE436" s="875"/>
      <c r="CF436" s="875"/>
      <c r="CG436" s="875"/>
      <c r="CH436" s="863">
        <f t="shared" si="260"/>
        <v>0</v>
      </c>
      <c r="CI436" s="863">
        <f t="shared" si="261"/>
        <v>0</v>
      </c>
      <c r="CJ436" s="863">
        <f t="shared" si="262"/>
        <v>0</v>
      </c>
      <c r="CK436" s="710"/>
      <c r="CL436" s="710"/>
      <c r="CM436" s="710"/>
      <c r="CN436" s="512"/>
      <c r="CO436" s="512"/>
      <c r="CP436" s="512"/>
      <c r="CQ436" s="512"/>
      <c r="CR436" s="512"/>
      <c r="CS436" s="512"/>
      <c r="CT436" s="512"/>
      <c r="CU436" s="512"/>
      <c r="CV436" s="515"/>
    </row>
    <row r="437" spans="1:100">
      <c r="A437" s="844"/>
      <c r="B437" s="845"/>
      <c r="C437" s="846"/>
      <c r="D437" s="846"/>
      <c r="E437" s="846"/>
      <c r="F437" s="846"/>
      <c r="G437" s="846"/>
      <c r="H437" s="846"/>
      <c r="I437" s="846"/>
      <c r="J437" s="846"/>
      <c r="K437" s="846"/>
      <c r="L437" s="846"/>
      <c r="M437" s="846"/>
      <c r="N437" s="846"/>
      <c r="O437" s="846"/>
      <c r="P437" s="846"/>
      <c r="Q437" s="846"/>
      <c r="R437" s="846"/>
      <c r="S437" s="846"/>
      <c r="T437" s="847"/>
      <c r="U437" s="848"/>
      <c r="V437" s="848"/>
      <c r="W437" s="848"/>
      <c r="X437" s="848"/>
      <c r="Y437" s="848"/>
      <c r="Z437" s="848"/>
      <c r="AA437" s="848"/>
      <c r="AB437" s="848"/>
      <c r="AC437" s="848"/>
      <c r="AD437" s="848"/>
      <c r="AE437" s="849"/>
      <c r="AF437" s="850">
        <f t="shared" si="256"/>
        <v>0</v>
      </c>
      <c r="AG437" s="851"/>
      <c r="AH437" s="852"/>
      <c r="AI437" s="852"/>
      <c r="AJ437" s="852"/>
      <c r="AK437" s="852"/>
      <c r="AL437" s="852"/>
      <c r="AM437" s="852"/>
      <c r="AN437" s="852"/>
      <c r="AO437" s="852"/>
      <c r="AP437" s="852"/>
      <c r="AQ437" s="852"/>
      <c r="AR437" s="853"/>
      <c r="AS437" s="873">
        <f t="shared" si="257"/>
        <v>0</v>
      </c>
      <c r="AT437" s="864"/>
      <c r="AU437" s="856"/>
      <c r="AV437" s="857"/>
      <c r="AW437" s="857"/>
      <c r="AX437" s="856"/>
      <c r="AY437" s="856"/>
      <c r="AZ437" s="856"/>
      <c r="BA437" s="856"/>
      <c r="BB437" s="857"/>
      <c r="BC437" s="856"/>
      <c r="BD437" s="856"/>
      <c r="BE437" s="865"/>
      <c r="BF437" s="850">
        <f t="shared" si="258"/>
        <v>0</v>
      </c>
      <c r="BG437" s="864"/>
      <c r="BH437" s="857"/>
      <c r="BI437" s="857">
        <v>0</v>
      </c>
      <c r="BJ437" s="857">
        <v>0</v>
      </c>
      <c r="BK437" s="856">
        <v>0</v>
      </c>
      <c r="BL437" s="856"/>
      <c r="BM437" s="856"/>
      <c r="BN437" s="856"/>
      <c r="BO437" s="856"/>
      <c r="BP437" s="856"/>
      <c r="BQ437" s="856"/>
      <c r="BR437" s="874"/>
      <c r="BS437" s="873">
        <f t="shared" si="259"/>
        <v>0</v>
      </c>
      <c r="BT437" s="875"/>
      <c r="BU437" s="875"/>
      <c r="BV437" s="875"/>
      <c r="BW437" s="875"/>
      <c r="BX437" s="875"/>
      <c r="BY437" s="875"/>
      <c r="BZ437" s="875"/>
      <c r="CA437" s="875"/>
      <c r="CB437" s="875"/>
      <c r="CC437" s="875"/>
      <c r="CD437" s="875"/>
      <c r="CE437" s="875"/>
      <c r="CF437" s="875"/>
      <c r="CG437" s="875"/>
      <c r="CH437" s="863">
        <f t="shared" si="260"/>
        <v>0</v>
      </c>
      <c r="CI437" s="863">
        <f t="shared" si="261"/>
        <v>0</v>
      </c>
      <c r="CJ437" s="863">
        <f t="shared" si="262"/>
        <v>0</v>
      </c>
      <c r="CK437" s="710"/>
      <c r="CL437" s="710"/>
      <c r="CM437" s="710"/>
      <c r="CN437" s="512"/>
      <c r="CO437" s="512"/>
      <c r="CP437" s="512"/>
      <c r="CQ437" s="512"/>
      <c r="CR437" s="512"/>
      <c r="CS437" s="512"/>
      <c r="CT437" s="512"/>
      <c r="CU437" s="512"/>
      <c r="CV437" s="515"/>
    </row>
    <row r="438" spans="1:100">
      <c r="A438" s="844"/>
      <c r="B438" s="845"/>
      <c r="C438" s="846"/>
      <c r="D438" s="846"/>
      <c r="E438" s="846"/>
      <c r="F438" s="846"/>
      <c r="G438" s="846"/>
      <c r="H438" s="846"/>
      <c r="I438" s="846"/>
      <c r="J438" s="846"/>
      <c r="K438" s="846"/>
      <c r="L438" s="846"/>
      <c r="M438" s="846"/>
      <c r="N438" s="846"/>
      <c r="O438" s="846"/>
      <c r="P438" s="846"/>
      <c r="Q438" s="846"/>
      <c r="R438" s="846"/>
      <c r="S438" s="846"/>
      <c r="T438" s="847"/>
      <c r="U438" s="848"/>
      <c r="V438" s="848"/>
      <c r="W438" s="848"/>
      <c r="X438" s="848"/>
      <c r="Y438" s="848"/>
      <c r="Z438" s="848"/>
      <c r="AA438" s="848"/>
      <c r="AB438" s="848"/>
      <c r="AC438" s="848"/>
      <c r="AD438" s="848"/>
      <c r="AE438" s="849"/>
      <c r="AF438" s="850"/>
      <c r="AG438" s="851"/>
      <c r="AH438" s="852"/>
      <c r="AI438" s="852"/>
      <c r="AJ438" s="852"/>
      <c r="AK438" s="852"/>
      <c r="AL438" s="852"/>
      <c r="AM438" s="852"/>
      <c r="AN438" s="852"/>
      <c r="AO438" s="852"/>
      <c r="AP438" s="852"/>
      <c r="AQ438" s="852"/>
      <c r="AR438" s="853"/>
      <c r="AS438" s="873"/>
      <c r="AT438" s="855"/>
      <c r="AU438" s="856"/>
      <c r="AV438" s="857"/>
      <c r="AW438" s="857"/>
      <c r="AX438" s="856"/>
      <c r="AY438" s="856"/>
      <c r="AZ438" s="856"/>
      <c r="BA438" s="856"/>
      <c r="BB438" s="857"/>
      <c r="BC438" s="856"/>
      <c r="BD438" s="856"/>
      <c r="BE438" s="858">
        <v>0</v>
      </c>
      <c r="BF438" s="873"/>
      <c r="BG438" s="855"/>
      <c r="BH438" s="856"/>
      <c r="BI438" s="857">
        <v>0</v>
      </c>
      <c r="BJ438" s="856"/>
      <c r="BK438" s="856"/>
      <c r="BL438" s="856"/>
      <c r="BM438" s="856"/>
      <c r="BN438" s="856"/>
      <c r="BO438" s="856"/>
      <c r="BP438" s="856"/>
      <c r="BQ438" s="856"/>
      <c r="BR438" s="874"/>
      <c r="BS438" s="873"/>
      <c r="BT438" s="875"/>
      <c r="BU438" s="875"/>
      <c r="BV438" s="875"/>
      <c r="BW438" s="875"/>
      <c r="BX438" s="875"/>
      <c r="BY438" s="875"/>
      <c r="BZ438" s="875"/>
      <c r="CA438" s="875"/>
      <c r="CB438" s="875"/>
      <c r="CC438" s="875"/>
      <c r="CD438" s="875"/>
      <c r="CE438" s="875"/>
      <c r="CF438" s="875"/>
      <c r="CG438" s="875"/>
      <c r="CH438" s="875"/>
      <c r="CI438" s="875"/>
      <c r="CJ438" s="881"/>
      <c r="CK438" s="710"/>
      <c r="CL438" s="710"/>
      <c r="CM438" s="710"/>
      <c r="CN438" s="512"/>
      <c r="CO438" s="512"/>
      <c r="CP438" s="512"/>
      <c r="CQ438" s="512"/>
      <c r="CR438" s="512"/>
      <c r="CS438" s="512"/>
      <c r="CT438" s="512"/>
      <c r="CU438" s="512"/>
      <c r="CV438" s="515"/>
    </row>
    <row r="439" spans="1:100">
      <c r="A439" s="882"/>
      <c r="B439" s="883" t="s">
        <v>560</v>
      </c>
      <c r="C439" s="884"/>
      <c r="D439" s="884"/>
      <c r="E439" s="884"/>
      <c r="F439" s="884"/>
      <c r="G439" s="884"/>
      <c r="H439" s="884"/>
      <c r="I439" s="884"/>
      <c r="J439" s="884"/>
      <c r="K439" s="884"/>
      <c r="L439" s="884"/>
      <c r="M439" s="884"/>
      <c r="N439" s="884"/>
      <c r="O439" s="884"/>
      <c r="P439" s="884"/>
      <c r="Q439" s="884"/>
      <c r="R439" s="884"/>
      <c r="S439" s="884"/>
      <c r="T439" s="885"/>
      <c r="U439" s="886"/>
      <c r="V439" s="886"/>
      <c r="W439" s="886"/>
      <c r="X439" s="886"/>
      <c r="Y439" s="886"/>
      <c r="Z439" s="886"/>
      <c r="AA439" s="886"/>
      <c r="AB439" s="886"/>
      <c r="AC439" s="886"/>
      <c r="AD439" s="886"/>
      <c r="AE439" s="887"/>
      <c r="AF439" s="888"/>
      <c r="AG439" s="889"/>
      <c r="AH439" s="890"/>
      <c r="AI439" s="890"/>
      <c r="AJ439" s="890"/>
      <c r="AK439" s="890"/>
      <c r="AL439" s="890"/>
      <c r="AM439" s="890"/>
      <c r="AN439" s="890"/>
      <c r="AO439" s="890"/>
      <c r="AP439" s="890"/>
      <c r="AQ439" s="890"/>
      <c r="AR439" s="891"/>
      <c r="AS439" s="892"/>
      <c r="AT439" s="893"/>
      <c r="AU439" s="894"/>
      <c r="AV439" s="894"/>
      <c r="AW439" s="894"/>
      <c r="AX439" s="894"/>
      <c r="AY439" s="894"/>
      <c r="AZ439" s="894"/>
      <c r="BA439" s="894"/>
      <c r="BB439" s="894"/>
      <c r="BC439" s="894"/>
      <c r="BD439" s="894"/>
      <c r="BE439" s="895"/>
      <c r="BF439" s="892"/>
      <c r="BG439" s="893"/>
      <c r="BH439" s="894"/>
      <c r="BI439" s="894"/>
      <c r="BJ439" s="894"/>
      <c r="BK439" s="894"/>
      <c r="BL439" s="894">
        <v>5000</v>
      </c>
      <c r="BM439" s="894"/>
      <c r="BN439" s="894"/>
      <c r="BO439" s="894"/>
      <c r="BP439" s="894"/>
      <c r="BQ439" s="894"/>
      <c r="BR439" s="896"/>
      <c r="BS439" s="892"/>
      <c r="BT439" s="897"/>
      <c r="BU439" s="897"/>
      <c r="BV439" s="897"/>
      <c r="BW439" s="897"/>
      <c r="BX439" s="897"/>
      <c r="BY439" s="897"/>
      <c r="BZ439" s="897"/>
      <c r="CA439" s="897"/>
      <c r="CB439" s="897"/>
      <c r="CC439" s="897"/>
      <c r="CD439" s="897"/>
      <c r="CE439" s="897"/>
      <c r="CF439" s="897"/>
      <c r="CG439" s="897"/>
      <c r="CH439" s="897"/>
      <c r="CI439" s="897"/>
      <c r="CJ439" s="898"/>
      <c r="CK439" s="710"/>
      <c r="CL439" s="710"/>
      <c r="CM439" s="710"/>
      <c r="CN439" s="512"/>
      <c r="CO439" s="512"/>
      <c r="CP439" s="512"/>
      <c r="CQ439" s="512"/>
      <c r="CR439" s="512"/>
      <c r="CS439" s="512"/>
      <c r="CT439" s="512"/>
      <c r="CU439" s="512"/>
      <c r="CV439" s="515"/>
    </row>
    <row r="440" spans="1:100" s="908" customFormat="1">
      <c r="A440" s="899" t="s">
        <v>561</v>
      </c>
      <c r="B440" s="900"/>
      <c r="C440" s="806"/>
      <c r="D440" s="806"/>
      <c r="E440" s="806"/>
      <c r="F440" s="806"/>
      <c r="G440" s="806"/>
      <c r="H440" s="806"/>
      <c r="I440" s="806"/>
      <c r="J440" s="806"/>
      <c r="K440" s="806"/>
      <c r="L440" s="806"/>
      <c r="M440" s="806"/>
      <c r="N440" s="806"/>
      <c r="O440" s="806"/>
      <c r="P440" s="806"/>
      <c r="Q440" s="806"/>
      <c r="R440" s="806"/>
      <c r="S440" s="806"/>
      <c r="T440" s="901">
        <f t="shared" ref="T440:AY440" si="263">SUM(T319:T439)</f>
        <v>21182.05</v>
      </c>
      <c r="U440" s="809">
        <f t="shared" si="263"/>
        <v>17744.54</v>
      </c>
      <c r="V440" s="809">
        <f t="shared" si="263"/>
        <v>11974.41</v>
      </c>
      <c r="W440" s="809">
        <f t="shared" si="263"/>
        <v>12864.27</v>
      </c>
      <c r="X440" s="809">
        <f t="shared" si="263"/>
        <v>16677.920000000002</v>
      </c>
      <c r="Y440" s="809">
        <f t="shared" si="263"/>
        <v>18653.539999999997</v>
      </c>
      <c r="Z440" s="809">
        <f t="shared" si="263"/>
        <v>17208.41</v>
      </c>
      <c r="AA440" s="809">
        <f t="shared" si="263"/>
        <v>24954.61</v>
      </c>
      <c r="AB440" s="809">
        <f t="shared" si="263"/>
        <v>26466.779999999995</v>
      </c>
      <c r="AC440" s="809">
        <f t="shared" si="263"/>
        <v>28497.190000000002</v>
      </c>
      <c r="AD440" s="809">
        <f t="shared" si="263"/>
        <v>39726.979999999996</v>
      </c>
      <c r="AE440" s="810">
        <f t="shared" si="263"/>
        <v>42467.749999999993</v>
      </c>
      <c r="AF440" s="811">
        <f t="shared" si="263"/>
        <v>278418.45000000007</v>
      </c>
      <c r="AG440" s="812">
        <f t="shared" si="263"/>
        <v>33124.18</v>
      </c>
      <c r="AH440" s="813">
        <f t="shared" si="263"/>
        <v>23973.339999999997</v>
      </c>
      <c r="AI440" s="813">
        <f t="shared" si="263"/>
        <v>32914.790000000008</v>
      </c>
      <c r="AJ440" s="813">
        <f t="shared" si="263"/>
        <v>24290.109999999997</v>
      </c>
      <c r="AK440" s="813">
        <f t="shared" si="263"/>
        <v>27720.45</v>
      </c>
      <c r="AL440" s="813">
        <f t="shared" si="263"/>
        <v>26753.440000000002</v>
      </c>
      <c r="AM440" s="813">
        <f t="shared" si="263"/>
        <v>25740.839999999997</v>
      </c>
      <c r="AN440" s="813">
        <f t="shared" si="263"/>
        <v>35762.130000000005</v>
      </c>
      <c r="AO440" s="813">
        <f t="shared" si="263"/>
        <v>28168.090000000004</v>
      </c>
      <c r="AP440" s="813">
        <f t="shared" si="263"/>
        <v>24258.03</v>
      </c>
      <c r="AQ440" s="813">
        <f t="shared" si="263"/>
        <v>33933.700000000004</v>
      </c>
      <c r="AR440" s="814">
        <f t="shared" si="263"/>
        <v>36486.420000000006</v>
      </c>
      <c r="AS440" s="811">
        <f t="shared" si="263"/>
        <v>353125.5199999999</v>
      </c>
      <c r="AT440" s="902">
        <f t="shared" si="263"/>
        <v>36089.649999999987</v>
      </c>
      <c r="AU440" s="903">
        <f t="shared" si="263"/>
        <v>31801.420000000006</v>
      </c>
      <c r="AV440" s="903">
        <f t="shared" si="263"/>
        <v>38146.33</v>
      </c>
      <c r="AW440" s="903">
        <f t="shared" si="263"/>
        <v>44374.71</v>
      </c>
      <c r="AX440" s="903">
        <f t="shared" si="263"/>
        <v>34330.080000000009</v>
      </c>
      <c r="AY440" s="903">
        <f t="shared" si="263"/>
        <v>30275.479999999996</v>
      </c>
      <c r="AZ440" s="903">
        <f t="shared" ref="AZ440:BS440" si="264">SUM(AZ319:AZ439)</f>
        <v>33241.150000000009</v>
      </c>
      <c r="BA440" s="903">
        <f t="shared" si="264"/>
        <v>30767.43</v>
      </c>
      <c r="BB440" s="903">
        <f t="shared" si="264"/>
        <v>19147.639999999996</v>
      </c>
      <c r="BC440" s="903">
        <f t="shared" si="264"/>
        <v>28291.600000000002</v>
      </c>
      <c r="BD440" s="903">
        <f t="shared" si="264"/>
        <v>55078.15</v>
      </c>
      <c r="BE440" s="904">
        <f t="shared" si="264"/>
        <v>39296.110000000008</v>
      </c>
      <c r="BF440" s="811">
        <f t="shared" si="264"/>
        <v>420839.75000000006</v>
      </c>
      <c r="BG440" s="902">
        <f t="shared" si="264"/>
        <v>56809.279999999992</v>
      </c>
      <c r="BH440" s="903">
        <f t="shared" si="264"/>
        <v>46154.150000000009</v>
      </c>
      <c r="BI440" s="903">
        <f t="shared" si="264"/>
        <v>48258.450000000004</v>
      </c>
      <c r="BJ440" s="903">
        <f t="shared" si="264"/>
        <v>49218.709999999992</v>
      </c>
      <c r="BK440" s="903">
        <f t="shared" si="264"/>
        <v>36996.82</v>
      </c>
      <c r="BL440" s="903">
        <f t="shared" si="264"/>
        <v>23912</v>
      </c>
      <c r="BM440" s="903">
        <f t="shared" si="264"/>
        <v>0</v>
      </c>
      <c r="BN440" s="903">
        <f t="shared" si="264"/>
        <v>0</v>
      </c>
      <c r="BO440" s="903">
        <f t="shared" si="264"/>
        <v>0</v>
      </c>
      <c r="BP440" s="903">
        <f t="shared" si="264"/>
        <v>0</v>
      </c>
      <c r="BQ440" s="903">
        <f t="shared" si="264"/>
        <v>0</v>
      </c>
      <c r="BR440" s="905">
        <f t="shared" si="264"/>
        <v>0</v>
      </c>
      <c r="BS440" s="811">
        <f t="shared" si="264"/>
        <v>247813.11000000002</v>
      </c>
      <c r="BT440" s="906"/>
      <c r="BU440" s="906"/>
      <c r="BV440" s="906"/>
      <c r="BW440" s="906"/>
      <c r="BX440" s="906"/>
      <c r="BY440" s="906"/>
      <c r="BZ440" s="906"/>
      <c r="CA440" s="906"/>
      <c r="CB440" s="906"/>
      <c r="CC440" s="906"/>
      <c r="CD440" s="906"/>
      <c r="CE440" s="906"/>
      <c r="CF440" s="906"/>
      <c r="CG440" s="906"/>
      <c r="CH440" s="906"/>
      <c r="CI440" s="906"/>
      <c r="CJ440" s="906"/>
      <c r="CK440" s="906"/>
      <c r="CL440" s="906"/>
      <c r="CM440" s="906"/>
      <c r="CN440" s="906"/>
      <c r="CO440" s="906"/>
      <c r="CP440" s="906"/>
      <c r="CQ440" s="906"/>
      <c r="CR440" s="906"/>
      <c r="CS440" s="906"/>
      <c r="CT440" s="906"/>
      <c r="CU440" s="906"/>
      <c r="CV440" s="907"/>
    </row>
    <row r="441" spans="1:100">
      <c r="A441" s="909" t="s">
        <v>562</v>
      </c>
      <c r="B441" s="910"/>
      <c r="C441" s="911"/>
      <c r="D441" s="911"/>
      <c r="E441" s="911"/>
      <c r="F441" s="911"/>
      <c r="G441" s="911"/>
      <c r="H441" s="911"/>
      <c r="I441" s="911"/>
      <c r="J441" s="911"/>
      <c r="K441" s="911"/>
      <c r="L441" s="911"/>
      <c r="M441" s="911"/>
      <c r="N441" s="911"/>
      <c r="O441" s="911"/>
      <c r="P441" s="911"/>
      <c r="Q441" s="911"/>
      <c r="R441" s="911"/>
      <c r="S441" s="911"/>
      <c r="T441" s="912">
        <v>1761.76</v>
      </c>
      <c r="U441" s="913">
        <v>3476.62</v>
      </c>
      <c r="V441" s="913">
        <v>2873.01</v>
      </c>
      <c r="W441" s="913">
        <v>1173.18</v>
      </c>
      <c r="X441" s="913">
        <v>2122.58</v>
      </c>
      <c r="Y441" s="913">
        <v>4454.7700000000004</v>
      </c>
      <c r="Z441" s="913">
        <v>1366.66</v>
      </c>
      <c r="AA441" s="913">
        <v>0</v>
      </c>
      <c r="AB441" s="913">
        <v>5776.21</v>
      </c>
      <c r="AC441" s="913">
        <v>6095.6</v>
      </c>
      <c r="AD441" s="913">
        <v>8750.02</v>
      </c>
      <c r="AE441" s="914">
        <v>6019.04</v>
      </c>
      <c r="AF441" s="915">
        <f>SUM(T441:AE441)</f>
        <v>43869.450000000004</v>
      </c>
      <c r="AG441" s="916">
        <v>6867.91</v>
      </c>
      <c r="AH441" s="917">
        <v>8476.2000000000007</v>
      </c>
      <c r="AI441" s="917">
        <v>8365.1299999999992</v>
      </c>
      <c r="AJ441" s="917">
        <f>8840.22+12799.53</f>
        <v>21639.75</v>
      </c>
      <c r="AK441" s="917">
        <v>10305.9</v>
      </c>
      <c r="AL441" s="917">
        <v>11121.43</v>
      </c>
      <c r="AM441" s="917">
        <v>13349.87</v>
      </c>
      <c r="AN441" s="917">
        <v>9454.43</v>
      </c>
      <c r="AO441" s="917">
        <v>9643.6299999999992</v>
      </c>
      <c r="AP441" s="917">
        <v>11268.65</v>
      </c>
      <c r="AQ441" s="917">
        <v>10306.81</v>
      </c>
      <c r="AR441" s="918">
        <v>9405.4699999999993</v>
      </c>
      <c r="AS441" s="919">
        <f>SUM(AG441:AR441)</f>
        <v>130205.18</v>
      </c>
      <c r="AT441" s="920">
        <v>10307.4</v>
      </c>
      <c r="AU441" s="921">
        <v>12228.88</v>
      </c>
      <c r="AV441" s="921">
        <v>12474.73</v>
      </c>
      <c r="AW441" s="921">
        <v>13389.36</v>
      </c>
      <c r="AX441" s="921">
        <v>9928.9500000000007</v>
      </c>
      <c r="AY441" s="921">
        <v>11444.32</v>
      </c>
      <c r="AZ441" s="921">
        <f>12894.24+144.07</f>
        <v>13038.31</v>
      </c>
      <c r="BA441" s="921">
        <v>8726.85</v>
      </c>
      <c r="BB441" s="921">
        <v>10112.33</v>
      </c>
      <c r="BC441" s="921">
        <v>14189.08</v>
      </c>
      <c r="BD441" s="921">
        <v>3827.62</v>
      </c>
      <c r="BE441" s="922">
        <v>10494.79</v>
      </c>
      <c r="BF441" s="919">
        <f>SUM(AT441:BE441)</f>
        <v>130162.62</v>
      </c>
      <c r="BG441" s="923">
        <v>21680.880000000001</v>
      </c>
      <c r="BH441" s="924">
        <v>10562.6</v>
      </c>
      <c r="BI441" s="924">
        <v>16233.91</v>
      </c>
      <c r="BJ441" s="924">
        <v>8018.67</v>
      </c>
      <c r="BK441" s="924">
        <v>5578.42</v>
      </c>
      <c r="BL441" s="924">
        <v>5000</v>
      </c>
      <c r="BM441" s="924"/>
      <c r="BN441" s="924"/>
      <c r="BO441" s="924"/>
      <c r="BP441" s="924"/>
      <c r="BQ441" s="924"/>
      <c r="BR441" s="925"/>
      <c r="BS441" s="919">
        <f>SUM(BG441:BR441)</f>
        <v>67074.48</v>
      </c>
      <c r="BT441" s="926"/>
      <c r="BU441" s="926"/>
      <c r="BV441" s="926"/>
      <c r="BW441" s="926"/>
      <c r="BX441" s="926"/>
      <c r="BY441" s="926"/>
      <c r="BZ441" s="926"/>
      <c r="CA441" s="926"/>
      <c r="CB441" s="926"/>
      <c r="CC441" s="926"/>
      <c r="CD441" s="926"/>
      <c r="CE441" s="926"/>
      <c r="CF441" s="926"/>
      <c r="CG441" s="926"/>
      <c r="CH441" s="926"/>
      <c r="CI441" s="926"/>
      <c r="CJ441" s="926"/>
      <c r="CK441" s="927"/>
      <c r="CL441" s="927"/>
      <c r="CM441" s="927"/>
      <c r="CN441" s="927"/>
      <c r="CO441" s="927"/>
      <c r="CP441" s="927"/>
      <c r="CQ441" s="927"/>
      <c r="CR441" s="927"/>
      <c r="CS441" s="927"/>
      <c r="CT441" s="927"/>
      <c r="CU441" s="927"/>
      <c r="CV441" s="928"/>
    </row>
    <row r="442" spans="1:100">
      <c r="A442" s="929" t="s">
        <v>563</v>
      </c>
      <c r="B442" s="930"/>
      <c r="C442" s="897"/>
      <c r="D442" s="897"/>
      <c r="E442" s="897"/>
      <c r="F442" s="897"/>
      <c r="G442" s="897"/>
      <c r="H442" s="897"/>
      <c r="I442" s="897"/>
      <c r="J442" s="897"/>
      <c r="K442" s="897"/>
      <c r="L442" s="897"/>
      <c r="M442" s="897"/>
      <c r="N442" s="897"/>
      <c r="O442" s="897"/>
      <c r="P442" s="897"/>
      <c r="Q442" s="897"/>
      <c r="R442" s="897"/>
      <c r="S442" s="897"/>
      <c r="T442" s="931"/>
      <c r="U442" s="932">
        <v>3.89</v>
      </c>
      <c r="V442" s="932"/>
      <c r="W442" s="932"/>
      <c r="X442" s="932"/>
      <c r="Y442" s="932">
        <v>3272.01</v>
      </c>
      <c r="Z442" s="932">
        <v>9.43</v>
      </c>
      <c r="AA442" s="932">
        <v>0</v>
      </c>
      <c r="AB442" s="932">
        <v>2008.36</v>
      </c>
      <c r="AC442" s="932">
        <v>25.76</v>
      </c>
      <c r="AD442" s="932"/>
      <c r="AE442" s="933">
        <v>2449.71</v>
      </c>
      <c r="AF442" s="892">
        <f>SUM(T442:AE442)</f>
        <v>7769.16</v>
      </c>
      <c r="AG442" s="934"/>
      <c r="AH442" s="935"/>
      <c r="AI442" s="935"/>
      <c r="AJ442" s="935">
        <f>1.56+38.8</f>
        <v>40.36</v>
      </c>
      <c r="AK442" s="935"/>
      <c r="AL442" s="935">
        <v>1.24</v>
      </c>
      <c r="AM442" s="935"/>
      <c r="AN442" s="935"/>
      <c r="AO442" s="935"/>
      <c r="AP442" s="935"/>
      <c r="AQ442" s="935"/>
      <c r="AR442" s="936"/>
      <c r="AS442" s="937">
        <f>SUM(AG442:AR442)</f>
        <v>41.6</v>
      </c>
      <c r="AT442" s="938"/>
      <c r="AU442" s="939"/>
      <c r="AV442" s="939"/>
      <c r="AW442" s="939"/>
      <c r="AX442" s="939"/>
      <c r="AY442" s="939"/>
      <c r="AZ442" s="939"/>
      <c r="BA442" s="939"/>
      <c r="BB442" s="939"/>
      <c r="BC442" s="939"/>
      <c r="BD442" s="939"/>
      <c r="BE442" s="940">
        <v>853.64</v>
      </c>
      <c r="BF442" s="937">
        <f>SUM(AT442:BE442)</f>
        <v>853.64</v>
      </c>
      <c r="BG442" s="941"/>
      <c r="BH442" s="942">
        <v>258</v>
      </c>
      <c r="BI442" s="942"/>
      <c r="BJ442" s="942"/>
      <c r="BK442" s="942"/>
      <c r="BL442" s="942"/>
      <c r="BM442" s="942"/>
      <c r="BN442" s="942"/>
      <c r="BO442" s="942"/>
      <c r="BP442" s="942"/>
      <c r="BQ442" s="942"/>
      <c r="BR442" s="943"/>
      <c r="BS442" s="937">
        <f>SUM(BG442:BR442)</f>
        <v>258</v>
      </c>
      <c r="BT442" s="944"/>
      <c r="BU442" s="944"/>
      <c r="BV442" s="944"/>
      <c r="BW442" s="944"/>
      <c r="BX442" s="944"/>
      <c r="BY442" s="944"/>
      <c r="BZ442" s="944"/>
      <c r="CA442" s="944"/>
      <c r="CB442" s="944"/>
      <c r="CC442" s="944"/>
      <c r="CD442" s="944"/>
      <c r="CE442" s="944"/>
      <c r="CF442" s="944"/>
      <c r="CG442" s="944"/>
      <c r="CH442" s="944"/>
      <c r="CI442" s="944"/>
      <c r="CJ442" s="944"/>
      <c r="CK442" s="945"/>
      <c r="CL442" s="945"/>
      <c r="CM442" s="945"/>
      <c r="CN442" s="945"/>
      <c r="CO442" s="898"/>
      <c r="CP442" s="898"/>
      <c r="CQ442" s="898"/>
      <c r="CR442" s="898"/>
      <c r="CS442" s="898"/>
      <c r="CT442" s="898"/>
      <c r="CU442" s="898"/>
      <c r="CV442" s="946"/>
    </row>
    <row r="443" spans="1:100" s="908" customFormat="1">
      <c r="A443" s="947" t="s">
        <v>564</v>
      </c>
      <c r="B443" s="948"/>
      <c r="C443" s="949"/>
      <c r="D443" s="949"/>
      <c r="E443" s="949"/>
      <c r="F443" s="949"/>
      <c r="G443" s="949"/>
      <c r="H443" s="949"/>
      <c r="I443" s="949"/>
      <c r="J443" s="949"/>
      <c r="K443" s="949"/>
      <c r="L443" s="949"/>
      <c r="M443" s="949"/>
      <c r="N443" s="949"/>
      <c r="O443" s="949"/>
      <c r="P443" s="949"/>
      <c r="Q443" s="949"/>
      <c r="R443" s="949"/>
      <c r="S443" s="949"/>
      <c r="T443" s="950">
        <f t="shared" ref="T443:AY443" si="265">SUM(T440:T442)</f>
        <v>22943.809999999998</v>
      </c>
      <c r="U443" s="951">
        <f t="shared" si="265"/>
        <v>21225.05</v>
      </c>
      <c r="V443" s="951">
        <f t="shared" si="265"/>
        <v>14847.42</v>
      </c>
      <c r="W443" s="951">
        <f t="shared" si="265"/>
        <v>14037.45</v>
      </c>
      <c r="X443" s="951">
        <f t="shared" si="265"/>
        <v>18800.5</v>
      </c>
      <c r="Y443" s="951">
        <f t="shared" si="265"/>
        <v>26380.32</v>
      </c>
      <c r="Z443" s="951">
        <f t="shared" si="265"/>
        <v>18584.5</v>
      </c>
      <c r="AA443" s="951">
        <f t="shared" si="265"/>
        <v>24954.61</v>
      </c>
      <c r="AB443" s="951">
        <f t="shared" si="265"/>
        <v>34251.349999999991</v>
      </c>
      <c r="AC443" s="951">
        <f t="shared" si="265"/>
        <v>34618.550000000003</v>
      </c>
      <c r="AD443" s="951">
        <f t="shared" si="265"/>
        <v>48477</v>
      </c>
      <c r="AE443" s="952">
        <f t="shared" si="265"/>
        <v>50936.499999999993</v>
      </c>
      <c r="AF443" s="953">
        <f t="shared" si="265"/>
        <v>330057.06000000006</v>
      </c>
      <c r="AG443" s="954">
        <f t="shared" si="265"/>
        <v>39992.089999999997</v>
      </c>
      <c r="AH443" s="955">
        <f t="shared" si="265"/>
        <v>32449.539999999997</v>
      </c>
      <c r="AI443" s="955">
        <f t="shared" si="265"/>
        <v>41279.920000000006</v>
      </c>
      <c r="AJ443" s="955">
        <f t="shared" si="265"/>
        <v>45970.22</v>
      </c>
      <c r="AK443" s="955">
        <f t="shared" si="265"/>
        <v>38026.35</v>
      </c>
      <c r="AL443" s="955">
        <f t="shared" si="265"/>
        <v>37876.11</v>
      </c>
      <c r="AM443" s="955">
        <f t="shared" si="265"/>
        <v>39090.71</v>
      </c>
      <c r="AN443" s="955">
        <f t="shared" si="265"/>
        <v>45216.560000000005</v>
      </c>
      <c r="AO443" s="955">
        <f t="shared" si="265"/>
        <v>37811.72</v>
      </c>
      <c r="AP443" s="955">
        <f t="shared" si="265"/>
        <v>35526.68</v>
      </c>
      <c r="AQ443" s="955">
        <f t="shared" si="265"/>
        <v>44240.51</v>
      </c>
      <c r="AR443" s="956">
        <f t="shared" si="265"/>
        <v>45891.890000000007</v>
      </c>
      <c r="AS443" s="957">
        <f t="shared" si="265"/>
        <v>483372.29999999987</v>
      </c>
      <c r="AT443" s="958">
        <f t="shared" si="265"/>
        <v>46397.049999999988</v>
      </c>
      <c r="AU443" s="959">
        <f t="shared" si="265"/>
        <v>44030.3</v>
      </c>
      <c r="AV443" s="959">
        <f t="shared" si="265"/>
        <v>50621.06</v>
      </c>
      <c r="AW443" s="959">
        <f t="shared" si="265"/>
        <v>57764.07</v>
      </c>
      <c r="AX443" s="959">
        <f t="shared" si="265"/>
        <v>44259.030000000013</v>
      </c>
      <c r="AY443" s="959">
        <f t="shared" si="265"/>
        <v>41719.799999999996</v>
      </c>
      <c r="AZ443" s="959">
        <f t="shared" ref="AZ443:BS443" si="266">SUM(AZ440:AZ442)</f>
        <v>46279.460000000006</v>
      </c>
      <c r="BA443" s="959">
        <f t="shared" si="266"/>
        <v>39494.28</v>
      </c>
      <c r="BB443" s="959">
        <f t="shared" si="266"/>
        <v>29259.969999999994</v>
      </c>
      <c r="BC443" s="959">
        <f t="shared" si="266"/>
        <v>42480.68</v>
      </c>
      <c r="BD443" s="959">
        <f t="shared" si="266"/>
        <v>58905.770000000004</v>
      </c>
      <c r="BE443" s="960">
        <f t="shared" si="266"/>
        <v>50644.540000000008</v>
      </c>
      <c r="BF443" s="957">
        <f t="shared" si="266"/>
        <v>551856.01000000013</v>
      </c>
      <c r="BG443" s="958">
        <f t="shared" si="266"/>
        <v>78490.159999999989</v>
      </c>
      <c r="BH443" s="959">
        <f t="shared" si="266"/>
        <v>56974.750000000007</v>
      </c>
      <c r="BI443" s="959">
        <f t="shared" si="266"/>
        <v>64492.36</v>
      </c>
      <c r="BJ443" s="959">
        <f t="shared" si="266"/>
        <v>57237.37999999999</v>
      </c>
      <c r="BK443" s="959">
        <f t="shared" si="266"/>
        <v>42575.24</v>
      </c>
      <c r="BL443" s="959">
        <f t="shared" si="266"/>
        <v>28912</v>
      </c>
      <c r="BM443" s="959">
        <f t="shared" si="266"/>
        <v>0</v>
      </c>
      <c r="BN443" s="959">
        <f t="shared" si="266"/>
        <v>0</v>
      </c>
      <c r="BO443" s="959">
        <f t="shared" si="266"/>
        <v>0</v>
      </c>
      <c r="BP443" s="959">
        <f t="shared" si="266"/>
        <v>0</v>
      </c>
      <c r="BQ443" s="959">
        <f t="shared" si="266"/>
        <v>0</v>
      </c>
      <c r="BR443" s="961">
        <f t="shared" si="266"/>
        <v>0</v>
      </c>
      <c r="BS443" s="957">
        <f t="shared" si="266"/>
        <v>315145.59000000003</v>
      </c>
      <c r="BT443" s="962"/>
      <c r="BU443" s="962"/>
      <c r="BV443" s="962"/>
      <c r="BW443" s="962"/>
      <c r="BX443" s="962"/>
      <c r="BY443" s="962"/>
      <c r="BZ443" s="962"/>
      <c r="CA443" s="962"/>
      <c r="CB443" s="962"/>
      <c r="CC443" s="962"/>
      <c r="CD443" s="962"/>
      <c r="CE443" s="962"/>
      <c r="CF443" s="962"/>
      <c r="CG443" s="962"/>
      <c r="CH443" s="962"/>
      <c r="CI443" s="962"/>
      <c r="CJ443" s="962"/>
      <c r="CK443" s="962"/>
      <c r="CL443" s="962"/>
      <c r="CM443" s="962"/>
      <c r="CN443" s="962"/>
      <c r="CO443" s="963"/>
      <c r="CP443" s="963"/>
      <c r="CQ443" s="963"/>
      <c r="CR443" s="963"/>
      <c r="CS443" s="963"/>
      <c r="CT443" s="963"/>
      <c r="CU443" s="963"/>
      <c r="CV443" s="964"/>
    </row>
  </sheetData>
  <mergeCells count="196">
    <mergeCell ref="B6:E6"/>
    <mergeCell ref="B7:D7"/>
    <mergeCell ref="B10:D10"/>
    <mergeCell ref="B12:D12"/>
    <mergeCell ref="C13:E13"/>
    <mergeCell ref="C14:E14"/>
    <mergeCell ref="D25:F25"/>
    <mergeCell ref="D26:F26"/>
    <mergeCell ref="D27:F27"/>
    <mergeCell ref="C15:E15"/>
    <mergeCell ref="B17:E17"/>
    <mergeCell ref="B18:D18"/>
    <mergeCell ref="C19:E19"/>
    <mergeCell ref="C20:E20"/>
    <mergeCell ref="D21:F21"/>
    <mergeCell ref="D22:F22"/>
    <mergeCell ref="D23:F23"/>
    <mergeCell ref="D24:F24"/>
    <mergeCell ref="D28:F28"/>
    <mergeCell ref="D29:F29"/>
    <mergeCell ref="D30:F30"/>
    <mergeCell ref="B32:D32"/>
    <mergeCell ref="B33:D33"/>
    <mergeCell ref="B34:D34"/>
    <mergeCell ref="C35:E35"/>
    <mergeCell ref="B36:E36"/>
    <mergeCell ref="B37:D37"/>
    <mergeCell ref="C38:E38"/>
    <mergeCell ref="B40:D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D52:F52"/>
    <mergeCell ref="D53:F53"/>
    <mergeCell ref="D54:F54"/>
    <mergeCell ref="D55:F55"/>
    <mergeCell ref="D56:F56"/>
    <mergeCell ref="D57:F57"/>
    <mergeCell ref="D58:F58"/>
    <mergeCell ref="D59:F59"/>
    <mergeCell ref="D60:F60"/>
    <mergeCell ref="D61:F61"/>
    <mergeCell ref="D62:F62"/>
    <mergeCell ref="D63:F63"/>
    <mergeCell ref="D64:F64"/>
    <mergeCell ref="D65:F65"/>
    <mergeCell ref="D66:F66"/>
    <mergeCell ref="B68:D68"/>
    <mergeCell ref="B112:D112"/>
    <mergeCell ref="B114:E114"/>
    <mergeCell ref="B115:D115"/>
    <mergeCell ref="C116:E116"/>
    <mergeCell ref="B118:D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H136:L136"/>
    <mergeCell ref="C137:E137"/>
    <mergeCell ref="H137:L137"/>
    <mergeCell ref="C138:E138"/>
    <mergeCell ref="H138:L138"/>
    <mergeCell ref="C139:E139"/>
    <mergeCell ref="H139:L139"/>
    <mergeCell ref="C140:E140"/>
    <mergeCell ref="H140:M140"/>
    <mergeCell ref="C141:E141"/>
    <mergeCell ref="H141:L141"/>
    <mergeCell ref="C142:E142"/>
    <mergeCell ref="H142:L142"/>
    <mergeCell ref="C143:E143"/>
    <mergeCell ref="H143:L143"/>
    <mergeCell ref="C144:E144"/>
    <mergeCell ref="H144:L144"/>
    <mergeCell ref="C145:E145"/>
    <mergeCell ref="H145:L145"/>
    <mergeCell ref="C146:E146"/>
    <mergeCell ref="H146:L146"/>
    <mergeCell ref="C147:E147"/>
    <mergeCell ref="H147:L147"/>
    <mergeCell ref="C148:E148"/>
    <mergeCell ref="H148:L148"/>
    <mergeCell ref="C149:E149"/>
    <mergeCell ref="H149:L149"/>
    <mergeCell ref="C150:E150"/>
    <mergeCell ref="H150:L150"/>
    <mergeCell ref="C151:E151"/>
    <mergeCell ref="H151:M151"/>
    <mergeCell ref="C152:E152"/>
    <mergeCell ref="H152:L152"/>
    <mergeCell ref="C153:E153"/>
    <mergeCell ref="H153:L153"/>
    <mergeCell ref="C154:E154"/>
    <mergeCell ref="H154:L154"/>
    <mergeCell ref="C155:E155"/>
    <mergeCell ref="H155:L155"/>
    <mergeCell ref="C156:E156"/>
    <mergeCell ref="H156:L156"/>
    <mergeCell ref="C157:E157"/>
    <mergeCell ref="H157:L157"/>
    <mergeCell ref="C158:E158"/>
    <mergeCell ref="H158:L158"/>
    <mergeCell ref="C159:E159"/>
    <mergeCell ref="H159:L159"/>
    <mergeCell ref="C160:E160"/>
    <mergeCell ref="H160:L160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H180:L180"/>
    <mergeCell ref="C181:E181"/>
    <mergeCell ref="H181:L181"/>
    <mergeCell ref="C182:E182"/>
    <mergeCell ref="H182:L182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4:E194"/>
    <mergeCell ref="C195:E195"/>
    <mergeCell ref="C196:E196"/>
    <mergeCell ref="B225:D225"/>
    <mergeCell ref="B226:D226"/>
    <mergeCell ref="B227:D227"/>
    <mergeCell ref="B228:D228"/>
    <mergeCell ref="B230:E230"/>
    <mergeCell ref="D238:F238"/>
    <mergeCell ref="B239:E239"/>
    <mergeCell ref="B240:D240"/>
    <mergeCell ref="C241:E241"/>
    <mergeCell ref="C242:E242"/>
    <mergeCell ref="C243:E243"/>
    <mergeCell ref="C244:E244"/>
    <mergeCell ref="B246:D246"/>
    <mergeCell ref="C247:E247"/>
    <mergeCell ref="C248:E248"/>
    <mergeCell ref="C249:E249"/>
    <mergeCell ref="C250:E250"/>
    <mergeCell ref="B252:D252"/>
    <mergeCell ref="B266:E266"/>
    <mergeCell ref="B267:D267"/>
    <mergeCell ref="B269:D269"/>
    <mergeCell ref="C270:E270"/>
    <mergeCell ref="C271:E271"/>
    <mergeCell ref="B280:D280"/>
    <mergeCell ref="B281:D281"/>
    <mergeCell ref="B283:E283"/>
    <mergeCell ref="D272:F272"/>
    <mergeCell ref="D273:F273"/>
    <mergeCell ref="B275:E275"/>
    <mergeCell ref="B276:D276"/>
    <mergeCell ref="B277:D277"/>
    <mergeCell ref="B279:E279"/>
  </mergeCells>
  <conditionalFormatting sqref="CJ185 CJ97:CJ98 CJ116 CJ119 CJ79:CJ86 CJ77 CJ56:CJ58 CJ41 CJ49:CJ50 CJ43:CJ45 CJ47 CJ69:CJ70 CJ74:CJ75 CJ88:CJ91 CJ100:CJ104 CJ93:CJ94">
    <cfRule type="cellIs" dxfId="47" priority="23" stopIfTrue="1" operator="between">
      <formula>O41/1.2</formula>
      <formula>O41</formula>
    </cfRule>
    <cfRule type="cellIs" dxfId="46" priority="24" stopIfTrue="1" operator="greaterThan">
      <formula>O41</formula>
    </cfRule>
  </conditionalFormatting>
  <conditionalFormatting sqref="CH185 CH97:CH98 CH116 CH119 CH79:CH86 CH77 CH56:CH58 CH41 CH49:CH50 CH43:CH45 CH47 CH69:CH70 CH74:CH75 CH88:CH91 CH100:CH104 CH93:CH94">
    <cfRule type="cellIs" dxfId="45" priority="25" stopIfTrue="1" operator="between">
      <formula>O41/1.2</formula>
      <formula>O41</formula>
    </cfRule>
    <cfRule type="cellIs" dxfId="44" priority="26" stopIfTrue="1" operator="greaterThan">
      <formula>O41</formula>
    </cfRule>
  </conditionalFormatting>
  <conditionalFormatting sqref="AF280:AF282 AS280:AS282 BF280:BF282 BS280:BS281 CH280:CH282 CI280:CI281 CJ280:CJ282 CF286 CF280:CF281 BF286 AF267:AF274 AS267:AS274 BF267:BF274 BS267:BS274 CF267:CF274 BS276:BS277 AF276:AF278 CF276:CF278 BF276:BF278 AS276:AS278 AG308:AS317 AF308:AF316 CH267:CM274 CM280:CM282 CM286:CM287 CH276:CM278 CK280:CL281 CI286:CL286 AF296:AS307 AF231:AF238 CF231:CF238 BF231:BF238 BS231:BS238 AS231:AS238 CH231:CM238 CH240:CM265 Q231:R278 BF240:BF265 AS240:AS265 AF240:AF265 CF240:CF265 BS240:BS265 CK198:CL210 CH183:CH184 CJ183:CL184 CI183:CI185 Q280:R290 AF115:AF117 CH105:CH113 CJ105:CJ113 AS115:AS117 BF115:BF117 BS115:BS117 CF115:CF117 AF7:AF16 AS7:AS16 BF7:BF16 BS7:BS16 CF7:CF16 AS18:AS35 BF18:BF35 BS18:BS35 CF18:CF35 AF18:AF35 CH18:CM35 CH37:CH40 CJ37:CJ40 CJ68 CH117:CJ117 CH68 CK115:CM117 CH115:CJ115 CI97:CI98 CI77 CI37:CI41 CI49:CI50 CI43:CI45 CI47 CI56:CI58 CI68:CI70 CI74:CI75 CH7:CM16 CI79:CI86 CI88:CI91 CH120:CH129 CJ120:CJ129 CI119:CI129 CK119:CM129 CH130:CM182 BE438 CI100:CI113 CK37:CM91 AF37:AF91 AS37:AS91 BF37:BF91 BS37:BS91 CF37:CF91 Q4:R91 BB320:BE329 BF319:BF329 BG320:BI329 BF438:BF439 AS320:AS329 T319:AF329 BE425:BF426 CH211:CM229 CH186:CJ191 AS119:AS191 BF119:BF191 AF119:AF191 BS119:BS191 CF119:CF191 Q119:R191 CM183:CM191 T438:AF443 AS438:AS439 BI438 CM193:CM194 Q193:R194 CF193:CF194 BS193:BS194 AF193:AF194 BF193:BF194 AS193:AS194 CH193:CJ194 T331:AF426 AS331:AS426 BI331:BI426 BB331:BH424 CH196:CJ210 AS196:AS229 BF196:BF229 AF196:AF229 BS196:BS229 CF196:CF229 Q196:R229 CM196:CM210 Q96:R117 CF96:CF113 BS96:BS113 BF96:BF113 AS96:AS113 AF96:AF113 CK96:CM113 Q93:R94 CF93:CF94 BS93:BS94 BF93:BF94 AS93:AS94 AF93:AF94 CK93:CM94 CI93:CI94">
    <cfRule type="cellIs" dxfId="43" priority="22" stopIfTrue="1" operator="equal">
      <formula>0</formula>
    </cfRule>
  </conditionalFormatting>
  <conditionalFormatting sqref="BJ320:BJ329 BJ331:BJ426">
    <cfRule type="cellIs" dxfId="42" priority="21" stopIfTrue="1" operator="equal">
      <formula>0</formula>
    </cfRule>
  </conditionalFormatting>
  <conditionalFormatting sqref="BJ427">
    <cfRule type="cellIs" dxfId="41" priority="19" stopIfTrue="1" operator="equal">
      <formula>0</formula>
    </cfRule>
  </conditionalFormatting>
  <conditionalFormatting sqref="BJ428:BJ437">
    <cfRule type="cellIs" dxfId="40" priority="17" stopIfTrue="1" operator="equal">
      <formula>0</formula>
    </cfRule>
  </conditionalFormatting>
  <conditionalFormatting sqref="CM192 Q192:R192 CF192 BS192 AF192 BF192 AS192 CH192:CJ192">
    <cfRule type="cellIs" dxfId="39" priority="16" stopIfTrue="1" operator="equal">
      <formula>0</formula>
    </cfRule>
  </conditionalFormatting>
  <conditionalFormatting sqref="BI427 AS427 T427:AF427 BE427:BF427">
    <cfRule type="cellIs" dxfId="38" priority="20" stopIfTrue="1" operator="equal">
      <formula>0</formula>
    </cfRule>
  </conditionalFormatting>
  <conditionalFormatting sqref="BI428:BI437 AS428:AS437 T428:AF437 BE428:BF437">
    <cfRule type="cellIs" dxfId="37" priority="18" stopIfTrue="1" operator="equal">
      <formula>0</formula>
    </cfRule>
  </conditionalFormatting>
  <conditionalFormatting sqref="BK320:BK329 BK331:BK438">
    <cfRule type="cellIs" dxfId="36" priority="15" stopIfTrue="1" operator="equal">
      <formula>0</formula>
    </cfRule>
  </conditionalFormatting>
  <conditionalFormatting sqref="T330:AF330 AS330 BB330:BI330">
    <cfRule type="cellIs" dxfId="35" priority="14" stopIfTrue="1" operator="equal">
      <formula>0</formula>
    </cfRule>
  </conditionalFormatting>
  <conditionalFormatting sqref="BJ330">
    <cfRule type="cellIs" dxfId="34" priority="13" stopIfTrue="1" operator="equal">
      <formula>0</formula>
    </cfRule>
  </conditionalFormatting>
  <conditionalFormatting sqref="BK330">
    <cfRule type="cellIs" dxfId="33" priority="12" stopIfTrue="1" operator="equal">
      <formula>0</formula>
    </cfRule>
  </conditionalFormatting>
  <conditionalFormatting sqref="CM195 Q195:R195 CF195 BS195 AF195 BF195 AS195 CH195:CJ195">
    <cfRule type="cellIs" dxfId="32" priority="11" stopIfTrue="1" operator="equal">
      <formula>0</formula>
    </cfRule>
  </conditionalFormatting>
  <conditionalFormatting sqref="CJ95">
    <cfRule type="cellIs" dxfId="31" priority="7" stopIfTrue="1" operator="between">
      <formula>O95/1.2</formula>
      <formula>O95</formula>
    </cfRule>
    <cfRule type="cellIs" dxfId="30" priority="8" stopIfTrue="1" operator="greaterThan">
      <formula>O95</formula>
    </cfRule>
  </conditionalFormatting>
  <conditionalFormatting sqref="CH95">
    <cfRule type="cellIs" dxfId="29" priority="9" stopIfTrue="1" operator="between">
      <formula>O95/1.2</formula>
      <formula>O95</formula>
    </cfRule>
    <cfRule type="cellIs" dxfId="28" priority="10" stopIfTrue="1" operator="greaterThan">
      <formula>O95</formula>
    </cfRule>
  </conditionalFormatting>
  <conditionalFormatting sqref="CI95 CK95:CM95 AF95 AS95 BF95 BS95 CF95 Q95:R95">
    <cfRule type="cellIs" dxfId="27" priority="6" stopIfTrue="1" operator="equal">
      <formula>0</formula>
    </cfRule>
  </conditionalFormatting>
  <conditionalFormatting sqref="CJ92">
    <cfRule type="cellIs" dxfId="26" priority="2" stopIfTrue="1" operator="between">
      <formula>O92/1.2</formula>
      <formula>O92</formula>
    </cfRule>
    <cfRule type="cellIs" dxfId="25" priority="3" stopIfTrue="1" operator="greaterThan">
      <formula>O92</formula>
    </cfRule>
  </conditionalFormatting>
  <conditionalFormatting sqref="CH92">
    <cfRule type="cellIs" dxfId="24" priority="4" stopIfTrue="1" operator="between">
      <formula>O92/1.2</formula>
      <formula>O92</formula>
    </cfRule>
    <cfRule type="cellIs" dxfId="23" priority="5" stopIfTrue="1" operator="greaterThan">
      <formula>O92</formula>
    </cfRule>
  </conditionalFormatting>
  <conditionalFormatting sqref="CI92 CK92:CM92 AF92 AS92 BF92 BS92 CF92 Q92:R92">
    <cfRule type="cellIs" dxfId="22" priority="1" stopIfTrue="1" operator="equal">
      <formula>0</formula>
    </cfRule>
  </conditionalFormatting>
  <pageMargins left="0.25" right="0.25" top="0.25" bottom="0.25" header="0.5" footer="0.5"/>
  <pageSetup paperSize="17" scale="48" fitToHeight="0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outlinePr summaryBelow="0"/>
    <pageSetUpPr fitToPage="1"/>
  </sheetPr>
  <dimension ref="A1:CM355"/>
  <sheetViews>
    <sheetView showGridLines="0" zoomScaleNormal="100" workbookViewId="0">
      <pane xSplit="5" ySplit="8" topLeftCell="Z333" activePane="bottomRight" state="frozen"/>
      <selection activeCell="G46" sqref="G46"/>
      <selection pane="topRight" activeCell="G46" sqref="G46"/>
      <selection pane="bottomLeft" activeCell="G46" sqref="G46"/>
      <selection pane="bottomRight" activeCell="K341" sqref="K341"/>
    </sheetView>
  </sheetViews>
  <sheetFormatPr defaultColWidth="9.140625" defaultRowHeight="12.75" outlineLevelRow="2" outlineLevelCol="2"/>
  <cols>
    <col min="1" max="1" width="2.85546875" style="995" hidden="1" customWidth="1"/>
    <col min="2" max="2" width="5.7109375" style="995" customWidth="1"/>
    <col min="3" max="3" width="7.5703125" style="995" customWidth="1"/>
    <col min="4" max="4" width="28.42578125" style="995" customWidth="1"/>
    <col min="5" max="5" width="23.5703125" style="995" hidden="1" customWidth="1" outlineLevel="1"/>
    <col min="6" max="6" width="17.140625" style="1211" bestFit="1" customWidth="1" collapsed="1"/>
    <col min="7" max="9" width="17.140625" style="1211" bestFit="1" customWidth="1"/>
    <col min="10" max="10" width="15.42578125" style="995" customWidth="1" outlineLevel="2"/>
    <col min="11" max="11" width="12.7109375" style="995" customWidth="1" outlineLevel="2"/>
    <col min="12" max="12" width="17.5703125" style="1211" customWidth="1" outlineLevel="2"/>
    <col min="13" max="13" width="11.85546875" style="972" customWidth="1" outlineLevel="1"/>
    <col min="14" max="25" width="13.28515625" style="995" hidden="1" customWidth="1" outlineLevel="2"/>
    <col min="26" max="26" width="12" style="968" customWidth="1" outlineLevel="1" collapsed="1"/>
    <col min="27" max="29" width="9.140625" style="995" hidden="1" customWidth="1" outlineLevel="2"/>
    <col min="30" max="30" width="10.7109375" style="995" hidden="1" customWidth="1" outlineLevel="2"/>
    <col min="31" max="32" width="9.140625" style="995" hidden="1" customWidth="1" outlineLevel="2"/>
    <col min="33" max="33" width="10.7109375" style="995" hidden="1" customWidth="1" outlineLevel="2"/>
    <col min="34" max="34" width="9.7109375" style="995" hidden="1" customWidth="1" outlineLevel="2"/>
    <col min="35" max="35" width="9.140625" style="995" hidden="1" customWidth="1" outlineLevel="2"/>
    <col min="36" max="37" width="9.7109375" style="995" hidden="1" customWidth="1" outlineLevel="2"/>
    <col min="38" max="38" width="11.28515625" style="995" hidden="1" customWidth="1" outlineLevel="2"/>
    <col min="39" max="39" width="12.28515625" style="995" customWidth="1" outlineLevel="1" collapsed="1"/>
    <col min="40" max="51" width="13.28515625" style="995" hidden="1" customWidth="1" outlineLevel="2"/>
    <col min="52" max="52" width="12.5703125" style="995" customWidth="1" outlineLevel="1" collapsed="1"/>
    <col min="53" max="64" width="13.28515625" style="995" hidden="1" customWidth="1" outlineLevel="2"/>
    <col min="65" max="65" width="12.5703125" style="995" customWidth="1" outlineLevel="1" collapsed="1"/>
    <col min="66" max="77" width="13.28515625" style="995" hidden="1" customWidth="1" outlineLevel="2"/>
    <col min="78" max="78" width="15.7109375" style="995" customWidth="1" outlineLevel="1" collapsed="1"/>
    <col min="79" max="79" width="19.5703125" style="1211" bestFit="1" customWidth="1"/>
    <col min="80" max="80" width="15.140625" style="995" customWidth="1"/>
    <col min="81" max="81" width="17.42578125" style="1211" customWidth="1"/>
    <col min="82" max="82" width="15.140625" style="1211" customWidth="1"/>
    <col min="83" max="83" width="17.42578125" style="1211" customWidth="1"/>
    <col min="84" max="84" width="16.140625" style="1211" customWidth="1"/>
    <col min="85" max="85" width="3.140625" style="1224" customWidth="1"/>
    <col min="86" max="86" width="15.5703125" style="972" hidden="1" customWidth="1" outlineLevel="1"/>
    <col min="87" max="87" width="13.5703125" style="995" hidden="1" customWidth="1" outlineLevel="1"/>
    <col min="88" max="88" width="40.28515625" style="995" hidden="1" customWidth="1" outlineLevel="1"/>
    <col min="89" max="89" width="12.7109375" style="995" hidden="1" customWidth="1" outlineLevel="1"/>
    <col min="90" max="90" width="20.5703125" style="973" bestFit="1" customWidth="1" collapsed="1"/>
    <col min="91" max="91" width="11.7109375" style="974" bestFit="1" customWidth="1"/>
    <col min="92" max="16384" width="9.140625" style="995"/>
  </cols>
  <sheetData>
    <row r="1" spans="1:91" s="965" customFormat="1">
      <c r="F1" s="966"/>
      <c r="G1" s="966"/>
      <c r="H1" s="966"/>
      <c r="I1" s="966"/>
      <c r="L1" s="966"/>
      <c r="M1" s="967" t="s">
        <v>267</v>
      </c>
      <c r="N1" s="967" t="s">
        <v>267</v>
      </c>
      <c r="O1" s="967" t="s">
        <v>267</v>
      </c>
      <c r="P1" s="967" t="s">
        <v>267</v>
      </c>
      <c r="Q1" s="967" t="s">
        <v>267</v>
      </c>
      <c r="R1" s="967" t="s">
        <v>267</v>
      </c>
      <c r="S1" s="967" t="s">
        <v>267</v>
      </c>
      <c r="T1" s="967" t="s">
        <v>267</v>
      </c>
      <c r="U1" s="967" t="s">
        <v>267</v>
      </c>
      <c r="V1" s="967" t="s">
        <v>267</v>
      </c>
      <c r="W1" s="967" t="s">
        <v>267</v>
      </c>
      <c r="X1" s="967" t="s">
        <v>267</v>
      </c>
      <c r="Y1" s="967" t="s">
        <v>267</v>
      </c>
      <c r="Z1" s="968"/>
      <c r="AA1" s="967" t="s">
        <v>267</v>
      </c>
      <c r="AB1" s="967" t="s">
        <v>267</v>
      </c>
      <c r="AC1" s="967" t="s">
        <v>267</v>
      </c>
      <c r="AD1" s="967" t="s">
        <v>267</v>
      </c>
      <c r="AE1" s="967" t="s">
        <v>267</v>
      </c>
      <c r="AF1" s="967" t="s">
        <v>267</v>
      </c>
      <c r="AG1" s="967" t="s">
        <v>267</v>
      </c>
      <c r="AH1" s="967" t="s">
        <v>267</v>
      </c>
      <c r="AI1" s="967" t="s">
        <v>267</v>
      </c>
      <c r="AJ1" s="967" t="s">
        <v>267</v>
      </c>
      <c r="AK1" s="967" t="s">
        <v>267</v>
      </c>
      <c r="AL1" s="967" t="s">
        <v>267</v>
      </c>
      <c r="AN1" s="969" t="s">
        <v>267</v>
      </c>
      <c r="AO1" s="967" t="s">
        <v>267</v>
      </c>
      <c r="AP1" s="967" t="s">
        <v>267</v>
      </c>
      <c r="AQ1" s="967" t="s">
        <v>267</v>
      </c>
      <c r="AR1" s="967" t="s">
        <v>267</v>
      </c>
      <c r="AS1" s="967" t="s">
        <v>267</v>
      </c>
      <c r="AT1" s="967" t="s">
        <v>267</v>
      </c>
      <c r="AU1" s="967" t="s">
        <v>267</v>
      </c>
      <c r="AV1" s="967" t="s">
        <v>267</v>
      </c>
      <c r="AW1" s="967" t="s">
        <v>267</v>
      </c>
      <c r="AX1" s="967" t="s">
        <v>267</v>
      </c>
      <c r="AY1" s="967" t="s">
        <v>267</v>
      </c>
      <c r="BA1" s="967" t="s">
        <v>267</v>
      </c>
      <c r="BB1" s="967" t="s">
        <v>267</v>
      </c>
      <c r="BC1" s="967" t="s">
        <v>267</v>
      </c>
      <c r="BD1" s="967" t="s">
        <v>267</v>
      </c>
      <c r="BE1" s="967" t="s">
        <v>267</v>
      </c>
      <c r="BF1" s="967" t="s">
        <v>267</v>
      </c>
      <c r="BG1" s="967" t="s">
        <v>267</v>
      </c>
      <c r="BH1" s="967" t="s">
        <v>267</v>
      </c>
      <c r="BI1" s="967" t="s">
        <v>267</v>
      </c>
      <c r="BJ1" s="967" t="s">
        <v>267</v>
      </c>
      <c r="BK1" s="967" t="s">
        <v>267</v>
      </c>
      <c r="BL1" s="967" t="s">
        <v>267</v>
      </c>
      <c r="BN1" s="967" t="s">
        <v>267</v>
      </c>
      <c r="BO1" s="967" t="s">
        <v>267</v>
      </c>
      <c r="BP1" s="967" t="s">
        <v>267</v>
      </c>
      <c r="BQ1" s="967" t="s">
        <v>267</v>
      </c>
      <c r="BR1" s="967" t="s">
        <v>267</v>
      </c>
      <c r="BS1" s="970" t="s">
        <v>268</v>
      </c>
      <c r="BT1" s="970" t="s">
        <v>268</v>
      </c>
      <c r="BU1" s="970" t="s">
        <v>268</v>
      </c>
      <c r="BV1" s="970" t="s">
        <v>268</v>
      </c>
      <c r="BW1" s="970" t="s">
        <v>268</v>
      </c>
      <c r="BX1" s="970" t="s">
        <v>268</v>
      </c>
      <c r="BY1" s="970" t="s">
        <v>268</v>
      </c>
      <c r="CA1" s="966"/>
      <c r="CC1" s="966"/>
      <c r="CD1" s="966"/>
      <c r="CE1" s="966"/>
      <c r="CF1" s="966"/>
      <c r="CG1" s="971"/>
      <c r="CH1" s="972"/>
      <c r="CL1" s="973"/>
      <c r="CM1" s="974"/>
    </row>
    <row r="2" spans="1:91" s="965" customFormat="1" ht="4.5" customHeight="1">
      <c r="F2" s="966"/>
      <c r="G2" s="966"/>
      <c r="H2" s="966"/>
      <c r="I2" s="966"/>
      <c r="L2" s="966"/>
      <c r="M2" s="967"/>
      <c r="N2" s="967"/>
      <c r="O2" s="967"/>
      <c r="P2" s="967"/>
      <c r="Q2" s="967"/>
      <c r="R2" s="967"/>
      <c r="S2" s="967"/>
      <c r="T2" s="967"/>
      <c r="U2" s="967"/>
      <c r="V2" s="967"/>
      <c r="W2" s="967"/>
      <c r="X2" s="967"/>
      <c r="Y2" s="967"/>
      <c r="Z2" s="968"/>
      <c r="AA2" s="967"/>
      <c r="AB2" s="967"/>
      <c r="AC2" s="967"/>
      <c r="AD2" s="967"/>
      <c r="AE2" s="967"/>
      <c r="AF2" s="967"/>
      <c r="AG2" s="967"/>
      <c r="AH2" s="967"/>
      <c r="AI2" s="967"/>
      <c r="AJ2" s="967"/>
      <c r="AK2" s="967"/>
      <c r="AL2" s="967"/>
      <c r="AN2" s="969"/>
      <c r="AO2" s="967"/>
      <c r="AP2" s="970"/>
      <c r="AQ2" s="970"/>
      <c r="AR2" s="970"/>
      <c r="AS2" s="970"/>
      <c r="AT2" s="970"/>
      <c r="AU2" s="970"/>
      <c r="AV2" s="970"/>
      <c r="AW2" s="970"/>
      <c r="AX2" s="970"/>
      <c r="AY2" s="970"/>
      <c r="BA2" s="970"/>
      <c r="BB2" s="970"/>
      <c r="BC2" s="970"/>
      <c r="BD2" s="970"/>
      <c r="BE2" s="970"/>
      <c r="BF2" s="970"/>
      <c r="BG2" s="970"/>
      <c r="BH2" s="970"/>
      <c r="BI2" s="970"/>
      <c r="BJ2" s="970"/>
      <c r="BK2" s="970"/>
      <c r="BL2" s="970"/>
      <c r="BN2" s="970"/>
      <c r="BO2" s="970"/>
      <c r="BP2" s="970"/>
      <c r="BQ2" s="970"/>
      <c r="BR2" s="970"/>
      <c r="BS2" s="970"/>
      <c r="BT2" s="970"/>
      <c r="BU2" s="970"/>
      <c r="BV2" s="970"/>
      <c r="BW2" s="970"/>
      <c r="BX2" s="970"/>
      <c r="BY2" s="970"/>
      <c r="CA2" s="966"/>
      <c r="CC2" s="966"/>
      <c r="CD2" s="966"/>
      <c r="CE2" s="966"/>
      <c r="CF2" s="966"/>
      <c r="CG2" s="975"/>
      <c r="CH2" s="972"/>
      <c r="CL2" s="973"/>
      <c r="CM2" s="974"/>
    </row>
    <row r="3" spans="1:91" s="965" customFormat="1" ht="44.25" customHeight="1">
      <c r="F3" s="966"/>
      <c r="G3" s="966"/>
      <c r="H3" s="966"/>
      <c r="I3" s="966"/>
      <c r="L3" s="966"/>
      <c r="M3" s="967"/>
      <c r="N3" s="967"/>
      <c r="O3" s="967"/>
      <c r="P3" s="967"/>
      <c r="Q3" s="967"/>
      <c r="R3" s="967"/>
      <c r="S3" s="967"/>
      <c r="T3" s="967"/>
      <c r="U3" s="967"/>
      <c r="V3" s="967"/>
      <c r="W3" s="967"/>
      <c r="X3" s="967"/>
      <c r="Y3" s="967"/>
      <c r="Z3" s="968"/>
      <c r="AA3" s="967"/>
      <c r="AB3" s="967"/>
      <c r="AC3" s="967"/>
      <c r="AD3" s="967"/>
      <c r="AE3" s="967"/>
      <c r="AF3" s="967"/>
      <c r="AG3" s="967"/>
      <c r="AH3" s="967"/>
      <c r="AI3" s="967"/>
      <c r="AJ3" s="967"/>
      <c r="AK3" s="967"/>
      <c r="AL3" s="967"/>
      <c r="AN3" s="969"/>
      <c r="AO3" s="967"/>
      <c r="AP3" s="970"/>
      <c r="AQ3" s="970"/>
      <c r="AR3" s="970"/>
      <c r="AS3" s="970"/>
      <c r="AT3" s="970"/>
      <c r="AU3" s="970"/>
      <c r="AV3" s="970"/>
      <c r="AW3" s="970"/>
      <c r="AX3" s="970"/>
      <c r="AY3" s="970"/>
      <c r="BA3" s="970"/>
      <c r="BB3" s="970"/>
      <c r="BC3" s="970"/>
      <c r="BD3" s="970"/>
      <c r="BE3" s="970"/>
      <c r="BF3" s="970"/>
      <c r="BG3" s="970"/>
      <c r="BH3" s="970"/>
      <c r="BI3" s="970"/>
      <c r="BJ3" s="970"/>
      <c r="BK3" s="970"/>
      <c r="BL3" s="970"/>
      <c r="BN3" s="970"/>
      <c r="BO3" s="970"/>
      <c r="BP3" s="970"/>
      <c r="BQ3" s="970"/>
      <c r="BR3" s="970"/>
      <c r="BS3" s="970"/>
      <c r="BT3" s="970"/>
      <c r="BU3" s="970"/>
      <c r="BV3" s="970"/>
      <c r="BW3" s="970"/>
      <c r="BX3" s="970"/>
      <c r="BY3" s="970"/>
      <c r="CA3" s="1354" t="s">
        <v>243</v>
      </c>
      <c r="CB3" s="1355" t="s">
        <v>244</v>
      </c>
      <c r="CC3" s="966"/>
      <c r="CD3" s="966"/>
      <c r="CE3" s="966"/>
      <c r="CF3" s="966"/>
      <c r="CG3" s="975"/>
      <c r="CH3" s="972"/>
      <c r="CL3" s="973"/>
      <c r="CM3" s="974"/>
    </row>
    <row r="4" spans="1:91" s="965" customFormat="1" ht="4.5" customHeight="1">
      <c r="F4" s="966"/>
      <c r="G4" s="966"/>
      <c r="H4" s="966"/>
      <c r="I4" s="966"/>
      <c r="L4" s="966"/>
      <c r="M4" s="972"/>
      <c r="Z4" s="968"/>
      <c r="AA4" s="967"/>
      <c r="AB4" s="967"/>
      <c r="AC4" s="967"/>
      <c r="AD4" s="967"/>
      <c r="AE4" s="967"/>
      <c r="AF4" s="967"/>
      <c r="AG4" s="967"/>
      <c r="AH4" s="967"/>
      <c r="AI4" s="970"/>
      <c r="AJ4" s="970"/>
      <c r="AK4" s="970"/>
      <c r="AL4" s="970"/>
      <c r="CA4" s="966"/>
      <c r="CC4" s="966"/>
      <c r="CD4" s="966"/>
      <c r="CE4" s="966"/>
      <c r="CF4" s="966"/>
      <c r="CG4" s="975"/>
      <c r="CH4" s="972"/>
      <c r="CL4" s="973"/>
      <c r="CM4" s="974"/>
    </row>
    <row r="5" spans="1:91" s="1364" customFormat="1" ht="15" customHeight="1">
      <c r="B5" s="1482" t="s">
        <v>565</v>
      </c>
      <c r="C5" s="1483"/>
      <c r="D5" s="1483"/>
      <c r="E5" s="1365"/>
      <c r="F5" s="1488" t="s">
        <v>249</v>
      </c>
      <c r="G5" s="1491" t="s">
        <v>566</v>
      </c>
      <c r="H5" s="1491" t="s">
        <v>567</v>
      </c>
      <c r="I5" s="1488" t="s">
        <v>250</v>
      </c>
      <c r="J5" s="1479" t="s">
        <v>568</v>
      </c>
      <c r="K5" s="1480"/>
      <c r="L5" s="1481"/>
      <c r="M5" s="1366"/>
      <c r="N5" s="1367"/>
      <c r="O5" s="1367"/>
      <c r="P5" s="1367"/>
      <c r="Q5" s="1367"/>
      <c r="R5" s="1367"/>
      <c r="S5" s="1367"/>
      <c r="T5" s="1367"/>
      <c r="U5" s="1367"/>
      <c r="V5" s="1367"/>
      <c r="W5" s="1367"/>
      <c r="X5" s="1367"/>
      <c r="Y5" s="1367"/>
      <c r="Z5" s="1368"/>
      <c r="AA5" s="1367"/>
      <c r="AB5" s="1367"/>
      <c r="AC5" s="1367"/>
      <c r="AD5" s="1367"/>
      <c r="AE5" s="1367"/>
      <c r="AF5" s="1367"/>
      <c r="AG5" s="1367"/>
      <c r="AH5" s="1367"/>
      <c r="AI5" s="1367"/>
      <c r="AJ5" s="1367"/>
      <c r="AK5" s="1367"/>
      <c r="AL5" s="1367"/>
      <c r="AM5" s="1367"/>
      <c r="AN5" s="1367"/>
      <c r="AO5" s="1367"/>
      <c r="AP5" s="1367"/>
      <c r="AQ5" s="1367"/>
      <c r="AR5" s="1367"/>
      <c r="AS5" s="1367"/>
      <c r="AT5" s="1367"/>
      <c r="AU5" s="1367"/>
      <c r="AV5" s="1367"/>
      <c r="AW5" s="1367"/>
      <c r="AX5" s="1367"/>
      <c r="AY5" s="1367"/>
      <c r="AZ5" s="1369"/>
      <c r="BA5" s="1367"/>
      <c r="BB5" s="1367"/>
      <c r="BC5" s="1367"/>
      <c r="BD5" s="1367"/>
      <c r="BE5" s="1367"/>
      <c r="BF5" s="1367"/>
      <c r="BG5" s="1367"/>
      <c r="BH5" s="1367"/>
      <c r="BI5" s="1367"/>
      <c r="BJ5" s="1367"/>
      <c r="BK5" s="1367"/>
      <c r="BL5" s="1367"/>
      <c r="BM5" s="1369"/>
      <c r="BN5" s="1367"/>
      <c r="BO5" s="1367"/>
      <c r="BP5" s="1367"/>
      <c r="BQ5" s="1367"/>
      <c r="BR5" s="1367"/>
      <c r="BS5" s="1367"/>
      <c r="BT5" s="1367"/>
      <c r="BU5" s="1367"/>
      <c r="BV5" s="1367"/>
      <c r="BW5" s="1367"/>
      <c r="BX5" s="1367"/>
      <c r="BY5" s="1367"/>
      <c r="BZ5" s="1369"/>
      <c r="CA5" s="1471" t="s">
        <v>569</v>
      </c>
      <c r="CB5" s="1471" t="s">
        <v>570</v>
      </c>
      <c r="CC5" s="1475" t="s">
        <v>262</v>
      </c>
      <c r="CD5" s="1471" t="s">
        <v>263</v>
      </c>
      <c r="CE5" s="1475" t="s">
        <v>571</v>
      </c>
      <c r="CF5" s="1471" t="s">
        <v>572</v>
      </c>
      <c r="CG5" s="1370"/>
      <c r="CH5" s="1464" t="s">
        <v>573</v>
      </c>
      <c r="CL5" s="1371" t="s">
        <v>574</v>
      </c>
      <c r="CM5" s="1372"/>
    </row>
    <row r="6" spans="1:91" s="1364" customFormat="1" ht="15" customHeight="1">
      <c r="B6" s="1484"/>
      <c r="C6" s="1485"/>
      <c r="D6" s="1485"/>
      <c r="E6" s="1373"/>
      <c r="F6" s="1489"/>
      <c r="G6" s="1492"/>
      <c r="H6" s="1478"/>
      <c r="I6" s="1489"/>
      <c r="J6" s="1374" t="s">
        <v>575</v>
      </c>
      <c r="K6" s="1375" t="s">
        <v>576</v>
      </c>
      <c r="L6" s="1370" t="s">
        <v>577</v>
      </c>
      <c r="M6" s="1466" t="s">
        <v>578</v>
      </c>
      <c r="N6" s="1468" t="s">
        <v>579</v>
      </c>
      <c r="O6" s="1469"/>
      <c r="P6" s="1469"/>
      <c r="Q6" s="1469"/>
      <c r="R6" s="1469"/>
      <c r="S6" s="1469"/>
      <c r="T6" s="1469"/>
      <c r="U6" s="1469"/>
      <c r="V6" s="1469"/>
      <c r="W6" s="1469"/>
      <c r="X6" s="1469"/>
      <c r="Y6" s="1470"/>
      <c r="Z6" s="1376" t="s">
        <v>579</v>
      </c>
      <c r="AA6" s="1468" t="s">
        <v>580</v>
      </c>
      <c r="AB6" s="1469"/>
      <c r="AC6" s="1469"/>
      <c r="AD6" s="1469"/>
      <c r="AE6" s="1469"/>
      <c r="AF6" s="1469"/>
      <c r="AG6" s="1469"/>
      <c r="AH6" s="1469"/>
      <c r="AI6" s="1469"/>
      <c r="AJ6" s="1469"/>
      <c r="AK6" s="1469"/>
      <c r="AL6" s="1469"/>
      <c r="AM6" s="1374" t="s">
        <v>580</v>
      </c>
      <c r="AN6" s="1468" t="s">
        <v>581</v>
      </c>
      <c r="AO6" s="1469"/>
      <c r="AP6" s="1469"/>
      <c r="AQ6" s="1469"/>
      <c r="AR6" s="1469"/>
      <c r="AS6" s="1469"/>
      <c r="AT6" s="1469"/>
      <c r="AU6" s="1469"/>
      <c r="AV6" s="1469"/>
      <c r="AW6" s="1469"/>
      <c r="AX6" s="1469"/>
      <c r="AY6" s="1470"/>
      <c r="AZ6" s="1373" t="s">
        <v>581</v>
      </c>
      <c r="BA6" s="1468" t="s">
        <v>582</v>
      </c>
      <c r="BB6" s="1469"/>
      <c r="BC6" s="1469"/>
      <c r="BD6" s="1469"/>
      <c r="BE6" s="1469"/>
      <c r="BF6" s="1469"/>
      <c r="BG6" s="1469"/>
      <c r="BH6" s="1469"/>
      <c r="BI6" s="1469"/>
      <c r="BJ6" s="1469"/>
      <c r="BK6" s="1469"/>
      <c r="BL6" s="1470"/>
      <c r="BM6" s="1373" t="s">
        <v>582</v>
      </c>
      <c r="BN6" s="1468" t="s">
        <v>583</v>
      </c>
      <c r="BO6" s="1469"/>
      <c r="BP6" s="1469"/>
      <c r="BQ6" s="1469"/>
      <c r="BR6" s="1469"/>
      <c r="BS6" s="1469"/>
      <c r="BT6" s="1469"/>
      <c r="BU6" s="1469"/>
      <c r="BV6" s="1469"/>
      <c r="BW6" s="1469"/>
      <c r="BX6" s="1469"/>
      <c r="BY6" s="1470"/>
      <c r="BZ6" s="1373" t="s">
        <v>583</v>
      </c>
      <c r="CA6" s="1472"/>
      <c r="CB6" s="1474"/>
      <c r="CC6" s="1476"/>
      <c r="CD6" s="1478"/>
      <c r="CE6" s="1476"/>
      <c r="CF6" s="1472"/>
      <c r="CG6" s="1377"/>
      <c r="CH6" s="1465"/>
      <c r="CL6" s="1371" t="s">
        <v>584</v>
      </c>
      <c r="CM6" s="1371" t="s">
        <v>585</v>
      </c>
    </row>
    <row r="7" spans="1:91" s="1378" customFormat="1" ht="22.5" customHeight="1">
      <c r="B7" s="1486"/>
      <c r="C7" s="1487"/>
      <c r="D7" s="1487"/>
      <c r="E7" s="1379"/>
      <c r="F7" s="1490"/>
      <c r="G7" s="1493"/>
      <c r="H7" s="1467"/>
      <c r="I7" s="1490"/>
      <c r="J7" s="1380"/>
      <c r="K7" s="1381" t="s">
        <v>586</v>
      </c>
      <c r="L7" s="1382"/>
      <c r="M7" s="1467"/>
      <c r="N7" s="1383" t="s">
        <v>587</v>
      </c>
      <c r="O7" s="1384" t="s">
        <v>588</v>
      </c>
      <c r="P7" s="1384" t="s">
        <v>589</v>
      </c>
      <c r="Q7" s="1384" t="s">
        <v>590</v>
      </c>
      <c r="R7" s="1384" t="s">
        <v>589</v>
      </c>
      <c r="S7" s="1384" t="s">
        <v>587</v>
      </c>
      <c r="T7" s="1384" t="s">
        <v>587</v>
      </c>
      <c r="U7" s="1384" t="s">
        <v>590</v>
      </c>
      <c r="V7" s="1384" t="s">
        <v>591</v>
      </c>
      <c r="W7" s="1384" t="s">
        <v>592</v>
      </c>
      <c r="X7" s="1384" t="s">
        <v>593</v>
      </c>
      <c r="Y7" s="1384" t="s">
        <v>594</v>
      </c>
      <c r="Z7" s="1385" t="s">
        <v>1</v>
      </c>
      <c r="AA7" s="1383" t="s">
        <v>587</v>
      </c>
      <c r="AB7" s="1384" t="s">
        <v>588</v>
      </c>
      <c r="AC7" s="1384" t="s">
        <v>589</v>
      </c>
      <c r="AD7" s="1384" t="s">
        <v>590</v>
      </c>
      <c r="AE7" s="1384" t="s">
        <v>589</v>
      </c>
      <c r="AF7" s="1384" t="s">
        <v>587</v>
      </c>
      <c r="AG7" s="1384" t="s">
        <v>587</v>
      </c>
      <c r="AH7" s="1384" t="s">
        <v>590</v>
      </c>
      <c r="AI7" s="1384" t="s">
        <v>591</v>
      </c>
      <c r="AJ7" s="1384" t="s">
        <v>592</v>
      </c>
      <c r="AK7" s="1384" t="s">
        <v>593</v>
      </c>
      <c r="AL7" s="1384" t="s">
        <v>594</v>
      </c>
      <c r="AM7" s="1386" t="s">
        <v>1</v>
      </c>
      <c r="AN7" s="1383" t="s">
        <v>587</v>
      </c>
      <c r="AO7" s="1384" t="s">
        <v>588</v>
      </c>
      <c r="AP7" s="1384" t="s">
        <v>589</v>
      </c>
      <c r="AQ7" s="1384" t="s">
        <v>590</v>
      </c>
      <c r="AR7" s="1384" t="s">
        <v>589</v>
      </c>
      <c r="AS7" s="1384" t="s">
        <v>587</v>
      </c>
      <c r="AT7" s="1384" t="s">
        <v>587</v>
      </c>
      <c r="AU7" s="1384" t="s">
        <v>590</v>
      </c>
      <c r="AV7" s="1384" t="s">
        <v>591</v>
      </c>
      <c r="AW7" s="1384" t="s">
        <v>592</v>
      </c>
      <c r="AX7" s="1384" t="s">
        <v>593</v>
      </c>
      <c r="AY7" s="1384" t="s">
        <v>594</v>
      </c>
      <c r="AZ7" s="1387" t="s">
        <v>1</v>
      </c>
      <c r="BA7" s="1383" t="s">
        <v>587</v>
      </c>
      <c r="BB7" s="1384" t="s">
        <v>588</v>
      </c>
      <c r="BC7" s="1384" t="s">
        <v>589</v>
      </c>
      <c r="BD7" s="1384" t="s">
        <v>590</v>
      </c>
      <c r="BE7" s="1384" t="s">
        <v>589</v>
      </c>
      <c r="BF7" s="1384" t="s">
        <v>587</v>
      </c>
      <c r="BG7" s="1384" t="s">
        <v>587</v>
      </c>
      <c r="BH7" s="1384" t="s">
        <v>590</v>
      </c>
      <c r="BI7" s="1384" t="s">
        <v>591</v>
      </c>
      <c r="BJ7" s="1384" t="s">
        <v>592</v>
      </c>
      <c r="BK7" s="1384" t="s">
        <v>593</v>
      </c>
      <c r="BL7" s="1384" t="s">
        <v>594</v>
      </c>
      <c r="BM7" s="1387" t="s">
        <v>1</v>
      </c>
      <c r="BN7" s="1383" t="s">
        <v>587</v>
      </c>
      <c r="BO7" s="1384" t="s">
        <v>588</v>
      </c>
      <c r="BP7" s="1384" t="s">
        <v>589</v>
      </c>
      <c r="BQ7" s="1384" t="s">
        <v>590</v>
      </c>
      <c r="BR7" s="1384" t="s">
        <v>589</v>
      </c>
      <c r="BS7" s="1384" t="s">
        <v>587</v>
      </c>
      <c r="BT7" s="1384" t="s">
        <v>587</v>
      </c>
      <c r="BU7" s="1384" t="s">
        <v>590</v>
      </c>
      <c r="BV7" s="1384" t="s">
        <v>591</v>
      </c>
      <c r="BW7" s="1384" t="s">
        <v>592</v>
      </c>
      <c r="BX7" s="1384" t="s">
        <v>593</v>
      </c>
      <c r="BY7" s="1384" t="s">
        <v>594</v>
      </c>
      <c r="BZ7" s="1387" t="s">
        <v>1</v>
      </c>
      <c r="CA7" s="1473"/>
      <c r="CB7" s="1388"/>
      <c r="CC7" s="1477"/>
      <c r="CD7" s="1389" t="s">
        <v>595</v>
      </c>
      <c r="CE7" s="1477"/>
      <c r="CF7" s="1473"/>
      <c r="CG7" s="1390"/>
      <c r="CH7" s="1391"/>
      <c r="CL7" s="1372"/>
      <c r="CM7" s="1392"/>
    </row>
    <row r="8" spans="1:91" ht="6" customHeight="1">
      <c r="A8" s="977" t="s">
        <v>596</v>
      </c>
      <c r="B8" s="978"/>
      <c r="C8" s="979"/>
      <c r="D8" s="979"/>
      <c r="E8" s="980"/>
      <c r="F8" s="981"/>
      <c r="G8" s="981"/>
      <c r="H8" s="981"/>
      <c r="I8" s="981"/>
      <c r="J8" s="982"/>
      <c r="K8" s="983"/>
      <c r="L8" s="983"/>
      <c r="M8" s="984"/>
      <c r="N8" s="985"/>
      <c r="O8" s="986"/>
      <c r="P8" s="986"/>
      <c r="Q8" s="986"/>
      <c r="R8" s="986"/>
      <c r="S8" s="986"/>
      <c r="T8" s="986"/>
      <c r="U8" s="986"/>
      <c r="V8" s="986"/>
      <c r="W8" s="986"/>
      <c r="X8" s="986"/>
      <c r="Y8" s="986"/>
      <c r="Z8" s="987">
        <f>SUM(N8:Y8)</f>
        <v>0</v>
      </c>
      <c r="AA8" s="988"/>
      <c r="AB8" s="989"/>
      <c r="AC8" s="989"/>
      <c r="AD8" s="989"/>
      <c r="AE8" s="989"/>
      <c r="AF8" s="989"/>
      <c r="AG8" s="989"/>
      <c r="AH8" s="990"/>
      <c r="AI8" s="990"/>
      <c r="AJ8" s="990"/>
      <c r="AK8" s="990"/>
      <c r="AL8" s="990"/>
      <c r="AM8" s="987">
        <f>SUM(AA8:AL8)</f>
        <v>0</v>
      </c>
      <c r="AN8" s="986"/>
      <c r="AO8" s="986"/>
      <c r="AP8" s="986"/>
      <c r="AQ8" s="986"/>
      <c r="AR8" s="986"/>
      <c r="AS8" s="986"/>
      <c r="AT8" s="986"/>
      <c r="AU8" s="986"/>
      <c r="AV8" s="986"/>
      <c r="AW8" s="986"/>
      <c r="AX8" s="986"/>
      <c r="AY8" s="986"/>
      <c r="AZ8" s="986">
        <f>SUM(AN8:AY8)</f>
        <v>0</v>
      </c>
      <c r="BA8" s="986"/>
      <c r="BB8" s="986"/>
      <c r="BC8" s="986"/>
      <c r="BD8" s="986"/>
      <c r="BE8" s="986"/>
      <c r="BF8" s="986"/>
      <c r="BG8" s="986"/>
      <c r="BH8" s="986"/>
      <c r="BI8" s="986"/>
      <c r="BJ8" s="986"/>
      <c r="BK8" s="986"/>
      <c r="BL8" s="986"/>
      <c r="BM8" s="986">
        <f>SUM(BA8:BL8)</f>
        <v>0</v>
      </c>
      <c r="BN8" s="986"/>
      <c r="BO8" s="986"/>
      <c r="BP8" s="986"/>
      <c r="BQ8" s="986"/>
      <c r="BR8" s="986"/>
      <c r="BS8" s="986"/>
      <c r="BT8" s="986"/>
      <c r="BU8" s="986"/>
      <c r="BV8" s="986"/>
      <c r="BW8" s="986"/>
      <c r="BX8" s="986"/>
      <c r="BY8" s="986"/>
      <c r="BZ8" s="991">
        <f>SUM(BN8:BY8)</f>
        <v>0</v>
      </c>
      <c r="CA8" s="992">
        <f>SUM(M8:AH8)</f>
        <v>0</v>
      </c>
      <c r="CB8" s="993">
        <f>+CC8-CA8</f>
        <v>0</v>
      </c>
      <c r="CC8" s="985">
        <f>+M8+Z8+AM8+AZ8+BM8+BZ8</f>
        <v>0</v>
      </c>
      <c r="CD8" s="981">
        <f>+CC8-I8</f>
        <v>0</v>
      </c>
      <c r="CE8" s="985">
        <f>+O8+AB8+AO8+BB8+BO8+CB8</f>
        <v>0</v>
      </c>
      <c r="CF8" s="985">
        <f>+P8+AC8+AP8+BC8+BP8+CC8</f>
        <v>0</v>
      </c>
      <c r="CG8" s="994"/>
      <c r="CL8" s="976"/>
      <c r="CM8" s="976"/>
    </row>
    <row r="9" spans="1:91" s="1013" customFormat="1" ht="12.75" customHeight="1">
      <c r="A9" s="996"/>
      <c r="B9" s="997" t="s">
        <v>597</v>
      </c>
      <c r="C9" s="998"/>
      <c r="D9" s="998"/>
      <c r="E9" s="999"/>
      <c r="F9" s="1000"/>
      <c r="G9" s="1000"/>
      <c r="H9" s="1000"/>
      <c r="I9" s="1000"/>
      <c r="J9" s="1001"/>
      <c r="K9" s="1001"/>
      <c r="L9" s="1001"/>
      <c r="M9" s="1002"/>
      <c r="N9" s="1003"/>
      <c r="O9" s="1004"/>
      <c r="P9" s="1004"/>
      <c r="Q9" s="1004"/>
      <c r="R9" s="1004"/>
      <c r="S9" s="1004"/>
      <c r="T9" s="1004"/>
      <c r="U9" s="1004"/>
      <c r="V9" s="1004"/>
      <c r="W9" s="1004"/>
      <c r="X9" s="1004"/>
      <c r="Y9" s="1004"/>
      <c r="Z9" s="1005"/>
      <c r="AA9" s="1006"/>
      <c r="AB9" s="1007"/>
      <c r="AC9" s="1007"/>
      <c r="AD9" s="1007"/>
      <c r="AE9" s="1007"/>
      <c r="AF9" s="1007"/>
      <c r="AG9" s="1007"/>
      <c r="AH9" s="1008"/>
      <c r="AI9" s="1008"/>
      <c r="AJ9" s="1008"/>
      <c r="AK9" s="1008"/>
      <c r="AL9" s="1008"/>
      <c r="AM9" s="1005"/>
      <c r="AN9" s="1004"/>
      <c r="AO9" s="1004"/>
      <c r="AP9" s="1004"/>
      <c r="AQ9" s="1004"/>
      <c r="AR9" s="1004"/>
      <c r="AS9" s="1004"/>
      <c r="AT9" s="1004"/>
      <c r="AU9" s="1004"/>
      <c r="AV9" s="1004"/>
      <c r="AW9" s="1004"/>
      <c r="AX9" s="1004"/>
      <c r="AY9" s="1004"/>
      <c r="AZ9" s="1004"/>
      <c r="BA9" s="1004"/>
      <c r="BB9" s="1004"/>
      <c r="BC9" s="1004"/>
      <c r="BD9" s="1004"/>
      <c r="BE9" s="1004"/>
      <c r="BF9" s="1004"/>
      <c r="BG9" s="1004"/>
      <c r="BH9" s="1004"/>
      <c r="BI9" s="1004"/>
      <c r="BJ9" s="1004"/>
      <c r="BK9" s="1004"/>
      <c r="BL9" s="1004"/>
      <c r="BM9" s="1004"/>
      <c r="BN9" s="1004"/>
      <c r="BO9" s="1004"/>
      <c r="BP9" s="1004"/>
      <c r="BQ9" s="1004"/>
      <c r="BR9" s="1004"/>
      <c r="BS9" s="1004"/>
      <c r="BT9" s="1004"/>
      <c r="BU9" s="1004"/>
      <c r="BV9" s="1004"/>
      <c r="BW9" s="1004"/>
      <c r="BX9" s="1004"/>
      <c r="BY9" s="1004"/>
      <c r="BZ9" s="1009"/>
      <c r="CA9" s="1010"/>
      <c r="CB9" s="1011"/>
      <c r="CC9" s="1003"/>
      <c r="CD9" s="1003"/>
      <c r="CE9" s="1003"/>
      <c r="CF9" s="1003"/>
      <c r="CG9" s="1009"/>
      <c r="CH9" s="1012">
        <f>-CC9+K9</f>
        <v>0</v>
      </c>
      <c r="CL9" s="1014"/>
      <c r="CM9" s="1014"/>
    </row>
    <row r="10" spans="1:91" s="1032" customFormat="1" ht="9" customHeight="1">
      <c r="A10" s="996"/>
      <c r="B10" s="1015"/>
      <c r="C10" s="1016"/>
      <c r="D10" s="1016"/>
      <c r="E10" s="1017"/>
      <c r="F10" s="1018"/>
      <c r="G10" s="1018"/>
      <c r="H10" s="1018"/>
      <c r="I10" s="1018"/>
      <c r="J10" s="1019"/>
      <c r="K10" s="1020"/>
      <c r="L10" s="1021"/>
      <c r="M10" s="1022"/>
      <c r="N10" s="1023"/>
      <c r="O10" s="1024"/>
      <c r="P10" s="1024"/>
      <c r="Q10" s="1024"/>
      <c r="R10" s="1024"/>
      <c r="S10" s="1024"/>
      <c r="T10" s="1024"/>
      <c r="U10" s="1024"/>
      <c r="V10" s="1024"/>
      <c r="W10" s="1024"/>
      <c r="X10" s="1024"/>
      <c r="Y10" s="1024"/>
      <c r="Z10" s="1025">
        <f>SUM(N10:Y10)</f>
        <v>0</v>
      </c>
      <c r="AA10" s="1026"/>
      <c r="AB10" s="1027"/>
      <c r="AC10" s="1027"/>
      <c r="AD10" s="1027"/>
      <c r="AE10" s="1027"/>
      <c r="AF10" s="1027"/>
      <c r="AG10" s="1027"/>
      <c r="AH10" s="1028"/>
      <c r="AI10" s="1028"/>
      <c r="AJ10" s="1028"/>
      <c r="AK10" s="1028"/>
      <c r="AL10" s="1028"/>
      <c r="AM10" s="1025">
        <f>SUM(AA10:AL10)</f>
        <v>0</v>
      </c>
      <c r="AN10" s="1024"/>
      <c r="AO10" s="1024"/>
      <c r="AP10" s="1024"/>
      <c r="AQ10" s="1024"/>
      <c r="AR10" s="1024"/>
      <c r="AS10" s="1024"/>
      <c r="AT10" s="1024"/>
      <c r="AU10" s="1024"/>
      <c r="AV10" s="1024"/>
      <c r="AW10" s="1024"/>
      <c r="AX10" s="1024"/>
      <c r="AY10" s="1024"/>
      <c r="AZ10" s="1024">
        <f>SUM(AN10:AY10)</f>
        <v>0</v>
      </c>
      <c r="BA10" s="1024"/>
      <c r="BB10" s="1024"/>
      <c r="BC10" s="1024"/>
      <c r="BD10" s="1024"/>
      <c r="BE10" s="1024"/>
      <c r="BF10" s="1024"/>
      <c r="BG10" s="1024"/>
      <c r="BH10" s="1024"/>
      <c r="BI10" s="1024"/>
      <c r="BJ10" s="1024"/>
      <c r="BK10" s="1024"/>
      <c r="BL10" s="1024"/>
      <c r="BM10" s="1024">
        <f>SUM(BA10:BL10)</f>
        <v>0</v>
      </c>
      <c r="BN10" s="1024"/>
      <c r="BO10" s="1024"/>
      <c r="BP10" s="1024"/>
      <c r="BQ10" s="1024"/>
      <c r="BR10" s="1024"/>
      <c r="BS10" s="1024"/>
      <c r="BT10" s="1024"/>
      <c r="BU10" s="1024"/>
      <c r="BV10" s="1024"/>
      <c r="BW10" s="1024"/>
      <c r="BX10" s="1024"/>
      <c r="BY10" s="1024"/>
      <c r="BZ10" s="1029">
        <f>SUM(BN10:BY10)</f>
        <v>0</v>
      </c>
      <c r="CA10" s="1030">
        <f>+M10+Z10+SUM(AA10:AH10)</f>
        <v>0</v>
      </c>
      <c r="CB10" s="1031"/>
      <c r="CC10" s="1023">
        <f>+M10+Z10+AM10+AZ10+BM10+BZ10</f>
        <v>0</v>
      </c>
      <c r="CD10" s="1023">
        <f>+CC10-I10</f>
        <v>0</v>
      </c>
      <c r="CE10" s="1023">
        <f>+O10+AB10+AO10+BB10+BO10+CB10</f>
        <v>0</v>
      </c>
      <c r="CF10" s="1023">
        <f>+P10+AC10+AP10+BC10+BP10+CC10</f>
        <v>0</v>
      </c>
      <c r="CG10" s="1029"/>
      <c r="CH10" s="972"/>
      <c r="CL10" s="976">
        <v>0</v>
      </c>
      <c r="CM10" s="976"/>
    </row>
    <row r="11" spans="1:91" s="1032" customFormat="1" ht="12.75" customHeight="1">
      <c r="A11" s="996"/>
      <c r="B11" s="1015"/>
      <c r="C11" s="1016" t="s">
        <v>598</v>
      </c>
      <c r="D11" s="1016"/>
      <c r="E11" s="1017"/>
      <c r="F11" s="1018">
        <f>SUBTOTAL(9,F12:F23)</f>
        <v>173110</v>
      </c>
      <c r="G11" s="1018">
        <f>SUBTOTAL(9,G12:G23)</f>
        <v>173133.56000000003</v>
      </c>
      <c r="H11" s="1018">
        <f>SUBTOTAL(9,H12:H23)</f>
        <v>0</v>
      </c>
      <c r="I11" s="1018">
        <f>SUBTOTAL(9,I12:I23)</f>
        <v>173133.56000000003</v>
      </c>
      <c r="J11" s="1033"/>
      <c r="K11" s="1034"/>
      <c r="L11" s="1035"/>
      <c r="M11" s="1036">
        <f t="shared" ref="M11:AR11" si="0">SUBTOTAL(9,M12:M23)</f>
        <v>173133.56000000003</v>
      </c>
      <c r="N11" s="1023">
        <f t="shared" si="0"/>
        <v>0</v>
      </c>
      <c r="O11" s="1024">
        <f t="shared" si="0"/>
        <v>0</v>
      </c>
      <c r="P11" s="1024">
        <f t="shared" si="0"/>
        <v>0</v>
      </c>
      <c r="Q11" s="1024">
        <f t="shared" si="0"/>
        <v>0</v>
      </c>
      <c r="R11" s="1024">
        <f t="shared" si="0"/>
        <v>0</v>
      </c>
      <c r="S11" s="1024">
        <f t="shared" si="0"/>
        <v>0</v>
      </c>
      <c r="T11" s="1024">
        <f t="shared" si="0"/>
        <v>0</v>
      </c>
      <c r="U11" s="1024">
        <f t="shared" si="0"/>
        <v>0</v>
      </c>
      <c r="V11" s="1024">
        <f t="shared" si="0"/>
        <v>0</v>
      </c>
      <c r="W11" s="1024">
        <f t="shared" si="0"/>
        <v>0</v>
      </c>
      <c r="X11" s="1024">
        <f t="shared" si="0"/>
        <v>0</v>
      </c>
      <c r="Y11" s="1024">
        <f t="shared" si="0"/>
        <v>0</v>
      </c>
      <c r="Z11" s="1025">
        <f t="shared" si="0"/>
        <v>0</v>
      </c>
      <c r="AA11" s="1026">
        <f t="shared" si="0"/>
        <v>0</v>
      </c>
      <c r="AB11" s="1027">
        <f t="shared" si="0"/>
        <v>0</v>
      </c>
      <c r="AC11" s="1027">
        <f t="shared" si="0"/>
        <v>0</v>
      </c>
      <c r="AD11" s="1027">
        <f t="shared" si="0"/>
        <v>0</v>
      </c>
      <c r="AE11" s="1027">
        <f t="shared" si="0"/>
        <v>0</v>
      </c>
      <c r="AF11" s="1027">
        <f t="shared" si="0"/>
        <v>0</v>
      </c>
      <c r="AG11" s="1027">
        <f t="shared" si="0"/>
        <v>0</v>
      </c>
      <c r="AH11" s="1028">
        <f t="shared" si="0"/>
        <v>0</v>
      </c>
      <c r="AI11" s="1028">
        <f t="shared" si="0"/>
        <v>0</v>
      </c>
      <c r="AJ11" s="1028">
        <f t="shared" si="0"/>
        <v>0</v>
      </c>
      <c r="AK11" s="1028">
        <f t="shared" si="0"/>
        <v>0</v>
      </c>
      <c r="AL11" s="1028">
        <f t="shared" si="0"/>
        <v>0</v>
      </c>
      <c r="AM11" s="1025">
        <f t="shared" si="0"/>
        <v>0</v>
      </c>
      <c r="AN11" s="1024">
        <f t="shared" si="0"/>
        <v>0</v>
      </c>
      <c r="AO11" s="1024">
        <f t="shared" si="0"/>
        <v>0</v>
      </c>
      <c r="AP11" s="1024">
        <f t="shared" si="0"/>
        <v>0</v>
      </c>
      <c r="AQ11" s="1024">
        <f t="shared" si="0"/>
        <v>0</v>
      </c>
      <c r="AR11" s="1024">
        <f t="shared" si="0"/>
        <v>0</v>
      </c>
      <c r="AS11" s="1024">
        <f t="shared" ref="AS11:BX11" si="1">SUBTOTAL(9,AS12:AS23)</f>
        <v>0</v>
      </c>
      <c r="AT11" s="1024">
        <f t="shared" si="1"/>
        <v>0</v>
      </c>
      <c r="AU11" s="1024">
        <f t="shared" si="1"/>
        <v>0</v>
      </c>
      <c r="AV11" s="1024">
        <f t="shared" si="1"/>
        <v>0</v>
      </c>
      <c r="AW11" s="1024">
        <f t="shared" si="1"/>
        <v>0</v>
      </c>
      <c r="AX11" s="1024">
        <f t="shared" si="1"/>
        <v>0</v>
      </c>
      <c r="AY11" s="1024">
        <f t="shared" si="1"/>
        <v>0</v>
      </c>
      <c r="AZ11" s="1024">
        <f t="shared" si="1"/>
        <v>0</v>
      </c>
      <c r="BA11" s="1024">
        <f t="shared" si="1"/>
        <v>0</v>
      </c>
      <c r="BB11" s="1024">
        <f t="shared" si="1"/>
        <v>0</v>
      </c>
      <c r="BC11" s="1024">
        <f t="shared" si="1"/>
        <v>0</v>
      </c>
      <c r="BD11" s="1024">
        <f t="shared" si="1"/>
        <v>0</v>
      </c>
      <c r="BE11" s="1024">
        <f t="shared" si="1"/>
        <v>0</v>
      </c>
      <c r="BF11" s="1024">
        <f t="shared" si="1"/>
        <v>0</v>
      </c>
      <c r="BG11" s="1024">
        <f t="shared" si="1"/>
        <v>0</v>
      </c>
      <c r="BH11" s="1024">
        <f t="shared" si="1"/>
        <v>0</v>
      </c>
      <c r="BI11" s="1024">
        <f t="shared" si="1"/>
        <v>0</v>
      </c>
      <c r="BJ11" s="1024">
        <f t="shared" si="1"/>
        <v>0</v>
      </c>
      <c r="BK11" s="1024">
        <f t="shared" si="1"/>
        <v>0</v>
      </c>
      <c r="BL11" s="1024">
        <f t="shared" si="1"/>
        <v>0</v>
      </c>
      <c r="BM11" s="1024">
        <f t="shared" si="1"/>
        <v>0</v>
      </c>
      <c r="BN11" s="1024">
        <f t="shared" si="1"/>
        <v>0</v>
      </c>
      <c r="BO11" s="1024">
        <f t="shared" si="1"/>
        <v>0</v>
      </c>
      <c r="BP11" s="1024">
        <f t="shared" si="1"/>
        <v>0</v>
      </c>
      <c r="BQ11" s="1024">
        <f t="shared" si="1"/>
        <v>0</v>
      </c>
      <c r="BR11" s="1024">
        <f t="shared" si="1"/>
        <v>0</v>
      </c>
      <c r="BS11" s="1024">
        <f t="shared" si="1"/>
        <v>0</v>
      </c>
      <c r="BT11" s="1024">
        <f t="shared" si="1"/>
        <v>0</v>
      </c>
      <c r="BU11" s="1024">
        <f t="shared" si="1"/>
        <v>0</v>
      </c>
      <c r="BV11" s="1024">
        <f t="shared" si="1"/>
        <v>0</v>
      </c>
      <c r="BW11" s="1024">
        <f t="shared" si="1"/>
        <v>0</v>
      </c>
      <c r="BX11" s="1024">
        <f t="shared" si="1"/>
        <v>0</v>
      </c>
      <c r="BY11" s="1024">
        <f t="shared" ref="BY11:CF11" si="2">SUBTOTAL(9,BY12:BY23)</f>
        <v>0</v>
      </c>
      <c r="BZ11" s="1029">
        <f t="shared" si="2"/>
        <v>0</v>
      </c>
      <c r="CA11" s="1030">
        <f t="shared" si="2"/>
        <v>173133.56000000003</v>
      </c>
      <c r="CB11" s="1031">
        <f t="shared" si="2"/>
        <v>0</v>
      </c>
      <c r="CC11" s="1023">
        <f t="shared" si="2"/>
        <v>173133.56000000003</v>
      </c>
      <c r="CD11" s="1023">
        <f t="shared" si="2"/>
        <v>0</v>
      </c>
      <c r="CE11" s="1023">
        <f t="shared" si="2"/>
        <v>173133.56000000003</v>
      </c>
      <c r="CF11" s="1023">
        <f t="shared" si="2"/>
        <v>0</v>
      </c>
      <c r="CG11" s="1029"/>
      <c r="CH11" s="972">
        <f t="shared" ref="CH11:CH32" si="3">-CC11+K11</f>
        <v>-173133.56000000003</v>
      </c>
      <c r="CL11" s="1037">
        <f>SUBTOTAL(9,CL12:CL23)</f>
        <v>173133.56000000003</v>
      </c>
      <c r="CM11" s="976">
        <f t="shared" ref="CM11:CM42" si="4">+CL11-CC11</f>
        <v>0</v>
      </c>
    </row>
    <row r="12" spans="1:91" s="1032" customFormat="1" ht="14.25" customHeight="1" outlineLevel="1">
      <c r="A12" s="996"/>
      <c r="B12" s="1015"/>
      <c r="C12" s="1016"/>
      <c r="D12" s="1016" t="s">
        <v>537</v>
      </c>
      <c r="E12" s="1017"/>
      <c r="F12" s="1018">
        <v>173110</v>
      </c>
      <c r="G12" s="1018">
        <v>152609.67000000001</v>
      </c>
      <c r="H12" s="1018"/>
      <c r="I12" s="1018">
        <v>152609.67000000001</v>
      </c>
      <c r="J12" s="1033"/>
      <c r="K12" s="1034"/>
      <c r="L12" s="1035"/>
      <c r="M12" s="1036">
        <v>152609.67000000001</v>
      </c>
      <c r="N12" s="1023">
        <v>0</v>
      </c>
      <c r="O12" s="1024">
        <v>0</v>
      </c>
      <c r="P12" s="1024">
        <v>0</v>
      </c>
      <c r="Q12" s="1024">
        <v>0</v>
      </c>
      <c r="R12" s="1024">
        <v>0</v>
      </c>
      <c r="S12" s="1024">
        <v>0</v>
      </c>
      <c r="T12" s="1024">
        <v>0</v>
      </c>
      <c r="U12" s="1024">
        <v>0</v>
      </c>
      <c r="V12" s="1024">
        <v>0</v>
      </c>
      <c r="W12" s="1024">
        <v>0</v>
      </c>
      <c r="X12" s="1024">
        <v>0</v>
      </c>
      <c r="Y12" s="1024">
        <v>0</v>
      </c>
      <c r="Z12" s="1025">
        <f t="shared" ref="Z12:Z23" si="5">SUM(N12:Y12)</f>
        <v>0</v>
      </c>
      <c r="AA12" s="1026">
        <v>0</v>
      </c>
      <c r="AB12" s="1027">
        <v>0</v>
      </c>
      <c r="AC12" s="1027">
        <v>0</v>
      </c>
      <c r="AD12" s="1027">
        <v>0</v>
      </c>
      <c r="AE12" s="1027">
        <v>0</v>
      </c>
      <c r="AF12" s="1027">
        <v>0</v>
      </c>
      <c r="AG12" s="1027">
        <v>0</v>
      </c>
      <c r="AH12" s="1028">
        <v>0</v>
      </c>
      <c r="AI12" s="1028">
        <v>0</v>
      </c>
      <c r="AJ12" s="1028">
        <v>0</v>
      </c>
      <c r="AK12" s="1028">
        <v>0</v>
      </c>
      <c r="AL12" s="1028">
        <v>0</v>
      </c>
      <c r="AM12" s="1025">
        <f t="shared" ref="AM12:AM23" si="6">SUM(AA12:AL12)</f>
        <v>0</v>
      </c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4"/>
      <c r="AX12" s="1024"/>
      <c r="AY12" s="1024"/>
      <c r="AZ12" s="1024">
        <f t="shared" ref="AZ12:AZ23" si="7">SUM(AN12:AY12)</f>
        <v>0</v>
      </c>
      <c r="BA12" s="1024"/>
      <c r="BB12" s="1024"/>
      <c r="BC12" s="1024"/>
      <c r="BD12" s="1024"/>
      <c r="BE12" s="1024"/>
      <c r="BF12" s="1024"/>
      <c r="BG12" s="1024"/>
      <c r="BH12" s="1024"/>
      <c r="BI12" s="1024"/>
      <c r="BJ12" s="1024"/>
      <c r="BK12" s="1024"/>
      <c r="BL12" s="1024"/>
      <c r="BM12" s="1024">
        <f t="shared" ref="BM12:BM23" si="8">SUM(BA12:BL12)</f>
        <v>0</v>
      </c>
      <c r="BN12" s="1024"/>
      <c r="BO12" s="1024"/>
      <c r="BP12" s="1024"/>
      <c r="BQ12" s="1024"/>
      <c r="BR12" s="1024"/>
      <c r="BS12" s="1024"/>
      <c r="BT12" s="1024"/>
      <c r="BU12" s="1024"/>
      <c r="BV12" s="1024"/>
      <c r="BW12" s="1024"/>
      <c r="BX12" s="1024"/>
      <c r="BY12" s="1024"/>
      <c r="BZ12" s="1029">
        <f t="shared" ref="BZ12:BZ23" si="9">SUM(BN12:BY12)</f>
        <v>0</v>
      </c>
      <c r="CA12" s="1030">
        <f t="shared" ref="CA12:CA23" si="10">SUMIF(($M$1:$BZ$1),"Actual",(M12:BZ12))</f>
        <v>152609.67000000001</v>
      </c>
      <c r="CB12" s="1031">
        <f t="shared" ref="CB12:CB23" si="11">SUMIF(($M$1:$BZ$1),"Forecast",(M12:BZ12))</f>
        <v>0</v>
      </c>
      <c r="CC12" s="1023">
        <f t="shared" ref="CC12:CC23" si="12">+CA12+CB12</f>
        <v>152609.67000000001</v>
      </c>
      <c r="CD12" s="1023">
        <f t="shared" ref="CD12:CD23" si="13">+CC12-I12</f>
        <v>0</v>
      </c>
      <c r="CE12" s="1023">
        <v>152609.67000000001</v>
      </c>
      <c r="CF12" s="1023">
        <f t="shared" ref="CF12:CF23" si="14">+CC12-CE12</f>
        <v>0</v>
      </c>
      <c r="CG12" s="1029"/>
      <c r="CH12" s="972">
        <f t="shared" si="3"/>
        <v>-152609.67000000001</v>
      </c>
      <c r="CL12" s="976">
        <v>152609.67000000001</v>
      </c>
      <c r="CM12" s="976">
        <f t="shared" si="4"/>
        <v>0</v>
      </c>
    </row>
    <row r="13" spans="1:91" s="1032" customFormat="1" ht="14.25" customHeight="1" outlineLevel="1">
      <c r="A13" s="996"/>
      <c r="B13" s="1015"/>
      <c r="C13" s="1016"/>
      <c r="D13" s="1016" t="s">
        <v>538</v>
      </c>
      <c r="E13" s="1017"/>
      <c r="F13" s="1018"/>
      <c r="G13" s="1018">
        <v>8082.31</v>
      </c>
      <c r="H13" s="1018"/>
      <c r="I13" s="1018">
        <v>8082.31</v>
      </c>
      <c r="J13" s="1033"/>
      <c r="K13" s="1034"/>
      <c r="L13" s="1035"/>
      <c r="M13" s="1036">
        <v>8082.31</v>
      </c>
      <c r="N13" s="1023">
        <v>0</v>
      </c>
      <c r="O13" s="1024">
        <v>0</v>
      </c>
      <c r="P13" s="1024">
        <v>0</v>
      </c>
      <c r="Q13" s="1024">
        <v>0</v>
      </c>
      <c r="R13" s="1024">
        <v>0</v>
      </c>
      <c r="S13" s="1024">
        <v>0</v>
      </c>
      <c r="T13" s="1024">
        <v>0</v>
      </c>
      <c r="U13" s="1024">
        <v>0</v>
      </c>
      <c r="V13" s="1024">
        <v>0</v>
      </c>
      <c r="W13" s="1024">
        <v>0</v>
      </c>
      <c r="X13" s="1024">
        <v>0</v>
      </c>
      <c r="Y13" s="1024">
        <v>0</v>
      </c>
      <c r="Z13" s="1025">
        <f t="shared" si="5"/>
        <v>0</v>
      </c>
      <c r="AA13" s="1026">
        <v>0</v>
      </c>
      <c r="AB13" s="1027">
        <v>0</v>
      </c>
      <c r="AC13" s="1027">
        <v>0</v>
      </c>
      <c r="AD13" s="1027">
        <v>0</v>
      </c>
      <c r="AE13" s="1027">
        <v>0</v>
      </c>
      <c r="AF13" s="1027">
        <v>0</v>
      </c>
      <c r="AG13" s="1027">
        <v>0</v>
      </c>
      <c r="AH13" s="1028">
        <v>0</v>
      </c>
      <c r="AI13" s="1028">
        <v>0</v>
      </c>
      <c r="AJ13" s="1028">
        <v>0</v>
      </c>
      <c r="AK13" s="1028">
        <v>0</v>
      </c>
      <c r="AL13" s="1028">
        <v>0</v>
      </c>
      <c r="AM13" s="1025">
        <f t="shared" si="6"/>
        <v>0</v>
      </c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4"/>
      <c r="AY13" s="1024"/>
      <c r="AZ13" s="1024">
        <f t="shared" si="7"/>
        <v>0</v>
      </c>
      <c r="BA13" s="1024"/>
      <c r="BB13" s="1024"/>
      <c r="BC13" s="1024"/>
      <c r="BD13" s="1024"/>
      <c r="BE13" s="1024"/>
      <c r="BF13" s="1024"/>
      <c r="BG13" s="1024"/>
      <c r="BH13" s="1024"/>
      <c r="BI13" s="1024"/>
      <c r="BJ13" s="1024"/>
      <c r="BK13" s="1024"/>
      <c r="BL13" s="1024"/>
      <c r="BM13" s="1024">
        <f t="shared" si="8"/>
        <v>0</v>
      </c>
      <c r="BN13" s="1024"/>
      <c r="BO13" s="1024"/>
      <c r="BP13" s="1024"/>
      <c r="BQ13" s="1024"/>
      <c r="BR13" s="1024"/>
      <c r="BS13" s="1024"/>
      <c r="BT13" s="1024"/>
      <c r="BU13" s="1024"/>
      <c r="BV13" s="1024"/>
      <c r="BW13" s="1024"/>
      <c r="BX13" s="1024"/>
      <c r="BY13" s="1024"/>
      <c r="BZ13" s="1029">
        <f t="shared" si="9"/>
        <v>0</v>
      </c>
      <c r="CA13" s="1030">
        <f t="shared" si="10"/>
        <v>8082.31</v>
      </c>
      <c r="CB13" s="1031">
        <f t="shared" si="11"/>
        <v>0</v>
      </c>
      <c r="CC13" s="1023">
        <f t="shared" si="12"/>
        <v>8082.31</v>
      </c>
      <c r="CD13" s="1023">
        <f t="shared" si="13"/>
        <v>0</v>
      </c>
      <c r="CE13" s="1023">
        <v>8082.31</v>
      </c>
      <c r="CF13" s="1023">
        <f t="shared" si="14"/>
        <v>0</v>
      </c>
      <c r="CG13" s="1029"/>
      <c r="CH13" s="972">
        <f t="shared" si="3"/>
        <v>-8082.31</v>
      </c>
      <c r="CL13" s="976">
        <v>8082.31</v>
      </c>
      <c r="CM13" s="976">
        <f t="shared" si="4"/>
        <v>0</v>
      </c>
    </row>
    <row r="14" spans="1:91" s="1032" customFormat="1" ht="14.25" customHeight="1" outlineLevel="1">
      <c r="A14" s="996"/>
      <c r="B14" s="1015"/>
      <c r="C14" s="1016"/>
      <c r="D14" s="1016" t="s">
        <v>539</v>
      </c>
      <c r="E14" s="1017"/>
      <c r="F14" s="1018"/>
      <c r="G14" s="1018">
        <v>3069.1</v>
      </c>
      <c r="H14" s="1018"/>
      <c r="I14" s="1018">
        <v>3069.1</v>
      </c>
      <c r="J14" s="1033"/>
      <c r="K14" s="1034"/>
      <c r="L14" s="1035"/>
      <c r="M14" s="1036">
        <v>3069.1</v>
      </c>
      <c r="N14" s="1023">
        <v>0</v>
      </c>
      <c r="O14" s="1024">
        <v>0</v>
      </c>
      <c r="P14" s="1024">
        <v>0</v>
      </c>
      <c r="Q14" s="1024">
        <v>0</v>
      </c>
      <c r="R14" s="1024">
        <v>0</v>
      </c>
      <c r="S14" s="1024">
        <v>0</v>
      </c>
      <c r="T14" s="1024">
        <v>0</v>
      </c>
      <c r="U14" s="1024">
        <v>0</v>
      </c>
      <c r="V14" s="1024">
        <v>0</v>
      </c>
      <c r="W14" s="1024">
        <v>0</v>
      </c>
      <c r="X14" s="1024">
        <v>0</v>
      </c>
      <c r="Y14" s="1024">
        <v>0</v>
      </c>
      <c r="Z14" s="1025">
        <f t="shared" si="5"/>
        <v>0</v>
      </c>
      <c r="AA14" s="1026">
        <v>0</v>
      </c>
      <c r="AB14" s="1027">
        <v>0</v>
      </c>
      <c r="AC14" s="1027">
        <v>0</v>
      </c>
      <c r="AD14" s="1027">
        <v>0</v>
      </c>
      <c r="AE14" s="1027">
        <v>0</v>
      </c>
      <c r="AF14" s="1027">
        <v>0</v>
      </c>
      <c r="AG14" s="1027">
        <v>0</v>
      </c>
      <c r="AH14" s="1028">
        <v>0</v>
      </c>
      <c r="AI14" s="1028">
        <v>0</v>
      </c>
      <c r="AJ14" s="1028">
        <v>0</v>
      </c>
      <c r="AK14" s="1028">
        <v>0</v>
      </c>
      <c r="AL14" s="1028">
        <v>0</v>
      </c>
      <c r="AM14" s="1025">
        <f t="shared" si="6"/>
        <v>0</v>
      </c>
      <c r="AN14" s="1024"/>
      <c r="AO14" s="1024"/>
      <c r="AP14" s="1024"/>
      <c r="AQ14" s="1024"/>
      <c r="AR14" s="1024"/>
      <c r="AS14" s="1024"/>
      <c r="AT14" s="1024"/>
      <c r="AU14" s="1024"/>
      <c r="AV14" s="1024"/>
      <c r="AW14" s="1024"/>
      <c r="AX14" s="1024"/>
      <c r="AY14" s="1024"/>
      <c r="AZ14" s="1024">
        <f t="shared" si="7"/>
        <v>0</v>
      </c>
      <c r="BA14" s="1024"/>
      <c r="BB14" s="1024"/>
      <c r="BC14" s="1024"/>
      <c r="BD14" s="1024"/>
      <c r="BE14" s="1024"/>
      <c r="BF14" s="1024"/>
      <c r="BG14" s="1024"/>
      <c r="BH14" s="1024"/>
      <c r="BI14" s="1024"/>
      <c r="BJ14" s="1024"/>
      <c r="BK14" s="1024"/>
      <c r="BL14" s="1024"/>
      <c r="BM14" s="1024">
        <f t="shared" si="8"/>
        <v>0</v>
      </c>
      <c r="BN14" s="1024"/>
      <c r="BO14" s="1024"/>
      <c r="BP14" s="1024"/>
      <c r="BQ14" s="1024"/>
      <c r="BR14" s="1024"/>
      <c r="BS14" s="1024"/>
      <c r="BT14" s="1024"/>
      <c r="BU14" s="1024"/>
      <c r="BV14" s="1024"/>
      <c r="BW14" s="1024"/>
      <c r="BX14" s="1024"/>
      <c r="BY14" s="1024"/>
      <c r="BZ14" s="1029">
        <f t="shared" si="9"/>
        <v>0</v>
      </c>
      <c r="CA14" s="1030">
        <f t="shared" si="10"/>
        <v>3069.1</v>
      </c>
      <c r="CB14" s="1031">
        <f t="shared" si="11"/>
        <v>0</v>
      </c>
      <c r="CC14" s="1023">
        <f t="shared" si="12"/>
        <v>3069.1</v>
      </c>
      <c r="CD14" s="1023">
        <f t="shared" si="13"/>
        <v>0</v>
      </c>
      <c r="CE14" s="1023">
        <v>3069.1</v>
      </c>
      <c r="CF14" s="1023">
        <f t="shared" si="14"/>
        <v>0</v>
      </c>
      <c r="CG14" s="1029"/>
      <c r="CH14" s="972">
        <f t="shared" si="3"/>
        <v>-3069.1</v>
      </c>
      <c r="CL14" s="976">
        <v>3069.1</v>
      </c>
      <c r="CM14" s="976">
        <f t="shared" si="4"/>
        <v>0</v>
      </c>
    </row>
    <row r="15" spans="1:91" s="1032" customFormat="1" ht="14.25" customHeight="1" outlineLevel="1">
      <c r="A15" s="996"/>
      <c r="B15" s="1015"/>
      <c r="C15" s="1016"/>
      <c r="D15" s="1016" t="s">
        <v>540</v>
      </c>
      <c r="E15" s="1017"/>
      <c r="F15" s="1018"/>
      <c r="G15" s="1018">
        <v>9139.66</v>
      </c>
      <c r="H15" s="1018"/>
      <c r="I15" s="1018">
        <v>9139.66</v>
      </c>
      <c r="J15" s="1033"/>
      <c r="K15" s="1034"/>
      <c r="L15" s="1035"/>
      <c r="M15" s="1036">
        <v>9139.66</v>
      </c>
      <c r="N15" s="1023">
        <v>0</v>
      </c>
      <c r="O15" s="1024">
        <v>0</v>
      </c>
      <c r="P15" s="1024">
        <v>0</v>
      </c>
      <c r="Q15" s="1024">
        <v>0</v>
      </c>
      <c r="R15" s="1024">
        <v>0</v>
      </c>
      <c r="S15" s="1024">
        <v>0</v>
      </c>
      <c r="T15" s="1024">
        <v>0</v>
      </c>
      <c r="U15" s="1024">
        <v>0</v>
      </c>
      <c r="V15" s="1024">
        <v>0</v>
      </c>
      <c r="W15" s="1024">
        <v>0</v>
      </c>
      <c r="X15" s="1024">
        <v>0</v>
      </c>
      <c r="Y15" s="1024">
        <v>0</v>
      </c>
      <c r="Z15" s="1025">
        <f t="shared" si="5"/>
        <v>0</v>
      </c>
      <c r="AA15" s="1026">
        <v>0</v>
      </c>
      <c r="AB15" s="1027">
        <v>0</v>
      </c>
      <c r="AC15" s="1027">
        <v>0</v>
      </c>
      <c r="AD15" s="1027">
        <v>0</v>
      </c>
      <c r="AE15" s="1027">
        <v>0</v>
      </c>
      <c r="AF15" s="1027">
        <v>0</v>
      </c>
      <c r="AG15" s="1027">
        <v>0</v>
      </c>
      <c r="AH15" s="1028">
        <v>0</v>
      </c>
      <c r="AI15" s="1028">
        <v>0</v>
      </c>
      <c r="AJ15" s="1028">
        <v>0</v>
      </c>
      <c r="AK15" s="1028">
        <v>0</v>
      </c>
      <c r="AL15" s="1028">
        <v>0</v>
      </c>
      <c r="AM15" s="1025">
        <f t="shared" si="6"/>
        <v>0</v>
      </c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4"/>
      <c r="AX15" s="1024"/>
      <c r="AY15" s="1024"/>
      <c r="AZ15" s="1024">
        <f t="shared" si="7"/>
        <v>0</v>
      </c>
      <c r="BA15" s="1024"/>
      <c r="BB15" s="1024"/>
      <c r="BC15" s="1024"/>
      <c r="BD15" s="1024"/>
      <c r="BE15" s="1024"/>
      <c r="BF15" s="1024"/>
      <c r="BG15" s="1024"/>
      <c r="BH15" s="1024"/>
      <c r="BI15" s="1024"/>
      <c r="BJ15" s="1024"/>
      <c r="BK15" s="1024"/>
      <c r="BL15" s="1024"/>
      <c r="BM15" s="1024">
        <f t="shared" si="8"/>
        <v>0</v>
      </c>
      <c r="BN15" s="1024"/>
      <c r="BO15" s="1024"/>
      <c r="BP15" s="1024"/>
      <c r="BQ15" s="1024"/>
      <c r="BR15" s="1024"/>
      <c r="BS15" s="1024"/>
      <c r="BT15" s="1024"/>
      <c r="BU15" s="1024"/>
      <c r="BV15" s="1024"/>
      <c r="BW15" s="1024"/>
      <c r="BX15" s="1024"/>
      <c r="BY15" s="1024"/>
      <c r="BZ15" s="1029">
        <f t="shared" si="9"/>
        <v>0</v>
      </c>
      <c r="CA15" s="1030">
        <f t="shared" si="10"/>
        <v>9139.66</v>
      </c>
      <c r="CB15" s="1031">
        <f t="shared" si="11"/>
        <v>0</v>
      </c>
      <c r="CC15" s="1023">
        <f t="shared" si="12"/>
        <v>9139.66</v>
      </c>
      <c r="CD15" s="1023">
        <f t="shared" si="13"/>
        <v>0</v>
      </c>
      <c r="CE15" s="1023">
        <v>9139.66</v>
      </c>
      <c r="CF15" s="1023">
        <f t="shared" si="14"/>
        <v>0</v>
      </c>
      <c r="CG15" s="1029"/>
      <c r="CH15" s="972">
        <f t="shared" si="3"/>
        <v>-9139.66</v>
      </c>
      <c r="CL15" s="976">
        <v>9139.66</v>
      </c>
      <c r="CM15" s="976">
        <f t="shared" si="4"/>
        <v>0</v>
      </c>
    </row>
    <row r="16" spans="1:91" s="1032" customFormat="1" ht="14.25" customHeight="1" outlineLevel="1">
      <c r="A16" s="996"/>
      <c r="B16" s="1015"/>
      <c r="C16" s="1016"/>
      <c r="D16" s="1016" t="s">
        <v>541</v>
      </c>
      <c r="E16" s="1017"/>
      <c r="F16" s="1018"/>
      <c r="G16" s="1018">
        <v>0</v>
      </c>
      <c r="H16" s="1018"/>
      <c r="I16" s="1018">
        <v>0</v>
      </c>
      <c r="J16" s="1033"/>
      <c r="K16" s="1034"/>
      <c r="L16" s="1035"/>
      <c r="M16" s="1036">
        <v>0</v>
      </c>
      <c r="N16" s="1023">
        <v>0</v>
      </c>
      <c r="O16" s="1024">
        <v>0</v>
      </c>
      <c r="P16" s="1024">
        <v>0</v>
      </c>
      <c r="Q16" s="1024">
        <v>0</v>
      </c>
      <c r="R16" s="1024">
        <v>0</v>
      </c>
      <c r="S16" s="1024">
        <v>0</v>
      </c>
      <c r="T16" s="1024">
        <v>0</v>
      </c>
      <c r="U16" s="1024">
        <v>0</v>
      </c>
      <c r="V16" s="1024">
        <v>0</v>
      </c>
      <c r="W16" s="1024">
        <v>0</v>
      </c>
      <c r="X16" s="1024">
        <v>0</v>
      </c>
      <c r="Y16" s="1024">
        <v>0</v>
      </c>
      <c r="Z16" s="1025">
        <f t="shared" si="5"/>
        <v>0</v>
      </c>
      <c r="AA16" s="1026">
        <v>0</v>
      </c>
      <c r="AB16" s="1027">
        <v>0</v>
      </c>
      <c r="AC16" s="1027">
        <v>0</v>
      </c>
      <c r="AD16" s="1027">
        <v>0</v>
      </c>
      <c r="AE16" s="1027">
        <v>0</v>
      </c>
      <c r="AF16" s="1027">
        <v>0</v>
      </c>
      <c r="AG16" s="1027">
        <v>0</v>
      </c>
      <c r="AH16" s="1028">
        <v>0</v>
      </c>
      <c r="AI16" s="1028">
        <v>0</v>
      </c>
      <c r="AJ16" s="1028">
        <v>0</v>
      </c>
      <c r="AK16" s="1028">
        <v>0</v>
      </c>
      <c r="AL16" s="1028">
        <v>0</v>
      </c>
      <c r="AM16" s="1025">
        <f t="shared" si="6"/>
        <v>0</v>
      </c>
      <c r="AN16" s="1024"/>
      <c r="AO16" s="1024"/>
      <c r="AP16" s="1024"/>
      <c r="AQ16" s="1024"/>
      <c r="AR16" s="1024"/>
      <c r="AS16" s="1024"/>
      <c r="AT16" s="1024"/>
      <c r="AU16" s="1024"/>
      <c r="AV16" s="1024"/>
      <c r="AW16" s="1024"/>
      <c r="AX16" s="1024"/>
      <c r="AY16" s="1024"/>
      <c r="AZ16" s="1024">
        <f t="shared" si="7"/>
        <v>0</v>
      </c>
      <c r="BA16" s="1024"/>
      <c r="BB16" s="1024"/>
      <c r="BC16" s="1024"/>
      <c r="BD16" s="1024"/>
      <c r="BE16" s="1024"/>
      <c r="BF16" s="1024"/>
      <c r="BG16" s="1024"/>
      <c r="BH16" s="1024"/>
      <c r="BI16" s="1024"/>
      <c r="BJ16" s="1024"/>
      <c r="BK16" s="1024"/>
      <c r="BL16" s="1024"/>
      <c r="BM16" s="1024">
        <f t="shared" si="8"/>
        <v>0</v>
      </c>
      <c r="BN16" s="1024"/>
      <c r="BO16" s="1024"/>
      <c r="BP16" s="1024"/>
      <c r="BQ16" s="1024"/>
      <c r="BR16" s="1024"/>
      <c r="BS16" s="1024"/>
      <c r="BT16" s="1024"/>
      <c r="BU16" s="1024"/>
      <c r="BV16" s="1024"/>
      <c r="BW16" s="1024"/>
      <c r="BX16" s="1024"/>
      <c r="BY16" s="1024"/>
      <c r="BZ16" s="1029">
        <f t="shared" si="9"/>
        <v>0</v>
      </c>
      <c r="CA16" s="1030">
        <f t="shared" si="10"/>
        <v>0</v>
      </c>
      <c r="CB16" s="1031">
        <f t="shared" si="11"/>
        <v>0</v>
      </c>
      <c r="CC16" s="1023">
        <f t="shared" si="12"/>
        <v>0</v>
      </c>
      <c r="CD16" s="1023">
        <f t="shared" si="13"/>
        <v>0</v>
      </c>
      <c r="CE16" s="1023">
        <v>0</v>
      </c>
      <c r="CF16" s="1023">
        <f t="shared" si="14"/>
        <v>0</v>
      </c>
      <c r="CG16" s="1029"/>
      <c r="CH16" s="972">
        <f t="shared" si="3"/>
        <v>0</v>
      </c>
      <c r="CL16" s="976">
        <v>0</v>
      </c>
      <c r="CM16" s="976">
        <f t="shared" si="4"/>
        <v>0</v>
      </c>
    </row>
    <row r="17" spans="1:91" s="1032" customFormat="1" ht="14.25" customHeight="1" outlineLevel="1">
      <c r="A17" s="996"/>
      <c r="B17" s="1015"/>
      <c r="C17" s="1016"/>
      <c r="D17" s="1016" t="s">
        <v>542</v>
      </c>
      <c r="E17" s="1017"/>
      <c r="F17" s="1018"/>
      <c r="G17" s="1018">
        <v>0</v>
      </c>
      <c r="H17" s="1018"/>
      <c r="I17" s="1018">
        <v>0</v>
      </c>
      <c r="J17" s="1033"/>
      <c r="K17" s="1034"/>
      <c r="L17" s="1035"/>
      <c r="M17" s="1036">
        <v>0</v>
      </c>
      <c r="N17" s="1023">
        <v>0</v>
      </c>
      <c r="O17" s="1024">
        <v>0</v>
      </c>
      <c r="P17" s="1024">
        <v>0</v>
      </c>
      <c r="Q17" s="1024">
        <v>0</v>
      </c>
      <c r="R17" s="1024">
        <v>0</v>
      </c>
      <c r="S17" s="1024">
        <v>0</v>
      </c>
      <c r="T17" s="1024">
        <v>0</v>
      </c>
      <c r="U17" s="1024">
        <v>0</v>
      </c>
      <c r="V17" s="1024">
        <v>0</v>
      </c>
      <c r="W17" s="1024">
        <v>0</v>
      </c>
      <c r="X17" s="1024">
        <v>0</v>
      </c>
      <c r="Y17" s="1024">
        <v>0</v>
      </c>
      <c r="Z17" s="1025">
        <f t="shared" si="5"/>
        <v>0</v>
      </c>
      <c r="AA17" s="1026">
        <v>0</v>
      </c>
      <c r="AB17" s="1027">
        <v>0</v>
      </c>
      <c r="AC17" s="1027">
        <v>0</v>
      </c>
      <c r="AD17" s="1027">
        <v>0</v>
      </c>
      <c r="AE17" s="1027">
        <v>0</v>
      </c>
      <c r="AF17" s="1027">
        <v>0</v>
      </c>
      <c r="AG17" s="1027">
        <v>0</v>
      </c>
      <c r="AH17" s="1028">
        <v>0</v>
      </c>
      <c r="AI17" s="1028">
        <v>0</v>
      </c>
      <c r="AJ17" s="1028">
        <v>0</v>
      </c>
      <c r="AK17" s="1028">
        <v>0</v>
      </c>
      <c r="AL17" s="1028">
        <v>0</v>
      </c>
      <c r="AM17" s="1025">
        <f t="shared" si="6"/>
        <v>0</v>
      </c>
      <c r="AN17" s="1024"/>
      <c r="AO17" s="1024"/>
      <c r="AP17" s="1024"/>
      <c r="AQ17" s="1024"/>
      <c r="AR17" s="1024"/>
      <c r="AS17" s="1024"/>
      <c r="AT17" s="1024"/>
      <c r="AU17" s="1024"/>
      <c r="AV17" s="1024"/>
      <c r="AW17" s="1024"/>
      <c r="AX17" s="1024"/>
      <c r="AY17" s="1024"/>
      <c r="AZ17" s="1024">
        <f t="shared" si="7"/>
        <v>0</v>
      </c>
      <c r="BA17" s="1024"/>
      <c r="BB17" s="1024"/>
      <c r="BC17" s="1024"/>
      <c r="BD17" s="1024"/>
      <c r="BE17" s="1024"/>
      <c r="BF17" s="1024"/>
      <c r="BG17" s="1024"/>
      <c r="BH17" s="1024"/>
      <c r="BI17" s="1024"/>
      <c r="BJ17" s="1024"/>
      <c r="BK17" s="1024"/>
      <c r="BL17" s="1024"/>
      <c r="BM17" s="1024">
        <f t="shared" si="8"/>
        <v>0</v>
      </c>
      <c r="BN17" s="1024"/>
      <c r="BO17" s="1024"/>
      <c r="BP17" s="1024"/>
      <c r="BQ17" s="1024"/>
      <c r="BR17" s="1024"/>
      <c r="BS17" s="1024"/>
      <c r="BT17" s="1024"/>
      <c r="BU17" s="1024"/>
      <c r="BV17" s="1024"/>
      <c r="BW17" s="1024"/>
      <c r="BX17" s="1024"/>
      <c r="BY17" s="1024"/>
      <c r="BZ17" s="1029">
        <f t="shared" si="9"/>
        <v>0</v>
      </c>
      <c r="CA17" s="1030">
        <f t="shared" si="10"/>
        <v>0</v>
      </c>
      <c r="CB17" s="1031">
        <f t="shared" si="11"/>
        <v>0</v>
      </c>
      <c r="CC17" s="1023">
        <f t="shared" si="12"/>
        <v>0</v>
      </c>
      <c r="CD17" s="1023">
        <f t="shared" si="13"/>
        <v>0</v>
      </c>
      <c r="CE17" s="1023">
        <v>0</v>
      </c>
      <c r="CF17" s="1023">
        <f t="shared" si="14"/>
        <v>0</v>
      </c>
      <c r="CG17" s="1029"/>
      <c r="CH17" s="972">
        <f t="shared" si="3"/>
        <v>0</v>
      </c>
      <c r="CL17" s="976">
        <v>0</v>
      </c>
      <c r="CM17" s="976">
        <f t="shared" si="4"/>
        <v>0</v>
      </c>
    </row>
    <row r="18" spans="1:91" s="1032" customFormat="1" ht="14.25" customHeight="1" outlineLevel="1">
      <c r="A18" s="996"/>
      <c r="B18" s="1015"/>
      <c r="C18" s="1016"/>
      <c r="D18" s="1016" t="s">
        <v>544</v>
      </c>
      <c r="E18" s="1017"/>
      <c r="F18" s="1018"/>
      <c r="G18" s="1018">
        <v>0</v>
      </c>
      <c r="H18" s="1018"/>
      <c r="I18" s="1018">
        <v>0</v>
      </c>
      <c r="J18" s="1033"/>
      <c r="K18" s="1034"/>
      <c r="L18" s="1035"/>
      <c r="M18" s="1036">
        <v>0</v>
      </c>
      <c r="N18" s="1023">
        <v>0</v>
      </c>
      <c r="O18" s="1024">
        <v>0</v>
      </c>
      <c r="P18" s="1024">
        <v>0</v>
      </c>
      <c r="Q18" s="1024">
        <v>0</v>
      </c>
      <c r="R18" s="1024">
        <v>0</v>
      </c>
      <c r="S18" s="1024">
        <v>0</v>
      </c>
      <c r="T18" s="1024">
        <v>0</v>
      </c>
      <c r="U18" s="1024">
        <v>0</v>
      </c>
      <c r="V18" s="1024">
        <v>0</v>
      </c>
      <c r="W18" s="1024">
        <v>0</v>
      </c>
      <c r="X18" s="1024">
        <v>0</v>
      </c>
      <c r="Y18" s="1024">
        <v>0</v>
      </c>
      <c r="Z18" s="1025">
        <f t="shared" si="5"/>
        <v>0</v>
      </c>
      <c r="AA18" s="1026">
        <v>0</v>
      </c>
      <c r="AB18" s="1027">
        <v>0</v>
      </c>
      <c r="AC18" s="1027">
        <v>0</v>
      </c>
      <c r="AD18" s="1027">
        <v>0</v>
      </c>
      <c r="AE18" s="1027">
        <v>0</v>
      </c>
      <c r="AF18" s="1027">
        <v>0</v>
      </c>
      <c r="AG18" s="1027">
        <v>0</v>
      </c>
      <c r="AH18" s="1028">
        <v>0</v>
      </c>
      <c r="AI18" s="1028">
        <v>0</v>
      </c>
      <c r="AJ18" s="1028">
        <v>0</v>
      </c>
      <c r="AK18" s="1028">
        <v>0</v>
      </c>
      <c r="AL18" s="1028">
        <v>0</v>
      </c>
      <c r="AM18" s="1025">
        <f t="shared" si="6"/>
        <v>0</v>
      </c>
      <c r="AN18" s="1024"/>
      <c r="AO18" s="1024"/>
      <c r="AP18" s="1024"/>
      <c r="AQ18" s="1024"/>
      <c r="AR18" s="1024"/>
      <c r="AS18" s="1024"/>
      <c r="AT18" s="1024"/>
      <c r="AU18" s="1024"/>
      <c r="AV18" s="1024"/>
      <c r="AW18" s="1024"/>
      <c r="AX18" s="1024"/>
      <c r="AY18" s="1024"/>
      <c r="AZ18" s="1024">
        <f t="shared" si="7"/>
        <v>0</v>
      </c>
      <c r="BA18" s="1024"/>
      <c r="BB18" s="1024"/>
      <c r="BC18" s="1024"/>
      <c r="BD18" s="1024"/>
      <c r="BE18" s="1024"/>
      <c r="BF18" s="1024"/>
      <c r="BG18" s="1024"/>
      <c r="BH18" s="1024"/>
      <c r="BI18" s="1024"/>
      <c r="BJ18" s="1024"/>
      <c r="BK18" s="1024"/>
      <c r="BL18" s="1024"/>
      <c r="BM18" s="1024">
        <f t="shared" si="8"/>
        <v>0</v>
      </c>
      <c r="BN18" s="1024"/>
      <c r="BO18" s="1024"/>
      <c r="BP18" s="1024"/>
      <c r="BQ18" s="1024"/>
      <c r="BR18" s="1024"/>
      <c r="BS18" s="1024"/>
      <c r="BT18" s="1024"/>
      <c r="BU18" s="1024"/>
      <c r="BV18" s="1024"/>
      <c r="BW18" s="1024"/>
      <c r="BX18" s="1024"/>
      <c r="BY18" s="1024"/>
      <c r="BZ18" s="1029">
        <f t="shared" si="9"/>
        <v>0</v>
      </c>
      <c r="CA18" s="1030">
        <f t="shared" si="10"/>
        <v>0</v>
      </c>
      <c r="CB18" s="1031">
        <f t="shared" si="11"/>
        <v>0</v>
      </c>
      <c r="CC18" s="1023">
        <f t="shared" si="12"/>
        <v>0</v>
      </c>
      <c r="CD18" s="1023">
        <f t="shared" si="13"/>
        <v>0</v>
      </c>
      <c r="CE18" s="1023">
        <v>0</v>
      </c>
      <c r="CF18" s="1023">
        <f t="shared" si="14"/>
        <v>0</v>
      </c>
      <c r="CG18" s="1029"/>
      <c r="CH18" s="972">
        <f t="shared" si="3"/>
        <v>0</v>
      </c>
      <c r="CL18" s="976">
        <v>0</v>
      </c>
      <c r="CM18" s="976">
        <f t="shared" si="4"/>
        <v>0</v>
      </c>
    </row>
    <row r="19" spans="1:91" s="1032" customFormat="1" ht="14.25" customHeight="1" outlineLevel="1">
      <c r="A19" s="996"/>
      <c r="B19" s="1015"/>
      <c r="C19" s="1016"/>
      <c r="D19" s="1016" t="s">
        <v>545</v>
      </c>
      <c r="E19" s="1017"/>
      <c r="F19" s="1018"/>
      <c r="G19" s="1018">
        <v>209.67</v>
      </c>
      <c r="H19" s="1018"/>
      <c r="I19" s="1018">
        <v>209.67</v>
      </c>
      <c r="J19" s="1033"/>
      <c r="K19" s="1034"/>
      <c r="L19" s="1035"/>
      <c r="M19" s="1036">
        <v>209.67</v>
      </c>
      <c r="N19" s="1023">
        <v>0</v>
      </c>
      <c r="O19" s="1024">
        <v>0</v>
      </c>
      <c r="P19" s="1024">
        <v>0</v>
      </c>
      <c r="Q19" s="1024">
        <v>0</v>
      </c>
      <c r="R19" s="1024">
        <v>0</v>
      </c>
      <c r="S19" s="1024">
        <v>0</v>
      </c>
      <c r="T19" s="1024">
        <v>0</v>
      </c>
      <c r="U19" s="1024">
        <v>0</v>
      </c>
      <c r="V19" s="1024">
        <v>0</v>
      </c>
      <c r="W19" s="1024">
        <v>0</v>
      </c>
      <c r="X19" s="1024">
        <v>0</v>
      </c>
      <c r="Y19" s="1024">
        <v>0</v>
      </c>
      <c r="Z19" s="1025">
        <f t="shared" si="5"/>
        <v>0</v>
      </c>
      <c r="AA19" s="1026">
        <v>0</v>
      </c>
      <c r="AB19" s="1027">
        <v>0</v>
      </c>
      <c r="AC19" s="1027">
        <v>0</v>
      </c>
      <c r="AD19" s="1027">
        <v>0</v>
      </c>
      <c r="AE19" s="1027">
        <v>0</v>
      </c>
      <c r="AF19" s="1027">
        <v>0</v>
      </c>
      <c r="AG19" s="1027">
        <v>0</v>
      </c>
      <c r="AH19" s="1028">
        <v>0</v>
      </c>
      <c r="AI19" s="1028">
        <v>0</v>
      </c>
      <c r="AJ19" s="1028">
        <v>0</v>
      </c>
      <c r="AK19" s="1028">
        <v>0</v>
      </c>
      <c r="AL19" s="1028">
        <v>0</v>
      </c>
      <c r="AM19" s="1025">
        <f t="shared" si="6"/>
        <v>0</v>
      </c>
      <c r="AN19" s="1024"/>
      <c r="AO19" s="1024"/>
      <c r="AP19" s="1024"/>
      <c r="AQ19" s="1024"/>
      <c r="AR19" s="1024"/>
      <c r="AS19" s="1024"/>
      <c r="AT19" s="1024"/>
      <c r="AU19" s="1024"/>
      <c r="AV19" s="1024"/>
      <c r="AW19" s="1024"/>
      <c r="AX19" s="1024"/>
      <c r="AY19" s="1024"/>
      <c r="AZ19" s="1024">
        <f t="shared" si="7"/>
        <v>0</v>
      </c>
      <c r="BA19" s="1024"/>
      <c r="BB19" s="1024"/>
      <c r="BC19" s="1024"/>
      <c r="BD19" s="1024"/>
      <c r="BE19" s="1024"/>
      <c r="BF19" s="1024"/>
      <c r="BG19" s="1024"/>
      <c r="BH19" s="1024"/>
      <c r="BI19" s="1024"/>
      <c r="BJ19" s="1024"/>
      <c r="BK19" s="1024"/>
      <c r="BL19" s="1024"/>
      <c r="BM19" s="1024">
        <f t="shared" si="8"/>
        <v>0</v>
      </c>
      <c r="BN19" s="1024"/>
      <c r="BO19" s="1024"/>
      <c r="BP19" s="1024"/>
      <c r="BQ19" s="1024"/>
      <c r="BR19" s="1024"/>
      <c r="BS19" s="1024"/>
      <c r="BT19" s="1024"/>
      <c r="BU19" s="1024"/>
      <c r="BV19" s="1024"/>
      <c r="BW19" s="1024"/>
      <c r="BX19" s="1024"/>
      <c r="BY19" s="1024"/>
      <c r="BZ19" s="1029">
        <f t="shared" si="9"/>
        <v>0</v>
      </c>
      <c r="CA19" s="1030">
        <f t="shared" si="10"/>
        <v>209.67</v>
      </c>
      <c r="CB19" s="1031">
        <f t="shared" si="11"/>
        <v>0</v>
      </c>
      <c r="CC19" s="1023">
        <f t="shared" si="12"/>
        <v>209.67</v>
      </c>
      <c r="CD19" s="1023">
        <f t="shared" si="13"/>
        <v>0</v>
      </c>
      <c r="CE19" s="1023">
        <v>209.67</v>
      </c>
      <c r="CF19" s="1023">
        <f t="shared" si="14"/>
        <v>0</v>
      </c>
      <c r="CG19" s="1029"/>
      <c r="CH19" s="972">
        <f t="shared" si="3"/>
        <v>-209.67</v>
      </c>
      <c r="CL19" s="976">
        <v>209.67</v>
      </c>
      <c r="CM19" s="976">
        <f t="shared" si="4"/>
        <v>0</v>
      </c>
    </row>
    <row r="20" spans="1:91" s="1032" customFormat="1" ht="14.25" customHeight="1" outlineLevel="1">
      <c r="A20" s="996"/>
      <c r="B20" s="1015"/>
      <c r="C20" s="1016"/>
      <c r="D20" s="1016" t="s">
        <v>546</v>
      </c>
      <c r="E20" s="1017"/>
      <c r="F20" s="1018"/>
      <c r="G20" s="1018">
        <v>0</v>
      </c>
      <c r="H20" s="1018"/>
      <c r="I20" s="1018">
        <v>0</v>
      </c>
      <c r="J20" s="1033"/>
      <c r="K20" s="1034"/>
      <c r="L20" s="1035"/>
      <c r="M20" s="1036"/>
      <c r="N20" s="1023">
        <v>0</v>
      </c>
      <c r="O20" s="1024">
        <v>0</v>
      </c>
      <c r="P20" s="1024">
        <v>0</v>
      </c>
      <c r="Q20" s="1024">
        <v>0</v>
      </c>
      <c r="R20" s="1024">
        <v>0</v>
      </c>
      <c r="S20" s="1024">
        <v>0</v>
      </c>
      <c r="T20" s="1024">
        <v>0</v>
      </c>
      <c r="U20" s="1024">
        <v>0</v>
      </c>
      <c r="V20" s="1024">
        <v>0</v>
      </c>
      <c r="W20" s="1024">
        <v>0</v>
      </c>
      <c r="X20" s="1024">
        <v>0</v>
      </c>
      <c r="Y20" s="1024">
        <v>0</v>
      </c>
      <c r="Z20" s="1025">
        <f t="shared" si="5"/>
        <v>0</v>
      </c>
      <c r="AA20" s="1026">
        <v>0</v>
      </c>
      <c r="AB20" s="1027">
        <v>0</v>
      </c>
      <c r="AC20" s="1027">
        <v>0</v>
      </c>
      <c r="AD20" s="1027">
        <v>0</v>
      </c>
      <c r="AE20" s="1027">
        <v>0</v>
      </c>
      <c r="AF20" s="1027">
        <v>0</v>
      </c>
      <c r="AG20" s="1027">
        <v>0</v>
      </c>
      <c r="AH20" s="1028">
        <v>0</v>
      </c>
      <c r="AI20" s="1028">
        <v>0</v>
      </c>
      <c r="AJ20" s="1028">
        <v>0</v>
      </c>
      <c r="AK20" s="1028">
        <v>0</v>
      </c>
      <c r="AL20" s="1028">
        <v>0</v>
      </c>
      <c r="AM20" s="1025">
        <f t="shared" si="6"/>
        <v>0</v>
      </c>
      <c r="AN20" s="1024"/>
      <c r="AO20" s="1024"/>
      <c r="AP20" s="1024"/>
      <c r="AQ20" s="1024"/>
      <c r="AR20" s="1024"/>
      <c r="AS20" s="1024"/>
      <c r="AT20" s="1024"/>
      <c r="AU20" s="1024"/>
      <c r="AV20" s="1024"/>
      <c r="AW20" s="1024"/>
      <c r="AX20" s="1024"/>
      <c r="AY20" s="1024"/>
      <c r="AZ20" s="1024">
        <f t="shared" si="7"/>
        <v>0</v>
      </c>
      <c r="BA20" s="1024"/>
      <c r="BB20" s="1024"/>
      <c r="BC20" s="1024"/>
      <c r="BD20" s="1024"/>
      <c r="BE20" s="1024"/>
      <c r="BF20" s="1024"/>
      <c r="BG20" s="1024"/>
      <c r="BH20" s="1024"/>
      <c r="BI20" s="1024"/>
      <c r="BJ20" s="1024"/>
      <c r="BK20" s="1024"/>
      <c r="BL20" s="1024"/>
      <c r="BM20" s="1024">
        <f t="shared" si="8"/>
        <v>0</v>
      </c>
      <c r="BN20" s="1024"/>
      <c r="BO20" s="1024"/>
      <c r="BP20" s="1024"/>
      <c r="BQ20" s="1024"/>
      <c r="BR20" s="1024"/>
      <c r="BS20" s="1024"/>
      <c r="BT20" s="1024"/>
      <c r="BU20" s="1024"/>
      <c r="BV20" s="1024"/>
      <c r="BW20" s="1024"/>
      <c r="BX20" s="1024"/>
      <c r="BY20" s="1024"/>
      <c r="BZ20" s="1029">
        <f t="shared" si="9"/>
        <v>0</v>
      </c>
      <c r="CA20" s="1030">
        <f t="shared" si="10"/>
        <v>0</v>
      </c>
      <c r="CB20" s="1031">
        <f t="shared" si="11"/>
        <v>0</v>
      </c>
      <c r="CC20" s="1023">
        <f t="shared" si="12"/>
        <v>0</v>
      </c>
      <c r="CD20" s="1023">
        <f t="shared" si="13"/>
        <v>0</v>
      </c>
      <c r="CE20" s="1023">
        <v>0</v>
      </c>
      <c r="CF20" s="1023">
        <f t="shared" si="14"/>
        <v>0</v>
      </c>
      <c r="CG20" s="1029"/>
      <c r="CH20" s="972">
        <f t="shared" si="3"/>
        <v>0</v>
      </c>
      <c r="CL20" s="976">
        <v>0</v>
      </c>
      <c r="CM20" s="976">
        <f t="shared" si="4"/>
        <v>0</v>
      </c>
    </row>
    <row r="21" spans="1:91" s="1032" customFormat="1" ht="14.25" customHeight="1" outlineLevel="1">
      <c r="A21" s="996"/>
      <c r="B21" s="1015"/>
      <c r="C21" s="1016"/>
      <c r="D21" s="1016" t="s">
        <v>547</v>
      </c>
      <c r="E21" s="1017"/>
      <c r="F21" s="1018"/>
      <c r="G21" s="1018">
        <v>0</v>
      </c>
      <c r="H21" s="1018"/>
      <c r="I21" s="1018">
        <v>0</v>
      </c>
      <c r="J21" s="1033"/>
      <c r="K21" s="1034"/>
      <c r="L21" s="1035"/>
      <c r="M21" s="1036">
        <v>0</v>
      </c>
      <c r="N21" s="1023">
        <v>0</v>
      </c>
      <c r="O21" s="1024">
        <v>0</v>
      </c>
      <c r="P21" s="1024">
        <v>0</v>
      </c>
      <c r="Q21" s="1024">
        <v>0</v>
      </c>
      <c r="R21" s="1024">
        <v>0</v>
      </c>
      <c r="S21" s="1024">
        <v>0</v>
      </c>
      <c r="T21" s="1024">
        <v>0</v>
      </c>
      <c r="U21" s="1024">
        <v>0</v>
      </c>
      <c r="V21" s="1024">
        <v>0</v>
      </c>
      <c r="W21" s="1024">
        <v>0</v>
      </c>
      <c r="X21" s="1024">
        <v>0</v>
      </c>
      <c r="Y21" s="1024">
        <v>0</v>
      </c>
      <c r="Z21" s="1025">
        <f t="shared" si="5"/>
        <v>0</v>
      </c>
      <c r="AA21" s="1026">
        <v>0</v>
      </c>
      <c r="AB21" s="1027">
        <v>0</v>
      </c>
      <c r="AC21" s="1027">
        <v>0</v>
      </c>
      <c r="AD21" s="1027">
        <v>0</v>
      </c>
      <c r="AE21" s="1027">
        <v>0</v>
      </c>
      <c r="AF21" s="1027">
        <v>0</v>
      </c>
      <c r="AG21" s="1027">
        <v>0</v>
      </c>
      <c r="AH21" s="1028">
        <v>0</v>
      </c>
      <c r="AI21" s="1028">
        <v>0</v>
      </c>
      <c r="AJ21" s="1028">
        <v>0</v>
      </c>
      <c r="AK21" s="1028">
        <v>0</v>
      </c>
      <c r="AL21" s="1028">
        <v>0</v>
      </c>
      <c r="AM21" s="1025">
        <f t="shared" si="6"/>
        <v>0</v>
      </c>
      <c r="AN21" s="1024"/>
      <c r="AO21" s="1024"/>
      <c r="AP21" s="1024"/>
      <c r="AQ21" s="1024"/>
      <c r="AR21" s="1024"/>
      <c r="AS21" s="1024"/>
      <c r="AT21" s="1024"/>
      <c r="AU21" s="1024"/>
      <c r="AV21" s="1024"/>
      <c r="AW21" s="1024"/>
      <c r="AX21" s="1024"/>
      <c r="AY21" s="1024"/>
      <c r="AZ21" s="1024">
        <f t="shared" si="7"/>
        <v>0</v>
      </c>
      <c r="BA21" s="1024"/>
      <c r="BB21" s="1024"/>
      <c r="BC21" s="1024"/>
      <c r="BD21" s="1024"/>
      <c r="BE21" s="1024"/>
      <c r="BF21" s="1024"/>
      <c r="BG21" s="1024"/>
      <c r="BH21" s="1024"/>
      <c r="BI21" s="1024"/>
      <c r="BJ21" s="1024"/>
      <c r="BK21" s="1024"/>
      <c r="BL21" s="1024"/>
      <c r="BM21" s="1024">
        <f t="shared" si="8"/>
        <v>0</v>
      </c>
      <c r="BN21" s="1024"/>
      <c r="BO21" s="1024"/>
      <c r="BP21" s="1024"/>
      <c r="BQ21" s="1024"/>
      <c r="BR21" s="1024"/>
      <c r="BS21" s="1024"/>
      <c r="BT21" s="1024"/>
      <c r="BU21" s="1024"/>
      <c r="BV21" s="1024"/>
      <c r="BW21" s="1024"/>
      <c r="BX21" s="1024"/>
      <c r="BY21" s="1024"/>
      <c r="BZ21" s="1029">
        <f t="shared" si="9"/>
        <v>0</v>
      </c>
      <c r="CA21" s="1030">
        <f t="shared" si="10"/>
        <v>0</v>
      </c>
      <c r="CB21" s="1031">
        <f t="shared" si="11"/>
        <v>0</v>
      </c>
      <c r="CC21" s="1023">
        <f t="shared" si="12"/>
        <v>0</v>
      </c>
      <c r="CD21" s="1023">
        <f t="shared" si="13"/>
        <v>0</v>
      </c>
      <c r="CE21" s="1023">
        <v>0</v>
      </c>
      <c r="CF21" s="1023">
        <f t="shared" si="14"/>
        <v>0</v>
      </c>
      <c r="CG21" s="1029"/>
      <c r="CH21" s="972">
        <f t="shared" si="3"/>
        <v>0</v>
      </c>
      <c r="CL21" s="976">
        <v>0</v>
      </c>
      <c r="CM21" s="976">
        <f t="shared" si="4"/>
        <v>0</v>
      </c>
    </row>
    <row r="22" spans="1:91" s="1032" customFormat="1" ht="14.25" customHeight="1" outlineLevel="1">
      <c r="A22" s="996"/>
      <c r="B22" s="1015"/>
      <c r="C22" s="1016"/>
      <c r="D22" s="1016" t="s">
        <v>548</v>
      </c>
      <c r="E22" s="1017"/>
      <c r="F22" s="1018"/>
      <c r="G22" s="1018">
        <v>0</v>
      </c>
      <c r="H22" s="1018"/>
      <c r="I22" s="1018">
        <v>0</v>
      </c>
      <c r="J22" s="1033"/>
      <c r="K22" s="1034"/>
      <c r="L22" s="1035"/>
      <c r="M22" s="1036">
        <v>0</v>
      </c>
      <c r="N22" s="1023">
        <v>0</v>
      </c>
      <c r="O22" s="1024">
        <v>0</v>
      </c>
      <c r="P22" s="1024">
        <v>0</v>
      </c>
      <c r="Q22" s="1024">
        <v>0</v>
      </c>
      <c r="R22" s="1024">
        <v>0</v>
      </c>
      <c r="S22" s="1024">
        <v>0</v>
      </c>
      <c r="T22" s="1024">
        <v>0</v>
      </c>
      <c r="U22" s="1024">
        <v>0</v>
      </c>
      <c r="V22" s="1024">
        <v>0</v>
      </c>
      <c r="W22" s="1024">
        <v>0</v>
      </c>
      <c r="X22" s="1024">
        <v>0</v>
      </c>
      <c r="Y22" s="1024">
        <v>0</v>
      </c>
      <c r="Z22" s="1025">
        <f t="shared" si="5"/>
        <v>0</v>
      </c>
      <c r="AA22" s="1026">
        <v>0</v>
      </c>
      <c r="AB22" s="1027">
        <v>0</v>
      </c>
      <c r="AC22" s="1027">
        <v>0</v>
      </c>
      <c r="AD22" s="1027">
        <v>0</v>
      </c>
      <c r="AE22" s="1027">
        <v>0</v>
      </c>
      <c r="AF22" s="1027">
        <v>0</v>
      </c>
      <c r="AG22" s="1027">
        <v>0</v>
      </c>
      <c r="AH22" s="1028">
        <v>0</v>
      </c>
      <c r="AI22" s="1028">
        <v>0</v>
      </c>
      <c r="AJ22" s="1028">
        <v>0</v>
      </c>
      <c r="AK22" s="1028">
        <v>0</v>
      </c>
      <c r="AL22" s="1028">
        <v>0</v>
      </c>
      <c r="AM22" s="1025">
        <f t="shared" si="6"/>
        <v>0</v>
      </c>
      <c r="AN22" s="1024"/>
      <c r="AO22" s="1024"/>
      <c r="AP22" s="1024"/>
      <c r="AQ22" s="1024"/>
      <c r="AR22" s="1024"/>
      <c r="AS22" s="1024"/>
      <c r="AT22" s="1024"/>
      <c r="AU22" s="1024"/>
      <c r="AV22" s="1024"/>
      <c r="AW22" s="1024"/>
      <c r="AX22" s="1024"/>
      <c r="AY22" s="1024"/>
      <c r="AZ22" s="1024">
        <f t="shared" si="7"/>
        <v>0</v>
      </c>
      <c r="BA22" s="1024"/>
      <c r="BB22" s="1024"/>
      <c r="BC22" s="1024"/>
      <c r="BD22" s="1024"/>
      <c r="BE22" s="1024"/>
      <c r="BF22" s="1024"/>
      <c r="BG22" s="1024"/>
      <c r="BH22" s="1024"/>
      <c r="BI22" s="1024"/>
      <c r="BJ22" s="1024"/>
      <c r="BK22" s="1024"/>
      <c r="BL22" s="1024"/>
      <c r="BM22" s="1024">
        <f t="shared" si="8"/>
        <v>0</v>
      </c>
      <c r="BN22" s="1024"/>
      <c r="BO22" s="1024"/>
      <c r="BP22" s="1024"/>
      <c r="BQ22" s="1024"/>
      <c r="BR22" s="1024"/>
      <c r="BS22" s="1024"/>
      <c r="BT22" s="1024"/>
      <c r="BU22" s="1024"/>
      <c r="BV22" s="1024"/>
      <c r="BW22" s="1024"/>
      <c r="BX22" s="1024"/>
      <c r="BY22" s="1024"/>
      <c r="BZ22" s="1029">
        <f t="shared" si="9"/>
        <v>0</v>
      </c>
      <c r="CA22" s="1030">
        <f t="shared" si="10"/>
        <v>0</v>
      </c>
      <c r="CB22" s="1031">
        <f t="shared" si="11"/>
        <v>0</v>
      </c>
      <c r="CC22" s="1023">
        <f t="shared" si="12"/>
        <v>0</v>
      </c>
      <c r="CD22" s="1023">
        <f t="shared" si="13"/>
        <v>0</v>
      </c>
      <c r="CE22" s="1023">
        <v>0</v>
      </c>
      <c r="CF22" s="1023">
        <f t="shared" si="14"/>
        <v>0</v>
      </c>
      <c r="CG22" s="1029"/>
      <c r="CH22" s="972">
        <f t="shared" si="3"/>
        <v>0</v>
      </c>
      <c r="CL22" s="976">
        <v>0</v>
      </c>
      <c r="CM22" s="976">
        <f t="shared" si="4"/>
        <v>0</v>
      </c>
    </row>
    <row r="23" spans="1:91" s="1032" customFormat="1" ht="14.25" customHeight="1" outlineLevel="1">
      <c r="A23" s="996"/>
      <c r="B23" s="1015"/>
      <c r="C23" s="1016"/>
      <c r="D23" s="1016" t="s">
        <v>549</v>
      </c>
      <c r="E23" s="1017"/>
      <c r="F23" s="1018"/>
      <c r="G23" s="1018">
        <v>23.15</v>
      </c>
      <c r="H23" s="1018"/>
      <c r="I23" s="1018">
        <v>23.15</v>
      </c>
      <c r="J23" s="1033"/>
      <c r="K23" s="1034"/>
      <c r="L23" s="1035"/>
      <c r="M23" s="1036">
        <v>23.15</v>
      </c>
      <c r="N23" s="1023">
        <v>0</v>
      </c>
      <c r="O23" s="1024">
        <v>0</v>
      </c>
      <c r="P23" s="1024">
        <v>0</v>
      </c>
      <c r="Q23" s="1024">
        <v>0</v>
      </c>
      <c r="R23" s="1024">
        <v>0</v>
      </c>
      <c r="S23" s="1024">
        <v>0</v>
      </c>
      <c r="T23" s="1024">
        <v>0</v>
      </c>
      <c r="U23" s="1024">
        <v>0</v>
      </c>
      <c r="V23" s="1024">
        <v>0</v>
      </c>
      <c r="W23" s="1024">
        <v>0</v>
      </c>
      <c r="X23" s="1024">
        <v>0</v>
      </c>
      <c r="Y23" s="1024">
        <v>0</v>
      </c>
      <c r="Z23" s="1025">
        <f t="shared" si="5"/>
        <v>0</v>
      </c>
      <c r="AA23" s="1026">
        <v>0</v>
      </c>
      <c r="AB23" s="1027">
        <v>0</v>
      </c>
      <c r="AC23" s="1027">
        <v>0</v>
      </c>
      <c r="AD23" s="1027">
        <v>0</v>
      </c>
      <c r="AE23" s="1027">
        <v>0</v>
      </c>
      <c r="AF23" s="1027">
        <v>0</v>
      </c>
      <c r="AG23" s="1027">
        <v>0</v>
      </c>
      <c r="AH23" s="1028">
        <v>0</v>
      </c>
      <c r="AI23" s="1028">
        <v>0</v>
      </c>
      <c r="AJ23" s="1028">
        <v>0</v>
      </c>
      <c r="AK23" s="1028">
        <v>0</v>
      </c>
      <c r="AL23" s="1028">
        <v>0</v>
      </c>
      <c r="AM23" s="1025">
        <f t="shared" si="6"/>
        <v>0</v>
      </c>
      <c r="AN23" s="1024"/>
      <c r="AO23" s="1024"/>
      <c r="AP23" s="1024"/>
      <c r="AQ23" s="1024"/>
      <c r="AR23" s="1024"/>
      <c r="AS23" s="1024"/>
      <c r="AT23" s="1024"/>
      <c r="AU23" s="1024"/>
      <c r="AV23" s="1024"/>
      <c r="AW23" s="1024"/>
      <c r="AX23" s="1024"/>
      <c r="AY23" s="1024"/>
      <c r="AZ23" s="1024">
        <f t="shared" si="7"/>
        <v>0</v>
      </c>
      <c r="BA23" s="1024"/>
      <c r="BB23" s="1024"/>
      <c r="BC23" s="1024"/>
      <c r="BD23" s="1024"/>
      <c r="BE23" s="1024"/>
      <c r="BF23" s="1024"/>
      <c r="BG23" s="1024"/>
      <c r="BH23" s="1024"/>
      <c r="BI23" s="1024"/>
      <c r="BJ23" s="1024"/>
      <c r="BK23" s="1024"/>
      <c r="BL23" s="1024"/>
      <c r="BM23" s="1024">
        <f t="shared" si="8"/>
        <v>0</v>
      </c>
      <c r="BN23" s="1024"/>
      <c r="BO23" s="1024"/>
      <c r="BP23" s="1024"/>
      <c r="BQ23" s="1024"/>
      <c r="BR23" s="1024"/>
      <c r="BS23" s="1024"/>
      <c r="BT23" s="1024"/>
      <c r="BU23" s="1024"/>
      <c r="BV23" s="1024"/>
      <c r="BW23" s="1024"/>
      <c r="BX23" s="1024"/>
      <c r="BY23" s="1024"/>
      <c r="BZ23" s="1029">
        <f t="shared" si="9"/>
        <v>0</v>
      </c>
      <c r="CA23" s="1030">
        <f t="shared" si="10"/>
        <v>23.15</v>
      </c>
      <c r="CB23" s="1031">
        <f t="shared" si="11"/>
        <v>0</v>
      </c>
      <c r="CC23" s="1023">
        <f t="shared" si="12"/>
        <v>23.15</v>
      </c>
      <c r="CD23" s="1023">
        <f t="shared" si="13"/>
        <v>0</v>
      </c>
      <c r="CE23" s="1023">
        <v>23.15</v>
      </c>
      <c r="CF23" s="1023">
        <f t="shared" si="14"/>
        <v>0</v>
      </c>
      <c r="CG23" s="1029"/>
      <c r="CH23" s="972">
        <f t="shared" si="3"/>
        <v>-23.15</v>
      </c>
      <c r="CL23" s="976">
        <v>23.15</v>
      </c>
      <c r="CM23" s="976">
        <f t="shared" si="4"/>
        <v>0</v>
      </c>
    </row>
    <row r="24" spans="1:91" s="1032" customFormat="1" ht="12.75" customHeight="1">
      <c r="A24" s="996"/>
      <c r="B24" s="1015"/>
      <c r="C24" s="1016" t="s">
        <v>599</v>
      </c>
      <c r="D24" s="1016"/>
      <c r="E24" s="1017"/>
      <c r="F24" s="1018">
        <f>SUBTOTAL(9,F25:F32)</f>
        <v>191965.61</v>
      </c>
      <c r="G24" s="1018">
        <f>SUBTOTAL(9,G25:G32)</f>
        <v>191965.61000000002</v>
      </c>
      <c r="H24" s="1018">
        <f>SUBTOTAL(9,H25:H32)</f>
        <v>0</v>
      </c>
      <c r="I24" s="1018">
        <f>SUBTOTAL(9,I25:I32)</f>
        <v>191965.61000000002</v>
      </c>
      <c r="J24" s="1033"/>
      <c r="K24" s="1034"/>
      <c r="L24" s="1035"/>
      <c r="M24" s="1036">
        <f t="shared" ref="M24:AR24" si="15">SUBTOTAL(9,M25:M32)</f>
        <v>191965.61000000002</v>
      </c>
      <c r="N24" s="1023">
        <f t="shared" si="15"/>
        <v>0</v>
      </c>
      <c r="O24" s="1024">
        <f t="shared" si="15"/>
        <v>0</v>
      </c>
      <c r="P24" s="1024">
        <f t="shared" si="15"/>
        <v>0</v>
      </c>
      <c r="Q24" s="1024">
        <f t="shared" si="15"/>
        <v>0</v>
      </c>
      <c r="R24" s="1024">
        <f t="shared" si="15"/>
        <v>0</v>
      </c>
      <c r="S24" s="1024">
        <f t="shared" si="15"/>
        <v>0</v>
      </c>
      <c r="T24" s="1024">
        <f t="shared" si="15"/>
        <v>0</v>
      </c>
      <c r="U24" s="1024">
        <f t="shared" si="15"/>
        <v>0</v>
      </c>
      <c r="V24" s="1024">
        <f t="shared" si="15"/>
        <v>0</v>
      </c>
      <c r="W24" s="1024">
        <f t="shared" si="15"/>
        <v>0</v>
      </c>
      <c r="X24" s="1024">
        <f t="shared" si="15"/>
        <v>0</v>
      </c>
      <c r="Y24" s="1024">
        <f t="shared" si="15"/>
        <v>0</v>
      </c>
      <c r="Z24" s="1025">
        <f t="shared" si="15"/>
        <v>0</v>
      </c>
      <c r="AA24" s="1026">
        <f t="shared" si="15"/>
        <v>0</v>
      </c>
      <c r="AB24" s="1027">
        <f t="shared" si="15"/>
        <v>0</v>
      </c>
      <c r="AC24" s="1027">
        <f t="shared" si="15"/>
        <v>0</v>
      </c>
      <c r="AD24" s="1027">
        <f t="shared" si="15"/>
        <v>0</v>
      </c>
      <c r="AE24" s="1027">
        <f t="shared" si="15"/>
        <v>0</v>
      </c>
      <c r="AF24" s="1027">
        <f t="shared" si="15"/>
        <v>0</v>
      </c>
      <c r="AG24" s="1027">
        <f t="shared" si="15"/>
        <v>0</v>
      </c>
      <c r="AH24" s="1028">
        <f t="shared" si="15"/>
        <v>0</v>
      </c>
      <c r="AI24" s="1028">
        <f t="shared" si="15"/>
        <v>0</v>
      </c>
      <c r="AJ24" s="1028">
        <f t="shared" si="15"/>
        <v>0</v>
      </c>
      <c r="AK24" s="1028">
        <f t="shared" si="15"/>
        <v>0</v>
      </c>
      <c r="AL24" s="1028">
        <f t="shared" si="15"/>
        <v>0</v>
      </c>
      <c r="AM24" s="1025">
        <f t="shared" si="15"/>
        <v>0</v>
      </c>
      <c r="AN24" s="1024">
        <f t="shared" si="15"/>
        <v>0</v>
      </c>
      <c r="AO24" s="1024">
        <f t="shared" si="15"/>
        <v>0</v>
      </c>
      <c r="AP24" s="1024">
        <f t="shared" si="15"/>
        <v>0</v>
      </c>
      <c r="AQ24" s="1024">
        <f t="shared" si="15"/>
        <v>0</v>
      </c>
      <c r="AR24" s="1024">
        <f t="shared" si="15"/>
        <v>0</v>
      </c>
      <c r="AS24" s="1024">
        <f t="shared" ref="AS24:BX24" si="16">SUBTOTAL(9,AS25:AS32)</f>
        <v>0</v>
      </c>
      <c r="AT24" s="1024">
        <f t="shared" si="16"/>
        <v>0</v>
      </c>
      <c r="AU24" s="1024">
        <f t="shared" si="16"/>
        <v>0</v>
      </c>
      <c r="AV24" s="1024">
        <f t="shared" si="16"/>
        <v>0</v>
      </c>
      <c r="AW24" s="1024">
        <f t="shared" si="16"/>
        <v>0</v>
      </c>
      <c r="AX24" s="1024">
        <f t="shared" si="16"/>
        <v>0</v>
      </c>
      <c r="AY24" s="1024">
        <f t="shared" si="16"/>
        <v>0</v>
      </c>
      <c r="AZ24" s="1024">
        <f t="shared" si="16"/>
        <v>0</v>
      </c>
      <c r="BA24" s="1024">
        <f t="shared" si="16"/>
        <v>0</v>
      </c>
      <c r="BB24" s="1024">
        <f t="shared" si="16"/>
        <v>0</v>
      </c>
      <c r="BC24" s="1024">
        <f t="shared" si="16"/>
        <v>0</v>
      </c>
      <c r="BD24" s="1024">
        <f t="shared" si="16"/>
        <v>0</v>
      </c>
      <c r="BE24" s="1024">
        <f t="shared" si="16"/>
        <v>0</v>
      </c>
      <c r="BF24" s="1024">
        <f t="shared" si="16"/>
        <v>0</v>
      </c>
      <c r="BG24" s="1024">
        <f t="shared" si="16"/>
        <v>0</v>
      </c>
      <c r="BH24" s="1024">
        <f t="shared" si="16"/>
        <v>0</v>
      </c>
      <c r="BI24" s="1024">
        <f t="shared" si="16"/>
        <v>0</v>
      </c>
      <c r="BJ24" s="1024">
        <f t="shared" si="16"/>
        <v>0</v>
      </c>
      <c r="BK24" s="1024">
        <f t="shared" si="16"/>
        <v>0</v>
      </c>
      <c r="BL24" s="1024">
        <f t="shared" si="16"/>
        <v>0</v>
      </c>
      <c r="BM24" s="1024">
        <f t="shared" si="16"/>
        <v>0</v>
      </c>
      <c r="BN24" s="1024">
        <f t="shared" si="16"/>
        <v>0</v>
      </c>
      <c r="BO24" s="1024">
        <f t="shared" si="16"/>
        <v>0</v>
      </c>
      <c r="BP24" s="1024">
        <f t="shared" si="16"/>
        <v>0</v>
      </c>
      <c r="BQ24" s="1024">
        <f t="shared" si="16"/>
        <v>0</v>
      </c>
      <c r="BR24" s="1024">
        <f t="shared" si="16"/>
        <v>0</v>
      </c>
      <c r="BS24" s="1024">
        <f t="shared" si="16"/>
        <v>0</v>
      </c>
      <c r="BT24" s="1024">
        <f t="shared" si="16"/>
        <v>0</v>
      </c>
      <c r="BU24" s="1024">
        <f t="shared" si="16"/>
        <v>0</v>
      </c>
      <c r="BV24" s="1024">
        <f t="shared" si="16"/>
        <v>0</v>
      </c>
      <c r="BW24" s="1024">
        <f t="shared" si="16"/>
        <v>0</v>
      </c>
      <c r="BX24" s="1024">
        <f t="shared" si="16"/>
        <v>0</v>
      </c>
      <c r="BY24" s="1024">
        <f t="shared" ref="BY24:CF24" si="17">SUBTOTAL(9,BY25:BY32)</f>
        <v>0</v>
      </c>
      <c r="BZ24" s="1029">
        <f t="shared" si="17"/>
        <v>0</v>
      </c>
      <c r="CA24" s="1030">
        <f t="shared" si="17"/>
        <v>191965.61000000002</v>
      </c>
      <c r="CB24" s="1031">
        <f t="shared" si="17"/>
        <v>0</v>
      </c>
      <c r="CC24" s="1023">
        <f t="shared" si="17"/>
        <v>191965.61000000002</v>
      </c>
      <c r="CD24" s="1023">
        <f t="shared" si="17"/>
        <v>0</v>
      </c>
      <c r="CE24" s="1023">
        <f t="shared" si="17"/>
        <v>191965.61000000002</v>
      </c>
      <c r="CF24" s="1023">
        <f t="shared" si="17"/>
        <v>0</v>
      </c>
      <c r="CG24" s="1029"/>
      <c r="CH24" s="972">
        <f t="shared" si="3"/>
        <v>-191965.61000000002</v>
      </c>
      <c r="CL24" s="1037">
        <f>SUBTOTAL(9,CL25:CL32)</f>
        <v>191965.61000000002</v>
      </c>
      <c r="CM24" s="976">
        <f t="shared" si="4"/>
        <v>0</v>
      </c>
    </row>
    <row r="25" spans="1:91" s="1032" customFormat="1" ht="14.25" customHeight="1" outlineLevel="1">
      <c r="A25" s="996"/>
      <c r="B25" s="1015"/>
      <c r="C25" s="1016"/>
      <c r="D25" s="1016" t="s">
        <v>550</v>
      </c>
      <c r="E25" s="1017"/>
      <c r="F25" s="1018">
        <v>191965.61</v>
      </c>
      <c r="G25" s="1018">
        <v>92160.76</v>
      </c>
      <c r="H25" s="1018"/>
      <c r="I25" s="1018">
        <v>92160.76</v>
      </c>
      <c r="J25" s="1033"/>
      <c r="K25" s="1034"/>
      <c r="L25" s="1035"/>
      <c r="M25" s="1036">
        <v>92160.76</v>
      </c>
      <c r="N25" s="1023">
        <v>0</v>
      </c>
      <c r="O25" s="1024">
        <v>0</v>
      </c>
      <c r="P25" s="1024">
        <v>0</v>
      </c>
      <c r="Q25" s="1024">
        <v>0</v>
      </c>
      <c r="R25" s="1024">
        <v>0</v>
      </c>
      <c r="S25" s="1024">
        <v>0</v>
      </c>
      <c r="T25" s="1024">
        <v>0</v>
      </c>
      <c r="U25" s="1024">
        <v>0</v>
      </c>
      <c r="V25" s="1024">
        <v>0</v>
      </c>
      <c r="W25" s="1024">
        <v>0</v>
      </c>
      <c r="X25" s="1024">
        <v>0</v>
      </c>
      <c r="Y25" s="1024">
        <v>0</v>
      </c>
      <c r="Z25" s="1025">
        <f t="shared" ref="Z25:Z32" si="18">SUM(N25:Y25)</f>
        <v>0</v>
      </c>
      <c r="AA25" s="1026">
        <v>0</v>
      </c>
      <c r="AB25" s="1027">
        <v>0</v>
      </c>
      <c r="AC25" s="1027">
        <v>0</v>
      </c>
      <c r="AD25" s="1027">
        <v>0</v>
      </c>
      <c r="AE25" s="1027">
        <v>0</v>
      </c>
      <c r="AF25" s="1027">
        <v>0</v>
      </c>
      <c r="AG25" s="1027">
        <v>0</v>
      </c>
      <c r="AH25" s="1028">
        <v>0</v>
      </c>
      <c r="AI25" s="1028">
        <v>0</v>
      </c>
      <c r="AJ25" s="1028">
        <v>0</v>
      </c>
      <c r="AK25" s="1028">
        <v>0</v>
      </c>
      <c r="AL25" s="1028">
        <v>0</v>
      </c>
      <c r="AM25" s="1025">
        <f t="shared" ref="AM25:AM32" si="19">SUM(AA25:AL25)</f>
        <v>0</v>
      </c>
      <c r="AN25" s="1024"/>
      <c r="AO25" s="1024"/>
      <c r="AP25" s="1024"/>
      <c r="AQ25" s="1024"/>
      <c r="AR25" s="1024"/>
      <c r="AS25" s="1024"/>
      <c r="AT25" s="1024"/>
      <c r="AU25" s="1024"/>
      <c r="AV25" s="1024"/>
      <c r="AW25" s="1024"/>
      <c r="AX25" s="1024"/>
      <c r="AY25" s="1024"/>
      <c r="AZ25" s="1024">
        <f t="shared" ref="AZ25:AZ32" si="20">SUM(AN25:AY25)</f>
        <v>0</v>
      </c>
      <c r="BA25" s="1024"/>
      <c r="BB25" s="1024"/>
      <c r="BC25" s="1024"/>
      <c r="BD25" s="1024"/>
      <c r="BE25" s="1024"/>
      <c r="BF25" s="1024"/>
      <c r="BG25" s="1024"/>
      <c r="BH25" s="1024"/>
      <c r="BI25" s="1024"/>
      <c r="BJ25" s="1024"/>
      <c r="BK25" s="1024"/>
      <c r="BL25" s="1024"/>
      <c r="BM25" s="1024">
        <f t="shared" ref="BM25:BM32" si="21">SUM(BA25:BL25)</f>
        <v>0</v>
      </c>
      <c r="BN25" s="1024"/>
      <c r="BO25" s="1024"/>
      <c r="BP25" s="1024"/>
      <c r="BQ25" s="1024"/>
      <c r="BR25" s="1024"/>
      <c r="BS25" s="1024"/>
      <c r="BT25" s="1024"/>
      <c r="BU25" s="1024"/>
      <c r="BV25" s="1024"/>
      <c r="BW25" s="1024"/>
      <c r="BX25" s="1024"/>
      <c r="BY25" s="1024"/>
      <c r="BZ25" s="1029">
        <f t="shared" ref="BZ25:BZ32" si="22">SUM(BN25:BY25)</f>
        <v>0</v>
      </c>
      <c r="CA25" s="1030">
        <f t="shared" ref="CA25:CA32" si="23">SUMIF(($M$1:$BZ$1),"Actual",(M25:BZ25))</f>
        <v>92160.76</v>
      </c>
      <c r="CB25" s="1031">
        <f t="shared" ref="CB25:CB32" si="24">SUMIF(($M$1:$BZ$1),"Forecast",(M25:BZ25))</f>
        <v>0</v>
      </c>
      <c r="CC25" s="1023">
        <f t="shared" ref="CC25:CC32" si="25">+CA25+CB25</f>
        <v>92160.76</v>
      </c>
      <c r="CD25" s="1023">
        <f t="shared" ref="CD25:CD32" si="26">+CC25-I25</f>
        <v>0</v>
      </c>
      <c r="CE25" s="1023">
        <v>92160.76</v>
      </c>
      <c r="CF25" s="1023">
        <f t="shared" ref="CF25:CF32" si="27">+CC25-CE25</f>
        <v>0</v>
      </c>
      <c r="CG25" s="1029"/>
      <c r="CH25" s="972">
        <f t="shared" si="3"/>
        <v>-92160.76</v>
      </c>
      <c r="CL25" s="976">
        <v>92160.76</v>
      </c>
      <c r="CM25" s="976">
        <f t="shared" si="4"/>
        <v>0</v>
      </c>
    </row>
    <row r="26" spans="1:91" s="1032" customFormat="1" ht="14.25" customHeight="1" outlineLevel="1">
      <c r="A26" s="996"/>
      <c r="B26" s="1015"/>
      <c r="C26" s="1016"/>
      <c r="D26" s="1016" t="s">
        <v>551</v>
      </c>
      <c r="E26" s="1017"/>
      <c r="F26" s="1018"/>
      <c r="G26" s="1018">
        <v>96319.96</v>
      </c>
      <c r="H26" s="1018"/>
      <c r="I26" s="1018">
        <v>96319.96</v>
      </c>
      <c r="J26" s="1033"/>
      <c r="K26" s="1034"/>
      <c r="L26" s="1035"/>
      <c r="M26" s="1036">
        <v>96319.96</v>
      </c>
      <c r="N26" s="1023">
        <v>0</v>
      </c>
      <c r="O26" s="1024">
        <v>0</v>
      </c>
      <c r="P26" s="1024">
        <v>0</v>
      </c>
      <c r="Q26" s="1024">
        <v>0</v>
      </c>
      <c r="R26" s="1024">
        <v>0</v>
      </c>
      <c r="S26" s="1024">
        <v>0</v>
      </c>
      <c r="T26" s="1024">
        <v>0</v>
      </c>
      <c r="U26" s="1024">
        <v>0</v>
      </c>
      <c r="V26" s="1024">
        <v>0</v>
      </c>
      <c r="W26" s="1024">
        <v>0</v>
      </c>
      <c r="X26" s="1024">
        <v>0</v>
      </c>
      <c r="Y26" s="1024">
        <v>0</v>
      </c>
      <c r="Z26" s="1025">
        <f t="shared" si="18"/>
        <v>0</v>
      </c>
      <c r="AA26" s="1026">
        <v>0</v>
      </c>
      <c r="AB26" s="1027">
        <v>0</v>
      </c>
      <c r="AC26" s="1027">
        <v>0</v>
      </c>
      <c r="AD26" s="1027">
        <v>0</v>
      </c>
      <c r="AE26" s="1027">
        <v>0</v>
      </c>
      <c r="AF26" s="1027">
        <v>0</v>
      </c>
      <c r="AG26" s="1027">
        <v>0</v>
      </c>
      <c r="AH26" s="1028">
        <v>0</v>
      </c>
      <c r="AI26" s="1028">
        <v>0</v>
      </c>
      <c r="AJ26" s="1028">
        <v>0</v>
      </c>
      <c r="AK26" s="1028">
        <v>0</v>
      </c>
      <c r="AL26" s="1028">
        <v>0</v>
      </c>
      <c r="AM26" s="1025">
        <f t="shared" si="19"/>
        <v>0</v>
      </c>
      <c r="AN26" s="1024"/>
      <c r="AO26" s="1024"/>
      <c r="AP26" s="1024"/>
      <c r="AQ26" s="1024"/>
      <c r="AR26" s="1024"/>
      <c r="AS26" s="1024"/>
      <c r="AT26" s="1024"/>
      <c r="AU26" s="1024"/>
      <c r="AV26" s="1024"/>
      <c r="AW26" s="1024"/>
      <c r="AX26" s="1024"/>
      <c r="AY26" s="1024"/>
      <c r="AZ26" s="1024">
        <f t="shared" si="20"/>
        <v>0</v>
      </c>
      <c r="BA26" s="1024"/>
      <c r="BB26" s="1024"/>
      <c r="BC26" s="1024"/>
      <c r="BD26" s="1024"/>
      <c r="BE26" s="1024"/>
      <c r="BF26" s="1024"/>
      <c r="BG26" s="1024"/>
      <c r="BH26" s="1024"/>
      <c r="BI26" s="1024"/>
      <c r="BJ26" s="1024"/>
      <c r="BK26" s="1024"/>
      <c r="BL26" s="1024"/>
      <c r="BM26" s="1024">
        <f t="shared" si="21"/>
        <v>0</v>
      </c>
      <c r="BN26" s="1024"/>
      <c r="BO26" s="1024"/>
      <c r="BP26" s="1024"/>
      <c r="BQ26" s="1024"/>
      <c r="BR26" s="1024"/>
      <c r="BS26" s="1024"/>
      <c r="BT26" s="1024"/>
      <c r="BU26" s="1024"/>
      <c r="BV26" s="1024"/>
      <c r="BW26" s="1024"/>
      <c r="BX26" s="1024"/>
      <c r="BY26" s="1024"/>
      <c r="BZ26" s="1029">
        <f t="shared" si="22"/>
        <v>0</v>
      </c>
      <c r="CA26" s="1030">
        <f t="shared" si="23"/>
        <v>96319.96</v>
      </c>
      <c r="CB26" s="1031">
        <f t="shared" si="24"/>
        <v>0</v>
      </c>
      <c r="CC26" s="1023">
        <f t="shared" si="25"/>
        <v>96319.96</v>
      </c>
      <c r="CD26" s="1023">
        <f t="shared" si="26"/>
        <v>0</v>
      </c>
      <c r="CE26" s="1023">
        <v>96319.96</v>
      </c>
      <c r="CF26" s="1023">
        <f t="shared" si="27"/>
        <v>0</v>
      </c>
      <c r="CG26" s="1029"/>
      <c r="CH26" s="972">
        <f t="shared" si="3"/>
        <v>-96319.96</v>
      </c>
      <c r="CL26" s="976">
        <v>96319.96</v>
      </c>
      <c r="CM26" s="976">
        <f t="shared" si="4"/>
        <v>0</v>
      </c>
    </row>
    <row r="27" spans="1:91" s="1032" customFormat="1" ht="14.25" customHeight="1" outlineLevel="1">
      <c r="A27" s="996"/>
      <c r="B27" s="1015"/>
      <c r="C27" s="1016"/>
      <c r="D27" s="1016" t="s">
        <v>552</v>
      </c>
      <c r="E27" s="1017"/>
      <c r="F27" s="1018"/>
      <c r="G27" s="1018">
        <v>16.45</v>
      </c>
      <c r="H27" s="1018"/>
      <c r="I27" s="1018">
        <v>16.45</v>
      </c>
      <c r="J27" s="1033"/>
      <c r="K27" s="1034"/>
      <c r="L27" s="1035"/>
      <c r="M27" s="1036">
        <v>16.45</v>
      </c>
      <c r="N27" s="1023">
        <v>0</v>
      </c>
      <c r="O27" s="1024">
        <v>0</v>
      </c>
      <c r="P27" s="1024">
        <v>0</v>
      </c>
      <c r="Q27" s="1024">
        <v>0</v>
      </c>
      <c r="R27" s="1024">
        <v>0</v>
      </c>
      <c r="S27" s="1024">
        <v>0</v>
      </c>
      <c r="T27" s="1024">
        <v>0</v>
      </c>
      <c r="U27" s="1024">
        <v>0</v>
      </c>
      <c r="V27" s="1024">
        <v>0</v>
      </c>
      <c r="W27" s="1024">
        <v>0</v>
      </c>
      <c r="X27" s="1024">
        <v>0</v>
      </c>
      <c r="Y27" s="1024">
        <v>0</v>
      </c>
      <c r="Z27" s="1025">
        <f t="shared" si="18"/>
        <v>0</v>
      </c>
      <c r="AA27" s="1026">
        <v>0</v>
      </c>
      <c r="AB27" s="1027">
        <v>0</v>
      </c>
      <c r="AC27" s="1027">
        <v>0</v>
      </c>
      <c r="AD27" s="1027">
        <v>0</v>
      </c>
      <c r="AE27" s="1027">
        <v>0</v>
      </c>
      <c r="AF27" s="1027">
        <v>0</v>
      </c>
      <c r="AG27" s="1027">
        <v>0</v>
      </c>
      <c r="AH27" s="1028">
        <v>0</v>
      </c>
      <c r="AI27" s="1028">
        <v>0</v>
      </c>
      <c r="AJ27" s="1028">
        <v>0</v>
      </c>
      <c r="AK27" s="1028">
        <v>0</v>
      </c>
      <c r="AL27" s="1028">
        <v>0</v>
      </c>
      <c r="AM27" s="1025">
        <f t="shared" si="19"/>
        <v>0</v>
      </c>
      <c r="AN27" s="1024"/>
      <c r="AO27" s="1024"/>
      <c r="AP27" s="1024"/>
      <c r="AQ27" s="1024"/>
      <c r="AR27" s="1024"/>
      <c r="AS27" s="1024"/>
      <c r="AT27" s="1024"/>
      <c r="AU27" s="1024"/>
      <c r="AV27" s="1024"/>
      <c r="AW27" s="1024"/>
      <c r="AX27" s="1024"/>
      <c r="AY27" s="1024"/>
      <c r="AZ27" s="1024">
        <f t="shared" si="20"/>
        <v>0</v>
      </c>
      <c r="BA27" s="1024"/>
      <c r="BB27" s="1024"/>
      <c r="BC27" s="1024"/>
      <c r="BD27" s="1024"/>
      <c r="BE27" s="1024"/>
      <c r="BF27" s="1024"/>
      <c r="BG27" s="1024"/>
      <c r="BH27" s="1024"/>
      <c r="BI27" s="1024"/>
      <c r="BJ27" s="1024"/>
      <c r="BK27" s="1024"/>
      <c r="BL27" s="1024"/>
      <c r="BM27" s="1024">
        <f t="shared" si="21"/>
        <v>0</v>
      </c>
      <c r="BN27" s="1024"/>
      <c r="BO27" s="1024"/>
      <c r="BP27" s="1024"/>
      <c r="BQ27" s="1024"/>
      <c r="BR27" s="1024"/>
      <c r="BS27" s="1024"/>
      <c r="BT27" s="1024"/>
      <c r="BU27" s="1024"/>
      <c r="BV27" s="1024"/>
      <c r="BW27" s="1024"/>
      <c r="BX27" s="1024"/>
      <c r="BY27" s="1024"/>
      <c r="BZ27" s="1029">
        <f t="shared" si="22"/>
        <v>0</v>
      </c>
      <c r="CA27" s="1030">
        <f t="shared" si="23"/>
        <v>16.45</v>
      </c>
      <c r="CB27" s="1031">
        <f t="shared" si="24"/>
        <v>0</v>
      </c>
      <c r="CC27" s="1023">
        <f t="shared" si="25"/>
        <v>16.45</v>
      </c>
      <c r="CD27" s="1023">
        <f t="shared" si="26"/>
        <v>0</v>
      </c>
      <c r="CE27" s="1023">
        <v>16.45</v>
      </c>
      <c r="CF27" s="1023">
        <f t="shared" si="27"/>
        <v>0</v>
      </c>
      <c r="CG27" s="1029"/>
      <c r="CH27" s="972">
        <f t="shared" si="3"/>
        <v>-16.45</v>
      </c>
      <c r="CL27" s="976">
        <v>16.45</v>
      </c>
      <c r="CM27" s="976">
        <f t="shared" si="4"/>
        <v>0</v>
      </c>
    </row>
    <row r="28" spans="1:91" s="1032" customFormat="1" ht="14.25" customHeight="1" outlineLevel="1">
      <c r="A28" s="996"/>
      <c r="B28" s="1015"/>
      <c r="C28" s="1016"/>
      <c r="D28" s="1016" t="s">
        <v>553</v>
      </c>
      <c r="E28" s="1017"/>
      <c r="F28" s="1018"/>
      <c r="G28" s="1018">
        <v>3391.13</v>
      </c>
      <c r="H28" s="1018"/>
      <c r="I28" s="1018">
        <v>3391.13</v>
      </c>
      <c r="J28" s="1033"/>
      <c r="K28" s="1034"/>
      <c r="L28" s="1035"/>
      <c r="M28" s="1036">
        <v>3391.13</v>
      </c>
      <c r="N28" s="1023">
        <v>0</v>
      </c>
      <c r="O28" s="1024">
        <v>0</v>
      </c>
      <c r="P28" s="1024">
        <v>0</v>
      </c>
      <c r="Q28" s="1024">
        <v>0</v>
      </c>
      <c r="R28" s="1024">
        <v>0</v>
      </c>
      <c r="S28" s="1024">
        <v>0</v>
      </c>
      <c r="T28" s="1024">
        <v>0</v>
      </c>
      <c r="U28" s="1024">
        <v>0</v>
      </c>
      <c r="V28" s="1024">
        <v>0</v>
      </c>
      <c r="W28" s="1024">
        <v>0</v>
      </c>
      <c r="X28" s="1024">
        <v>0</v>
      </c>
      <c r="Y28" s="1024">
        <v>0</v>
      </c>
      <c r="Z28" s="1025">
        <f t="shared" si="18"/>
        <v>0</v>
      </c>
      <c r="AA28" s="1026">
        <v>0</v>
      </c>
      <c r="AB28" s="1027">
        <v>0</v>
      </c>
      <c r="AC28" s="1027">
        <v>0</v>
      </c>
      <c r="AD28" s="1027">
        <v>0</v>
      </c>
      <c r="AE28" s="1027">
        <v>0</v>
      </c>
      <c r="AF28" s="1027">
        <v>0</v>
      </c>
      <c r="AG28" s="1027">
        <v>0</v>
      </c>
      <c r="AH28" s="1028">
        <v>0</v>
      </c>
      <c r="AI28" s="1028">
        <v>0</v>
      </c>
      <c r="AJ28" s="1028">
        <v>0</v>
      </c>
      <c r="AK28" s="1028">
        <v>0</v>
      </c>
      <c r="AL28" s="1028">
        <v>0</v>
      </c>
      <c r="AM28" s="1025">
        <f t="shared" si="19"/>
        <v>0</v>
      </c>
      <c r="AN28" s="1024"/>
      <c r="AO28" s="1024"/>
      <c r="AP28" s="1024"/>
      <c r="AQ28" s="1024"/>
      <c r="AR28" s="1024"/>
      <c r="AS28" s="1024"/>
      <c r="AT28" s="1024"/>
      <c r="AU28" s="1024"/>
      <c r="AV28" s="1024"/>
      <c r="AW28" s="1024"/>
      <c r="AX28" s="1024"/>
      <c r="AY28" s="1024"/>
      <c r="AZ28" s="1024">
        <f t="shared" si="20"/>
        <v>0</v>
      </c>
      <c r="BA28" s="1024"/>
      <c r="BB28" s="1024"/>
      <c r="BC28" s="1024"/>
      <c r="BD28" s="1024"/>
      <c r="BE28" s="1024"/>
      <c r="BF28" s="1024"/>
      <c r="BG28" s="1024"/>
      <c r="BH28" s="1024"/>
      <c r="BI28" s="1024"/>
      <c r="BJ28" s="1024"/>
      <c r="BK28" s="1024"/>
      <c r="BL28" s="1024"/>
      <c r="BM28" s="1024">
        <f t="shared" si="21"/>
        <v>0</v>
      </c>
      <c r="BN28" s="1024"/>
      <c r="BO28" s="1024"/>
      <c r="BP28" s="1024"/>
      <c r="BQ28" s="1024"/>
      <c r="BR28" s="1024"/>
      <c r="BS28" s="1024"/>
      <c r="BT28" s="1024"/>
      <c r="BU28" s="1024"/>
      <c r="BV28" s="1024"/>
      <c r="BW28" s="1024"/>
      <c r="BX28" s="1024"/>
      <c r="BY28" s="1024"/>
      <c r="BZ28" s="1029">
        <f t="shared" si="22"/>
        <v>0</v>
      </c>
      <c r="CA28" s="1030">
        <f t="shared" si="23"/>
        <v>3391.13</v>
      </c>
      <c r="CB28" s="1031">
        <f t="shared" si="24"/>
        <v>0</v>
      </c>
      <c r="CC28" s="1023">
        <f t="shared" si="25"/>
        <v>3391.13</v>
      </c>
      <c r="CD28" s="1023">
        <f t="shared" si="26"/>
        <v>0</v>
      </c>
      <c r="CE28" s="1023">
        <v>3391.13</v>
      </c>
      <c r="CF28" s="1023">
        <f t="shared" si="27"/>
        <v>0</v>
      </c>
      <c r="CG28" s="1029"/>
      <c r="CH28" s="972">
        <f t="shared" si="3"/>
        <v>-3391.13</v>
      </c>
      <c r="CL28" s="976">
        <v>3391.13</v>
      </c>
      <c r="CM28" s="976">
        <f t="shared" si="4"/>
        <v>0</v>
      </c>
    </row>
    <row r="29" spans="1:91" s="1032" customFormat="1" ht="14.25" customHeight="1" outlineLevel="1">
      <c r="A29" s="996"/>
      <c r="B29" s="1015"/>
      <c r="C29" s="1016"/>
      <c r="D29" s="1016" t="s">
        <v>554</v>
      </c>
      <c r="E29" s="1017"/>
      <c r="F29" s="1018"/>
      <c r="G29" s="1018">
        <v>1.56</v>
      </c>
      <c r="H29" s="1018"/>
      <c r="I29" s="1018">
        <v>1.56</v>
      </c>
      <c r="J29" s="1033"/>
      <c r="K29" s="1034"/>
      <c r="L29" s="1035"/>
      <c r="M29" s="1036">
        <v>1.56</v>
      </c>
      <c r="N29" s="1023">
        <v>0</v>
      </c>
      <c r="O29" s="1024">
        <v>0</v>
      </c>
      <c r="P29" s="1024">
        <v>0</v>
      </c>
      <c r="Q29" s="1024">
        <v>0</v>
      </c>
      <c r="R29" s="1024">
        <v>0</v>
      </c>
      <c r="S29" s="1024">
        <v>0</v>
      </c>
      <c r="T29" s="1024">
        <v>0</v>
      </c>
      <c r="U29" s="1024">
        <v>0</v>
      </c>
      <c r="V29" s="1024">
        <v>0</v>
      </c>
      <c r="W29" s="1024">
        <v>0</v>
      </c>
      <c r="X29" s="1024">
        <v>0</v>
      </c>
      <c r="Y29" s="1024">
        <v>0</v>
      </c>
      <c r="Z29" s="1025">
        <f t="shared" si="18"/>
        <v>0</v>
      </c>
      <c r="AA29" s="1026">
        <v>0</v>
      </c>
      <c r="AB29" s="1027">
        <v>0</v>
      </c>
      <c r="AC29" s="1027">
        <v>0</v>
      </c>
      <c r="AD29" s="1027">
        <v>0</v>
      </c>
      <c r="AE29" s="1027">
        <v>0</v>
      </c>
      <c r="AF29" s="1027">
        <v>0</v>
      </c>
      <c r="AG29" s="1027">
        <v>0</v>
      </c>
      <c r="AH29" s="1028">
        <v>0</v>
      </c>
      <c r="AI29" s="1028">
        <v>0</v>
      </c>
      <c r="AJ29" s="1028">
        <v>0</v>
      </c>
      <c r="AK29" s="1028">
        <v>0</v>
      </c>
      <c r="AL29" s="1028">
        <v>0</v>
      </c>
      <c r="AM29" s="1025">
        <f t="shared" si="19"/>
        <v>0</v>
      </c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4"/>
      <c r="AX29" s="1024"/>
      <c r="AY29" s="1024"/>
      <c r="AZ29" s="1024">
        <f t="shared" si="20"/>
        <v>0</v>
      </c>
      <c r="BA29" s="1024"/>
      <c r="BB29" s="1024"/>
      <c r="BC29" s="1024"/>
      <c r="BD29" s="1024"/>
      <c r="BE29" s="1024"/>
      <c r="BF29" s="1024"/>
      <c r="BG29" s="1024"/>
      <c r="BH29" s="1024"/>
      <c r="BI29" s="1024"/>
      <c r="BJ29" s="1024"/>
      <c r="BK29" s="1024"/>
      <c r="BL29" s="1024"/>
      <c r="BM29" s="1024">
        <f t="shared" si="21"/>
        <v>0</v>
      </c>
      <c r="BN29" s="1024"/>
      <c r="BO29" s="1024"/>
      <c r="BP29" s="1024"/>
      <c r="BQ29" s="1024"/>
      <c r="BR29" s="1024"/>
      <c r="BS29" s="1024"/>
      <c r="BT29" s="1024"/>
      <c r="BU29" s="1024"/>
      <c r="BV29" s="1024"/>
      <c r="BW29" s="1024"/>
      <c r="BX29" s="1024"/>
      <c r="BY29" s="1024"/>
      <c r="BZ29" s="1029">
        <f t="shared" si="22"/>
        <v>0</v>
      </c>
      <c r="CA29" s="1030">
        <f t="shared" si="23"/>
        <v>1.56</v>
      </c>
      <c r="CB29" s="1031">
        <f t="shared" si="24"/>
        <v>0</v>
      </c>
      <c r="CC29" s="1023">
        <f t="shared" si="25"/>
        <v>1.56</v>
      </c>
      <c r="CD29" s="1023">
        <f t="shared" si="26"/>
        <v>0</v>
      </c>
      <c r="CE29" s="1023">
        <v>1.56</v>
      </c>
      <c r="CF29" s="1023">
        <f t="shared" si="27"/>
        <v>0</v>
      </c>
      <c r="CG29" s="1029"/>
      <c r="CH29" s="972">
        <f t="shared" si="3"/>
        <v>-1.56</v>
      </c>
      <c r="CL29" s="976">
        <v>1.56</v>
      </c>
      <c r="CM29" s="976">
        <f t="shared" si="4"/>
        <v>0</v>
      </c>
    </row>
    <row r="30" spans="1:91" s="1032" customFormat="1" ht="14.25" customHeight="1" outlineLevel="1">
      <c r="A30" s="996"/>
      <c r="B30" s="1015"/>
      <c r="C30" s="1016"/>
      <c r="D30" s="1016" t="s">
        <v>555</v>
      </c>
      <c r="E30" s="1017"/>
      <c r="F30" s="1018"/>
      <c r="G30" s="1018">
        <v>76.34</v>
      </c>
      <c r="H30" s="1018"/>
      <c r="I30" s="1018">
        <v>76.34</v>
      </c>
      <c r="J30" s="1033"/>
      <c r="K30" s="1034"/>
      <c r="L30" s="1035"/>
      <c r="M30" s="1036">
        <v>76.34</v>
      </c>
      <c r="N30" s="1023">
        <v>0</v>
      </c>
      <c r="O30" s="1024">
        <v>0</v>
      </c>
      <c r="P30" s="1024">
        <v>0</v>
      </c>
      <c r="Q30" s="1024">
        <v>0</v>
      </c>
      <c r="R30" s="1024">
        <v>0</v>
      </c>
      <c r="S30" s="1024">
        <v>0</v>
      </c>
      <c r="T30" s="1024">
        <v>0</v>
      </c>
      <c r="U30" s="1024">
        <v>0</v>
      </c>
      <c r="V30" s="1024">
        <v>0</v>
      </c>
      <c r="W30" s="1024">
        <v>0</v>
      </c>
      <c r="X30" s="1024">
        <v>0</v>
      </c>
      <c r="Y30" s="1024">
        <v>0</v>
      </c>
      <c r="Z30" s="1025">
        <f t="shared" si="18"/>
        <v>0</v>
      </c>
      <c r="AA30" s="1026">
        <v>0</v>
      </c>
      <c r="AB30" s="1027">
        <v>0</v>
      </c>
      <c r="AC30" s="1027">
        <v>0</v>
      </c>
      <c r="AD30" s="1027">
        <v>0</v>
      </c>
      <c r="AE30" s="1027">
        <v>0</v>
      </c>
      <c r="AF30" s="1027">
        <v>0</v>
      </c>
      <c r="AG30" s="1027">
        <v>0</v>
      </c>
      <c r="AH30" s="1028">
        <v>0</v>
      </c>
      <c r="AI30" s="1028">
        <v>0</v>
      </c>
      <c r="AJ30" s="1028">
        <v>0</v>
      </c>
      <c r="AK30" s="1028">
        <v>0</v>
      </c>
      <c r="AL30" s="1028">
        <v>0</v>
      </c>
      <c r="AM30" s="1025">
        <f t="shared" si="19"/>
        <v>0</v>
      </c>
      <c r="AN30" s="1024"/>
      <c r="AO30" s="1024"/>
      <c r="AP30" s="1024"/>
      <c r="AQ30" s="1024"/>
      <c r="AR30" s="1024"/>
      <c r="AS30" s="1024"/>
      <c r="AT30" s="1024"/>
      <c r="AU30" s="1024"/>
      <c r="AV30" s="1024"/>
      <c r="AW30" s="1024"/>
      <c r="AX30" s="1024"/>
      <c r="AY30" s="1024"/>
      <c r="AZ30" s="1024">
        <f t="shared" si="20"/>
        <v>0</v>
      </c>
      <c r="BA30" s="1024"/>
      <c r="BB30" s="1024"/>
      <c r="BC30" s="1024"/>
      <c r="BD30" s="1024"/>
      <c r="BE30" s="1024"/>
      <c r="BF30" s="1024"/>
      <c r="BG30" s="1024"/>
      <c r="BH30" s="1024"/>
      <c r="BI30" s="1024"/>
      <c r="BJ30" s="1024"/>
      <c r="BK30" s="1024"/>
      <c r="BL30" s="1024"/>
      <c r="BM30" s="1024">
        <f t="shared" si="21"/>
        <v>0</v>
      </c>
      <c r="BN30" s="1024"/>
      <c r="BO30" s="1024"/>
      <c r="BP30" s="1024"/>
      <c r="BQ30" s="1024"/>
      <c r="BR30" s="1024"/>
      <c r="BS30" s="1024"/>
      <c r="BT30" s="1024"/>
      <c r="BU30" s="1024"/>
      <c r="BV30" s="1024"/>
      <c r="BW30" s="1024"/>
      <c r="BX30" s="1024"/>
      <c r="BY30" s="1024"/>
      <c r="BZ30" s="1029">
        <f t="shared" si="22"/>
        <v>0</v>
      </c>
      <c r="CA30" s="1030">
        <f t="shared" si="23"/>
        <v>76.34</v>
      </c>
      <c r="CB30" s="1031">
        <f t="shared" si="24"/>
        <v>0</v>
      </c>
      <c r="CC30" s="1023">
        <f t="shared" si="25"/>
        <v>76.34</v>
      </c>
      <c r="CD30" s="1023">
        <f t="shared" si="26"/>
        <v>0</v>
      </c>
      <c r="CE30" s="1023">
        <v>76.34</v>
      </c>
      <c r="CF30" s="1023">
        <f t="shared" si="27"/>
        <v>0</v>
      </c>
      <c r="CG30" s="1029"/>
      <c r="CH30" s="972">
        <f t="shared" si="3"/>
        <v>-76.34</v>
      </c>
      <c r="CL30" s="976">
        <v>76.34</v>
      </c>
      <c r="CM30" s="976">
        <f t="shared" si="4"/>
        <v>0</v>
      </c>
    </row>
    <row r="31" spans="1:91" s="1032" customFormat="1" ht="14.25" customHeight="1" outlineLevel="1">
      <c r="A31" s="996"/>
      <c r="B31" s="1015"/>
      <c r="C31" s="1016"/>
      <c r="D31" s="1016" t="s">
        <v>536</v>
      </c>
      <c r="E31" s="1017"/>
      <c r="F31" s="1018"/>
      <c r="G31" s="1018">
        <v>-0.59</v>
      </c>
      <c r="H31" s="1018"/>
      <c r="I31" s="1018">
        <v>-0.59</v>
      </c>
      <c r="J31" s="1033"/>
      <c r="K31" s="1034"/>
      <c r="L31" s="1035"/>
      <c r="M31" s="1036">
        <v>-0.59</v>
      </c>
      <c r="N31" s="1023">
        <v>0</v>
      </c>
      <c r="O31" s="1024">
        <v>0</v>
      </c>
      <c r="P31" s="1024">
        <v>0</v>
      </c>
      <c r="Q31" s="1024">
        <v>0</v>
      </c>
      <c r="R31" s="1024">
        <v>0</v>
      </c>
      <c r="S31" s="1024">
        <v>0</v>
      </c>
      <c r="T31" s="1024">
        <v>0</v>
      </c>
      <c r="U31" s="1024">
        <v>0</v>
      </c>
      <c r="V31" s="1024">
        <v>0</v>
      </c>
      <c r="W31" s="1024">
        <v>0</v>
      </c>
      <c r="X31" s="1024">
        <v>0</v>
      </c>
      <c r="Y31" s="1024">
        <v>0</v>
      </c>
      <c r="Z31" s="1025">
        <f t="shared" si="18"/>
        <v>0</v>
      </c>
      <c r="AA31" s="1026">
        <v>0</v>
      </c>
      <c r="AB31" s="1027">
        <v>0</v>
      </c>
      <c r="AC31" s="1027">
        <v>0</v>
      </c>
      <c r="AD31" s="1027">
        <v>0</v>
      </c>
      <c r="AE31" s="1027">
        <v>0</v>
      </c>
      <c r="AF31" s="1027">
        <v>0</v>
      </c>
      <c r="AG31" s="1027">
        <v>0</v>
      </c>
      <c r="AH31" s="1028">
        <v>0</v>
      </c>
      <c r="AI31" s="1028">
        <v>0</v>
      </c>
      <c r="AJ31" s="1028">
        <v>0</v>
      </c>
      <c r="AK31" s="1028">
        <v>0</v>
      </c>
      <c r="AL31" s="1028">
        <v>0</v>
      </c>
      <c r="AM31" s="1025">
        <f t="shared" si="19"/>
        <v>0</v>
      </c>
      <c r="AN31" s="1024"/>
      <c r="AO31" s="1024"/>
      <c r="AP31" s="1024"/>
      <c r="AQ31" s="1024"/>
      <c r="AR31" s="1024"/>
      <c r="AS31" s="1024"/>
      <c r="AT31" s="1024"/>
      <c r="AU31" s="1024"/>
      <c r="AV31" s="1024"/>
      <c r="AW31" s="1024"/>
      <c r="AX31" s="1024"/>
      <c r="AY31" s="1024"/>
      <c r="AZ31" s="1024">
        <f t="shared" si="20"/>
        <v>0</v>
      </c>
      <c r="BA31" s="1024"/>
      <c r="BB31" s="1024"/>
      <c r="BC31" s="1024"/>
      <c r="BD31" s="1024"/>
      <c r="BE31" s="1024"/>
      <c r="BF31" s="1024"/>
      <c r="BG31" s="1024"/>
      <c r="BH31" s="1024"/>
      <c r="BI31" s="1024"/>
      <c r="BJ31" s="1024"/>
      <c r="BK31" s="1024"/>
      <c r="BL31" s="1024"/>
      <c r="BM31" s="1024">
        <f t="shared" si="21"/>
        <v>0</v>
      </c>
      <c r="BN31" s="1024"/>
      <c r="BO31" s="1024"/>
      <c r="BP31" s="1024"/>
      <c r="BQ31" s="1024"/>
      <c r="BR31" s="1024"/>
      <c r="BS31" s="1024"/>
      <c r="BT31" s="1024"/>
      <c r="BU31" s="1024"/>
      <c r="BV31" s="1024"/>
      <c r="BW31" s="1024"/>
      <c r="BX31" s="1024"/>
      <c r="BY31" s="1024"/>
      <c r="BZ31" s="1029">
        <f t="shared" si="22"/>
        <v>0</v>
      </c>
      <c r="CA31" s="1030">
        <f t="shared" si="23"/>
        <v>-0.59</v>
      </c>
      <c r="CB31" s="1031">
        <f t="shared" si="24"/>
        <v>0</v>
      </c>
      <c r="CC31" s="1023">
        <f t="shared" si="25"/>
        <v>-0.59</v>
      </c>
      <c r="CD31" s="1023">
        <f t="shared" si="26"/>
        <v>0</v>
      </c>
      <c r="CE31" s="1023">
        <v>-0.59</v>
      </c>
      <c r="CF31" s="1023">
        <f t="shared" si="27"/>
        <v>0</v>
      </c>
      <c r="CG31" s="1029"/>
      <c r="CH31" s="972">
        <f t="shared" si="3"/>
        <v>0.59</v>
      </c>
      <c r="CL31" s="976">
        <v>-0.59</v>
      </c>
      <c r="CM31" s="976">
        <f t="shared" si="4"/>
        <v>0</v>
      </c>
    </row>
    <row r="32" spans="1:91" s="1032" customFormat="1" ht="14.25" customHeight="1" outlineLevel="1">
      <c r="A32" s="996"/>
      <c r="B32" s="1015"/>
      <c r="C32" s="1016"/>
      <c r="D32" s="1016" t="s">
        <v>600</v>
      </c>
      <c r="E32" s="1017"/>
      <c r="F32" s="1018"/>
      <c r="G32" s="1018">
        <v>0</v>
      </c>
      <c r="H32" s="1018"/>
      <c r="I32" s="1018">
        <v>0</v>
      </c>
      <c r="J32" s="1033"/>
      <c r="K32" s="1034"/>
      <c r="L32" s="1035"/>
      <c r="M32" s="1036"/>
      <c r="N32" s="1023">
        <v>0</v>
      </c>
      <c r="O32" s="1024">
        <v>0</v>
      </c>
      <c r="P32" s="1024">
        <v>0</v>
      </c>
      <c r="Q32" s="1024">
        <v>0</v>
      </c>
      <c r="R32" s="1024">
        <v>0</v>
      </c>
      <c r="S32" s="1024">
        <v>0</v>
      </c>
      <c r="T32" s="1024">
        <v>0</v>
      </c>
      <c r="U32" s="1024">
        <v>0</v>
      </c>
      <c r="V32" s="1024">
        <v>0</v>
      </c>
      <c r="W32" s="1024">
        <v>0</v>
      </c>
      <c r="X32" s="1024">
        <v>0</v>
      </c>
      <c r="Y32" s="1024">
        <v>0</v>
      </c>
      <c r="Z32" s="1025">
        <f t="shared" si="18"/>
        <v>0</v>
      </c>
      <c r="AA32" s="1026">
        <v>0</v>
      </c>
      <c r="AB32" s="1027">
        <v>0</v>
      </c>
      <c r="AC32" s="1027">
        <v>0</v>
      </c>
      <c r="AD32" s="1027">
        <v>0</v>
      </c>
      <c r="AE32" s="1027">
        <v>0</v>
      </c>
      <c r="AF32" s="1027">
        <v>0</v>
      </c>
      <c r="AG32" s="1027">
        <v>0</v>
      </c>
      <c r="AH32" s="1028">
        <v>0</v>
      </c>
      <c r="AI32" s="1028">
        <v>0</v>
      </c>
      <c r="AJ32" s="1028">
        <v>0</v>
      </c>
      <c r="AK32" s="1028">
        <v>0</v>
      </c>
      <c r="AL32" s="1028">
        <v>0</v>
      </c>
      <c r="AM32" s="1025">
        <f t="shared" si="19"/>
        <v>0</v>
      </c>
      <c r="AN32" s="1024"/>
      <c r="AO32" s="1024"/>
      <c r="AP32" s="1024"/>
      <c r="AQ32" s="1024"/>
      <c r="AR32" s="1024"/>
      <c r="AS32" s="1024"/>
      <c r="AT32" s="1024"/>
      <c r="AU32" s="1024"/>
      <c r="AV32" s="1024"/>
      <c r="AW32" s="1024"/>
      <c r="AX32" s="1024"/>
      <c r="AY32" s="1024"/>
      <c r="AZ32" s="1024">
        <f t="shared" si="20"/>
        <v>0</v>
      </c>
      <c r="BA32" s="1024"/>
      <c r="BB32" s="1024"/>
      <c r="BC32" s="1024"/>
      <c r="BD32" s="1024"/>
      <c r="BE32" s="1024"/>
      <c r="BF32" s="1024"/>
      <c r="BG32" s="1024"/>
      <c r="BH32" s="1024"/>
      <c r="BI32" s="1024"/>
      <c r="BJ32" s="1024"/>
      <c r="BK32" s="1024"/>
      <c r="BL32" s="1024"/>
      <c r="BM32" s="1024">
        <f t="shared" si="21"/>
        <v>0</v>
      </c>
      <c r="BN32" s="1024"/>
      <c r="BO32" s="1024"/>
      <c r="BP32" s="1024"/>
      <c r="BQ32" s="1024"/>
      <c r="BR32" s="1024"/>
      <c r="BS32" s="1024"/>
      <c r="BT32" s="1024"/>
      <c r="BU32" s="1024"/>
      <c r="BV32" s="1024"/>
      <c r="BW32" s="1024"/>
      <c r="BX32" s="1024"/>
      <c r="BY32" s="1024"/>
      <c r="BZ32" s="1029">
        <f t="shared" si="22"/>
        <v>0</v>
      </c>
      <c r="CA32" s="1030">
        <f t="shared" si="23"/>
        <v>0</v>
      </c>
      <c r="CB32" s="1031">
        <f t="shared" si="24"/>
        <v>0</v>
      </c>
      <c r="CC32" s="1023">
        <f t="shared" si="25"/>
        <v>0</v>
      </c>
      <c r="CD32" s="1023">
        <f t="shared" si="26"/>
        <v>0</v>
      </c>
      <c r="CE32" s="1023">
        <v>0</v>
      </c>
      <c r="CF32" s="1023">
        <f t="shared" si="27"/>
        <v>0</v>
      </c>
      <c r="CG32" s="1029"/>
      <c r="CH32" s="972">
        <f t="shared" si="3"/>
        <v>0</v>
      </c>
      <c r="CL32" s="976">
        <v>0</v>
      </c>
      <c r="CM32" s="976">
        <f t="shared" si="4"/>
        <v>0</v>
      </c>
    </row>
    <row r="33" spans="1:91" s="968" customFormat="1">
      <c r="A33" s="996"/>
      <c r="B33" s="1038"/>
      <c r="C33" s="1039" t="s">
        <v>601</v>
      </c>
      <c r="D33" s="1039"/>
      <c r="E33" s="1040"/>
      <c r="F33" s="1030">
        <f>SUBTOTAL(9,F34:F53)</f>
        <v>595716</v>
      </c>
      <c r="G33" s="1030">
        <f>SUBTOTAL(9,G34:G53)</f>
        <v>287507.45</v>
      </c>
      <c r="H33" s="1030">
        <f>SUBTOTAL(9,H34:H53)</f>
        <v>0</v>
      </c>
      <c r="I33" s="1030">
        <f>SUBTOTAL(9,I34:I53)</f>
        <v>287507.45</v>
      </c>
      <c r="J33" s="1019"/>
      <c r="K33" s="1020"/>
      <c r="L33" s="1021"/>
      <c r="M33" s="1023">
        <f t="shared" ref="M33:AR33" si="28">SUBTOTAL(9,M34:M53)</f>
        <v>274044.01999999996</v>
      </c>
      <c r="N33" s="1023">
        <f t="shared" si="28"/>
        <v>28.73</v>
      </c>
      <c r="O33" s="1024">
        <f t="shared" si="28"/>
        <v>0</v>
      </c>
      <c r="P33" s="1024">
        <f t="shared" si="28"/>
        <v>103.61</v>
      </c>
      <c r="Q33" s="1024">
        <f t="shared" si="28"/>
        <v>0</v>
      </c>
      <c r="R33" s="1024">
        <f t="shared" si="28"/>
        <v>34.54</v>
      </c>
      <c r="S33" s="1024">
        <f t="shared" si="28"/>
        <v>34.54</v>
      </c>
      <c r="T33" s="1024">
        <f t="shared" si="28"/>
        <v>0</v>
      </c>
      <c r="U33" s="1024">
        <f t="shared" si="28"/>
        <v>0</v>
      </c>
      <c r="V33" s="1024">
        <f t="shared" si="28"/>
        <v>51.81</v>
      </c>
      <c r="W33" s="1024">
        <f t="shared" si="28"/>
        <v>151.19999999999999</v>
      </c>
      <c r="X33" s="1024">
        <f t="shared" si="28"/>
        <v>802.5</v>
      </c>
      <c r="Y33" s="1024">
        <f t="shared" si="28"/>
        <v>0</v>
      </c>
      <c r="Z33" s="1024">
        <f t="shared" si="28"/>
        <v>1206.93</v>
      </c>
      <c r="AA33" s="1026">
        <f t="shared" si="28"/>
        <v>0</v>
      </c>
      <c r="AB33" s="1027">
        <f t="shared" si="28"/>
        <v>0</v>
      </c>
      <c r="AC33" s="1027">
        <f t="shared" si="28"/>
        <v>0</v>
      </c>
      <c r="AD33" s="1027">
        <f t="shared" si="28"/>
        <v>0</v>
      </c>
      <c r="AE33" s="1027">
        <f t="shared" si="28"/>
        <v>0</v>
      </c>
      <c r="AF33" s="1027">
        <f t="shared" si="28"/>
        <v>0</v>
      </c>
      <c r="AG33" s="1027">
        <f t="shared" si="28"/>
        <v>4039</v>
      </c>
      <c r="AH33" s="1028">
        <f t="shared" si="28"/>
        <v>7452.5</v>
      </c>
      <c r="AI33" s="1028">
        <f t="shared" si="28"/>
        <v>0</v>
      </c>
      <c r="AJ33" s="1028">
        <f t="shared" si="28"/>
        <v>0</v>
      </c>
      <c r="AK33" s="1028">
        <f t="shared" si="28"/>
        <v>0</v>
      </c>
      <c r="AL33" s="1028">
        <f t="shared" si="28"/>
        <v>765</v>
      </c>
      <c r="AM33" s="1028">
        <f t="shared" si="28"/>
        <v>12256.5</v>
      </c>
      <c r="AN33" s="1024">
        <f t="shared" si="28"/>
        <v>0</v>
      </c>
      <c r="AO33" s="1024">
        <f t="shared" si="28"/>
        <v>0</v>
      </c>
      <c r="AP33" s="1024">
        <f t="shared" si="28"/>
        <v>0</v>
      </c>
      <c r="AQ33" s="1024">
        <f t="shared" si="28"/>
        <v>0</v>
      </c>
      <c r="AR33" s="1024">
        <f t="shared" si="28"/>
        <v>0</v>
      </c>
      <c r="AS33" s="1024">
        <f t="shared" ref="AS33:BX33" si="29">SUBTOTAL(9,AS34:AS53)</f>
        <v>0</v>
      </c>
      <c r="AT33" s="1024">
        <f t="shared" si="29"/>
        <v>0</v>
      </c>
      <c r="AU33" s="1024">
        <f t="shared" si="29"/>
        <v>0</v>
      </c>
      <c r="AV33" s="1024">
        <f t="shared" si="29"/>
        <v>0</v>
      </c>
      <c r="AW33" s="1024">
        <f t="shared" si="29"/>
        <v>0</v>
      </c>
      <c r="AX33" s="1024">
        <f t="shared" si="29"/>
        <v>0</v>
      </c>
      <c r="AY33" s="1024">
        <f t="shared" si="29"/>
        <v>0</v>
      </c>
      <c r="AZ33" s="1024">
        <f t="shared" si="29"/>
        <v>0</v>
      </c>
      <c r="BA33" s="1024">
        <f t="shared" si="29"/>
        <v>0</v>
      </c>
      <c r="BB33" s="1024">
        <f t="shared" si="29"/>
        <v>0</v>
      </c>
      <c r="BC33" s="1024">
        <f t="shared" si="29"/>
        <v>0</v>
      </c>
      <c r="BD33" s="1024">
        <f t="shared" si="29"/>
        <v>0</v>
      </c>
      <c r="BE33" s="1024">
        <f t="shared" si="29"/>
        <v>0</v>
      </c>
      <c r="BF33" s="1024">
        <f t="shared" si="29"/>
        <v>0</v>
      </c>
      <c r="BG33" s="1024">
        <f t="shared" si="29"/>
        <v>0</v>
      </c>
      <c r="BH33" s="1024">
        <f t="shared" si="29"/>
        <v>0</v>
      </c>
      <c r="BI33" s="1024">
        <f t="shared" si="29"/>
        <v>0</v>
      </c>
      <c r="BJ33" s="1024">
        <f t="shared" si="29"/>
        <v>0</v>
      </c>
      <c r="BK33" s="1024">
        <f t="shared" si="29"/>
        <v>0</v>
      </c>
      <c r="BL33" s="1024">
        <f t="shared" si="29"/>
        <v>0</v>
      </c>
      <c r="BM33" s="1024">
        <f t="shared" si="29"/>
        <v>0</v>
      </c>
      <c r="BN33" s="1024">
        <f t="shared" si="29"/>
        <v>0</v>
      </c>
      <c r="BO33" s="1024">
        <f t="shared" si="29"/>
        <v>0</v>
      </c>
      <c r="BP33" s="1024">
        <f t="shared" si="29"/>
        <v>0</v>
      </c>
      <c r="BQ33" s="1024">
        <f t="shared" si="29"/>
        <v>0</v>
      </c>
      <c r="BR33" s="1024">
        <f t="shared" si="29"/>
        <v>0</v>
      </c>
      <c r="BS33" s="1024">
        <f t="shared" si="29"/>
        <v>0</v>
      </c>
      <c r="BT33" s="1024">
        <f t="shared" si="29"/>
        <v>0</v>
      </c>
      <c r="BU33" s="1024">
        <f t="shared" si="29"/>
        <v>0</v>
      </c>
      <c r="BV33" s="1024">
        <f t="shared" si="29"/>
        <v>0</v>
      </c>
      <c r="BW33" s="1024">
        <f t="shared" si="29"/>
        <v>0</v>
      </c>
      <c r="BX33" s="1024">
        <f t="shared" si="29"/>
        <v>0</v>
      </c>
      <c r="BY33" s="1024">
        <f t="shared" ref="BY33:CF33" si="30">SUBTOTAL(9,BY34:BY53)</f>
        <v>0</v>
      </c>
      <c r="BZ33" s="1029">
        <f t="shared" si="30"/>
        <v>0</v>
      </c>
      <c r="CA33" s="1041">
        <f t="shared" si="30"/>
        <v>287507.45</v>
      </c>
      <c r="CB33" s="1028">
        <f t="shared" si="30"/>
        <v>0</v>
      </c>
      <c r="CC33" s="1025">
        <f t="shared" si="30"/>
        <v>287507.45</v>
      </c>
      <c r="CD33" s="1023">
        <f t="shared" si="30"/>
        <v>0</v>
      </c>
      <c r="CE33" s="1025">
        <f t="shared" si="30"/>
        <v>287507.45</v>
      </c>
      <c r="CF33" s="1025">
        <f t="shared" si="30"/>
        <v>0</v>
      </c>
      <c r="CG33" s="1029"/>
      <c r="CH33" s="972"/>
      <c r="CL33" s="1037">
        <f>SUBTOTAL(9,CL34:CL53)</f>
        <v>287507.45</v>
      </c>
      <c r="CM33" s="976">
        <f t="shared" si="4"/>
        <v>0</v>
      </c>
    </row>
    <row r="34" spans="1:91" s="1032" customFormat="1" ht="14.25" customHeight="1" outlineLevel="1">
      <c r="A34" s="996"/>
      <c r="B34" s="1015"/>
      <c r="C34" s="1016"/>
      <c r="D34" s="1016" t="s">
        <v>602</v>
      </c>
      <c r="E34" s="1017"/>
      <c r="F34" s="1018"/>
      <c r="G34" s="1018">
        <v>487.5</v>
      </c>
      <c r="H34" s="1018"/>
      <c r="I34" s="1018">
        <v>487.5</v>
      </c>
      <c r="J34" s="1033">
        <v>4600004978</v>
      </c>
      <c r="K34" s="1034">
        <v>902483.66</v>
      </c>
      <c r="L34" s="1035" t="s">
        <v>314</v>
      </c>
      <c r="M34" s="1036"/>
      <c r="N34" s="1023">
        <v>0</v>
      </c>
      <c r="O34" s="1024">
        <v>0</v>
      </c>
      <c r="P34" s="1024">
        <v>0</v>
      </c>
      <c r="Q34" s="1024">
        <v>0</v>
      </c>
      <c r="R34" s="1024">
        <v>0</v>
      </c>
      <c r="S34" s="1024">
        <v>0</v>
      </c>
      <c r="T34" s="1024">
        <v>0</v>
      </c>
      <c r="U34" s="1024">
        <v>0</v>
      </c>
      <c r="V34" s="1024">
        <v>0</v>
      </c>
      <c r="W34" s="1024">
        <v>0</v>
      </c>
      <c r="X34" s="1024">
        <v>487.5</v>
      </c>
      <c r="Y34" s="1024">
        <v>0</v>
      </c>
      <c r="Z34" s="1025">
        <f t="shared" ref="Z34:Z53" si="31">SUM(N34:Y34)</f>
        <v>487.5</v>
      </c>
      <c r="AA34" s="1026">
        <v>0</v>
      </c>
      <c r="AB34" s="1027">
        <v>0</v>
      </c>
      <c r="AC34" s="1027">
        <v>0</v>
      </c>
      <c r="AD34" s="1027">
        <v>0</v>
      </c>
      <c r="AE34" s="1027">
        <v>0</v>
      </c>
      <c r="AF34" s="1027">
        <v>0</v>
      </c>
      <c r="AG34" s="1027">
        <v>0</v>
      </c>
      <c r="AH34" s="1028">
        <v>0</v>
      </c>
      <c r="AI34" s="1028">
        <v>0</v>
      </c>
      <c r="AJ34" s="1028">
        <v>0</v>
      </c>
      <c r="AK34" s="1028">
        <v>0</v>
      </c>
      <c r="AL34" s="1028">
        <v>0</v>
      </c>
      <c r="AM34" s="1025">
        <f t="shared" ref="AM34:AM53" si="32">SUM(AA34:AL34)</f>
        <v>0</v>
      </c>
      <c r="AN34" s="1024"/>
      <c r="AO34" s="1024"/>
      <c r="AP34" s="1024"/>
      <c r="AQ34" s="1024"/>
      <c r="AR34" s="1024"/>
      <c r="AS34" s="1024"/>
      <c r="AT34" s="1024"/>
      <c r="AU34" s="1024"/>
      <c r="AV34" s="1024"/>
      <c r="AW34" s="1024"/>
      <c r="AX34" s="1024"/>
      <c r="AY34" s="1024"/>
      <c r="AZ34" s="1024">
        <f t="shared" ref="AZ34:AZ53" si="33">SUM(AN34:AY34)</f>
        <v>0</v>
      </c>
      <c r="BA34" s="1024"/>
      <c r="BB34" s="1024"/>
      <c r="BC34" s="1024"/>
      <c r="BD34" s="1024"/>
      <c r="BE34" s="1024"/>
      <c r="BF34" s="1024"/>
      <c r="BG34" s="1024"/>
      <c r="BH34" s="1024"/>
      <c r="BI34" s="1024"/>
      <c r="BJ34" s="1024"/>
      <c r="BK34" s="1024"/>
      <c r="BL34" s="1024"/>
      <c r="BM34" s="1024">
        <f t="shared" ref="BM34:BM53" si="34">SUM(BA34:BL34)</f>
        <v>0</v>
      </c>
      <c r="BN34" s="1024"/>
      <c r="BO34" s="1024"/>
      <c r="BP34" s="1024"/>
      <c r="BQ34" s="1024"/>
      <c r="BR34" s="1024"/>
      <c r="BS34" s="1024"/>
      <c r="BT34" s="1024"/>
      <c r="BU34" s="1024"/>
      <c r="BV34" s="1024"/>
      <c r="BW34" s="1024"/>
      <c r="BX34" s="1024"/>
      <c r="BY34" s="1024"/>
      <c r="BZ34" s="1029">
        <f t="shared" ref="BZ34:BZ53" si="35">SUM(BN34:BY34)</f>
        <v>0</v>
      </c>
      <c r="CA34" s="1030">
        <f t="shared" ref="CA34:CA53" si="36">SUMIF(($M$1:$BZ$1),"Actual",(M34:BZ34))</f>
        <v>487.5</v>
      </c>
      <c r="CB34" s="1031">
        <f t="shared" ref="CB34:CB53" si="37">SUMIF(($M$1:$BZ$1),"Forecast",(M34:BZ34))</f>
        <v>0</v>
      </c>
      <c r="CC34" s="1023">
        <f t="shared" ref="CC34:CC53" si="38">+CA34+CB34</f>
        <v>487.5</v>
      </c>
      <c r="CD34" s="1023">
        <f t="shared" ref="CD34:CD53" si="39">+CC34-I34</f>
        <v>0</v>
      </c>
      <c r="CE34" s="1023">
        <v>487.5</v>
      </c>
      <c r="CF34" s="1023">
        <f t="shared" ref="CF34:CF53" si="40">+CC34-CE34</f>
        <v>0</v>
      </c>
      <c r="CG34" s="1029"/>
      <c r="CH34" s="972">
        <f t="shared" ref="CH34:CH53" si="41">-CC34+K34</f>
        <v>901996.16</v>
      </c>
      <c r="CL34" s="976">
        <v>487.5</v>
      </c>
      <c r="CM34" s="976">
        <f t="shared" si="4"/>
        <v>0</v>
      </c>
    </row>
    <row r="35" spans="1:91" s="1032" customFormat="1" ht="14.25" customHeight="1" outlineLevel="1">
      <c r="A35" s="996"/>
      <c r="B35" s="1015"/>
      <c r="C35" s="1016"/>
      <c r="D35" s="1016" t="s">
        <v>603</v>
      </c>
      <c r="E35" s="1017"/>
      <c r="F35" s="1018">
        <f>595716</f>
        <v>595716</v>
      </c>
      <c r="G35" s="1018">
        <v>7863.98</v>
      </c>
      <c r="H35" s="1018"/>
      <c r="I35" s="1018">
        <v>7863.98</v>
      </c>
      <c r="J35" s="1033" t="s">
        <v>604</v>
      </c>
      <c r="K35" s="1034">
        <v>7863.98</v>
      </c>
      <c r="L35" s="1035" t="s">
        <v>381</v>
      </c>
      <c r="M35" s="1036">
        <v>7863.98</v>
      </c>
      <c r="N35" s="1023">
        <v>0</v>
      </c>
      <c r="O35" s="1024">
        <v>0</v>
      </c>
      <c r="P35" s="1024">
        <v>0</v>
      </c>
      <c r="Q35" s="1024">
        <v>0</v>
      </c>
      <c r="R35" s="1024">
        <v>0</v>
      </c>
      <c r="S35" s="1024">
        <v>0</v>
      </c>
      <c r="T35" s="1024">
        <v>0</v>
      </c>
      <c r="U35" s="1024">
        <v>0</v>
      </c>
      <c r="V35" s="1024">
        <v>0</v>
      </c>
      <c r="W35" s="1024">
        <v>0</v>
      </c>
      <c r="X35" s="1024">
        <v>0</v>
      </c>
      <c r="Y35" s="1024">
        <v>0</v>
      </c>
      <c r="Z35" s="1025">
        <f t="shared" si="31"/>
        <v>0</v>
      </c>
      <c r="AA35" s="1026">
        <v>0</v>
      </c>
      <c r="AB35" s="1027">
        <v>0</v>
      </c>
      <c r="AC35" s="1027">
        <v>0</v>
      </c>
      <c r="AD35" s="1027">
        <v>0</v>
      </c>
      <c r="AE35" s="1027">
        <v>0</v>
      </c>
      <c r="AF35" s="1027">
        <v>0</v>
      </c>
      <c r="AG35" s="1027">
        <v>0</v>
      </c>
      <c r="AH35" s="1028">
        <v>0</v>
      </c>
      <c r="AI35" s="1028">
        <v>0</v>
      </c>
      <c r="AJ35" s="1028">
        <v>0</v>
      </c>
      <c r="AK35" s="1028">
        <v>0</v>
      </c>
      <c r="AL35" s="1028">
        <v>0</v>
      </c>
      <c r="AM35" s="1025">
        <f t="shared" si="32"/>
        <v>0</v>
      </c>
      <c r="AN35" s="1024"/>
      <c r="AO35" s="1024"/>
      <c r="AP35" s="1024"/>
      <c r="AQ35" s="1024"/>
      <c r="AR35" s="1024"/>
      <c r="AS35" s="1024"/>
      <c r="AT35" s="1024"/>
      <c r="AU35" s="1024"/>
      <c r="AV35" s="1024"/>
      <c r="AW35" s="1024"/>
      <c r="AX35" s="1024"/>
      <c r="AY35" s="1024"/>
      <c r="AZ35" s="1024">
        <f t="shared" si="33"/>
        <v>0</v>
      </c>
      <c r="BA35" s="1024"/>
      <c r="BB35" s="1024"/>
      <c r="BC35" s="1024"/>
      <c r="BD35" s="1024"/>
      <c r="BE35" s="1024"/>
      <c r="BF35" s="1024"/>
      <c r="BG35" s="1024"/>
      <c r="BH35" s="1024"/>
      <c r="BI35" s="1024"/>
      <c r="BJ35" s="1024"/>
      <c r="BK35" s="1024"/>
      <c r="BL35" s="1024"/>
      <c r="BM35" s="1024">
        <f t="shared" si="34"/>
        <v>0</v>
      </c>
      <c r="BN35" s="1024"/>
      <c r="BO35" s="1024"/>
      <c r="BP35" s="1024"/>
      <c r="BQ35" s="1024"/>
      <c r="BR35" s="1024"/>
      <c r="BS35" s="1024"/>
      <c r="BT35" s="1024"/>
      <c r="BU35" s="1024"/>
      <c r="BV35" s="1024"/>
      <c r="BW35" s="1024"/>
      <c r="BX35" s="1024"/>
      <c r="BY35" s="1024"/>
      <c r="BZ35" s="1029">
        <f t="shared" si="35"/>
        <v>0</v>
      </c>
      <c r="CA35" s="1030">
        <f t="shared" si="36"/>
        <v>7863.98</v>
      </c>
      <c r="CB35" s="1031">
        <f t="shared" si="37"/>
        <v>0</v>
      </c>
      <c r="CC35" s="1023">
        <f t="shared" si="38"/>
        <v>7863.98</v>
      </c>
      <c r="CD35" s="1023">
        <f t="shared" si="39"/>
        <v>0</v>
      </c>
      <c r="CE35" s="1023">
        <v>7863.98</v>
      </c>
      <c r="CF35" s="1023">
        <f t="shared" si="40"/>
        <v>0</v>
      </c>
      <c r="CG35" s="1029"/>
      <c r="CH35" s="972">
        <f t="shared" si="41"/>
        <v>0</v>
      </c>
      <c r="CL35" s="976">
        <v>7863.98</v>
      </c>
      <c r="CM35" s="976">
        <f t="shared" si="4"/>
        <v>0</v>
      </c>
    </row>
    <row r="36" spans="1:91" s="1032" customFormat="1" ht="14.25" customHeight="1" outlineLevel="1">
      <c r="A36" s="996"/>
      <c r="B36" s="1015"/>
      <c r="C36" s="1016"/>
      <c r="D36" s="1016" t="s">
        <v>605</v>
      </c>
      <c r="E36" s="1017"/>
      <c r="F36" s="1018"/>
      <c r="G36" s="1018">
        <v>2700</v>
      </c>
      <c r="H36" s="1018"/>
      <c r="I36" s="1018">
        <v>2700</v>
      </c>
      <c r="J36" s="1033">
        <v>4600003664</v>
      </c>
      <c r="K36" s="1034">
        <v>457550</v>
      </c>
      <c r="L36" s="1035" t="s">
        <v>314</v>
      </c>
      <c r="M36" s="1036">
        <v>2700</v>
      </c>
      <c r="N36" s="1023">
        <v>0</v>
      </c>
      <c r="O36" s="1024">
        <v>0</v>
      </c>
      <c r="P36" s="1024">
        <v>0</v>
      </c>
      <c r="Q36" s="1024">
        <v>0</v>
      </c>
      <c r="R36" s="1024">
        <v>0</v>
      </c>
      <c r="S36" s="1024">
        <v>0</v>
      </c>
      <c r="T36" s="1024">
        <v>0</v>
      </c>
      <c r="U36" s="1024">
        <v>0</v>
      </c>
      <c r="V36" s="1024">
        <v>0</v>
      </c>
      <c r="W36" s="1024">
        <v>0</v>
      </c>
      <c r="X36" s="1024">
        <v>0</v>
      </c>
      <c r="Y36" s="1024">
        <v>0</v>
      </c>
      <c r="Z36" s="1025">
        <f t="shared" si="31"/>
        <v>0</v>
      </c>
      <c r="AA36" s="1026">
        <v>0</v>
      </c>
      <c r="AB36" s="1027">
        <v>0</v>
      </c>
      <c r="AC36" s="1027">
        <v>0</v>
      </c>
      <c r="AD36" s="1027">
        <v>0</v>
      </c>
      <c r="AE36" s="1027">
        <v>0</v>
      </c>
      <c r="AF36" s="1027">
        <v>0</v>
      </c>
      <c r="AG36" s="1027">
        <v>0</v>
      </c>
      <c r="AH36" s="1028">
        <v>0</v>
      </c>
      <c r="AI36" s="1028">
        <v>0</v>
      </c>
      <c r="AJ36" s="1028">
        <v>0</v>
      </c>
      <c r="AK36" s="1028">
        <v>0</v>
      </c>
      <c r="AL36" s="1028">
        <v>0</v>
      </c>
      <c r="AM36" s="1025">
        <f t="shared" si="32"/>
        <v>0</v>
      </c>
      <c r="AN36" s="1024"/>
      <c r="AO36" s="1024"/>
      <c r="AP36" s="1024"/>
      <c r="AQ36" s="1024"/>
      <c r="AR36" s="1024"/>
      <c r="AS36" s="1024"/>
      <c r="AT36" s="1024"/>
      <c r="AU36" s="1024"/>
      <c r="AV36" s="1024"/>
      <c r="AW36" s="1024"/>
      <c r="AX36" s="1024"/>
      <c r="AY36" s="1024"/>
      <c r="AZ36" s="1024">
        <f t="shared" si="33"/>
        <v>0</v>
      </c>
      <c r="BA36" s="1024"/>
      <c r="BB36" s="1024"/>
      <c r="BC36" s="1024"/>
      <c r="BD36" s="1024"/>
      <c r="BE36" s="1024"/>
      <c r="BF36" s="1024"/>
      <c r="BG36" s="1024"/>
      <c r="BH36" s="1024"/>
      <c r="BI36" s="1024"/>
      <c r="BJ36" s="1024"/>
      <c r="BK36" s="1024"/>
      <c r="BL36" s="1024"/>
      <c r="BM36" s="1024">
        <f t="shared" si="34"/>
        <v>0</v>
      </c>
      <c r="BN36" s="1024"/>
      <c r="BO36" s="1024"/>
      <c r="BP36" s="1024"/>
      <c r="BQ36" s="1024"/>
      <c r="BR36" s="1024"/>
      <c r="BS36" s="1024"/>
      <c r="BT36" s="1024"/>
      <c r="BU36" s="1024"/>
      <c r="BV36" s="1024"/>
      <c r="BW36" s="1024"/>
      <c r="BX36" s="1024"/>
      <c r="BY36" s="1024"/>
      <c r="BZ36" s="1029">
        <f t="shared" si="35"/>
        <v>0</v>
      </c>
      <c r="CA36" s="1030">
        <f t="shared" si="36"/>
        <v>2700</v>
      </c>
      <c r="CB36" s="1031">
        <f t="shared" si="37"/>
        <v>0</v>
      </c>
      <c r="CC36" s="1023">
        <f t="shared" si="38"/>
        <v>2700</v>
      </c>
      <c r="CD36" s="1023">
        <f t="shared" si="39"/>
        <v>0</v>
      </c>
      <c r="CE36" s="1023">
        <v>2700</v>
      </c>
      <c r="CF36" s="1023">
        <f t="shared" si="40"/>
        <v>0</v>
      </c>
      <c r="CG36" s="1029"/>
      <c r="CH36" s="972">
        <f t="shared" si="41"/>
        <v>454850</v>
      </c>
      <c r="CL36" s="976">
        <v>2700</v>
      </c>
      <c r="CM36" s="976">
        <f t="shared" si="4"/>
        <v>0</v>
      </c>
    </row>
    <row r="37" spans="1:91" s="1032" customFormat="1" ht="14.25" customHeight="1" outlineLevel="1">
      <c r="A37" s="996"/>
      <c r="B37" s="1015"/>
      <c r="C37" s="1016"/>
      <c r="D37" s="1016" t="s">
        <v>606</v>
      </c>
      <c r="E37" s="1017"/>
      <c r="F37" s="1018"/>
      <c r="G37" s="1018">
        <v>14741.5</v>
      </c>
      <c r="H37" s="1018"/>
      <c r="I37" s="1018">
        <v>14741.5</v>
      </c>
      <c r="J37" s="1033">
        <v>4600001845</v>
      </c>
      <c r="K37" s="1034">
        <v>6208200</v>
      </c>
      <c r="L37" s="1035" t="s">
        <v>314</v>
      </c>
      <c r="M37" s="1036">
        <v>3250</v>
      </c>
      <c r="N37" s="1023">
        <v>0</v>
      </c>
      <c r="O37" s="1024">
        <v>0</v>
      </c>
      <c r="P37" s="1024">
        <v>0</v>
      </c>
      <c r="Q37" s="1024">
        <v>0</v>
      </c>
      <c r="R37" s="1024">
        <v>0</v>
      </c>
      <c r="S37" s="1024">
        <v>0</v>
      </c>
      <c r="T37" s="1024">
        <v>0</v>
      </c>
      <c r="U37" s="1024">
        <v>0</v>
      </c>
      <c r="V37" s="1024">
        <v>0</v>
      </c>
      <c r="W37" s="1024">
        <v>0</v>
      </c>
      <c r="X37" s="1024">
        <v>0</v>
      </c>
      <c r="Y37" s="1024">
        <v>0</v>
      </c>
      <c r="Z37" s="1025">
        <f t="shared" si="31"/>
        <v>0</v>
      </c>
      <c r="AA37" s="1026">
        <v>0</v>
      </c>
      <c r="AB37" s="1027">
        <v>0</v>
      </c>
      <c r="AC37" s="1027">
        <v>0</v>
      </c>
      <c r="AD37" s="1027">
        <v>0</v>
      </c>
      <c r="AE37" s="1027">
        <v>0</v>
      </c>
      <c r="AF37" s="1027">
        <v>0</v>
      </c>
      <c r="AG37" s="1027">
        <v>4039</v>
      </c>
      <c r="AH37" s="1028">
        <v>7452.5</v>
      </c>
      <c r="AI37" s="1028">
        <v>0</v>
      </c>
      <c r="AJ37" s="1028">
        <v>0</v>
      </c>
      <c r="AK37" s="1028">
        <v>0</v>
      </c>
      <c r="AL37" s="1028">
        <v>0</v>
      </c>
      <c r="AM37" s="1025">
        <f t="shared" si="32"/>
        <v>11491.5</v>
      </c>
      <c r="AN37" s="1024"/>
      <c r="AO37" s="1024"/>
      <c r="AP37" s="1024"/>
      <c r="AQ37" s="1024"/>
      <c r="AR37" s="1024"/>
      <c r="AS37" s="1024"/>
      <c r="AT37" s="1024"/>
      <c r="AU37" s="1024"/>
      <c r="AV37" s="1024"/>
      <c r="AW37" s="1024"/>
      <c r="AX37" s="1024"/>
      <c r="AY37" s="1024"/>
      <c r="AZ37" s="1024">
        <f t="shared" si="33"/>
        <v>0</v>
      </c>
      <c r="BA37" s="1024"/>
      <c r="BB37" s="1024"/>
      <c r="BC37" s="1024"/>
      <c r="BD37" s="1024"/>
      <c r="BE37" s="1024"/>
      <c r="BF37" s="1024"/>
      <c r="BG37" s="1024"/>
      <c r="BH37" s="1024"/>
      <c r="BI37" s="1024"/>
      <c r="BJ37" s="1024"/>
      <c r="BK37" s="1024"/>
      <c r="BL37" s="1024"/>
      <c r="BM37" s="1024">
        <f t="shared" si="34"/>
        <v>0</v>
      </c>
      <c r="BN37" s="1024"/>
      <c r="BO37" s="1024"/>
      <c r="BP37" s="1024"/>
      <c r="BQ37" s="1024"/>
      <c r="BR37" s="1024"/>
      <c r="BS37" s="1024"/>
      <c r="BT37" s="1024"/>
      <c r="BU37" s="1024"/>
      <c r="BV37" s="1024"/>
      <c r="BW37" s="1024"/>
      <c r="BX37" s="1024"/>
      <c r="BY37" s="1024"/>
      <c r="BZ37" s="1029">
        <f t="shared" si="35"/>
        <v>0</v>
      </c>
      <c r="CA37" s="1030">
        <f t="shared" si="36"/>
        <v>14741.5</v>
      </c>
      <c r="CB37" s="1031">
        <f t="shared" si="37"/>
        <v>0</v>
      </c>
      <c r="CC37" s="1023">
        <f t="shared" si="38"/>
        <v>14741.5</v>
      </c>
      <c r="CD37" s="1023">
        <f t="shared" si="39"/>
        <v>0</v>
      </c>
      <c r="CE37" s="1023">
        <v>14741.5</v>
      </c>
      <c r="CF37" s="1023">
        <f t="shared" si="40"/>
        <v>0</v>
      </c>
      <c r="CG37" s="1029"/>
      <c r="CH37" s="972">
        <f t="shared" si="41"/>
        <v>6193458.5</v>
      </c>
      <c r="CL37" s="976">
        <v>14741.5</v>
      </c>
      <c r="CM37" s="976">
        <f t="shared" si="4"/>
        <v>0</v>
      </c>
    </row>
    <row r="38" spans="1:91" s="1032" customFormat="1" ht="14.25" customHeight="1" outlineLevel="1">
      <c r="A38" s="996"/>
      <c r="B38" s="1015"/>
      <c r="C38" s="1016"/>
      <c r="D38" s="1016" t="s">
        <v>607</v>
      </c>
      <c r="E38" s="1017"/>
      <c r="F38" s="1018"/>
      <c r="G38" s="1018">
        <v>6892.9</v>
      </c>
      <c r="H38" s="1018"/>
      <c r="I38" s="1018">
        <v>6892.9</v>
      </c>
      <c r="J38" s="1033" t="s">
        <v>608</v>
      </c>
      <c r="K38" s="1034">
        <v>6892.9</v>
      </c>
      <c r="L38" s="1035" t="s">
        <v>381</v>
      </c>
      <c r="M38" s="1036">
        <v>6892.9</v>
      </c>
      <c r="N38" s="1023">
        <v>0</v>
      </c>
      <c r="O38" s="1024">
        <v>0</v>
      </c>
      <c r="P38" s="1024">
        <v>0</v>
      </c>
      <c r="Q38" s="1024">
        <v>0</v>
      </c>
      <c r="R38" s="1024">
        <v>0</v>
      </c>
      <c r="S38" s="1024">
        <v>0</v>
      </c>
      <c r="T38" s="1024">
        <v>0</v>
      </c>
      <c r="U38" s="1024">
        <v>0</v>
      </c>
      <c r="V38" s="1024">
        <v>0</v>
      </c>
      <c r="W38" s="1024">
        <v>0</v>
      </c>
      <c r="X38" s="1024">
        <v>0</v>
      </c>
      <c r="Y38" s="1024">
        <v>0</v>
      </c>
      <c r="Z38" s="1025">
        <f t="shared" si="31"/>
        <v>0</v>
      </c>
      <c r="AA38" s="1026">
        <v>0</v>
      </c>
      <c r="AB38" s="1027">
        <v>0</v>
      </c>
      <c r="AC38" s="1027">
        <v>0</v>
      </c>
      <c r="AD38" s="1027">
        <v>0</v>
      </c>
      <c r="AE38" s="1027">
        <v>0</v>
      </c>
      <c r="AF38" s="1027">
        <v>0</v>
      </c>
      <c r="AG38" s="1027">
        <v>0</v>
      </c>
      <c r="AH38" s="1028">
        <v>0</v>
      </c>
      <c r="AI38" s="1028">
        <v>0</v>
      </c>
      <c r="AJ38" s="1028">
        <v>0</v>
      </c>
      <c r="AK38" s="1028">
        <v>0</v>
      </c>
      <c r="AL38" s="1028">
        <v>0</v>
      </c>
      <c r="AM38" s="1025">
        <f t="shared" si="32"/>
        <v>0</v>
      </c>
      <c r="AN38" s="1024"/>
      <c r="AO38" s="1024"/>
      <c r="AP38" s="1024"/>
      <c r="AQ38" s="1024"/>
      <c r="AR38" s="1024"/>
      <c r="AS38" s="1024"/>
      <c r="AT38" s="1024"/>
      <c r="AU38" s="1024"/>
      <c r="AV38" s="1024"/>
      <c r="AW38" s="1024"/>
      <c r="AX38" s="1024"/>
      <c r="AY38" s="1024"/>
      <c r="AZ38" s="1024">
        <f t="shared" si="33"/>
        <v>0</v>
      </c>
      <c r="BA38" s="1024"/>
      <c r="BB38" s="1024"/>
      <c r="BC38" s="1024"/>
      <c r="BD38" s="1024"/>
      <c r="BE38" s="1024"/>
      <c r="BF38" s="1024"/>
      <c r="BG38" s="1024"/>
      <c r="BH38" s="1024"/>
      <c r="BI38" s="1024"/>
      <c r="BJ38" s="1024"/>
      <c r="BK38" s="1024"/>
      <c r="BL38" s="1024"/>
      <c r="BM38" s="1024">
        <f t="shared" si="34"/>
        <v>0</v>
      </c>
      <c r="BN38" s="1024"/>
      <c r="BO38" s="1024"/>
      <c r="BP38" s="1024"/>
      <c r="BQ38" s="1024"/>
      <c r="BR38" s="1024"/>
      <c r="BS38" s="1024"/>
      <c r="BT38" s="1024"/>
      <c r="BU38" s="1024"/>
      <c r="BV38" s="1024"/>
      <c r="BW38" s="1024"/>
      <c r="BX38" s="1024"/>
      <c r="BY38" s="1024"/>
      <c r="BZ38" s="1029">
        <f t="shared" si="35"/>
        <v>0</v>
      </c>
      <c r="CA38" s="1030">
        <f t="shared" si="36"/>
        <v>6892.9</v>
      </c>
      <c r="CB38" s="1031">
        <f t="shared" si="37"/>
        <v>0</v>
      </c>
      <c r="CC38" s="1023">
        <f t="shared" si="38"/>
        <v>6892.9</v>
      </c>
      <c r="CD38" s="1023">
        <f t="shared" si="39"/>
        <v>0</v>
      </c>
      <c r="CE38" s="1023">
        <v>6892.9</v>
      </c>
      <c r="CF38" s="1023">
        <f t="shared" si="40"/>
        <v>0</v>
      </c>
      <c r="CG38" s="1029"/>
      <c r="CH38" s="972">
        <f t="shared" si="41"/>
        <v>0</v>
      </c>
      <c r="CL38" s="976">
        <v>6892.9</v>
      </c>
      <c r="CM38" s="976">
        <f t="shared" si="4"/>
        <v>0</v>
      </c>
    </row>
    <row r="39" spans="1:91" s="1032" customFormat="1" ht="14.25" customHeight="1" outlineLevel="1">
      <c r="A39" s="996"/>
      <c r="B39" s="1015"/>
      <c r="C39" s="1016"/>
      <c r="D39" s="1016" t="s">
        <v>609</v>
      </c>
      <c r="E39" s="1017"/>
      <c r="F39" s="1018"/>
      <c r="G39" s="1018">
        <v>5235.96</v>
      </c>
      <c r="H39" s="1018"/>
      <c r="I39" s="1018">
        <v>5235.96</v>
      </c>
      <c r="J39" s="1033">
        <v>4600003760</v>
      </c>
      <c r="K39" s="1034">
        <v>61000</v>
      </c>
      <c r="L39" s="1035" t="s">
        <v>326</v>
      </c>
      <c r="M39" s="1036">
        <v>5235.96</v>
      </c>
      <c r="N39" s="1023">
        <v>0</v>
      </c>
      <c r="O39" s="1024">
        <v>0</v>
      </c>
      <c r="P39" s="1024">
        <v>0</v>
      </c>
      <c r="Q39" s="1024">
        <v>0</v>
      </c>
      <c r="R39" s="1024">
        <v>0</v>
      </c>
      <c r="S39" s="1024">
        <v>0</v>
      </c>
      <c r="T39" s="1024">
        <v>0</v>
      </c>
      <c r="U39" s="1024">
        <v>0</v>
      </c>
      <c r="V39" s="1024">
        <v>0</v>
      </c>
      <c r="W39" s="1024">
        <v>0</v>
      </c>
      <c r="X39" s="1024">
        <v>0</v>
      </c>
      <c r="Y39" s="1024">
        <v>0</v>
      </c>
      <c r="Z39" s="1025">
        <f t="shared" si="31"/>
        <v>0</v>
      </c>
      <c r="AA39" s="1026">
        <v>0</v>
      </c>
      <c r="AB39" s="1027">
        <v>0</v>
      </c>
      <c r="AC39" s="1027">
        <v>0</v>
      </c>
      <c r="AD39" s="1027">
        <v>0</v>
      </c>
      <c r="AE39" s="1027">
        <v>0</v>
      </c>
      <c r="AF39" s="1027">
        <v>0</v>
      </c>
      <c r="AG39" s="1027">
        <v>0</v>
      </c>
      <c r="AH39" s="1028">
        <v>0</v>
      </c>
      <c r="AI39" s="1028">
        <v>0</v>
      </c>
      <c r="AJ39" s="1028">
        <v>0</v>
      </c>
      <c r="AK39" s="1028">
        <v>0</v>
      </c>
      <c r="AL39" s="1028">
        <v>0</v>
      </c>
      <c r="AM39" s="1025">
        <f t="shared" si="32"/>
        <v>0</v>
      </c>
      <c r="AN39" s="1024"/>
      <c r="AO39" s="1024"/>
      <c r="AP39" s="1024"/>
      <c r="AQ39" s="1024"/>
      <c r="AR39" s="1024"/>
      <c r="AS39" s="1024"/>
      <c r="AT39" s="1024"/>
      <c r="AU39" s="1024"/>
      <c r="AV39" s="1024"/>
      <c r="AW39" s="1024"/>
      <c r="AX39" s="1024"/>
      <c r="AY39" s="1024"/>
      <c r="AZ39" s="1024">
        <f t="shared" si="33"/>
        <v>0</v>
      </c>
      <c r="BA39" s="1024"/>
      <c r="BB39" s="1024"/>
      <c r="BC39" s="1024"/>
      <c r="BD39" s="1024"/>
      <c r="BE39" s="1024"/>
      <c r="BF39" s="1024"/>
      <c r="BG39" s="1024"/>
      <c r="BH39" s="1024"/>
      <c r="BI39" s="1024"/>
      <c r="BJ39" s="1024"/>
      <c r="BK39" s="1024"/>
      <c r="BL39" s="1024"/>
      <c r="BM39" s="1024">
        <f t="shared" si="34"/>
        <v>0</v>
      </c>
      <c r="BN39" s="1024"/>
      <c r="BO39" s="1024"/>
      <c r="BP39" s="1024"/>
      <c r="BQ39" s="1024"/>
      <c r="BR39" s="1024"/>
      <c r="BS39" s="1024"/>
      <c r="BT39" s="1024"/>
      <c r="BU39" s="1024"/>
      <c r="BV39" s="1024"/>
      <c r="BW39" s="1024"/>
      <c r="BX39" s="1024"/>
      <c r="BY39" s="1024"/>
      <c r="BZ39" s="1029">
        <f t="shared" si="35"/>
        <v>0</v>
      </c>
      <c r="CA39" s="1030">
        <f t="shared" si="36"/>
        <v>5235.96</v>
      </c>
      <c r="CB39" s="1031">
        <f t="shared" si="37"/>
        <v>0</v>
      </c>
      <c r="CC39" s="1023">
        <f t="shared" si="38"/>
        <v>5235.96</v>
      </c>
      <c r="CD39" s="1023">
        <f t="shared" si="39"/>
        <v>0</v>
      </c>
      <c r="CE39" s="1023">
        <v>5235.96</v>
      </c>
      <c r="CF39" s="1023">
        <f t="shared" si="40"/>
        <v>0</v>
      </c>
      <c r="CG39" s="1029"/>
      <c r="CH39" s="972">
        <f t="shared" si="41"/>
        <v>55764.04</v>
      </c>
      <c r="CL39" s="976">
        <v>5235.96</v>
      </c>
      <c r="CM39" s="976">
        <f t="shared" si="4"/>
        <v>0</v>
      </c>
    </row>
    <row r="40" spans="1:91" s="1032" customFormat="1" ht="14.25" customHeight="1" outlineLevel="1">
      <c r="A40" s="996"/>
      <c r="B40" s="1015"/>
      <c r="C40" s="1016"/>
      <c r="D40" s="1016" t="s">
        <v>610</v>
      </c>
      <c r="E40" s="1017"/>
      <c r="F40" s="1018"/>
      <c r="G40" s="1018">
        <v>6123.92</v>
      </c>
      <c r="H40" s="1018"/>
      <c r="I40" s="1018">
        <v>6123.92</v>
      </c>
      <c r="J40" s="1033">
        <v>4600003759</v>
      </c>
      <c r="K40" s="1034">
        <v>90000</v>
      </c>
      <c r="L40" s="1035" t="s">
        <v>314</v>
      </c>
      <c r="M40" s="1036">
        <v>6123.92</v>
      </c>
      <c r="N40" s="1023">
        <v>0</v>
      </c>
      <c r="O40" s="1024">
        <v>0</v>
      </c>
      <c r="P40" s="1024">
        <v>0</v>
      </c>
      <c r="Q40" s="1024">
        <v>0</v>
      </c>
      <c r="R40" s="1024">
        <v>0</v>
      </c>
      <c r="S40" s="1024">
        <v>0</v>
      </c>
      <c r="T40" s="1024">
        <v>0</v>
      </c>
      <c r="U40" s="1024">
        <v>0</v>
      </c>
      <c r="V40" s="1024">
        <v>0</v>
      </c>
      <c r="W40" s="1024">
        <v>0</v>
      </c>
      <c r="X40" s="1024">
        <v>0</v>
      </c>
      <c r="Y40" s="1024">
        <v>0</v>
      </c>
      <c r="Z40" s="1025">
        <f t="shared" si="31"/>
        <v>0</v>
      </c>
      <c r="AA40" s="1026">
        <v>0</v>
      </c>
      <c r="AB40" s="1027">
        <v>0</v>
      </c>
      <c r="AC40" s="1027">
        <v>0</v>
      </c>
      <c r="AD40" s="1027">
        <v>0</v>
      </c>
      <c r="AE40" s="1027">
        <v>0</v>
      </c>
      <c r="AF40" s="1027">
        <v>0</v>
      </c>
      <c r="AG40" s="1027">
        <v>0</v>
      </c>
      <c r="AH40" s="1028">
        <v>0</v>
      </c>
      <c r="AI40" s="1028">
        <v>0</v>
      </c>
      <c r="AJ40" s="1028">
        <v>0</v>
      </c>
      <c r="AK40" s="1028">
        <v>0</v>
      </c>
      <c r="AL40" s="1028">
        <v>0</v>
      </c>
      <c r="AM40" s="1025">
        <f t="shared" si="32"/>
        <v>0</v>
      </c>
      <c r="AN40" s="1024"/>
      <c r="AO40" s="1024"/>
      <c r="AP40" s="1024"/>
      <c r="AQ40" s="1024"/>
      <c r="AR40" s="1024"/>
      <c r="AS40" s="1024"/>
      <c r="AT40" s="1024"/>
      <c r="AU40" s="1024"/>
      <c r="AV40" s="1024"/>
      <c r="AW40" s="1024"/>
      <c r="AX40" s="1024"/>
      <c r="AY40" s="1024"/>
      <c r="AZ40" s="1024">
        <f t="shared" si="33"/>
        <v>0</v>
      </c>
      <c r="BA40" s="1024"/>
      <c r="BB40" s="1024"/>
      <c r="BC40" s="1024"/>
      <c r="BD40" s="1024"/>
      <c r="BE40" s="1024"/>
      <c r="BF40" s="1024"/>
      <c r="BG40" s="1024"/>
      <c r="BH40" s="1024"/>
      <c r="BI40" s="1024"/>
      <c r="BJ40" s="1024"/>
      <c r="BK40" s="1024"/>
      <c r="BL40" s="1024"/>
      <c r="BM40" s="1024">
        <f t="shared" si="34"/>
        <v>0</v>
      </c>
      <c r="BN40" s="1024"/>
      <c r="BO40" s="1024"/>
      <c r="BP40" s="1024"/>
      <c r="BQ40" s="1024"/>
      <c r="BR40" s="1024"/>
      <c r="BS40" s="1024"/>
      <c r="BT40" s="1024"/>
      <c r="BU40" s="1024"/>
      <c r="BV40" s="1024"/>
      <c r="BW40" s="1024"/>
      <c r="BX40" s="1024"/>
      <c r="BY40" s="1024"/>
      <c r="BZ40" s="1029">
        <f t="shared" si="35"/>
        <v>0</v>
      </c>
      <c r="CA40" s="1030">
        <f t="shared" si="36"/>
        <v>6123.92</v>
      </c>
      <c r="CB40" s="1031">
        <f t="shared" si="37"/>
        <v>0</v>
      </c>
      <c r="CC40" s="1023">
        <f t="shared" si="38"/>
        <v>6123.92</v>
      </c>
      <c r="CD40" s="1023">
        <f t="shared" si="39"/>
        <v>0</v>
      </c>
      <c r="CE40" s="1023">
        <v>6123.92</v>
      </c>
      <c r="CF40" s="1023">
        <f t="shared" si="40"/>
        <v>0</v>
      </c>
      <c r="CG40" s="1029"/>
      <c r="CH40" s="972">
        <f t="shared" si="41"/>
        <v>83876.08</v>
      </c>
      <c r="CL40" s="976">
        <v>6123.92</v>
      </c>
      <c r="CM40" s="976">
        <f t="shared" si="4"/>
        <v>0</v>
      </c>
    </row>
    <row r="41" spans="1:91" s="1032" customFormat="1" ht="14.25" customHeight="1" outlineLevel="1">
      <c r="A41" s="996"/>
      <c r="B41" s="1015"/>
      <c r="C41" s="1016"/>
      <c r="D41" s="1016" t="s">
        <v>611</v>
      </c>
      <c r="E41" s="1017"/>
      <c r="F41" s="1018"/>
      <c r="G41" s="1018">
        <v>85301.28</v>
      </c>
      <c r="H41" s="1018"/>
      <c r="I41" s="1018">
        <v>85301.28</v>
      </c>
      <c r="J41" s="1033">
        <v>4600004599</v>
      </c>
      <c r="K41" s="1034">
        <v>2199000</v>
      </c>
      <c r="L41" s="1035" t="s">
        <v>314</v>
      </c>
      <c r="M41" s="1036">
        <v>85301.28</v>
      </c>
      <c r="N41" s="1023">
        <v>0</v>
      </c>
      <c r="O41" s="1024">
        <v>0</v>
      </c>
      <c r="P41" s="1024">
        <v>0</v>
      </c>
      <c r="Q41" s="1024">
        <v>0</v>
      </c>
      <c r="R41" s="1024">
        <v>0</v>
      </c>
      <c r="S41" s="1024">
        <v>0</v>
      </c>
      <c r="T41" s="1024">
        <v>0</v>
      </c>
      <c r="U41" s="1024">
        <v>0</v>
      </c>
      <c r="V41" s="1024">
        <v>0</v>
      </c>
      <c r="W41" s="1024">
        <v>0</v>
      </c>
      <c r="X41" s="1024">
        <v>0</v>
      </c>
      <c r="Y41" s="1024">
        <v>0</v>
      </c>
      <c r="Z41" s="1025">
        <f t="shared" si="31"/>
        <v>0</v>
      </c>
      <c r="AA41" s="1026">
        <v>0</v>
      </c>
      <c r="AB41" s="1027">
        <v>0</v>
      </c>
      <c r="AC41" s="1027">
        <v>0</v>
      </c>
      <c r="AD41" s="1027">
        <v>0</v>
      </c>
      <c r="AE41" s="1027">
        <v>0</v>
      </c>
      <c r="AF41" s="1027">
        <v>0</v>
      </c>
      <c r="AG41" s="1027">
        <v>0</v>
      </c>
      <c r="AH41" s="1028">
        <v>0</v>
      </c>
      <c r="AI41" s="1028">
        <v>0</v>
      </c>
      <c r="AJ41" s="1028">
        <v>0</v>
      </c>
      <c r="AK41" s="1028">
        <v>0</v>
      </c>
      <c r="AL41" s="1028">
        <v>0</v>
      </c>
      <c r="AM41" s="1025">
        <f t="shared" si="32"/>
        <v>0</v>
      </c>
      <c r="AN41" s="1024"/>
      <c r="AO41" s="1024"/>
      <c r="AP41" s="1024"/>
      <c r="AQ41" s="1024"/>
      <c r="AR41" s="1024"/>
      <c r="AS41" s="1024"/>
      <c r="AT41" s="1024"/>
      <c r="AU41" s="1024"/>
      <c r="AV41" s="1024"/>
      <c r="AW41" s="1024"/>
      <c r="AX41" s="1024"/>
      <c r="AY41" s="1024"/>
      <c r="AZ41" s="1024">
        <f t="shared" si="33"/>
        <v>0</v>
      </c>
      <c r="BA41" s="1024"/>
      <c r="BB41" s="1024"/>
      <c r="BC41" s="1024"/>
      <c r="BD41" s="1024"/>
      <c r="BE41" s="1024"/>
      <c r="BF41" s="1024"/>
      <c r="BG41" s="1024"/>
      <c r="BH41" s="1024"/>
      <c r="BI41" s="1024"/>
      <c r="BJ41" s="1024"/>
      <c r="BK41" s="1024"/>
      <c r="BL41" s="1024"/>
      <c r="BM41" s="1024">
        <f t="shared" si="34"/>
        <v>0</v>
      </c>
      <c r="BN41" s="1024"/>
      <c r="BO41" s="1024"/>
      <c r="BP41" s="1024"/>
      <c r="BQ41" s="1024"/>
      <c r="BR41" s="1024"/>
      <c r="BS41" s="1024"/>
      <c r="BT41" s="1024"/>
      <c r="BU41" s="1024"/>
      <c r="BV41" s="1024"/>
      <c r="BW41" s="1024"/>
      <c r="BX41" s="1024"/>
      <c r="BY41" s="1024"/>
      <c r="BZ41" s="1029">
        <f t="shared" si="35"/>
        <v>0</v>
      </c>
      <c r="CA41" s="1030">
        <f t="shared" si="36"/>
        <v>85301.28</v>
      </c>
      <c r="CB41" s="1031">
        <f t="shared" si="37"/>
        <v>0</v>
      </c>
      <c r="CC41" s="1023">
        <f t="shared" si="38"/>
        <v>85301.28</v>
      </c>
      <c r="CD41" s="1023">
        <f t="shared" si="39"/>
        <v>0</v>
      </c>
      <c r="CE41" s="1023">
        <v>85301.28</v>
      </c>
      <c r="CF41" s="1023">
        <f t="shared" si="40"/>
        <v>0</v>
      </c>
      <c r="CG41" s="1029"/>
      <c r="CH41" s="972">
        <f t="shared" si="41"/>
        <v>2113698.7200000002</v>
      </c>
      <c r="CL41" s="976">
        <v>85301.28</v>
      </c>
      <c r="CM41" s="976">
        <f t="shared" si="4"/>
        <v>0</v>
      </c>
    </row>
    <row r="42" spans="1:91" s="1032" customFormat="1" ht="14.25" customHeight="1" outlineLevel="1">
      <c r="A42" s="996"/>
      <c r="B42" s="1015"/>
      <c r="C42" s="1016"/>
      <c r="D42" s="1016" t="s">
        <v>612</v>
      </c>
      <c r="E42" s="1017"/>
      <c r="F42" s="1018"/>
      <c r="G42" s="1018">
        <v>45268.38</v>
      </c>
      <c r="H42" s="1018"/>
      <c r="I42" s="1018">
        <v>45268.38</v>
      </c>
      <c r="J42" s="1033">
        <v>4600004585</v>
      </c>
      <c r="K42" s="1034">
        <v>83522</v>
      </c>
      <c r="L42" s="1035" t="s">
        <v>326</v>
      </c>
      <c r="M42" s="1036">
        <v>45268.38</v>
      </c>
      <c r="N42" s="1023">
        <v>0</v>
      </c>
      <c r="O42" s="1024">
        <v>0</v>
      </c>
      <c r="P42" s="1024">
        <v>0</v>
      </c>
      <c r="Q42" s="1024">
        <v>0</v>
      </c>
      <c r="R42" s="1024">
        <v>0</v>
      </c>
      <c r="S42" s="1024">
        <v>0</v>
      </c>
      <c r="T42" s="1024">
        <v>0</v>
      </c>
      <c r="U42" s="1024">
        <v>0</v>
      </c>
      <c r="V42" s="1024">
        <v>0</v>
      </c>
      <c r="W42" s="1024">
        <v>0</v>
      </c>
      <c r="X42" s="1024">
        <v>0</v>
      </c>
      <c r="Y42" s="1024">
        <v>0</v>
      </c>
      <c r="Z42" s="1025">
        <f t="shared" si="31"/>
        <v>0</v>
      </c>
      <c r="AA42" s="1026">
        <v>0</v>
      </c>
      <c r="AB42" s="1027">
        <v>0</v>
      </c>
      <c r="AC42" s="1027">
        <v>0</v>
      </c>
      <c r="AD42" s="1027">
        <v>0</v>
      </c>
      <c r="AE42" s="1027">
        <v>0</v>
      </c>
      <c r="AF42" s="1027">
        <v>0</v>
      </c>
      <c r="AG42" s="1027">
        <v>0</v>
      </c>
      <c r="AH42" s="1028">
        <v>0</v>
      </c>
      <c r="AI42" s="1028">
        <v>0</v>
      </c>
      <c r="AJ42" s="1028">
        <v>0</v>
      </c>
      <c r="AK42" s="1028">
        <v>0</v>
      </c>
      <c r="AL42" s="1028">
        <v>0</v>
      </c>
      <c r="AM42" s="1025">
        <f t="shared" si="32"/>
        <v>0</v>
      </c>
      <c r="AN42" s="1024"/>
      <c r="AO42" s="1024"/>
      <c r="AP42" s="1024"/>
      <c r="AQ42" s="1024"/>
      <c r="AR42" s="1024"/>
      <c r="AS42" s="1024"/>
      <c r="AT42" s="1024"/>
      <c r="AU42" s="1024"/>
      <c r="AV42" s="1024"/>
      <c r="AW42" s="1024"/>
      <c r="AX42" s="1024"/>
      <c r="AY42" s="1024"/>
      <c r="AZ42" s="1024">
        <f t="shared" si="33"/>
        <v>0</v>
      </c>
      <c r="BA42" s="1024"/>
      <c r="BB42" s="1024"/>
      <c r="BC42" s="1024"/>
      <c r="BD42" s="1024"/>
      <c r="BE42" s="1024"/>
      <c r="BF42" s="1024"/>
      <c r="BG42" s="1024"/>
      <c r="BH42" s="1024"/>
      <c r="BI42" s="1024"/>
      <c r="BJ42" s="1024"/>
      <c r="BK42" s="1024"/>
      <c r="BL42" s="1024"/>
      <c r="BM42" s="1024">
        <f t="shared" si="34"/>
        <v>0</v>
      </c>
      <c r="BN42" s="1024"/>
      <c r="BO42" s="1024"/>
      <c r="BP42" s="1024"/>
      <c r="BQ42" s="1024"/>
      <c r="BR42" s="1024"/>
      <c r="BS42" s="1024"/>
      <c r="BT42" s="1024"/>
      <c r="BU42" s="1024"/>
      <c r="BV42" s="1024"/>
      <c r="BW42" s="1024"/>
      <c r="BX42" s="1024"/>
      <c r="BY42" s="1024"/>
      <c r="BZ42" s="1029">
        <f t="shared" si="35"/>
        <v>0</v>
      </c>
      <c r="CA42" s="1030">
        <f t="shared" si="36"/>
        <v>45268.38</v>
      </c>
      <c r="CB42" s="1031">
        <f t="shared" si="37"/>
        <v>0</v>
      </c>
      <c r="CC42" s="1023">
        <f t="shared" si="38"/>
        <v>45268.38</v>
      </c>
      <c r="CD42" s="1023">
        <f t="shared" si="39"/>
        <v>0</v>
      </c>
      <c r="CE42" s="1023">
        <v>45268.38</v>
      </c>
      <c r="CF42" s="1023">
        <f t="shared" si="40"/>
        <v>0</v>
      </c>
      <c r="CG42" s="1029"/>
      <c r="CH42" s="972">
        <f t="shared" si="41"/>
        <v>38253.620000000003</v>
      </c>
      <c r="CL42" s="976">
        <v>45268.38</v>
      </c>
      <c r="CM42" s="976">
        <f t="shared" si="4"/>
        <v>0</v>
      </c>
    </row>
    <row r="43" spans="1:91" s="1032" customFormat="1" ht="14.25" customHeight="1" outlineLevel="1">
      <c r="A43" s="996"/>
      <c r="B43" s="1015"/>
      <c r="C43" s="1016"/>
      <c r="D43" s="1016" t="s">
        <v>613</v>
      </c>
      <c r="E43" s="1017"/>
      <c r="F43" s="1018"/>
      <c r="G43" s="1018">
        <v>19189.8</v>
      </c>
      <c r="H43" s="1018"/>
      <c r="I43" s="1018">
        <v>19189.8</v>
      </c>
      <c r="J43" s="1033">
        <v>4600002887</v>
      </c>
      <c r="K43" s="1034">
        <v>547805</v>
      </c>
      <c r="L43" s="1035" t="s">
        <v>314</v>
      </c>
      <c r="M43" s="1036">
        <v>19189.8</v>
      </c>
      <c r="N43" s="1023">
        <v>0</v>
      </c>
      <c r="O43" s="1024">
        <v>0</v>
      </c>
      <c r="P43" s="1024">
        <v>0</v>
      </c>
      <c r="Q43" s="1024">
        <v>0</v>
      </c>
      <c r="R43" s="1024">
        <v>0</v>
      </c>
      <c r="S43" s="1024">
        <v>0</v>
      </c>
      <c r="T43" s="1024">
        <v>0</v>
      </c>
      <c r="U43" s="1024">
        <v>0</v>
      </c>
      <c r="V43" s="1024">
        <v>0</v>
      </c>
      <c r="W43" s="1024">
        <v>0</v>
      </c>
      <c r="X43" s="1024">
        <v>0</v>
      </c>
      <c r="Y43" s="1024">
        <v>0</v>
      </c>
      <c r="Z43" s="1025">
        <f t="shared" si="31"/>
        <v>0</v>
      </c>
      <c r="AA43" s="1026">
        <v>0</v>
      </c>
      <c r="AB43" s="1027">
        <v>0</v>
      </c>
      <c r="AC43" s="1027">
        <v>0</v>
      </c>
      <c r="AD43" s="1027">
        <v>0</v>
      </c>
      <c r="AE43" s="1027">
        <v>0</v>
      </c>
      <c r="AF43" s="1027">
        <v>0</v>
      </c>
      <c r="AG43" s="1027">
        <v>0</v>
      </c>
      <c r="AH43" s="1028">
        <v>0</v>
      </c>
      <c r="AI43" s="1028">
        <v>0</v>
      </c>
      <c r="AJ43" s="1028">
        <v>0</v>
      </c>
      <c r="AK43" s="1028">
        <v>0</v>
      </c>
      <c r="AL43" s="1028">
        <v>0</v>
      </c>
      <c r="AM43" s="1025">
        <f t="shared" si="32"/>
        <v>0</v>
      </c>
      <c r="AN43" s="1024"/>
      <c r="AO43" s="1024"/>
      <c r="AP43" s="1024"/>
      <c r="AQ43" s="1024"/>
      <c r="AR43" s="1024"/>
      <c r="AS43" s="1024"/>
      <c r="AT43" s="1024"/>
      <c r="AU43" s="1024"/>
      <c r="AV43" s="1024"/>
      <c r="AW43" s="1024"/>
      <c r="AX43" s="1024"/>
      <c r="AY43" s="1024"/>
      <c r="AZ43" s="1024">
        <f t="shared" si="33"/>
        <v>0</v>
      </c>
      <c r="BA43" s="1024"/>
      <c r="BB43" s="1024"/>
      <c r="BC43" s="1024"/>
      <c r="BD43" s="1024"/>
      <c r="BE43" s="1024"/>
      <c r="BF43" s="1024"/>
      <c r="BG43" s="1024"/>
      <c r="BH43" s="1024"/>
      <c r="BI43" s="1024"/>
      <c r="BJ43" s="1024"/>
      <c r="BK43" s="1024"/>
      <c r="BL43" s="1024"/>
      <c r="BM43" s="1024">
        <f t="shared" si="34"/>
        <v>0</v>
      </c>
      <c r="BN43" s="1024"/>
      <c r="BO43" s="1024"/>
      <c r="BP43" s="1024"/>
      <c r="BQ43" s="1024"/>
      <c r="BR43" s="1024"/>
      <c r="BS43" s="1024"/>
      <c r="BT43" s="1024"/>
      <c r="BU43" s="1024"/>
      <c r="BV43" s="1024"/>
      <c r="BW43" s="1024"/>
      <c r="BX43" s="1024"/>
      <c r="BY43" s="1024"/>
      <c r="BZ43" s="1029">
        <f t="shared" si="35"/>
        <v>0</v>
      </c>
      <c r="CA43" s="1030">
        <f t="shared" si="36"/>
        <v>19189.8</v>
      </c>
      <c r="CB43" s="1031">
        <f t="shared" si="37"/>
        <v>0</v>
      </c>
      <c r="CC43" s="1023">
        <f t="shared" si="38"/>
        <v>19189.8</v>
      </c>
      <c r="CD43" s="1023">
        <f t="shared" si="39"/>
        <v>0</v>
      </c>
      <c r="CE43" s="1023">
        <v>19189.8</v>
      </c>
      <c r="CF43" s="1023">
        <f t="shared" si="40"/>
        <v>0</v>
      </c>
      <c r="CG43" s="1029"/>
      <c r="CH43" s="972">
        <f t="shared" si="41"/>
        <v>528615.19999999995</v>
      </c>
      <c r="CL43" s="976">
        <v>19189.8</v>
      </c>
      <c r="CM43" s="976">
        <f t="shared" ref="CM43:CM61" si="42">+CL43-CC43</f>
        <v>0</v>
      </c>
    </row>
    <row r="44" spans="1:91" s="1032" customFormat="1" ht="14.25" customHeight="1" outlineLevel="1">
      <c r="A44" s="996"/>
      <c r="B44" s="1015"/>
      <c r="C44" s="1016"/>
      <c r="D44" s="1016" t="s">
        <v>614</v>
      </c>
      <c r="E44" s="1017"/>
      <c r="F44" s="1018"/>
      <c r="G44" s="1018">
        <v>8141.22</v>
      </c>
      <c r="H44" s="1018"/>
      <c r="I44" s="1018">
        <v>8141.22</v>
      </c>
      <c r="J44" s="1033">
        <v>4600003761</v>
      </c>
      <c r="K44" s="1034">
        <v>60000</v>
      </c>
      <c r="L44" s="1035" t="s">
        <v>314</v>
      </c>
      <c r="M44" s="1036">
        <v>8141.22</v>
      </c>
      <c r="N44" s="1023">
        <v>0</v>
      </c>
      <c r="O44" s="1024">
        <v>0</v>
      </c>
      <c r="P44" s="1024">
        <v>0</v>
      </c>
      <c r="Q44" s="1024">
        <v>0</v>
      </c>
      <c r="R44" s="1024">
        <v>0</v>
      </c>
      <c r="S44" s="1024">
        <v>0</v>
      </c>
      <c r="T44" s="1024">
        <v>0</v>
      </c>
      <c r="U44" s="1024">
        <v>0</v>
      </c>
      <c r="V44" s="1024">
        <v>0</v>
      </c>
      <c r="W44" s="1024">
        <v>0</v>
      </c>
      <c r="X44" s="1024">
        <v>0</v>
      </c>
      <c r="Y44" s="1024">
        <v>0</v>
      </c>
      <c r="Z44" s="1025">
        <f t="shared" si="31"/>
        <v>0</v>
      </c>
      <c r="AA44" s="1026">
        <v>0</v>
      </c>
      <c r="AB44" s="1027">
        <v>0</v>
      </c>
      <c r="AC44" s="1027">
        <v>0</v>
      </c>
      <c r="AD44" s="1027">
        <v>0</v>
      </c>
      <c r="AE44" s="1027">
        <v>0</v>
      </c>
      <c r="AF44" s="1027">
        <v>0</v>
      </c>
      <c r="AG44" s="1027">
        <v>0</v>
      </c>
      <c r="AH44" s="1028">
        <v>0</v>
      </c>
      <c r="AI44" s="1028">
        <v>0</v>
      </c>
      <c r="AJ44" s="1028">
        <v>0</v>
      </c>
      <c r="AK44" s="1028">
        <v>0</v>
      </c>
      <c r="AL44" s="1028">
        <v>0</v>
      </c>
      <c r="AM44" s="1025">
        <f t="shared" si="32"/>
        <v>0</v>
      </c>
      <c r="AN44" s="1024"/>
      <c r="AO44" s="1024"/>
      <c r="AP44" s="1024"/>
      <c r="AQ44" s="1024"/>
      <c r="AR44" s="1024"/>
      <c r="AS44" s="1024"/>
      <c r="AT44" s="1024"/>
      <c r="AU44" s="1024"/>
      <c r="AV44" s="1024"/>
      <c r="AW44" s="1024"/>
      <c r="AX44" s="1024"/>
      <c r="AY44" s="1024"/>
      <c r="AZ44" s="1024">
        <f t="shared" si="33"/>
        <v>0</v>
      </c>
      <c r="BA44" s="1024"/>
      <c r="BB44" s="1024"/>
      <c r="BC44" s="1024"/>
      <c r="BD44" s="1024"/>
      <c r="BE44" s="1024"/>
      <c r="BF44" s="1024"/>
      <c r="BG44" s="1024"/>
      <c r="BH44" s="1024"/>
      <c r="BI44" s="1024"/>
      <c r="BJ44" s="1024"/>
      <c r="BK44" s="1024"/>
      <c r="BL44" s="1024"/>
      <c r="BM44" s="1024">
        <f t="shared" si="34"/>
        <v>0</v>
      </c>
      <c r="BN44" s="1024"/>
      <c r="BO44" s="1024"/>
      <c r="BP44" s="1024"/>
      <c r="BQ44" s="1024"/>
      <c r="BR44" s="1024"/>
      <c r="BS44" s="1024"/>
      <c r="BT44" s="1024"/>
      <c r="BU44" s="1024"/>
      <c r="BV44" s="1024"/>
      <c r="BW44" s="1024"/>
      <c r="BX44" s="1024"/>
      <c r="BY44" s="1024"/>
      <c r="BZ44" s="1029">
        <f t="shared" si="35"/>
        <v>0</v>
      </c>
      <c r="CA44" s="1030">
        <f t="shared" si="36"/>
        <v>8141.22</v>
      </c>
      <c r="CB44" s="1031">
        <f t="shared" si="37"/>
        <v>0</v>
      </c>
      <c r="CC44" s="1023">
        <f t="shared" si="38"/>
        <v>8141.22</v>
      </c>
      <c r="CD44" s="1023">
        <f t="shared" si="39"/>
        <v>0</v>
      </c>
      <c r="CE44" s="1023">
        <v>8141.22</v>
      </c>
      <c r="CF44" s="1023">
        <f t="shared" si="40"/>
        <v>0</v>
      </c>
      <c r="CG44" s="1029"/>
      <c r="CH44" s="972">
        <f t="shared" si="41"/>
        <v>51858.78</v>
      </c>
      <c r="CL44" s="976">
        <v>8141.22</v>
      </c>
      <c r="CM44" s="976">
        <f t="shared" si="42"/>
        <v>0</v>
      </c>
    </row>
    <row r="45" spans="1:91" s="1032" customFormat="1" ht="14.25" customHeight="1" outlineLevel="1">
      <c r="A45" s="996"/>
      <c r="B45" s="1015"/>
      <c r="C45" s="1016"/>
      <c r="D45" s="1016" t="s">
        <v>615</v>
      </c>
      <c r="E45" s="1017"/>
      <c r="F45" s="1018"/>
      <c r="G45" s="1018">
        <v>11452.92</v>
      </c>
      <c r="H45" s="1018"/>
      <c r="I45" s="1018">
        <v>11452.92</v>
      </c>
      <c r="J45" s="1033">
        <v>4600003758</v>
      </c>
      <c r="K45" s="1034">
        <v>90000</v>
      </c>
      <c r="L45" s="1035" t="s">
        <v>314</v>
      </c>
      <c r="M45" s="1036">
        <v>11452.92</v>
      </c>
      <c r="N45" s="1023">
        <v>0</v>
      </c>
      <c r="O45" s="1024">
        <v>0</v>
      </c>
      <c r="P45" s="1024">
        <v>0</v>
      </c>
      <c r="Q45" s="1024">
        <v>0</v>
      </c>
      <c r="R45" s="1024">
        <v>0</v>
      </c>
      <c r="S45" s="1024">
        <v>0</v>
      </c>
      <c r="T45" s="1024">
        <v>0</v>
      </c>
      <c r="U45" s="1024">
        <v>0</v>
      </c>
      <c r="V45" s="1024">
        <v>0</v>
      </c>
      <c r="W45" s="1024">
        <v>0</v>
      </c>
      <c r="X45" s="1024">
        <v>0</v>
      </c>
      <c r="Y45" s="1024">
        <v>0</v>
      </c>
      <c r="Z45" s="1025">
        <f t="shared" si="31"/>
        <v>0</v>
      </c>
      <c r="AA45" s="1026">
        <v>0</v>
      </c>
      <c r="AB45" s="1027">
        <v>0</v>
      </c>
      <c r="AC45" s="1027">
        <v>0</v>
      </c>
      <c r="AD45" s="1027">
        <v>0</v>
      </c>
      <c r="AE45" s="1027">
        <v>0</v>
      </c>
      <c r="AF45" s="1027">
        <v>0</v>
      </c>
      <c r="AG45" s="1027">
        <v>0</v>
      </c>
      <c r="AH45" s="1028">
        <v>0</v>
      </c>
      <c r="AI45" s="1028">
        <v>0</v>
      </c>
      <c r="AJ45" s="1028">
        <v>0</v>
      </c>
      <c r="AK45" s="1028">
        <v>0</v>
      </c>
      <c r="AL45" s="1028">
        <v>0</v>
      </c>
      <c r="AM45" s="1025">
        <f t="shared" si="32"/>
        <v>0</v>
      </c>
      <c r="AN45" s="1024"/>
      <c r="AO45" s="1024"/>
      <c r="AP45" s="1024"/>
      <c r="AQ45" s="1024"/>
      <c r="AR45" s="1024"/>
      <c r="AS45" s="1024"/>
      <c r="AT45" s="1024"/>
      <c r="AU45" s="1024"/>
      <c r="AV45" s="1024"/>
      <c r="AW45" s="1024"/>
      <c r="AX45" s="1024"/>
      <c r="AY45" s="1024"/>
      <c r="AZ45" s="1024">
        <f t="shared" si="33"/>
        <v>0</v>
      </c>
      <c r="BA45" s="1024"/>
      <c r="BB45" s="1024"/>
      <c r="BC45" s="1024"/>
      <c r="BD45" s="1024"/>
      <c r="BE45" s="1024"/>
      <c r="BF45" s="1024"/>
      <c r="BG45" s="1024"/>
      <c r="BH45" s="1024"/>
      <c r="BI45" s="1024"/>
      <c r="BJ45" s="1024"/>
      <c r="BK45" s="1024"/>
      <c r="BL45" s="1024"/>
      <c r="BM45" s="1024">
        <f t="shared" si="34"/>
        <v>0</v>
      </c>
      <c r="BN45" s="1024"/>
      <c r="BO45" s="1024"/>
      <c r="BP45" s="1024"/>
      <c r="BQ45" s="1024"/>
      <c r="BR45" s="1024"/>
      <c r="BS45" s="1024"/>
      <c r="BT45" s="1024"/>
      <c r="BU45" s="1024"/>
      <c r="BV45" s="1024"/>
      <c r="BW45" s="1024"/>
      <c r="BX45" s="1024"/>
      <c r="BY45" s="1024"/>
      <c r="BZ45" s="1029">
        <f t="shared" si="35"/>
        <v>0</v>
      </c>
      <c r="CA45" s="1030">
        <f t="shared" si="36"/>
        <v>11452.92</v>
      </c>
      <c r="CB45" s="1031">
        <f t="shared" si="37"/>
        <v>0</v>
      </c>
      <c r="CC45" s="1023">
        <f t="shared" si="38"/>
        <v>11452.92</v>
      </c>
      <c r="CD45" s="1023">
        <f t="shared" si="39"/>
        <v>0</v>
      </c>
      <c r="CE45" s="1023">
        <v>11452.92</v>
      </c>
      <c r="CF45" s="1023">
        <f t="shared" si="40"/>
        <v>0</v>
      </c>
      <c r="CG45" s="1029"/>
      <c r="CH45" s="972">
        <f t="shared" si="41"/>
        <v>78547.08</v>
      </c>
      <c r="CL45" s="976">
        <v>11452.92</v>
      </c>
      <c r="CM45" s="976">
        <f t="shared" si="42"/>
        <v>0</v>
      </c>
    </row>
    <row r="46" spans="1:91" s="1032" customFormat="1" ht="14.25" customHeight="1" outlineLevel="1">
      <c r="A46" s="996"/>
      <c r="B46" s="1015"/>
      <c r="C46" s="1016"/>
      <c r="D46" s="1016" t="s">
        <v>616</v>
      </c>
      <c r="E46" s="1017"/>
      <c r="F46" s="1018"/>
      <c r="G46" s="1018">
        <v>15461.98</v>
      </c>
      <c r="H46" s="1018"/>
      <c r="I46" s="1018">
        <v>15461.98</v>
      </c>
      <c r="J46" s="1033">
        <v>4600002549</v>
      </c>
      <c r="K46" s="1034">
        <v>4277100</v>
      </c>
      <c r="L46" s="1035" t="s">
        <v>326</v>
      </c>
      <c r="M46" s="1036">
        <v>15208.75</v>
      </c>
      <c r="N46" s="1023">
        <v>28.73</v>
      </c>
      <c r="O46" s="1024">
        <v>0</v>
      </c>
      <c r="P46" s="1024">
        <v>103.61</v>
      </c>
      <c r="Q46" s="1024">
        <v>0</v>
      </c>
      <c r="R46" s="1024">
        <v>34.54</v>
      </c>
      <c r="S46" s="1024">
        <v>34.54</v>
      </c>
      <c r="T46" s="1024">
        <v>0</v>
      </c>
      <c r="U46" s="1024">
        <v>0</v>
      </c>
      <c r="V46" s="1024">
        <v>51.81</v>
      </c>
      <c r="W46" s="1024">
        <v>0</v>
      </c>
      <c r="X46" s="1024">
        <v>0</v>
      </c>
      <c r="Y46" s="1024">
        <v>0</v>
      </c>
      <c r="Z46" s="1025">
        <f t="shared" si="31"/>
        <v>253.23</v>
      </c>
      <c r="AA46" s="1026">
        <v>0</v>
      </c>
      <c r="AB46" s="1027">
        <v>0</v>
      </c>
      <c r="AC46" s="1027">
        <v>0</v>
      </c>
      <c r="AD46" s="1027">
        <v>0</v>
      </c>
      <c r="AE46" s="1027">
        <v>0</v>
      </c>
      <c r="AF46" s="1027">
        <v>0</v>
      </c>
      <c r="AG46" s="1027">
        <v>0</v>
      </c>
      <c r="AH46" s="1028">
        <v>0</v>
      </c>
      <c r="AI46" s="1028">
        <v>0</v>
      </c>
      <c r="AJ46" s="1028">
        <v>0</v>
      </c>
      <c r="AK46" s="1028">
        <v>0</v>
      </c>
      <c r="AL46" s="1028">
        <v>0</v>
      </c>
      <c r="AM46" s="1025">
        <f t="shared" si="32"/>
        <v>0</v>
      </c>
      <c r="AN46" s="1024"/>
      <c r="AO46" s="1024"/>
      <c r="AP46" s="1024"/>
      <c r="AQ46" s="1024"/>
      <c r="AR46" s="1024"/>
      <c r="AS46" s="1024"/>
      <c r="AT46" s="1024"/>
      <c r="AU46" s="1024"/>
      <c r="AV46" s="1024"/>
      <c r="AW46" s="1024"/>
      <c r="AX46" s="1024"/>
      <c r="AY46" s="1024"/>
      <c r="AZ46" s="1024">
        <f t="shared" si="33"/>
        <v>0</v>
      </c>
      <c r="BA46" s="1024"/>
      <c r="BB46" s="1024"/>
      <c r="BC46" s="1024"/>
      <c r="BD46" s="1024"/>
      <c r="BE46" s="1024"/>
      <c r="BF46" s="1024"/>
      <c r="BG46" s="1024"/>
      <c r="BH46" s="1024"/>
      <c r="BI46" s="1024"/>
      <c r="BJ46" s="1024"/>
      <c r="BK46" s="1024"/>
      <c r="BL46" s="1024"/>
      <c r="BM46" s="1024">
        <f t="shared" si="34"/>
        <v>0</v>
      </c>
      <c r="BN46" s="1024"/>
      <c r="BO46" s="1024"/>
      <c r="BP46" s="1024"/>
      <c r="BQ46" s="1024"/>
      <c r="BR46" s="1024"/>
      <c r="BS46" s="1024"/>
      <c r="BT46" s="1024"/>
      <c r="BU46" s="1024"/>
      <c r="BV46" s="1024"/>
      <c r="BW46" s="1024"/>
      <c r="BX46" s="1024"/>
      <c r="BY46" s="1024"/>
      <c r="BZ46" s="1029">
        <f t="shared" si="35"/>
        <v>0</v>
      </c>
      <c r="CA46" s="1030">
        <f t="shared" si="36"/>
        <v>15461.980000000001</v>
      </c>
      <c r="CB46" s="1031">
        <f t="shared" si="37"/>
        <v>0</v>
      </c>
      <c r="CC46" s="1023">
        <f t="shared" si="38"/>
        <v>15461.980000000001</v>
      </c>
      <c r="CD46" s="1023">
        <f t="shared" si="39"/>
        <v>0</v>
      </c>
      <c r="CE46" s="1023">
        <v>15461.98</v>
      </c>
      <c r="CF46" s="1023">
        <f t="shared" si="40"/>
        <v>0</v>
      </c>
      <c r="CG46" s="1029"/>
      <c r="CH46" s="972">
        <f t="shared" si="41"/>
        <v>4261638.0199999996</v>
      </c>
      <c r="CL46" s="976">
        <v>15461.98</v>
      </c>
      <c r="CM46" s="976">
        <f t="shared" si="42"/>
        <v>0</v>
      </c>
    </row>
    <row r="47" spans="1:91" s="1032" customFormat="1" ht="14.25" customHeight="1" outlineLevel="1">
      <c r="A47" s="996"/>
      <c r="B47" s="1015"/>
      <c r="C47" s="1016"/>
      <c r="D47" s="1016" t="s">
        <v>333</v>
      </c>
      <c r="E47" s="1017"/>
      <c r="F47" s="1018"/>
      <c r="G47" s="1018">
        <v>6758.75</v>
      </c>
      <c r="H47" s="1018"/>
      <c r="I47" s="1018">
        <v>6758.75</v>
      </c>
      <c r="J47" s="1033">
        <v>4600001798</v>
      </c>
      <c r="K47" s="1034">
        <v>1089998</v>
      </c>
      <c r="L47" s="1035" t="s">
        <v>314</v>
      </c>
      <c r="M47" s="1036">
        <v>6758.75</v>
      </c>
      <c r="N47" s="1023">
        <v>0</v>
      </c>
      <c r="O47" s="1024">
        <v>0</v>
      </c>
      <c r="P47" s="1024">
        <v>0</v>
      </c>
      <c r="Q47" s="1024">
        <v>0</v>
      </c>
      <c r="R47" s="1024">
        <v>0</v>
      </c>
      <c r="S47" s="1024">
        <v>0</v>
      </c>
      <c r="T47" s="1024">
        <v>0</v>
      </c>
      <c r="U47" s="1024">
        <v>0</v>
      </c>
      <c r="V47" s="1024">
        <v>0</v>
      </c>
      <c r="W47" s="1024">
        <v>0</v>
      </c>
      <c r="X47" s="1024">
        <v>0</v>
      </c>
      <c r="Y47" s="1024">
        <v>0</v>
      </c>
      <c r="Z47" s="1025">
        <f t="shared" si="31"/>
        <v>0</v>
      </c>
      <c r="AA47" s="1026">
        <v>0</v>
      </c>
      <c r="AB47" s="1027">
        <v>0</v>
      </c>
      <c r="AC47" s="1027">
        <v>0</v>
      </c>
      <c r="AD47" s="1027">
        <v>0</v>
      </c>
      <c r="AE47" s="1027">
        <v>0</v>
      </c>
      <c r="AF47" s="1027">
        <v>0</v>
      </c>
      <c r="AG47" s="1027">
        <v>0</v>
      </c>
      <c r="AH47" s="1028">
        <v>0</v>
      </c>
      <c r="AI47" s="1028">
        <v>0</v>
      </c>
      <c r="AJ47" s="1028">
        <v>0</v>
      </c>
      <c r="AK47" s="1028">
        <v>0</v>
      </c>
      <c r="AL47" s="1028">
        <v>0</v>
      </c>
      <c r="AM47" s="1025">
        <f t="shared" si="32"/>
        <v>0</v>
      </c>
      <c r="AN47" s="1024"/>
      <c r="AO47" s="1024"/>
      <c r="AP47" s="1024"/>
      <c r="AQ47" s="1024"/>
      <c r="AR47" s="1024"/>
      <c r="AS47" s="1024"/>
      <c r="AT47" s="1024"/>
      <c r="AU47" s="1024"/>
      <c r="AV47" s="1024"/>
      <c r="AW47" s="1024"/>
      <c r="AX47" s="1024"/>
      <c r="AY47" s="1024"/>
      <c r="AZ47" s="1024">
        <f t="shared" si="33"/>
        <v>0</v>
      </c>
      <c r="BA47" s="1024"/>
      <c r="BB47" s="1024"/>
      <c r="BC47" s="1024"/>
      <c r="BD47" s="1024"/>
      <c r="BE47" s="1024"/>
      <c r="BF47" s="1024"/>
      <c r="BG47" s="1024"/>
      <c r="BH47" s="1024"/>
      <c r="BI47" s="1024"/>
      <c r="BJ47" s="1024"/>
      <c r="BK47" s="1024"/>
      <c r="BL47" s="1024"/>
      <c r="BM47" s="1024">
        <f t="shared" si="34"/>
        <v>0</v>
      </c>
      <c r="BN47" s="1024"/>
      <c r="BO47" s="1024"/>
      <c r="BP47" s="1024"/>
      <c r="BQ47" s="1024"/>
      <c r="BR47" s="1024"/>
      <c r="BS47" s="1024"/>
      <c r="BT47" s="1024"/>
      <c r="BU47" s="1024"/>
      <c r="BV47" s="1024"/>
      <c r="BW47" s="1024"/>
      <c r="BX47" s="1024"/>
      <c r="BY47" s="1024"/>
      <c r="BZ47" s="1029">
        <f t="shared" si="35"/>
        <v>0</v>
      </c>
      <c r="CA47" s="1030">
        <f t="shared" si="36"/>
        <v>6758.75</v>
      </c>
      <c r="CB47" s="1031">
        <f t="shared" si="37"/>
        <v>0</v>
      </c>
      <c r="CC47" s="1023">
        <f t="shared" si="38"/>
        <v>6758.75</v>
      </c>
      <c r="CD47" s="1023">
        <f t="shared" si="39"/>
        <v>0</v>
      </c>
      <c r="CE47" s="1023">
        <v>6758.75</v>
      </c>
      <c r="CF47" s="1023">
        <f t="shared" si="40"/>
        <v>0</v>
      </c>
      <c r="CG47" s="1029"/>
      <c r="CH47" s="972">
        <f t="shared" si="41"/>
        <v>1083239.25</v>
      </c>
      <c r="CL47" s="976">
        <v>6758.75</v>
      </c>
      <c r="CM47" s="976">
        <f t="shared" si="42"/>
        <v>0</v>
      </c>
    </row>
    <row r="48" spans="1:91" s="1032" customFormat="1" ht="14.25" customHeight="1" outlineLevel="1">
      <c r="A48" s="996"/>
      <c r="B48" s="1015"/>
      <c r="C48" s="1016"/>
      <c r="D48" s="1016" t="s">
        <v>617</v>
      </c>
      <c r="E48" s="1017"/>
      <c r="F48" s="1018"/>
      <c r="G48" s="1018">
        <v>151.19999999999999</v>
      </c>
      <c r="H48" s="1018"/>
      <c r="I48" s="1018">
        <v>151.19999999999999</v>
      </c>
      <c r="J48" s="1033">
        <v>4600001697</v>
      </c>
      <c r="K48" s="1034">
        <v>1225000</v>
      </c>
      <c r="L48" s="1035" t="s">
        <v>314</v>
      </c>
      <c r="M48" s="1036"/>
      <c r="N48" s="1023">
        <v>0</v>
      </c>
      <c r="O48" s="1024">
        <v>0</v>
      </c>
      <c r="P48" s="1024">
        <v>0</v>
      </c>
      <c r="Q48" s="1024">
        <v>0</v>
      </c>
      <c r="R48" s="1024">
        <v>0</v>
      </c>
      <c r="S48" s="1024">
        <v>0</v>
      </c>
      <c r="T48" s="1024">
        <v>0</v>
      </c>
      <c r="U48" s="1024">
        <v>0</v>
      </c>
      <c r="V48" s="1024">
        <v>0</v>
      </c>
      <c r="W48" s="1024">
        <v>151.19999999999999</v>
      </c>
      <c r="X48" s="1024">
        <v>0</v>
      </c>
      <c r="Y48" s="1024">
        <v>0</v>
      </c>
      <c r="Z48" s="1025">
        <f t="shared" si="31"/>
        <v>151.19999999999999</v>
      </c>
      <c r="AA48" s="1026">
        <v>0</v>
      </c>
      <c r="AB48" s="1027">
        <v>0</v>
      </c>
      <c r="AC48" s="1027">
        <v>0</v>
      </c>
      <c r="AD48" s="1027">
        <v>0</v>
      </c>
      <c r="AE48" s="1027">
        <v>0</v>
      </c>
      <c r="AF48" s="1027"/>
      <c r="AG48" s="1027"/>
      <c r="AH48" s="1028"/>
      <c r="AI48" s="1028">
        <v>0</v>
      </c>
      <c r="AJ48" s="1028">
        <v>0</v>
      </c>
      <c r="AK48" s="1028">
        <v>0</v>
      </c>
      <c r="AL48" s="1028">
        <v>0</v>
      </c>
      <c r="AM48" s="1025">
        <f t="shared" si="32"/>
        <v>0</v>
      </c>
      <c r="AN48" s="1024"/>
      <c r="AO48" s="1024"/>
      <c r="AP48" s="1024"/>
      <c r="AQ48" s="1024"/>
      <c r="AR48" s="1024"/>
      <c r="AS48" s="1024"/>
      <c r="AT48" s="1024"/>
      <c r="AU48" s="1024"/>
      <c r="AV48" s="1024"/>
      <c r="AW48" s="1024"/>
      <c r="AX48" s="1024"/>
      <c r="AY48" s="1024"/>
      <c r="AZ48" s="1024">
        <f t="shared" si="33"/>
        <v>0</v>
      </c>
      <c r="BA48" s="1024"/>
      <c r="BB48" s="1024"/>
      <c r="BC48" s="1024"/>
      <c r="BD48" s="1024"/>
      <c r="BE48" s="1024"/>
      <c r="BF48" s="1024"/>
      <c r="BG48" s="1024"/>
      <c r="BH48" s="1024"/>
      <c r="BI48" s="1024"/>
      <c r="BJ48" s="1024"/>
      <c r="BK48" s="1024"/>
      <c r="BL48" s="1024"/>
      <c r="BM48" s="1024">
        <f t="shared" si="34"/>
        <v>0</v>
      </c>
      <c r="BN48" s="1024"/>
      <c r="BO48" s="1024"/>
      <c r="BP48" s="1024"/>
      <c r="BQ48" s="1024"/>
      <c r="BR48" s="1024"/>
      <c r="BS48" s="1024"/>
      <c r="BT48" s="1024"/>
      <c r="BU48" s="1024"/>
      <c r="BV48" s="1024"/>
      <c r="BW48" s="1024"/>
      <c r="BX48" s="1024"/>
      <c r="BY48" s="1024"/>
      <c r="BZ48" s="1029">
        <f t="shared" si="35"/>
        <v>0</v>
      </c>
      <c r="CA48" s="1030">
        <f t="shared" si="36"/>
        <v>151.19999999999999</v>
      </c>
      <c r="CB48" s="1031">
        <f t="shared" si="37"/>
        <v>0</v>
      </c>
      <c r="CC48" s="1023">
        <f t="shared" si="38"/>
        <v>151.19999999999999</v>
      </c>
      <c r="CD48" s="1023">
        <f t="shared" si="39"/>
        <v>0</v>
      </c>
      <c r="CE48" s="1023">
        <v>151.19999999999999</v>
      </c>
      <c r="CF48" s="1023">
        <f t="shared" si="40"/>
        <v>0</v>
      </c>
      <c r="CG48" s="1029"/>
      <c r="CH48" s="1042">
        <f t="shared" si="41"/>
        <v>1224848.8</v>
      </c>
      <c r="CL48" s="976">
        <v>151.19999999999999</v>
      </c>
      <c r="CM48" s="976">
        <f t="shared" si="42"/>
        <v>0</v>
      </c>
    </row>
    <row r="49" spans="1:91" s="1032" customFormat="1" ht="14.25" customHeight="1" outlineLevel="1">
      <c r="A49" s="996"/>
      <c r="B49" s="1015"/>
      <c r="C49" s="1016"/>
      <c r="D49" s="1016" t="s">
        <v>618</v>
      </c>
      <c r="E49" s="1017"/>
      <c r="F49" s="1018"/>
      <c r="G49" s="1018">
        <v>11282.3</v>
      </c>
      <c r="H49" s="1018"/>
      <c r="I49" s="1018">
        <v>11282.3</v>
      </c>
      <c r="J49" s="1033">
        <v>6400002993</v>
      </c>
      <c r="K49" s="1034">
        <v>50000</v>
      </c>
      <c r="L49" s="1035" t="s">
        <v>310</v>
      </c>
      <c r="M49" s="1036">
        <v>11282.3</v>
      </c>
      <c r="N49" s="1023">
        <v>0</v>
      </c>
      <c r="O49" s="1024">
        <v>0</v>
      </c>
      <c r="P49" s="1024">
        <v>0</v>
      </c>
      <c r="Q49" s="1024">
        <v>0</v>
      </c>
      <c r="R49" s="1024">
        <v>0</v>
      </c>
      <c r="S49" s="1024">
        <v>0</v>
      </c>
      <c r="T49" s="1024">
        <v>0</v>
      </c>
      <c r="U49" s="1024">
        <v>0</v>
      </c>
      <c r="V49" s="1024">
        <v>0</v>
      </c>
      <c r="W49" s="1024">
        <v>0</v>
      </c>
      <c r="X49" s="1024">
        <v>0</v>
      </c>
      <c r="Y49" s="1024">
        <v>0</v>
      </c>
      <c r="Z49" s="1025">
        <f t="shared" si="31"/>
        <v>0</v>
      </c>
      <c r="AA49" s="1026">
        <v>0</v>
      </c>
      <c r="AB49" s="1027">
        <v>0</v>
      </c>
      <c r="AC49" s="1027">
        <v>0</v>
      </c>
      <c r="AD49" s="1027">
        <v>0</v>
      </c>
      <c r="AE49" s="1027">
        <v>0</v>
      </c>
      <c r="AF49" s="1027">
        <v>0</v>
      </c>
      <c r="AG49" s="1027">
        <v>0</v>
      </c>
      <c r="AH49" s="1028">
        <v>0</v>
      </c>
      <c r="AI49" s="1028">
        <v>0</v>
      </c>
      <c r="AJ49" s="1028">
        <v>0</v>
      </c>
      <c r="AK49" s="1028">
        <v>0</v>
      </c>
      <c r="AL49" s="1028">
        <v>0</v>
      </c>
      <c r="AM49" s="1025">
        <f t="shared" si="32"/>
        <v>0</v>
      </c>
      <c r="AN49" s="1024"/>
      <c r="AO49" s="1024"/>
      <c r="AP49" s="1024"/>
      <c r="AQ49" s="1024"/>
      <c r="AR49" s="1024"/>
      <c r="AS49" s="1024"/>
      <c r="AT49" s="1024"/>
      <c r="AU49" s="1024"/>
      <c r="AV49" s="1024"/>
      <c r="AW49" s="1024"/>
      <c r="AX49" s="1024"/>
      <c r="AY49" s="1024"/>
      <c r="AZ49" s="1024">
        <f t="shared" si="33"/>
        <v>0</v>
      </c>
      <c r="BA49" s="1024"/>
      <c r="BB49" s="1024"/>
      <c r="BC49" s="1024"/>
      <c r="BD49" s="1024"/>
      <c r="BE49" s="1024"/>
      <c r="BF49" s="1024"/>
      <c r="BG49" s="1024"/>
      <c r="BH49" s="1024"/>
      <c r="BI49" s="1024"/>
      <c r="BJ49" s="1024"/>
      <c r="BK49" s="1024"/>
      <c r="BL49" s="1024"/>
      <c r="BM49" s="1024">
        <f t="shared" si="34"/>
        <v>0</v>
      </c>
      <c r="BN49" s="1024"/>
      <c r="BO49" s="1024"/>
      <c r="BP49" s="1024"/>
      <c r="BQ49" s="1024"/>
      <c r="BR49" s="1024"/>
      <c r="BS49" s="1024"/>
      <c r="BT49" s="1024"/>
      <c r="BU49" s="1024"/>
      <c r="BV49" s="1024"/>
      <c r="BW49" s="1024"/>
      <c r="BX49" s="1024"/>
      <c r="BY49" s="1024"/>
      <c r="BZ49" s="1029">
        <f t="shared" si="35"/>
        <v>0</v>
      </c>
      <c r="CA49" s="1030">
        <f t="shared" si="36"/>
        <v>11282.3</v>
      </c>
      <c r="CB49" s="1031">
        <f t="shared" si="37"/>
        <v>0</v>
      </c>
      <c r="CC49" s="1023">
        <f t="shared" si="38"/>
        <v>11282.3</v>
      </c>
      <c r="CD49" s="1023">
        <f t="shared" si="39"/>
        <v>0</v>
      </c>
      <c r="CE49" s="1023">
        <v>11282.3</v>
      </c>
      <c r="CF49" s="1023">
        <f t="shared" si="40"/>
        <v>0</v>
      </c>
      <c r="CG49" s="1029"/>
      <c r="CH49" s="972">
        <f t="shared" si="41"/>
        <v>38717.699999999997</v>
      </c>
      <c r="CL49" s="976">
        <v>11282.3</v>
      </c>
      <c r="CM49" s="976">
        <f t="shared" si="42"/>
        <v>0</v>
      </c>
    </row>
    <row r="50" spans="1:91" s="1032" customFormat="1" ht="14.25" customHeight="1" outlineLevel="1">
      <c r="A50" s="996"/>
      <c r="B50" s="1015"/>
      <c r="C50" s="1043"/>
      <c r="D50" s="1016" t="s">
        <v>619</v>
      </c>
      <c r="E50" s="1017"/>
      <c r="F50" s="1018"/>
      <c r="G50" s="1018">
        <v>1080</v>
      </c>
      <c r="H50" s="1018"/>
      <c r="I50" s="1018">
        <v>1080</v>
      </c>
      <c r="J50" s="1033" t="s">
        <v>620</v>
      </c>
      <c r="K50" s="1034">
        <v>315</v>
      </c>
      <c r="L50" s="1035" t="s">
        <v>381</v>
      </c>
      <c r="M50" s="1036"/>
      <c r="N50" s="1023">
        <v>0</v>
      </c>
      <c r="O50" s="1024">
        <v>0</v>
      </c>
      <c r="P50" s="1024">
        <v>0</v>
      </c>
      <c r="Q50" s="1024">
        <v>0</v>
      </c>
      <c r="R50" s="1024">
        <v>0</v>
      </c>
      <c r="S50" s="1024">
        <v>0</v>
      </c>
      <c r="T50" s="1024">
        <v>0</v>
      </c>
      <c r="U50" s="1024">
        <v>0</v>
      </c>
      <c r="V50" s="1024">
        <v>0</v>
      </c>
      <c r="W50" s="1024">
        <v>0</v>
      </c>
      <c r="X50" s="1024">
        <v>315</v>
      </c>
      <c r="Y50" s="1024">
        <v>0</v>
      </c>
      <c r="Z50" s="1025">
        <f t="shared" si="31"/>
        <v>315</v>
      </c>
      <c r="AA50" s="1026">
        <v>0</v>
      </c>
      <c r="AB50" s="1027">
        <v>0</v>
      </c>
      <c r="AC50" s="1027">
        <v>0</v>
      </c>
      <c r="AD50" s="1027">
        <v>0</v>
      </c>
      <c r="AE50" s="1027">
        <v>0</v>
      </c>
      <c r="AF50" s="1027">
        <v>0</v>
      </c>
      <c r="AG50" s="1027">
        <v>0</v>
      </c>
      <c r="AH50" s="1028">
        <v>0</v>
      </c>
      <c r="AI50" s="1028">
        <v>0</v>
      </c>
      <c r="AJ50" s="1028">
        <v>0</v>
      </c>
      <c r="AK50" s="1028">
        <v>0</v>
      </c>
      <c r="AL50" s="1028">
        <v>765</v>
      </c>
      <c r="AM50" s="1025">
        <f t="shared" si="32"/>
        <v>765</v>
      </c>
      <c r="AN50" s="1024"/>
      <c r="AO50" s="1024"/>
      <c r="AP50" s="1024"/>
      <c r="AQ50" s="1024"/>
      <c r="AR50" s="1024"/>
      <c r="AS50" s="1024"/>
      <c r="AT50" s="1024"/>
      <c r="AU50" s="1024"/>
      <c r="AV50" s="1024"/>
      <c r="AW50" s="1024"/>
      <c r="AX50" s="1024"/>
      <c r="AY50" s="1024"/>
      <c r="AZ50" s="1024">
        <f t="shared" si="33"/>
        <v>0</v>
      </c>
      <c r="BA50" s="1024"/>
      <c r="BB50" s="1024"/>
      <c r="BC50" s="1024"/>
      <c r="BD50" s="1024"/>
      <c r="BE50" s="1024"/>
      <c r="BF50" s="1024"/>
      <c r="BG50" s="1024"/>
      <c r="BH50" s="1024"/>
      <c r="BI50" s="1024"/>
      <c r="BJ50" s="1024"/>
      <c r="BK50" s="1024"/>
      <c r="BL50" s="1024"/>
      <c r="BM50" s="1024">
        <f t="shared" si="34"/>
        <v>0</v>
      </c>
      <c r="BN50" s="1024"/>
      <c r="BO50" s="1024"/>
      <c r="BP50" s="1024"/>
      <c r="BQ50" s="1024"/>
      <c r="BR50" s="1024"/>
      <c r="BS50" s="1024"/>
      <c r="BT50" s="1024"/>
      <c r="BU50" s="1024"/>
      <c r="BV50" s="1024"/>
      <c r="BW50" s="1024"/>
      <c r="BX50" s="1024"/>
      <c r="BY50" s="1024"/>
      <c r="BZ50" s="1029">
        <f t="shared" si="35"/>
        <v>0</v>
      </c>
      <c r="CA50" s="1030">
        <f t="shared" si="36"/>
        <v>1080</v>
      </c>
      <c r="CB50" s="1031">
        <f t="shared" si="37"/>
        <v>0</v>
      </c>
      <c r="CC50" s="1023">
        <f t="shared" si="38"/>
        <v>1080</v>
      </c>
      <c r="CD50" s="1023">
        <f t="shared" si="39"/>
        <v>0</v>
      </c>
      <c r="CE50" s="1023">
        <v>1080</v>
      </c>
      <c r="CF50" s="1023">
        <f t="shared" si="40"/>
        <v>0</v>
      </c>
      <c r="CG50" s="1029"/>
      <c r="CH50" s="972">
        <f t="shared" si="41"/>
        <v>-765</v>
      </c>
      <c r="CL50" s="976">
        <v>1080</v>
      </c>
      <c r="CM50" s="976">
        <f t="shared" si="42"/>
        <v>0</v>
      </c>
    </row>
    <row r="51" spans="1:91" s="1032" customFormat="1" ht="14.25" customHeight="1" outlineLevel="1">
      <c r="A51" s="996"/>
      <c r="B51" s="1015"/>
      <c r="C51" s="1016"/>
      <c r="D51" s="1016" t="s">
        <v>621</v>
      </c>
      <c r="E51" s="1017"/>
      <c r="F51" s="1018"/>
      <c r="G51" s="1018">
        <v>2302.4699999999998</v>
      </c>
      <c r="H51" s="1018"/>
      <c r="I51" s="1018">
        <v>2302.4699999999998</v>
      </c>
      <c r="J51" s="1033"/>
      <c r="K51" s="1034"/>
      <c r="L51" s="1035" t="s">
        <v>622</v>
      </c>
      <c r="M51" s="1036">
        <v>2302.4699999999998</v>
      </c>
      <c r="N51" s="1023">
        <v>0</v>
      </c>
      <c r="O51" s="1024">
        <v>0</v>
      </c>
      <c r="P51" s="1024">
        <v>0</v>
      </c>
      <c r="Q51" s="1024">
        <v>0</v>
      </c>
      <c r="R51" s="1024">
        <v>0</v>
      </c>
      <c r="S51" s="1024">
        <v>0</v>
      </c>
      <c r="T51" s="1024">
        <v>0</v>
      </c>
      <c r="U51" s="1024">
        <v>0</v>
      </c>
      <c r="V51" s="1024">
        <v>0</v>
      </c>
      <c r="W51" s="1024">
        <v>0</v>
      </c>
      <c r="X51" s="1024">
        <v>0</v>
      </c>
      <c r="Y51" s="1024">
        <v>0</v>
      </c>
      <c r="Z51" s="1025">
        <f t="shared" si="31"/>
        <v>0</v>
      </c>
      <c r="AA51" s="1026">
        <v>0</v>
      </c>
      <c r="AB51" s="1027">
        <v>0</v>
      </c>
      <c r="AC51" s="1027">
        <v>0</v>
      </c>
      <c r="AD51" s="1027">
        <v>0</v>
      </c>
      <c r="AE51" s="1027">
        <v>0</v>
      </c>
      <c r="AF51" s="1027">
        <v>0</v>
      </c>
      <c r="AG51" s="1027">
        <v>0</v>
      </c>
      <c r="AH51" s="1028">
        <v>0</v>
      </c>
      <c r="AI51" s="1028">
        <v>0</v>
      </c>
      <c r="AJ51" s="1028">
        <v>0</v>
      </c>
      <c r="AK51" s="1028">
        <v>0</v>
      </c>
      <c r="AL51" s="1028">
        <v>0</v>
      </c>
      <c r="AM51" s="1025">
        <f t="shared" si="32"/>
        <v>0</v>
      </c>
      <c r="AN51" s="1024"/>
      <c r="AO51" s="1024"/>
      <c r="AP51" s="1024"/>
      <c r="AQ51" s="1024"/>
      <c r="AR51" s="1024"/>
      <c r="AS51" s="1024"/>
      <c r="AT51" s="1024"/>
      <c r="AU51" s="1024"/>
      <c r="AV51" s="1024"/>
      <c r="AW51" s="1024"/>
      <c r="AX51" s="1024"/>
      <c r="AY51" s="1024"/>
      <c r="AZ51" s="1024">
        <f t="shared" si="33"/>
        <v>0</v>
      </c>
      <c r="BA51" s="1024"/>
      <c r="BB51" s="1024"/>
      <c r="BC51" s="1024"/>
      <c r="BD51" s="1024"/>
      <c r="BE51" s="1024"/>
      <c r="BF51" s="1024"/>
      <c r="BG51" s="1024"/>
      <c r="BH51" s="1024"/>
      <c r="BI51" s="1024"/>
      <c r="BJ51" s="1024"/>
      <c r="BK51" s="1024"/>
      <c r="BL51" s="1024"/>
      <c r="BM51" s="1024">
        <f t="shared" si="34"/>
        <v>0</v>
      </c>
      <c r="BN51" s="1024"/>
      <c r="BO51" s="1024"/>
      <c r="BP51" s="1024"/>
      <c r="BQ51" s="1024"/>
      <c r="BR51" s="1024"/>
      <c r="BS51" s="1024"/>
      <c r="BT51" s="1024"/>
      <c r="BU51" s="1024"/>
      <c r="BV51" s="1024"/>
      <c r="BW51" s="1024"/>
      <c r="BX51" s="1024"/>
      <c r="BY51" s="1024"/>
      <c r="BZ51" s="1029">
        <f t="shared" si="35"/>
        <v>0</v>
      </c>
      <c r="CA51" s="1030">
        <f t="shared" si="36"/>
        <v>2302.4699999999998</v>
      </c>
      <c r="CB51" s="1031">
        <f t="shared" si="37"/>
        <v>0</v>
      </c>
      <c r="CC51" s="1023">
        <f t="shared" si="38"/>
        <v>2302.4699999999998</v>
      </c>
      <c r="CD51" s="1023">
        <f t="shared" si="39"/>
        <v>0</v>
      </c>
      <c r="CE51" s="1023">
        <v>2302.4699999999998</v>
      </c>
      <c r="CF51" s="1023">
        <f t="shared" si="40"/>
        <v>0</v>
      </c>
      <c r="CG51" s="1029"/>
      <c r="CH51" s="972">
        <f t="shared" si="41"/>
        <v>-2302.4699999999998</v>
      </c>
      <c r="CL51" s="976">
        <v>2302.4699999999998</v>
      </c>
      <c r="CM51" s="976">
        <f t="shared" si="42"/>
        <v>0</v>
      </c>
    </row>
    <row r="52" spans="1:91" s="1032" customFormat="1" ht="14.25" customHeight="1" outlineLevel="1">
      <c r="A52" s="996"/>
      <c r="B52" s="1015"/>
      <c r="C52" s="1016"/>
      <c r="D52" s="1016" t="s">
        <v>623</v>
      </c>
      <c r="E52" s="1017"/>
      <c r="F52" s="1018"/>
      <c r="G52" s="1018">
        <v>21071.39</v>
      </c>
      <c r="H52" s="1018"/>
      <c r="I52" s="1018">
        <v>21071.39</v>
      </c>
      <c r="J52" s="1033">
        <v>4600003776</v>
      </c>
      <c r="K52" s="1034">
        <v>1370000</v>
      </c>
      <c r="L52" s="1035" t="s">
        <v>314</v>
      </c>
      <c r="M52" s="1036">
        <v>21071.39</v>
      </c>
      <c r="N52" s="1023">
        <v>0</v>
      </c>
      <c r="O52" s="1024">
        <v>0</v>
      </c>
      <c r="P52" s="1024">
        <v>0</v>
      </c>
      <c r="Q52" s="1024">
        <v>0</v>
      </c>
      <c r="R52" s="1024">
        <v>0</v>
      </c>
      <c r="S52" s="1024">
        <v>0</v>
      </c>
      <c r="T52" s="1024">
        <v>0</v>
      </c>
      <c r="U52" s="1024">
        <v>0</v>
      </c>
      <c r="V52" s="1024">
        <v>0</v>
      </c>
      <c r="W52" s="1024">
        <v>0</v>
      </c>
      <c r="X52" s="1024">
        <v>0</v>
      </c>
      <c r="Y52" s="1024">
        <v>0</v>
      </c>
      <c r="Z52" s="1025">
        <f t="shared" si="31"/>
        <v>0</v>
      </c>
      <c r="AA52" s="1026">
        <v>0</v>
      </c>
      <c r="AB52" s="1027">
        <v>0</v>
      </c>
      <c r="AC52" s="1027">
        <v>0</v>
      </c>
      <c r="AD52" s="1027">
        <v>0</v>
      </c>
      <c r="AE52" s="1027">
        <v>0</v>
      </c>
      <c r="AF52" s="1027">
        <v>0</v>
      </c>
      <c r="AG52" s="1027">
        <v>0</v>
      </c>
      <c r="AH52" s="1028">
        <v>0</v>
      </c>
      <c r="AI52" s="1028">
        <v>0</v>
      </c>
      <c r="AJ52" s="1028">
        <v>0</v>
      </c>
      <c r="AK52" s="1028">
        <v>0</v>
      </c>
      <c r="AL52" s="1028">
        <v>0</v>
      </c>
      <c r="AM52" s="1025">
        <f t="shared" si="32"/>
        <v>0</v>
      </c>
      <c r="AN52" s="1024"/>
      <c r="AO52" s="1024"/>
      <c r="AP52" s="1024"/>
      <c r="AQ52" s="1024"/>
      <c r="AR52" s="1024"/>
      <c r="AS52" s="1024"/>
      <c r="AT52" s="1024"/>
      <c r="AU52" s="1024"/>
      <c r="AV52" s="1024"/>
      <c r="AW52" s="1024"/>
      <c r="AX52" s="1024"/>
      <c r="AY52" s="1024"/>
      <c r="AZ52" s="1024">
        <f t="shared" si="33"/>
        <v>0</v>
      </c>
      <c r="BA52" s="1024"/>
      <c r="BB52" s="1024"/>
      <c r="BC52" s="1024"/>
      <c r="BD52" s="1024"/>
      <c r="BE52" s="1024"/>
      <c r="BF52" s="1024"/>
      <c r="BG52" s="1024"/>
      <c r="BH52" s="1024"/>
      <c r="BI52" s="1024"/>
      <c r="BJ52" s="1024"/>
      <c r="BK52" s="1024"/>
      <c r="BL52" s="1024"/>
      <c r="BM52" s="1024">
        <f t="shared" si="34"/>
        <v>0</v>
      </c>
      <c r="BN52" s="1024"/>
      <c r="BO52" s="1024"/>
      <c r="BP52" s="1024"/>
      <c r="BQ52" s="1024"/>
      <c r="BR52" s="1024"/>
      <c r="BS52" s="1024"/>
      <c r="BT52" s="1024"/>
      <c r="BU52" s="1024"/>
      <c r="BV52" s="1024"/>
      <c r="BW52" s="1024"/>
      <c r="BX52" s="1024"/>
      <c r="BY52" s="1024"/>
      <c r="BZ52" s="1029">
        <f t="shared" si="35"/>
        <v>0</v>
      </c>
      <c r="CA52" s="1030">
        <f t="shared" si="36"/>
        <v>21071.39</v>
      </c>
      <c r="CB52" s="1031">
        <f t="shared" si="37"/>
        <v>0</v>
      </c>
      <c r="CC52" s="1023">
        <f t="shared" si="38"/>
        <v>21071.39</v>
      </c>
      <c r="CD52" s="1023">
        <f t="shared" si="39"/>
        <v>0</v>
      </c>
      <c r="CE52" s="1023">
        <v>21071.39</v>
      </c>
      <c r="CF52" s="1023">
        <f t="shared" si="40"/>
        <v>0</v>
      </c>
      <c r="CG52" s="1029"/>
      <c r="CH52" s="972">
        <f t="shared" si="41"/>
        <v>1348928.61</v>
      </c>
      <c r="CL52" s="976">
        <v>21071.39</v>
      </c>
      <c r="CM52" s="976">
        <f t="shared" si="42"/>
        <v>0</v>
      </c>
    </row>
    <row r="53" spans="1:91" s="1032" customFormat="1" ht="14.25" customHeight="1" outlineLevel="1">
      <c r="A53" s="996"/>
      <c r="B53" s="1015"/>
      <c r="C53" s="1016"/>
      <c r="D53" s="1016" t="s">
        <v>624</v>
      </c>
      <c r="E53" s="1017"/>
      <c r="F53" s="1018"/>
      <c r="G53" s="1018">
        <v>16000</v>
      </c>
      <c r="H53" s="1018"/>
      <c r="I53" s="1018">
        <v>16000</v>
      </c>
      <c r="J53" s="1033">
        <v>4600004470</v>
      </c>
      <c r="K53" s="1034">
        <v>400000</v>
      </c>
      <c r="L53" s="1035" t="s">
        <v>326</v>
      </c>
      <c r="M53" s="1036">
        <v>16000</v>
      </c>
      <c r="N53" s="1023">
        <v>0</v>
      </c>
      <c r="O53" s="1024">
        <v>0</v>
      </c>
      <c r="P53" s="1024">
        <v>0</v>
      </c>
      <c r="Q53" s="1024">
        <v>0</v>
      </c>
      <c r="R53" s="1024">
        <v>0</v>
      </c>
      <c r="S53" s="1024">
        <v>0</v>
      </c>
      <c r="T53" s="1024">
        <v>0</v>
      </c>
      <c r="U53" s="1024">
        <v>0</v>
      </c>
      <c r="V53" s="1024">
        <v>0</v>
      </c>
      <c r="W53" s="1024">
        <v>0</v>
      </c>
      <c r="X53" s="1024">
        <v>0</v>
      </c>
      <c r="Y53" s="1024">
        <v>0</v>
      </c>
      <c r="Z53" s="1025">
        <f t="shared" si="31"/>
        <v>0</v>
      </c>
      <c r="AA53" s="1026">
        <v>0</v>
      </c>
      <c r="AB53" s="1027">
        <v>0</v>
      </c>
      <c r="AC53" s="1027">
        <v>0</v>
      </c>
      <c r="AD53" s="1027">
        <v>0</v>
      </c>
      <c r="AE53" s="1027">
        <v>0</v>
      </c>
      <c r="AF53" s="1027">
        <v>0</v>
      </c>
      <c r="AG53" s="1027">
        <v>0</v>
      </c>
      <c r="AH53" s="1028">
        <v>0</v>
      </c>
      <c r="AI53" s="1028">
        <v>0</v>
      </c>
      <c r="AJ53" s="1028">
        <v>0</v>
      </c>
      <c r="AK53" s="1028">
        <v>0</v>
      </c>
      <c r="AL53" s="1028">
        <v>0</v>
      </c>
      <c r="AM53" s="1025">
        <f t="shared" si="32"/>
        <v>0</v>
      </c>
      <c r="AN53" s="1024"/>
      <c r="AO53" s="1024"/>
      <c r="AP53" s="1024"/>
      <c r="AQ53" s="1024"/>
      <c r="AR53" s="1024"/>
      <c r="AS53" s="1024"/>
      <c r="AT53" s="1024"/>
      <c r="AU53" s="1024"/>
      <c r="AV53" s="1024"/>
      <c r="AW53" s="1024"/>
      <c r="AX53" s="1024"/>
      <c r="AY53" s="1024"/>
      <c r="AZ53" s="1024">
        <f t="shared" si="33"/>
        <v>0</v>
      </c>
      <c r="BA53" s="1024"/>
      <c r="BB53" s="1024"/>
      <c r="BC53" s="1024"/>
      <c r="BD53" s="1024"/>
      <c r="BE53" s="1024"/>
      <c r="BF53" s="1024"/>
      <c r="BG53" s="1024"/>
      <c r="BH53" s="1024"/>
      <c r="BI53" s="1024"/>
      <c r="BJ53" s="1024"/>
      <c r="BK53" s="1024"/>
      <c r="BL53" s="1024"/>
      <c r="BM53" s="1024">
        <f t="shared" si="34"/>
        <v>0</v>
      </c>
      <c r="BN53" s="1024"/>
      <c r="BO53" s="1024"/>
      <c r="BP53" s="1024"/>
      <c r="BQ53" s="1024"/>
      <c r="BR53" s="1024"/>
      <c r="BS53" s="1024"/>
      <c r="BT53" s="1024"/>
      <c r="BU53" s="1024"/>
      <c r="BV53" s="1024"/>
      <c r="BW53" s="1024"/>
      <c r="BX53" s="1024"/>
      <c r="BY53" s="1024"/>
      <c r="BZ53" s="1029">
        <f t="shared" si="35"/>
        <v>0</v>
      </c>
      <c r="CA53" s="1030">
        <f t="shared" si="36"/>
        <v>16000</v>
      </c>
      <c r="CB53" s="1031">
        <f t="shared" si="37"/>
        <v>0</v>
      </c>
      <c r="CC53" s="1023">
        <f t="shared" si="38"/>
        <v>16000</v>
      </c>
      <c r="CD53" s="1023">
        <f t="shared" si="39"/>
        <v>0</v>
      </c>
      <c r="CE53" s="1023">
        <v>16000</v>
      </c>
      <c r="CF53" s="1023">
        <f t="shared" si="40"/>
        <v>0</v>
      </c>
      <c r="CG53" s="1029"/>
      <c r="CH53" s="972">
        <f t="shared" si="41"/>
        <v>384000</v>
      </c>
      <c r="CL53" s="976">
        <v>16000</v>
      </c>
      <c r="CM53" s="976">
        <f t="shared" si="42"/>
        <v>0</v>
      </c>
    </row>
    <row r="54" spans="1:91" s="968" customFormat="1">
      <c r="A54" s="996"/>
      <c r="B54" s="1038"/>
      <c r="C54" s="1039" t="s">
        <v>625</v>
      </c>
      <c r="D54" s="1039"/>
      <c r="E54" s="1040"/>
      <c r="F54" s="1044">
        <f>SUBTOTAL(9,F55:F56)</f>
        <v>0</v>
      </c>
      <c r="G54" s="1044">
        <f>SUBTOTAL(9,G55:G56)</f>
        <v>433983.29</v>
      </c>
      <c r="H54" s="1044">
        <f>SUBTOTAL(9,H55:H56)</f>
        <v>0</v>
      </c>
      <c r="I54" s="1044">
        <f>SUBTOTAL(9,I55:I56)</f>
        <v>433983.29</v>
      </c>
      <c r="J54" s="1019"/>
      <c r="K54" s="1020"/>
      <c r="L54" s="1021"/>
      <c r="M54" s="1023">
        <f t="shared" ref="M54:AR54" si="43">SUBTOTAL(9,M55:M56)</f>
        <v>433983.29</v>
      </c>
      <c r="N54" s="1023">
        <f t="shared" si="43"/>
        <v>0</v>
      </c>
      <c r="O54" s="1024">
        <f t="shared" si="43"/>
        <v>0</v>
      </c>
      <c r="P54" s="1024">
        <f t="shared" si="43"/>
        <v>0</v>
      </c>
      <c r="Q54" s="1024">
        <f t="shared" si="43"/>
        <v>0</v>
      </c>
      <c r="R54" s="1024">
        <f t="shared" si="43"/>
        <v>0</v>
      </c>
      <c r="S54" s="1024">
        <f t="shared" si="43"/>
        <v>0</v>
      </c>
      <c r="T54" s="1024">
        <f t="shared" si="43"/>
        <v>0</v>
      </c>
      <c r="U54" s="1024">
        <f t="shared" si="43"/>
        <v>0</v>
      </c>
      <c r="V54" s="1024">
        <f t="shared" si="43"/>
        <v>0</v>
      </c>
      <c r="W54" s="1024">
        <f t="shared" si="43"/>
        <v>0</v>
      </c>
      <c r="X54" s="1024">
        <f t="shared" si="43"/>
        <v>0</v>
      </c>
      <c r="Y54" s="1024">
        <f t="shared" si="43"/>
        <v>0</v>
      </c>
      <c r="Z54" s="1024">
        <f t="shared" si="43"/>
        <v>0</v>
      </c>
      <c r="AA54" s="1026">
        <f t="shared" si="43"/>
        <v>0</v>
      </c>
      <c r="AB54" s="1027">
        <f t="shared" si="43"/>
        <v>0</v>
      </c>
      <c r="AC54" s="1027">
        <f t="shared" si="43"/>
        <v>0</v>
      </c>
      <c r="AD54" s="1027">
        <f t="shared" si="43"/>
        <v>0</v>
      </c>
      <c r="AE54" s="1027">
        <f t="shared" si="43"/>
        <v>0</v>
      </c>
      <c r="AF54" s="1027">
        <f t="shared" si="43"/>
        <v>0</v>
      </c>
      <c r="AG54" s="1027">
        <f t="shared" si="43"/>
        <v>0</v>
      </c>
      <c r="AH54" s="1028">
        <f t="shared" si="43"/>
        <v>0</v>
      </c>
      <c r="AI54" s="1028">
        <f t="shared" si="43"/>
        <v>0</v>
      </c>
      <c r="AJ54" s="1028">
        <f t="shared" si="43"/>
        <v>0</v>
      </c>
      <c r="AK54" s="1028">
        <f t="shared" si="43"/>
        <v>0</v>
      </c>
      <c r="AL54" s="1028">
        <f t="shared" si="43"/>
        <v>0</v>
      </c>
      <c r="AM54" s="1028">
        <f t="shared" si="43"/>
        <v>0</v>
      </c>
      <c r="AN54" s="1024">
        <f t="shared" si="43"/>
        <v>0</v>
      </c>
      <c r="AO54" s="1024">
        <f t="shared" si="43"/>
        <v>0</v>
      </c>
      <c r="AP54" s="1024">
        <f t="shared" si="43"/>
        <v>0</v>
      </c>
      <c r="AQ54" s="1024">
        <f t="shared" si="43"/>
        <v>0</v>
      </c>
      <c r="AR54" s="1024">
        <f t="shared" si="43"/>
        <v>0</v>
      </c>
      <c r="AS54" s="1024">
        <f t="shared" ref="AS54:BX54" si="44">SUBTOTAL(9,AS55:AS56)</f>
        <v>0</v>
      </c>
      <c r="AT54" s="1024">
        <f t="shared" si="44"/>
        <v>0</v>
      </c>
      <c r="AU54" s="1024">
        <f t="shared" si="44"/>
        <v>0</v>
      </c>
      <c r="AV54" s="1024">
        <f t="shared" si="44"/>
        <v>0</v>
      </c>
      <c r="AW54" s="1024">
        <f t="shared" si="44"/>
        <v>0</v>
      </c>
      <c r="AX54" s="1024">
        <f t="shared" si="44"/>
        <v>0</v>
      </c>
      <c r="AY54" s="1024">
        <f t="shared" si="44"/>
        <v>0</v>
      </c>
      <c r="AZ54" s="1024">
        <f t="shared" si="44"/>
        <v>0</v>
      </c>
      <c r="BA54" s="1024">
        <f t="shared" si="44"/>
        <v>0</v>
      </c>
      <c r="BB54" s="1024">
        <f t="shared" si="44"/>
        <v>0</v>
      </c>
      <c r="BC54" s="1024">
        <f t="shared" si="44"/>
        <v>0</v>
      </c>
      <c r="BD54" s="1024">
        <f t="shared" si="44"/>
        <v>0</v>
      </c>
      <c r="BE54" s="1024">
        <f t="shared" si="44"/>
        <v>0</v>
      </c>
      <c r="BF54" s="1024">
        <f t="shared" si="44"/>
        <v>0</v>
      </c>
      <c r="BG54" s="1024">
        <f t="shared" si="44"/>
        <v>0</v>
      </c>
      <c r="BH54" s="1024">
        <f t="shared" si="44"/>
        <v>0</v>
      </c>
      <c r="BI54" s="1024">
        <f t="shared" si="44"/>
        <v>0</v>
      </c>
      <c r="BJ54" s="1024">
        <f t="shared" si="44"/>
        <v>0</v>
      </c>
      <c r="BK54" s="1024">
        <f t="shared" si="44"/>
        <v>0</v>
      </c>
      <c r="BL54" s="1024">
        <f t="shared" si="44"/>
        <v>0</v>
      </c>
      <c r="BM54" s="1024">
        <f t="shared" si="44"/>
        <v>0</v>
      </c>
      <c r="BN54" s="1024">
        <f t="shared" si="44"/>
        <v>0</v>
      </c>
      <c r="BO54" s="1024">
        <f t="shared" si="44"/>
        <v>0</v>
      </c>
      <c r="BP54" s="1024">
        <f t="shared" si="44"/>
        <v>0</v>
      </c>
      <c r="BQ54" s="1024">
        <f t="shared" si="44"/>
        <v>0</v>
      </c>
      <c r="BR54" s="1024">
        <f t="shared" si="44"/>
        <v>0</v>
      </c>
      <c r="BS54" s="1024">
        <f t="shared" si="44"/>
        <v>0</v>
      </c>
      <c r="BT54" s="1024">
        <f t="shared" si="44"/>
        <v>0</v>
      </c>
      <c r="BU54" s="1024">
        <f t="shared" si="44"/>
        <v>0</v>
      </c>
      <c r="BV54" s="1024">
        <f t="shared" si="44"/>
        <v>0</v>
      </c>
      <c r="BW54" s="1024">
        <f t="shared" si="44"/>
        <v>0</v>
      </c>
      <c r="BX54" s="1024">
        <f t="shared" si="44"/>
        <v>0</v>
      </c>
      <c r="BY54" s="1024">
        <f t="shared" ref="BY54:CF54" si="45">SUBTOTAL(9,BY55:BY56)</f>
        <v>0</v>
      </c>
      <c r="BZ54" s="1029">
        <f t="shared" si="45"/>
        <v>0</v>
      </c>
      <c r="CA54" s="1041">
        <f t="shared" si="45"/>
        <v>433983.29</v>
      </c>
      <c r="CB54" s="1028">
        <f t="shared" si="45"/>
        <v>0</v>
      </c>
      <c r="CC54" s="1025">
        <f t="shared" si="45"/>
        <v>433983.29</v>
      </c>
      <c r="CD54" s="1023">
        <f t="shared" si="45"/>
        <v>0</v>
      </c>
      <c r="CE54" s="1025">
        <f t="shared" si="45"/>
        <v>433983.29</v>
      </c>
      <c r="CF54" s="1025">
        <f t="shared" si="45"/>
        <v>0</v>
      </c>
      <c r="CG54" s="1029"/>
      <c r="CH54" s="972"/>
      <c r="CL54" s="1037">
        <f>SUBTOTAL(9,CL55:CL56)</f>
        <v>433983.29</v>
      </c>
      <c r="CM54" s="976">
        <f t="shared" si="42"/>
        <v>0</v>
      </c>
    </row>
    <row r="55" spans="1:91" s="1032" customFormat="1" ht="14.25" customHeight="1" outlineLevel="1">
      <c r="A55" s="996"/>
      <c r="B55" s="1015"/>
      <c r="C55" s="1016"/>
      <c r="D55" s="1016" t="s">
        <v>626</v>
      </c>
      <c r="E55" s="1017"/>
      <c r="F55" s="1018">
        <v>0</v>
      </c>
      <c r="G55" s="1018">
        <v>428994.88</v>
      </c>
      <c r="H55" s="1018"/>
      <c r="I55" s="1018">
        <v>428994.88</v>
      </c>
      <c r="J55" s="1033"/>
      <c r="K55" s="1034"/>
      <c r="L55" s="1035"/>
      <c r="M55" s="1036">
        <v>428994.88</v>
      </c>
      <c r="N55" s="1023">
        <v>0</v>
      </c>
      <c r="O55" s="1024">
        <v>0</v>
      </c>
      <c r="P55" s="1024">
        <v>0</v>
      </c>
      <c r="Q55" s="1024">
        <v>0</v>
      </c>
      <c r="R55" s="1024">
        <v>0</v>
      </c>
      <c r="S55" s="1024">
        <v>0</v>
      </c>
      <c r="T55" s="1024">
        <v>0</v>
      </c>
      <c r="U55" s="1024">
        <v>0</v>
      </c>
      <c r="V55" s="1024">
        <v>0</v>
      </c>
      <c r="W55" s="1024">
        <v>0</v>
      </c>
      <c r="X55" s="1024">
        <v>0</v>
      </c>
      <c r="Y55" s="1024">
        <v>0</v>
      </c>
      <c r="Z55" s="1025">
        <f>SUM(N55:Y55)</f>
        <v>0</v>
      </c>
      <c r="AA55" s="1026">
        <v>0</v>
      </c>
      <c r="AB55" s="1027">
        <v>0</v>
      </c>
      <c r="AC55" s="1027">
        <v>0</v>
      </c>
      <c r="AD55" s="1027">
        <v>0</v>
      </c>
      <c r="AE55" s="1027">
        <v>0</v>
      </c>
      <c r="AF55" s="1027">
        <v>0</v>
      </c>
      <c r="AG55" s="1027">
        <v>0</v>
      </c>
      <c r="AH55" s="1028">
        <v>0</v>
      </c>
      <c r="AI55" s="1028">
        <v>0</v>
      </c>
      <c r="AJ55" s="1028">
        <v>0</v>
      </c>
      <c r="AK55" s="1028">
        <v>0</v>
      </c>
      <c r="AL55" s="1028">
        <v>0</v>
      </c>
      <c r="AM55" s="1025">
        <f>SUM(AA55:AL55)</f>
        <v>0</v>
      </c>
      <c r="AN55" s="1024"/>
      <c r="AO55" s="1024"/>
      <c r="AP55" s="1024"/>
      <c r="AQ55" s="1024"/>
      <c r="AR55" s="1024"/>
      <c r="AS55" s="1024"/>
      <c r="AT55" s="1024"/>
      <c r="AU55" s="1024"/>
      <c r="AV55" s="1024"/>
      <c r="AW55" s="1024"/>
      <c r="AX55" s="1024"/>
      <c r="AY55" s="1024"/>
      <c r="AZ55" s="1024">
        <f>SUM(AN55:AY55)</f>
        <v>0</v>
      </c>
      <c r="BA55" s="1024"/>
      <c r="BB55" s="1024"/>
      <c r="BC55" s="1024"/>
      <c r="BD55" s="1024"/>
      <c r="BE55" s="1024"/>
      <c r="BF55" s="1024"/>
      <c r="BG55" s="1024"/>
      <c r="BH55" s="1024"/>
      <c r="BI55" s="1024"/>
      <c r="BJ55" s="1024"/>
      <c r="BK55" s="1024"/>
      <c r="BL55" s="1024"/>
      <c r="BM55" s="1024">
        <f>SUM(BA55:BL55)</f>
        <v>0</v>
      </c>
      <c r="BN55" s="1024"/>
      <c r="BO55" s="1024"/>
      <c r="BP55" s="1024"/>
      <c r="BQ55" s="1024"/>
      <c r="BR55" s="1024"/>
      <c r="BS55" s="1024"/>
      <c r="BT55" s="1024"/>
      <c r="BU55" s="1024"/>
      <c r="BV55" s="1024"/>
      <c r="BW55" s="1024"/>
      <c r="BX55" s="1024"/>
      <c r="BY55" s="1024"/>
      <c r="BZ55" s="1029">
        <f>SUM(BN55:BY55)</f>
        <v>0</v>
      </c>
      <c r="CA55" s="1030">
        <f>SUMIF(($M$1:$BZ$1),"Actual",(M55:BZ55))</f>
        <v>428994.88</v>
      </c>
      <c r="CB55" s="1031">
        <f>SUMIF(($M$1:$BZ$1),"Forecast",(M55:BZ55))</f>
        <v>0</v>
      </c>
      <c r="CC55" s="1023">
        <f>+CA55+CB55</f>
        <v>428994.88</v>
      </c>
      <c r="CD55" s="1023">
        <f>+CC55-I55</f>
        <v>0</v>
      </c>
      <c r="CE55" s="1023">
        <v>428994.88</v>
      </c>
      <c r="CF55" s="1023">
        <f>+CC55-CE55</f>
        <v>0</v>
      </c>
      <c r="CG55" s="1029"/>
      <c r="CH55" s="972">
        <f t="shared" ref="CH55:CH60" si="46">-CC55+K55</f>
        <v>-428994.88</v>
      </c>
      <c r="CL55" s="976">
        <v>428994.88</v>
      </c>
      <c r="CM55" s="976">
        <f t="shared" si="42"/>
        <v>0</v>
      </c>
    </row>
    <row r="56" spans="1:91" s="1032" customFormat="1" ht="14.25" customHeight="1" outlineLevel="1">
      <c r="A56" s="996"/>
      <c r="B56" s="1015"/>
      <c r="C56" s="1016"/>
      <c r="D56" s="1016" t="s">
        <v>627</v>
      </c>
      <c r="E56" s="1017"/>
      <c r="F56" s="1018"/>
      <c r="G56" s="1018">
        <v>4988.41</v>
      </c>
      <c r="H56" s="1018"/>
      <c r="I56" s="1018">
        <v>4988.41</v>
      </c>
      <c r="J56" s="1033"/>
      <c r="K56" s="1034"/>
      <c r="L56" s="1035"/>
      <c r="M56" s="1036">
        <v>4988.41</v>
      </c>
      <c r="N56" s="1023">
        <v>0</v>
      </c>
      <c r="O56" s="1024">
        <v>0</v>
      </c>
      <c r="P56" s="1024">
        <v>0</v>
      </c>
      <c r="Q56" s="1024">
        <v>0</v>
      </c>
      <c r="R56" s="1024">
        <v>0</v>
      </c>
      <c r="S56" s="1024">
        <v>0</v>
      </c>
      <c r="T56" s="1024">
        <v>0</v>
      </c>
      <c r="U56" s="1024">
        <v>0</v>
      </c>
      <c r="V56" s="1024">
        <v>0</v>
      </c>
      <c r="W56" s="1024">
        <v>0</v>
      </c>
      <c r="X56" s="1024">
        <v>0</v>
      </c>
      <c r="Y56" s="1024">
        <v>0</v>
      </c>
      <c r="Z56" s="1025">
        <f>SUM(N56:Y56)</f>
        <v>0</v>
      </c>
      <c r="AA56" s="1026">
        <v>0</v>
      </c>
      <c r="AB56" s="1027">
        <v>0</v>
      </c>
      <c r="AC56" s="1027">
        <v>0</v>
      </c>
      <c r="AD56" s="1027">
        <v>0</v>
      </c>
      <c r="AE56" s="1027">
        <v>0</v>
      </c>
      <c r="AF56" s="1027">
        <v>0</v>
      </c>
      <c r="AG56" s="1027">
        <v>0</v>
      </c>
      <c r="AH56" s="1028">
        <v>0</v>
      </c>
      <c r="AI56" s="1028">
        <v>0</v>
      </c>
      <c r="AJ56" s="1028">
        <v>0</v>
      </c>
      <c r="AK56" s="1028">
        <v>0</v>
      </c>
      <c r="AL56" s="1028">
        <v>0</v>
      </c>
      <c r="AM56" s="1025">
        <f>SUM(AA56:AL56)</f>
        <v>0</v>
      </c>
      <c r="AN56" s="1024"/>
      <c r="AO56" s="1024"/>
      <c r="AP56" s="1024"/>
      <c r="AQ56" s="1024"/>
      <c r="AR56" s="1024"/>
      <c r="AS56" s="1024"/>
      <c r="AT56" s="1024"/>
      <c r="AU56" s="1024"/>
      <c r="AV56" s="1024"/>
      <c r="AW56" s="1024"/>
      <c r="AX56" s="1024"/>
      <c r="AY56" s="1024"/>
      <c r="AZ56" s="1024">
        <f>SUM(AN56:AY56)</f>
        <v>0</v>
      </c>
      <c r="BA56" s="1024"/>
      <c r="BB56" s="1024"/>
      <c r="BC56" s="1024"/>
      <c r="BD56" s="1024"/>
      <c r="BE56" s="1024"/>
      <c r="BF56" s="1024"/>
      <c r="BG56" s="1024"/>
      <c r="BH56" s="1024"/>
      <c r="BI56" s="1024"/>
      <c r="BJ56" s="1024"/>
      <c r="BK56" s="1024"/>
      <c r="BL56" s="1024"/>
      <c r="BM56" s="1024">
        <f>SUM(BA56:BL56)</f>
        <v>0</v>
      </c>
      <c r="BN56" s="1024"/>
      <c r="BO56" s="1024"/>
      <c r="BP56" s="1024"/>
      <c r="BQ56" s="1024"/>
      <c r="BR56" s="1024"/>
      <c r="BS56" s="1024"/>
      <c r="BT56" s="1024"/>
      <c r="BU56" s="1024"/>
      <c r="BV56" s="1024"/>
      <c r="BW56" s="1024"/>
      <c r="BX56" s="1024"/>
      <c r="BY56" s="1024"/>
      <c r="BZ56" s="1029">
        <f>SUM(BN56:BY56)</f>
        <v>0</v>
      </c>
      <c r="CA56" s="1030">
        <f>SUMIF(($M$1:$BZ$1),"Actual",(M56:BZ56))</f>
        <v>4988.41</v>
      </c>
      <c r="CB56" s="1031">
        <f>SUMIF(($M$1:$BZ$1),"Forecast",(M56:BZ56))</f>
        <v>0</v>
      </c>
      <c r="CC56" s="1023">
        <f>+CA56+CB56</f>
        <v>4988.41</v>
      </c>
      <c r="CD56" s="1023">
        <f>+CC56-I56</f>
        <v>0</v>
      </c>
      <c r="CE56" s="1023">
        <v>4988.41</v>
      </c>
      <c r="CF56" s="1023">
        <f>+CC56-CE56</f>
        <v>0</v>
      </c>
      <c r="CG56" s="1029"/>
      <c r="CH56" s="972">
        <f t="shared" si="46"/>
        <v>-4988.41</v>
      </c>
      <c r="CL56" s="976">
        <v>4988.41</v>
      </c>
      <c r="CM56" s="976">
        <f t="shared" si="42"/>
        <v>0</v>
      </c>
    </row>
    <row r="57" spans="1:91" s="1032" customFormat="1" ht="16.5" customHeight="1">
      <c r="A57" s="996"/>
      <c r="B57" s="1015"/>
      <c r="C57" s="1016" t="s">
        <v>628</v>
      </c>
      <c r="D57" s="1016"/>
      <c r="E57" s="1017"/>
      <c r="F57" s="1018">
        <f>SUBTOTAL(9,F58:F60)</f>
        <v>1396061</v>
      </c>
      <c r="G57" s="1018">
        <f>SUBTOTAL(9,G58:G60)</f>
        <v>1283749.3500000001</v>
      </c>
      <c r="H57" s="1018">
        <f>SUBTOTAL(9,H58:H60)</f>
        <v>0</v>
      </c>
      <c r="I57" s="1018">
        <f>SUBTOTAL(9,I58:I60)</f>
        <v>1283749.3500000001</v>
      </c>
      <c r="J57" s="1033"/>
      <c r="K57" s="1034"/>
      <c r="L57" s="1035"/>
      <c r="M57" s="1036">
        <f t="shared" ref="M57:AR57" si="47">SUBTOTAL(9,M58:M60)</f>
        <v>1283749.3500000001</v>
      </c>
      <c r="N57" s="1023">
        <f t="shared" si="47"/>
        <v>0</v>
      </c>
      <c r="O57" s="1024">
        <f t="shared" si="47"/>
        <v>0</v>
      </c>
      <c r="P57" s="1024">
        <f t="shared" si="47"/>
        <v>0</v>
      </c>
      <c r="Q57" s="1024">
        <f t="shared" si="47"/>
        <v>0</v>
      </c>
      <c r="R57" s="1024">
        <f t="shared" si="47"/>
        <v>0</v>
      </c>
      <c r="S57" s="1024">
        <f t="shared" si="47"/>
        <v>0</v>
      </c>
      <c r="T57" s="1024">
        <f t="shared" si="47"/>
        <v>0</v>
      </c>
      <c r="U57" s="1024">
        <f t="shared" si="47"/>
        <v>0</v>
      </c>
      <c r="V57" s="1024">
        <f t="shared" si="47"/>
        <v>0</v>
      </c>
      <c r="W57" s="1024">
        <f t="shared" si="47"/>
        <v>0</v>
      </c>
      <c r="X57" s="1024">
        <f t="shared" si="47"/>
        <v>0</v>
      </c>
      <c r="Y57" s="1024">
        <f t="shared" si="47"/>
        <v>0</v>
      </c>
      <c r="Z57" s="1025">
        <f t="shared" si="47"/>
        <v>0</v>
      </c>
      <c r="AA57" s="1026">
        <f t="shared" si="47"/>
        <v>0</v>
      </c>
      <c r="AB57" s="1027">
        <f t="shared" si="47"/>
        <v>0</v>
      </c>
      <c r="AC57" s="1027">
        <f t="shared" si="47"/>
        <v>0</v>
      </c>
      <c r="AD57" s="1027">
        <f t="shared" si="47"/>
        <v>0</v>
      </c>
      <c r="AE57" s="1027">
        <f t="shared" si="47"/>
        <v>0</v>
      </c>
      <c r="AF57" s="1027">
        <f t="shared" si="47"/>
        <v>0</v>
      </c>
      <c r="AG57" s="1027">
        <f t="shared" si="47"/>
        <v>0</v>
      </c>
      <c r="AH57" s="1028">
        <f t="shared" si="47"/>
        <v>0</v>
      </c>
      <c r="AI57" s="1028">
        <f t="shared" si="47"/>
        <v>0</v>
      </c>
      <c r="AJ57" s="1028">
        <f t="shared" si="47"/>
        <v>0</v>
      </c>
      <c r="AK57" s="1028">
        <f t="shared" si="47"/>
        <v>0</v>
      </c>
      <c r="AL57" s="1028">
        <f t="shared" si="47"/>
        <v>0</v>
      </c>
      <c r="AM57" s="1025">
        <f t="shared" si="47"/>
        <v>0</v>
      </c>
      <c r="AN57" s="1024">
        <f t="shared" si="47"/>
        <v>0</v>
      </c>
      <c r="AO57" s="1024">
        <f t="shared" si="47"/>
        <v>0</v>
      </c>
      <c r="AP57" s="1024">
        <f t="shared" si="47"/>
        <v>0</v>
      </c>
      <c r="AQ57" s="1024">
        <f t="shared" si="47"/>
        <v>0</v>
      </c>
      <c r="AR57" s="1024">
        <f t="shared" si="47"/>
        <v>0</v>
      </c>
      <c r="AS57" s="1024">
        <f t="shared" ref="AS57:BX57" si="48">SUBTOTAL(9,AS58:AS60)</f>
        <v>0</v>
      </c>
      <c r="AT57" s="1024">
        <f t="shared" si="48"/>
        <v>0</v>
      </c>
      <c r="AU57" s="1024">
        <f t="shared" si="48"/>
        <v>0</v>
      </c>
      <c r="AV57" s="1024">
        <f t="shared" si="48"/>
        <v>0</v>
      </c>
      <c r="AW57" s="1024">
        <f t="shared" si="48"/>
        <v>0</v>
      </c>
      <c r="AX57" s="1024">
        <f t="shared" si="48"/>
        <v>0</v>
      </c>
      <c r="AY57" s="1024">
        <f t="shared" si="48"/>
        <v>0</v>
      </c>
      <c r="AZ57" s="1024">
        <f t="shared" si="48"/>
        <v>0</v>
      </c>
      <c r="BA57" s="1024">
        <f t="shared" si="48"/>
        <v>0</v>
      </c>
      <c r="BB57" s="1024">
        <f t="shared" si="48"/>
        <v>0</v>
      </c>
      <c r="BC57" s="1024">
        <f t="shared" si="48"/>
        <v>0</v>
      </c>
      <c r="BD57" s="1024">
        <f t="shared" si="48"/>
        <v>0</v>
      </c>
      <c r="BE57" s="1024">
        <f t="shared" si="48"/>
        <v>0</v>
      </c>
      <c r="BF57" s="1024">
        <f t="shared" si="48"/>
        <v>0</v>
      </c>
      <c r="BG57" s="1024">
        <f t="shared" si="48"/>
        <v>0</v>
      </c>
      <c r="BH57" s="1024">
        <f t="shared" si="48"/>
        <v>0</v>
      </c>
      <c r="BI57" s="1024">
        <f t="shared" si="48"/>
        <v>0</v>
      </c>
      <c r="BJ57" s="1024">
        <f t="shared" si="48"/>
        <v>0</v>
      </c>
      <c r="BK57" s="1024">
        <f t="shared" si="48"/>
        <v>0</v>
      </c>
      <c r="BL57" s="1024">
        <f t="shared" si="48"/>
        <v>0</v>
      </c>
      <c r="BM57" s="1024">
        <f t="shared" si="48"/>
        <v>0</v>
      </c>
      <c r="BN57" s="1024">
        <f t="shared" si="48"/>
        <v>0</v>
      </c>
      <c r="BO57" s="1024">
        <f t="shared" si="48"/>
        <v>0</v>
      </c>
      <c r="BP57" s="1024">
        <f t="shared" si="48"/>
        <v>0</v>
      </c>
      <c r="BQ57" s="1024">
        <f t="shared" si="48"/>
        <v>0</v>
      </c>
      <c r="BR57" s="1024">
        <f t="shared" si="48"/>
        <v>0</v>
      </c>
      <c r="BS57" s="1024">
        <f t="shared" si="48"/>
        <v>0</v>
      </c>
      <c r="BT57" s="1024">
        <f t="shared" si="48"/>
        <v>0</v>
      </c>
      <c r="BU57" s="1024">
        <f t="shared" si="48"/>
        <v>0</v>
      </c>
      <c r="BV57" s="1024">
        <f t="shared" si="48"/>
        <v>0</v>
      </c>
      <c r="BW57" s="1024">
        <f t="shared" si="48"/>
        <v>0</v>
      </c>
      <c r="BX57" s="1024">
        <f t="shared" si="48"/>
        <v>0</v>
      </c>
      <c r="BY57" s="1024">
        <f t="shared" ref="BY57:CF57" si="49">SUBTOTAL(9,BY58:BY60)</f>
        <v>0</v>
      </c>
      <c r="BZ57" s="1029">
        <f t="shared" si="49"/>
        <v>0</v>
      </c>
      <c r="CA57" s="1030">
        <f t="shared" si="49"/>
        <v>1283749.3500000001</v>
      </c>
      <c r="CB57" s="1031">
        <f t="shared" si="49"/>
        <v>0</v>
      </c>
      <c r="CC57" s="1023">
        <f t="shared" si="49"/>
        <v>1283749.3500000001</v>
      </c>
      <c r="CD57" s="1023">
        <f t="shared" si="49"/>
        <v>0</v>
      </c>
      <c r="CE57" s="1023">
        <f t="shared" si="49"/>
        <v>1283749.3500000001</v>
      </c>
      <c r="CF57" s="1023">
        <f t="shared" si="49"/>
        <v>0</v>
      </c>
      <c r="CG57" s="1029"/>
      <c r="CH57" s="972">
        <f t="shared" si="46"/>
        <v>-1283749.3500000001</v>
      </c>
      <c r="CL57" s="1037">
        <f>SUBTOTAL(9,CL58:CL60)</f>
        <v>1283749.3500000001</v>
      </c>
      <c r="CM57" s="976">
        <f t="shared" si="42"/>
        <v>0</v>
      </c>
    </row>
    <row r="58" spans="1:91" s="1032" customFormat="1" ht="12.75" customHeight="1" outlineLevel="1">
      <c r="A58" s="996"/>
      <c r="B58" s="1015"/>
      <c r="C58" s="1016"/>
      <c r="D58" s="1016" t="s">
        <v>629</v>
      </c>
      <c r="E58" s="1017"/>
      <c r="F58" s="1018">
        <v>1396061</v>
      </c>
      <c r="G58" s="1018">
        <v>595716</v>
      </c>
      <c r="H58" s="1018"/>
      <c r="I58" s="1018">
        <v>595716</v>
      </c>
      <c r="J58" s="1033">
        <v>4600003649</v>
      </c>
      <c r="K58" s="1034">
        <v>1300000</v>
      </c>
      <c r="L58" s="1035" t="s">
        <v>326</v>
      </c>
      <c r="M58" s="1036">
        <v>595716</v>
      </c>
      <c r="N58" s="1023">
        <v>0</v>
      </c>
      <c r="O58" s="1024">
        <v>0</v>
      </c>
      <c r="P58" s="1024">
        <v>0</v>
      </c>
      <c r="Q58" s="1024">
        <v>0</v>
      </c>
      <c r="R58" s="1024">
        <v>0</v>
      </c>
      <c r="S58" s="1024">
        <v>0</v>
      </c>
      <c r="T58" s="1024">
        <v>0</v>
      </c>
      <c r="U58" s="1024">
        <v>0</v>
      </c>
      <c r="V58" s="1024">
        <v>0</v>
      </c>
      <c r="W58" s="1024">
        <v>0</v>
      </c>
      <c r="X58" s="1024">
        <v>0</v>
      </c>
      <c r="Y58" s="1024">
        <v>0</v>
      </c>
      <c r="Z58" s="1025">
        <f>SUM(N58:Y58)</f>
        <v>0</v>
      </c>
      <c r="AA58" s="1026">
        <v>0</v>
      </c>
      <c r="AB58" s="1027">
        <v>0</v>
      </c>
      <c r="AC58" s="1027">
        <v>0</v>
      </c>
      <c r="AD58" s="1027">
        <v>0</v>
      </c>
      <c r="AE58" s="1027">
        <v>0</v>
      </c>
      <c r="AF58" s="1027">
        <v>0</v>
      </c>
      <c r="AG58" s="1027">
        <v>0</v>
      </c>
      <c r="AH58" s="1028">
        <v>0</v>
      </c>
      <c r="AI58" s="1028">
        <v>0</v>
      </c>
      <c r="AJ58" s="1028">
        <v>0</v>
      </c>
      <c r="AK58" s="1028">
        <v>0</v>
      </c>
      <c r="AL58" s="1028">
        <v>0</v>
      </c>
      <c r="AM58" s="1025">
        <f>SUM(AA58:AL58)</f>
        <v>0</v>
      </c>
      <c r="AN58" s="1024"/>
      <c r="AO58" s="1024"/>
      <c r="AP58" s="1024"/>
      <c r="AQ58" s="1024"/>
      <c r="AR58" s="1024"/>
      <c r="AS58" s="1024"/>
      <c r="AT58" s="1024"/>
      <c r="AU58" s="1024"/>
      <c r="AV58" s="1024"/>
      <c r="AW58" s="1024"/>
      <c r="AX58" s="1024"/>
      <c r="AY58" s="1024"/>
      <c r="AZ58" s="1024">
        <f>SUM(AN58:AY58)</f>
        <v>0</v>
      </c>
      <c r="BA58" s="1024"/>
      <c r="BB58" s="1024"/>
      <c r="BC58" s="1024"/>
      <c r="BD58" s="1024"/>
      <c r="BE58" s="1024"/>
      <c r="BF58" s="1024"/>
      <c r="BG58" s="1024"/>
      <c r="BH58" s="1024"/>
      <c r="BI58" s="1024"/>
      <c r="BJ58" s="1024"/>
      <c r="BK58" s="1024"/>
      <c r="BL58" s="1024"/>
      <c r="BM58" s="1024">
        <f>SUM(BA58:BL58)</f>
        <v>0</v>
      </c>
      <c r="BN58" s="1024"/>
      <c r="BO58" s="1024"/>
      <c r="BP58" s="1024"/>
      <c r="BQ58" s="1024"/>
      <c r="BR58" s="1024"/>
      <c r="BS58" s="1024"/>
      <c r="BT58" s="1024"/>
      <c r="BU58" s="1024"/>
      <c r="BV58" s="1024"/>
      <c r="BW58" s="1024"/>
      <c r="BX58" s="1024"/>
      <c r="BY58" s="1024"/>
      <c r="BZ58" s="1029">
        <f>SUM(BN58:BY58)</f>
        <v>0</v>
      </c>
      <c r="CA58" s="1030">
        <f>SUMIF(($M$1:$BZ$1),"Actual",(M58:BZ58))</f>
        <v>595716</v>
      </c>
      <c r="CB58" s="1031">
        <f>SUMIF(($M$1:$BZ$1),"Forecast",(M58:BZ58))</f>
        <v>0</v>
      </c>
      <c r="CC58" s="1023">
        <f>+CA58+CB58</f>
        <v>595716</v>
      </c>
      <c r="CD58" s="1023">
        <f>+CC58-I58</f>
        <v>0</v>
      </c>
      <c r="CE58" s="1023">
        <v>595716</v>
      </c>
      <c r="CF58" s="1023">
        <f>+CC58-CE58</f>
        <v>0</v>
      </c>
      <c r="CG58" s="1029"/>
      <c r="CH58" s="972">
        <f t="shared" si="46"/>
        <v>704284</v>
      </c>
      <c r="CL58" s="976">
        <v>595716</v>
      </c>
      <c r="CM58" s="976">
        <f t="shared" si="42"/>
        <v>0</v>
      </c>
    </row>
    <row r="59" spans="1:91" s="1032" customFormat="1" ht="12.75" customHeight="1" outlineLevel="1">
      <c r="A59" s="996"/>
      <c r="B59" s="1015"/>
      <c r="C59" s="1016"/>
      <c r="D59" s="1016" t="s">
        <v>630</v>
      </c>
      <c r="E59" s="1017"/>
      <c r="F59" s="1018"/>
      <c r="G59" s="1018">
        <v>191255.1</v>
      </c>
      <c r="H59" s="1018"/>
      <c r="I59" s="1018">
        <v>191255.1</v>
      </c>
      <c r="J59" s="1033">
        <v>4600004459</v>
      </c>
      <c r="K59" s="1034">
        <v>245000</v>
      </c>
      <c r="L59" s="1035" t="s">
        <v>326</v>
      </c>
      <c r="M59" s="1036">
        <v>191255.1</v>
      </c>
      <c r="N59" s="1023">
        <v>0</v>
      </c>
      <c r="O59" s="1024">
        <v>0</v>
      </c>
      <c r="P59" s="1024">
        <v>0</v>
      </c>
      <c r="Q59" s="1024">
        <v>0</v>
      </c>
      <c r="R59" s="1024">
        <v>0</v>
      </c>
      <c r="S59" s="1024">
        <v>0</v>
      </c>
      <c r="T59" s="1024">
        <v>0</v>
      </c>
      <c r="U59" s="1024">
        <v>0</v>
      </c>
      <c r="V59" s="1024">
        <v>0</v>
      </c>
      <c r="W59" s="1024">
        <v>0</v>
      </c>
      <c r="X59" s="1024">
        <v>0</v>
      </c>
      <c r="Y59" s="1024">
        <v>0</v>
      </c>
      <c r="Z59" s="1025">
        <f>SUM(N59:Y59)</f>
        <v>0</v>
      </c>
      <c r="AA59" s="1026">
        <v>0</v>
      </c>
      <c r="AB59" s="1027">
        <v>0</v>
      </c>
      <c r="AC59" s="1027">
        <v>0</v>
      </c>
      <c r="AD59" s="1027">
        <v>0</v>
      </c>
      <c r="AE59" s="1027">
        <v>0</v>
      </c>
      <c r="AF59" s="1027">
        <v>0</v>
      </c>
      <c r="AG59" s="1027">
        <v>0</v>
      </c>
      <c r="AH59" s="1028">
        <v>0</v>
      </c>
      <c r="AI59" s="1028">
        <v>0</v>
      </c>
      <c r="AJ59" s="1028">
        <v>0</v>
      </c>
      <c r="AK59" s="1028">
        <v>0</v>
      </c>
      <c r="AL59" s="1028">
        <v>0</v>
      </c>
      <c r="AM59" s="1025">
        <f>SUM(AA59:AL59)</f>
        <v>0</v>
      </c>
      <c r="AN59" s="1024"/>
      <c r="AO59" s="1024"/>
      <c r="AP59" s="1024"/>
      <c r="AQ59" s="1024"/>
      <c r="AR59" s="1024"/>
      <c r="AS59" s="1024"/>
      <c r="AT59" s="1024"/>
      <c r="AU59" s="1024"/>
      <c r="AV59" s="1024"/>
      <c r="AW59" s="1024"/>
      <c r="AX59" s="1024"/>
      <c r="AY59" s="1024"/>
      <c r="AZ59" s="1024">
        <f>SUM(AN59:AY59)</f>
        <v>0</v>
      </c>
      <c r="BA59" s="1024"/>
      <c r="BB59" s="1024"/>
      <c r="BC59" s="1024"/>
      <c r="BD59" s="1024"/>
      <c r="BE59" s="1024"/>
      <c r="BF59" s="1024"/>
      <c r="BG59" s="1024"/>
      <c r="BH59" s="1024"/>
      <c r="BI59" s="1024"/>
      <c r="BJ59" s="1024"/>
      <c r="BK59" s="1024"/>
      <c r="BL59" s="1024"/>
      <c r="BM59" s="1024">
        <f>SUM(BA59:BL59)</f>
        <v>0</v>
      </c>
      <c r="BN59" s="1024"/>
      <c r="BO59" s="1024"/>
      <c r="BP59" s="1024"/>
      <c r="BQ59" s="1024"/>
      <c r="BR59" s="1024"/>
      <c r="BS59" s="1024"/>
      <c r="BT59" s="1024"/>
      <c r="BU59" s="1024"/>
      <c r="BV59" s="1024"/>
      <c r="BW59" s="1024"/>
      <c r="BX59" s="1024"/>
      <c r="BY59" s="1024"/>
      <c r="BZ59" s="1029">
        <f>SUM(BN59:BY59)</f>
        <v>0</v>
      </c>
      <c r="CA59" s="1030">
        <f>SUMIF(($M$1:$BZ$1),"Actual",(M59:BZ59))</f>
        <v>191255.1</v>
      </c>
      <c r="CB59" s="1031">
        <f>SUMIF(($M$1:$BZ$1),"Forecast",(M59:BZ59))</f>
        <v>0</v>
      </c>
      <c r="CC59" s="1023">
        <f>+CA59+CB59</f>
        <v>191255.1</v>
      </c>
      <c r="CD59" s="1023">
        <f>+CC59-I59</f>
        <v>0</v>
      </c>
      <c r="CE59" s="1023">
        <v>191255.1</v>
      </c>
      <c r="CF59" s="1023">
        <f>+CC59-CE59</f>
        <v>0</v>
      </c>
      <c r="CG59" s="1029"/>
      <c r="CH59" s="972">
        <f t="shared" si="46"/>
        <v>53744.899999999994</v>
      </c>
      <c r="CL59" s="976">
        <v>191255.1</v>
      </c>
      <c r="CM59" s="976">
        <f t="shared" si="42"/>
        <v>0</v>
      </c>
    </row>
    <row r="60" spans="1:91" s="1032" customFormat="1" ht="12.75" customHeight="1" outlineLevel="1">
      <c r="A60" s="996"/>
      <c r="B60" s="1015"/>
      <c r="C60" s="1016"/>
      <c r="D60" s="1016" t="s">
        <v>631</v>
      </c>
      <c r="E60" s="1017"/>
      <c r="F60" s="1018"/>
      <c r="G60" s="1018">
        <v>496778.25</v>
      </c>
      <c r="H60" s="1018"/>
      <c r="I60" s="1018">
        <v>496778.25</v>
      </c>
      <c r="J60" s="1033">
        <v>4600004051</v>
      </c>
      <c r="K60" s="1034">
        <v>1700000</v>
      </c>
      <c r="L60" s="1035" t="s">
        <v>314</v>
      </c>
      <c r="M60" s="1036">
        <v>496778.25</v>
      </c>
      <c r="N60" s="1023">
        <v>0</v>
      </c>
      <c r="O60" s="1024">
        <v>0</v>
      </c>
      <c r="P60" s="1024">
        <v>0</v>
      </c>
      <c r="Q60" s="1024">
        <v>0</v>
      </c>
      <c r="R60" s="1024">
        <v>0</v>
      </c>
      <c r="S60" s="1024">
        <v>0</v>
      </c>
      <c r="T60" s="1024">
        <v>0</v>
      </c>
      <c r="U60" s="1024">
        <v>0</v>
      </c>
      <c r="V60" s="1024">
        <v>0</v>
      </c>
      <c r="W60" s="1024">
        <v>0</v>
      </c>
      <c r="X60" s="1024">
        <v>0</v>
      </c>
      <c r="Y60" s="1024">
        <v>0</v>
      </c>
      <c r="Z60" s="1025">
        <f>SUM(N60:Y60)</f>
        <v>0</v>
      </c>
      <c r="AA60" s="1026">
        <v>0</v>
      </c>
      <c r="AB60" s="1027">
        <v>0</v>
      </c>
      <c r="AC60" s="1027">
        <v>0</v>
      </c>
      <c r="AD60" s="1027">
        <v>0</v>
      </c>
      <c r="AE60" s="1027">
        <v>0</v>
      </c>
      <c r="AF60" s="1027">
        <v>0</v>
      </c>
      <c r="AG60" s="1027">
        <v>0</v>
      </c>
      <c r="AH60" s="1028">
        <v>0</v>
      </c>
      <c r="AI60" s="1028">
        <v>0</v>
      </c>
      <c r="AJ60" s="1028">
        <v>0</v>
      </c>
      <c r="AK60" s="1028">
        <v>0</v>
      </c>
      <c r="AL60" s="1028">
        <v>0</v>
      </c>
      <c r="AM60" s="1025">
        <f>SUM(AA60:AL60)</f>
        <v>0</v>
      </c>
      <c r="AN60" s="1024"/>
      <c r="AO60" s="1024"/>
      <c r="AP60" s="1024"/>
      <c r="AQ60" s="1024"/>
      <c r="AR60" s="1024"/>
      <c r="AS60" s="1024"/>
      <c r="AT60" s="1024"/>
      <c r="AU60" s="1024"/>
      <c r="AV60" s="1024"/>
      <c r="AW60" s="1024"/>
      <c r="AX60" s="1024"/>
      <c r="AY60" s="1024"/>
      <c r="AZ60" s="1024">
        <f>SUM(AN60:AY60)</f>
        <v>0</v>
      </c>
      <c r="BA60" s="1024"/>
      <c r="BB60" s="1024"/>
      <c r="BC60" s="1024"/>
      <c r="BD60" s="1024"/>
      <c r="BE60" s="1024"/>
      <c r="BF60" s="1024"/>
      <c r="BG60" s="1024"/>
      <c r="BH60" s="1024"/>
      <c r="BI60" s="1024"/>
      <c r="BJ60" s="1024"/>
      <c r="BK60" s="1024"/>
      <c r="BL60" s="1024"/>
      <c r="BM60" s="1024">
        <f>SUM(BA60:BL60)</f>
        <v>0</v>
      </c>
      <c r="BN60" s="1024"/>
      <c r="BO60" s="1024"/>
      <c r="BP60" s="1024"/>
      <c r="BQ60" s="1024"/>
      <c r="BR60" s="1024"/>
      <c r="BS60" s="1024"/>
      <c r="BT60" s="1024"/>
      <c r="BU60" s="1024"/>
      <c r="BV60" s="1024"/>
      <c r="BW60" s="1024"/>
      <c r="BX60" s="1024"/>
      <c r="BY60" s="1024"/>
      <c r="BZ60" s="1029">
        <f>SUM(BN60:BY60)</f>
        <v>0</v>
      </c>
      <c r="CA60" s="1030">
        <f>SUMIF(($M$1:$BZ$1),"Actual",(M60:BZ60))</f>
        <v>496778.25</v>
      </c>
      <c r="CB60" s="1031">
        <f>SUMIF(($M$1:$BZ$1),"Forecast",(M60:BZ60))</f>
        <v>0</v>
      </c>
      <c r="CC60" s="1023">
        <f>+CA60+CB60</f>
        <v>496778.25</v>
      </c>
      <c r="CD60" s="1023">
        <f>+CC60-I60</f>
        <v>0</v>
      </c>
      <c r="CE60" s="1023">
        <v>496778.25</v>
      </c>
      <c r="CF60" s="1023">
        <f>+CC60-CE60</f>
        <v>0</v>
      </c>
      <c r="CG60" s="1029"/>
      <c r="CH60" s="972">
        <f t="shared" si="46"/>
        <v>1203221.75</v>
      </c>
      <c r="CL60" s="976">
        <v>496778.25</v>
      </c>
      <c r="CM60" s="976">
        <f t="shared" si="42"/>
        <v>0</v>
      </c>
    </row>
    <row r="61" spans="1:91" s="1064" customFormat="1">
      <c r="A61" s="1045"/>
      <c r="B61" s="1046" t="s">
        <v>632</v>
      </c>
      <c r="C61" s="1047"/>
      <c r="D61" s="1047"/>
      <c r="E61" s="1048"/>
      <c r="F61" s="1049">
        <f>SUBTOTAL(9,F10:F60)</f>
        <v>2356852.61</v>
      </c>
      <c r="G61" s="1049">
        <f>SUBTOTAL(9,G10:G60)</f>
        <v>2370339.2599999998</v>
      </c>
      <c r="H61" s="1049">
        <f>SUBTOTAL(9,H10:H60)</f>
        <v>0</v>
      </c>
      <c r="I61" s="1049">
        <f>SUBTOTAL(9,I10:I60)</f>
        <v>2370339.2599999998</v>
      </c>
      <c r="J61" s="1050"/>
      <c r="K61" s="1051"/>
      <c r="L61" s="1052"/>
      <c r="M61" s="1053">
        <f t="shared" ref="M61:AR61" si="50">SUBTOTAL(9,M10:M60)</f>
        <v>2356875.83</v>
      </c>
      <c r="N61" s="1054">
        <f t="shared" si="50"/>
        <v>28.73</v>
      </c>
      <c r="O61" s="1055">
        <f t="shared" si="50"/>
        <v>0</v>
      </c>
      <c r="P61" s="1055">
        <f t="shared" si="50"/>
        <v>103.61</v>
      </c>
      <c r="Q61" s="1055">
        <f t="shared" si="50"/>
        <v>0</v>
      </c>
      <c r="R61" s="1055">
        <f t="shared" si="50"/>
        <v>34.54</v>
      </c>
      <c r="S61" s="1055">
        <f t="shared" si="50"/>
        <v>34.54</v>
      </c>
      <c r="T61" s="1055">
        <f t="shared" si="50"/>
        <v>0</v>
      </c>
      <c r="U61" s="1055">
        <f t="shared" si="50"/>
        <v>0</v>
      </c>
      <c r="V61" s="1055">
        <f t="shared" si="50"/>
        <v>51.81</v>
      </c>
      <c r="W61" s="1055">
        <f t="shared" si="50"/>
        <v>151.19999999999999</v>
      </c>
      <c r="X61" s="1055">
        <f t="shared" si="50"/>
        <v>802.5</v>
      </c>
      <c r="Y61" s="1055">
        <f t="shared" si="50"/>
        <v>0</v>
      </c>
      <c r="Z61" s="1056">
        <f t="shared" si="50"/>
        <v>1206.93</v>
      </c>
      <c r="AA61" s="1057">
        <f t="shared" si="50"/>
        <v>0</v>
      </c>
      <c r="AB61" s="1058">
        <f t="shared" si="50"/>
        <v>0</v>
      </c>
      <c r="AC61" s="1058">
        <f t="shared" si="50"/>
        <v>0</v>
      </c>
      <c r="AD61" s="1058">
        <f t="shared" si="50"/>
        <v>0</v>
      </c>
      <c r="AE61" s="1058">
        <f t="shared" si="50"/>
        <v>0</v>
      </c>
      <c r="AF61" s="1058">
        <f t="shared" si="50"/>
        <v>0</v>
      </c>
      <c r="AG61" s="1058">
        <f t="shared" si="50"/>
        <v>4039</v>
      </c>
      <c r="AH61" s="1059">
        <f t="shared" si="50"/>
        <v>7452.5</v>
      </c>
      <c r="AI61" s="1059">
        <f t="shared" si="50"/>
        <v>0</v>
      </c>
      <c r="AJ61" s="1059">
        <f t="shared" si="50"/>
        <v>0</v>
      </c>
      <c r="AK61" s="1059">
        <f t="shared" si="50"/>
        <v>0</v>
      </c>
      <c r="AL61" s="1059">
        <f t="shared" si="50"/>
        <v>765</v>
      </c>
      <c r="AM61" s="1056">
        <f t="shared" si="50"/>
        <v>12256.5</v>
      </c>
      <c r="AN61" s="1055">
        <f t="shared" si="50"/>
        <v>0</v>
      </c>
      <c r="AO61" s="1055">
        <f t="shared" si="50"/>
        <v>0</v>
      </c>
      <c r="AP61" s="1055">
        <f t="shared" si="50"/>
        <v>0</v>
      </c>
      <c r="AQ61" s="1055">
        <f t="shared" si="50"/>
        <v>0</v>
      </c>
      <c r="AR61" s="1055">
        <f t="shared" si="50"/>
        <v>0</v>
      </c>
      <c r="AS61" s="1055">
        <f t="shared" ref="AS61:BX61" si="51">SUBTOTAL(9,AS10:AS60)</f>
        <v>0</v>
      </c>
      <c r="AT61" s="1055">
        <f t="shared" si="51"/>
        <v>0</v>
      </c>
      <c r="AU61" s="1055">
        <f t="shared" si="51"/>
        <v>0</v>
      </c>
      <c r="AV61" s="1055">
        <f t="shared" si="51"/>
        <v>0</v>
      </c>
      <c r="AW61" s="1055">
        <f t="shared" si="51"/>
        <v>0</v>
      </c>
      <c r="AX61" s="1055">
        <f t="shared" si="51"/>
        <v>0</v>
      </c>
      <c r="AY61" s="1055">
        <f t="shared" si="51"/>
        <v>0</v>
      </c>
      <c r="AZ61" s="1055">
        <f t="shared" si="51"/>
        <v>0</v>
      </c>
      <c r="BA61" s="1055">
        <f t="shared" si="51"/>
        <v>0</v>
      </c>
      <c r="BB61" s="1055">
        <f t="shared" si="51"/>
        <v>0</v>
      </c>
      <c r="BC61" s="1055">
        <f t="shared" si="51"/>
        <v>0</v>
      </c>
      <c r="BD61" s="1055">
        <f t="shared" si="51"/>
        <v>0</v>
      </c>
      <c r="BE61" s="1055">
        <f t="shared" si="51"/>
        <v>0</v>
      </c>
      <c r="BF61" s="1055">
        <f t="shared" si="51"/>
        <v>0</v>
      </c>
      <c r="BG61" s="1055">
        <f t="shared" si="51"/>
        <v>0</v>
      </c>
      <c r="BH61" s="1055">
        <f t="shared" si="51"/>
        <v>0</v>
      </c>
      <c r="BI61" s="1055">
        <f t="shared" si="51"/>
        <v>0</v>
      </c>
      <c r="BJ61" s="1055">
        <f t="shared" si="51"/>
        <v>0</v>
      </c>
      <c r="BK61" s="1055">
        <f t="shared" si="51"/>
        <v>0</v>
      </c>
      <c r="BL61" s="1055">
        <f t="shared" si="51"/>
        <v>0</v>
      </c>
      <c r="BM61" s="1055">
        <f t="shared" si="51"/>
        <v>0</v>
      </c>
      <c r="BN61" s="1055">
        <f t="shared" si="51"/>
        <v>0</v>
      </c>
      <c r="BO61" s="1055">
        <f t="shared" si="51"/>
        <v>0</v>
      </c>
      <c r="BP61" s="1055">
        <f t="shared" si="51"/>
        <v>0</v>
      </c>
      <c r="BQ61" s="1055">
        <f t="shared" si="51"/>
        <v>0</v>
      </c>
      <c r="BR61" s="1055">
        <f t="shared" si="51"/>
        <v>0</v>
      </c>
      <c r="BS61" s="1055">
        <f t="shared" si="51"/>
        <v>0</v>
      </c>
      <c r="BT61" s="1055">
        <f t="shared" si="51"/>
        <v>0</v>
      </c>
      <c r="BU61" s="1055">
        <f t="shared" si="51"/>
        <v>0</v>
      </c>
      <c r="BV61" s="1055">
        <f t="shared" si="51"/>
        <v>0</v>
      </c>
      <c r="BW61" s="1055">
        <f t="shared" si="51"/>
        <v>0</v>
      </c>
      <c r="BX61" s="1055">
        <f t="shared" si="51"/>
        <v>0</v>
      </c>
      <c r="BY61" s="1055">
        <f t="shared" ref="BY61:CF61" si="52">SUBTOTAL(9,BY10:BY60)</f>
        <v>0</v>
      </c>
      <c r="BZ61" s="1060">
        <f t="shared" si="52"/>
        <v>0</v>
      </c>
      <c r="CA61" s="1061">
        <f t="shared" si="52"/>
        <v>2370339.2599999998</v>
      </c>
      <c r="CB61" s="1062">
        <f t="shared" si="52"/>
        <v>0</v>
      </c>
      <c r="CC61" s="1054">
        <f t="shared" si="52"/>
        <v>2370339.2599999998</v>
      </c>
      <c r="CD61" s="1054">
        <f t="shared" si="52"/>
        <v>0</v>
      </c>
      <c r="CE61" s="1054">
        <f t="shared" si="52"/>
        <v>2370339.2599999998</v>
      </c>
      <c r="CF61" s="1054">
        <f t="shared" si="52"/>
        <v>0</v>
      </c>
      <c r="CG61" s="1060"/>
      <c r="CH61" s="1063"/>
      <c r="CL61" s="1065">
        <f>SUBTOTAL(9,CL10:CL60)</f>
        <v>2370339.2599999998</v>
      </c>
      <c r="CM61" s="1066">
        <f t="shared" si="42"/>
        <v>0</v>
      </c>
    </row>
    <row r="62" spans="1:91" s="1032" customFormat="1" ht="9" customHeight="1">
      <c r="A62" s="996"/>
      <c r="B62" s="1015"/>
      <c r="C62" s="1016"/>
      <c r="D62" s="1016"/>
      <c r="E62" s="1017"/>
      <c r="F62" s="1018"/>
      <c r="G62" s="1018"/>
      <c r="H62" s="1018"/>
      <c r="I62" s="1018"/>
      <c r="J62" s="1019"/>
      <c r="K62" s="1020"/>
      <c r="L62" s="1021"/>
      <c r="M62" s="1022"/>
      <c r="N62" s="1023"/>
      <c r="O62" s="1024"/>
      <c r="P62" s="1024"/>
      <c r="Q62" s="1024"/>
      <c r="R62" s="1024"/>
      <c r="S62" s="1024"/>
      <c r="T62" s="1024"/>
      <c r="U62" s="1024"/>
      <c r="V62" s="1024"/>
      <c r="W62" s="1024"/>
      <c r="X62" s="1024"/>
      <c r="Y62" s="1024"/>
      <c r="Z62" s="1025">
        <f>SUM(N62:Y62)</f>
        <v>0</v>
      </c>
      <c r="AA62" s="1026"/>
      <c r="AB62" s="1027"/>
      <c r="AC62" s="1027"/>
      <c r="AD62" s="1027"/>
      <c r="AE62" s="1027"/>
      <c r="AF62" s="1027"/>
      <c r="AG62" s="1027"/>
      <c r="AH62" s="1028"/>
      <c r="AI62" s="1028"/>
      <c r="AJ62" s="1028"/>
      <c r="AK62" s="1028"/>
      <c r="AL62" s="1028"/>
      <c r="AM62" s="1025">
        <f>SUM(AA62:AL62)</f>
        <v>0</v>
      </c>
      <c r="AN62" s="1024"/>
      <c r="AO62" s="1024"/>
      <c r="AP62" s="1024"/>
      <c r="AQ62" s="1024"/>
      <c r="AR62" s="1024"/>
      <c r="AS62" s="1024"/>
      <c r="AT62" s="1024"/>
      <c r="AU62" s="1024"/>
      <c r="AV62" s="1024"/>
      <c r="AW62" s="1024"/>
      <c r="AX62" s="1024"/>
      <c r="AY62" s="1024"/>
      <c r="AZ62" s="1024">
        <f>SUM(AN62:AY62)</f>
        <v>0</v>
      </c>
      <c r="BA62" s="1024"/>
      <c r="BB62" s="1024"/>
      <c r="BC62" s="1024"/>
      <c r="BD62" s="1024"/>
      <c r="BE62" s="1024"/>
      <c r="BF62" s="1024"/>
      <c r="BG62" s="1024"/>
      <c r="BH62" s="1024"/>
      <c r="BI62" s="1024"/>
      <c r="BJ62" s="1024"/>
      <c r="BK62" s="1024"/>
      <c r="BL62" s="1024"/>
      <c r="BM62" s="1024">
        <f>SUM(BA62:BL62)</f>
        <v>0</v>
      </c>
      <c r="BN62" s="1024"/>
      <c r="BO62" s="1024"/>
      <c r="BP62" s="1024"/>
      <c r="BQ62" s="1024"/>
      <c r="BR62" s="1024"/>
      <c r="BS62" s="1024"/>
      <c r="BT62" s="1024"/>
      <c r="BU62" s="1024"/>
      <c r="BV62" s="1024"/>
      <c r="BW62" s="1024"/>
      <c r="BX62" s="1024"/>
      <c r="BY62" s="1024"/>
      <c r="BZ62" s="1029">
        <f>SUM(BN62:BY62)</f>
        <v>0</v>
      </c>
      <c r="CA62" s="1030">
        <f>+M62+Z62+SUM(AA62:AH62)</f>
        <v>0</v>
      </c>
      <c r="CB62" s="1024">
        <f>+CC62-CA62</f>
        <v>0</v>
      </c>
      <c r="CC62" s="1023">
        <f>+M62+Z62+AM62+AZ62+BM62+BZ62</f>
        <v>0</v>
      </c>
      <c r="CD62" s="1023">
        <f>+CC62-I62</f>
        <v>0</v>
      </c>
      <c r="CE62" s="1023">
        <f>+O62+AB62+AO62+BB62+BO62+CB62</f>
        <v>0</v>
      </c>
      <c r="CF62" s="1023">
        <f>+P62+AC62+AP62+BC62+BP62+CC62</f>
        <v>0</v>
      </c>
      <c r="CG62" s="1029"/>
      <c r="CH62" s="972"/>
      <c r="CL62" s="976"/>
      <c r="CM62" s="976"/>
    </row>
    <row r="63" spans="1:91" s="1073" customFormat="1">
      <c r="A63" s="996"/>
      <c r="B63" s="997" t="s">
        <v>628</v>
      </c>
      <c r="C63" s="1067"/>
      <c r="D63" s="1067"/>
      <c r="E63" s="1068"/>
      <c r="F63" s="1069"/>
      <c r="G63" s="1069"/>
      <c r="H63" s="1069"/>
      <c r="I63" s="1069"/>
      <c r="J63" s="1070"/>
      <c r="K63" s="1071"/>
      <c r="L63" s="1072"/>
      <c r="M63" s="1002"/>
      <c r="N63" s="1003"/>
      <c r="O63" s="1004"/>
      <c r="P63" s="1004"/>
      <c r="Q63" s="1004"/>
      <c r="R63" s="1004"/>
      <c r="S63" s="1004"/>
      <c r="T63" s="1004"/>
      <c r="U63" s="1004"/>
      <c r="V63" s="1004"/>
      <c r="W63" s="1004"/>
      <c r="X63" s="1004"/>
      <c r="Y63" s="1004"/>
      <c r="Z63" s="1005"/>
      <c r="AA63" s="1006"/>
      <c r="AB63" s="1007"/>
      <c r="AC63" s="1007"/>
      <c r="AD63" s="1007"/>
      <c r="AE63" s="1007"/>
      <c r="AF63" s="1007"/>
      <c r="AG63" s="1007"/>
      <c r="AH63" s="1008"/>
      <c r="AI63" s="1008"/>
      <c r="AJ63" s="1008"/>
      <c r="AK63" s="1008"/>
      <c r="AL63" s="1008"/>
      <c r="AM63" s="1005"/>
      <c r="AN63" s="1004"/>
      <c r="AO63" s="1004"/>
      <c r="AP63" s="1004"/>
      <c r="AQ63" s="1004"/>
      <c r="AR63" s="1004"/>
      <c r="AS63" s="1004"/>
      <c r="AT63" s="1004"/>
      <c r="AU63" s="1004"/>
      <c r="AV63" s="1004"/>
      <c r="AW63" s="1004"/>
      <c r="AX63" s="1004"/>
      <c r="AY63" s="1004"/>
      <c r="AZ63" s="1004"/>
      <c r="BA63" s="1004"/>
      <c r="BB63" s="1004"/>
      <c r="BC63" s="1004"/>
      <c r="BD63" s="1004"/>
      <c r="BE63" s="1004"/>
      <c r="BF63" s="1004"/>
      <c r="BG63" s="1004"/>
      <c r="BH63" s="1004"/>
      <c r="BI63" s="1004"/>
      <c r="BJ63" s="1004"/>
      <c r="BK63" s="1004"/>
      <c r="BL63" s="1004"/>
      <c r="BM63" s="1004"/>
      <c r="BN63" s="1004"/>
      <c r="BO63" s="1004"/>
      <c r="BP63" s="1004"/>
      <c r="BQ63" s="1004"/>
      <c r="BR63" s="1004"/>
      <c r="BS63" s="1004"/>
      <c r="BT63" s="1004"/>
      <c r="BU63" s="1004"/>
      <c r="BV63" s="1004"/>
      <c r="BW63" s="1004"/>
      <c r="BX63" s="1004"/>
      <c r="BY63" s="1004"/>
      <c r="BZ63" s="1009"/>
      <c r="CA63" s="1010"/>
      <c r="CB63" s="1004"/>
      <c r="CC63" s="1003"/>
      <c r="CD63" s="1003"/>
      <c r="CE63" s="1003"/>
      <c r="CF63" s="1003"/>
      <c r="CG63" s="1009"/>
      <c r="CH63" s="1012"/>
      <c r="CJ63" s="1074"/>
      <c r="CL63" s="1014"/>
      <c r="CM63" s="976"/>
    </row>
    <row r="64" spans="1:91" s="1032" customFormat="1" ht="9" customHeight="1">
      <c r="A64" s="996"/>
      <c r="B64" s="1015"/>
      <c r="C64" s="1016"/>
      <c r="D64" s="1016"/>
      <c r="E64" s="1017"/>
      <c r="F64" s="1018"/>
      <c r="G64" s="1018"/>
      <c r="H64" s="1018"/>
      <c r="I64" s="1018"/>
      <c r="J64" s="1019"/>
      <c r="K64" s="1020"/>
      <c r="L64" s="1021"/>
      <c r="M64" s="1022"/>
      <c r="N64" s="1023"/>
      <c r="O64" s="1024"/>
      <c r="P64" s="1024"/>
      <c r="Q64" s="1024"/>
      <c r="R64" s="1024"/>
      <c r="S64" s="1024"/>
      <c r="T64" s="1024"/>
      <c r="U64" s="1024"/>
      <c r="V64" s="1024"/>
      <c r="W64" s="1024"/>
      <c r="X64" s="1024"/>
      <c r="Y64" s="1024"/>
      <c r="Z64" s="1025">
        <f>SUM(N64:Y64)</f>
        <v>0</v>
      </c>
      <c r="AA64" s="1026"/>
      <c r="AB64" s="1027"/>
      <c r="AC64" s="1027"/>
      <c r="AD64" s="1027"/>
      <c r="AE64" s="1027"/>
      <c r="AF64" s="1027"/>
      <c r="AG64" s="1027"/>
      <c r="AH64" s="1028"/>
      <c r="AI64" s="1028"/>
      <c r="AJ64" s="1028"/>
      <c r="AK64" s="1028"/>
      <c r="AL64" s="1028"/>
      <c r="AM64" s="1025">
        <f>SUM(AA64:AL64)</f>
        <v>0</v>
      </c>
      <c r="AN64" s="1024"/>
      <c r="AO64" s="1024"/>
      <c r="AP64" s="1024"/>
      <c r="AQ64" s="1024"/>
      <c r="AR64" s="1024"/>
      <c r="AS64" s="1024"/>
      <c r="AT64" s="1024"/>
      <c r="AU64" s="1024"/>
      <c r="AV64" s="1024"/>
      <c r="AW64" s="1024"/>
      <c r="AX64" s="1024"/>
      <c r="AY64" s="1024"/>
      <c r="AZ64" s="1024">
        <f>SUM(AN64:AY64)</f>
        <v>0</v>
      </c>
      <c r="BA64" s="1024"/>
      <c r="BB64" s="1024"/>
      <c r="BC64" s="1024"/>
      <c r="BD64" s="1024"/>
      <c r="BE64" s="1024"/>
      <c r="BF64" s="1024"/>
      <c r="BG64" s="1024"/>
      <c r="BH64" s="1024"/>
      <c r="BI64" s="1024"/>
      <c r="BJ64" s="1024"/>
      <c r="BK64" s="1024"/>
      <c r="BL64" s="1024"/>
      <c r="BM64" s="1024">
        <f>SUM(BA64:BL64)</f>
        <v>0</v>
      </c>
      <c r="BN64" s="1024"/>
      <c r="BO64" s="1024"/>
      <c r="BP64" s="1024"/>
      <c r="BQ64" s="1024"/>
      <c r="BR64" s="1024"/>
      <c r="BS64" s="1024"/>
      <c r="BT64" s="1024"/>
      <c r="BU64" s="1024"/>
      <c r="BV64" s="1024"/>
      <c r="BW64" s="1024"/>
      <c r="BX64" s="1024"/>
      <c r="BY64" s="1024"/>
      <c r="BZ64" s="1029">
        <f>SUM(BN64:BY64)</f>
        <v>0</v>
      </c>
      <c r="CA64" s="1030">
        <f>+M64+Z64+SUM(AA64:AH64)</f>
        <v>0</v>
      </c>
      <c r="CB64" s="1024"/>
      <c r="CC64" s="1023">
        <f>+M64+Z64+AM64+AZ64+BM64+BZ64</f>
        <v>0</v>
      </c>
      <c r="CD64" s="1023">
        <f>+CC64-I64</f>
        <v>0</v>
      </c>
      <c r="CE64" s="1023">
        <f>+O64+AB64+AO64+BB64+BO64+CB64</f>
        <v>0</v>
      </c>
      <c r="CF64" s="1023">
        <f>+P64+AC64+AP64+BC64+BP64+CC64</f>
        <v>0</v>
      </c>
      <c r="CG64" s="1029"/>
      <c r="CH64" s="972"/>
      <c r="CL64" s="976"/>
      <c r="CM64" s="976"/>
    </row>
    <row r="65" spans="1:91" s="1032" customFormat="1" ht="12.75" customHeight="1">
      <c r="A65" s="996"/>
      <c r="B65" s="1015"/>
      <c r="C65" s="1043" t="s">
        <v>633</v>
      </c>
      <c r="D65" s="1016"/>
      <c r="E65" s="1017"/>
      <c r="F65" s="1018">
        <f>SUBTOTAL(9,F66:F67)</f>
        <v>1231000</v>
      </c>
      <c r="G65" s="1018">
        <f>SUBTOTAL(9,G66:G67)</f>
        <v>1509940.38</v>
      </c>
      <c r="H65" s="1018">
        <f>SUBTOTAL(9,H66:H67)</f>
        <v>0</v>
      </c>
      <c r="I65" s="1018">
        <f>SUBTOTAL(9,I66:I67)</f>
        <v>1509940.38</v>
      </c>
      <c r="J65" s="1033"/>
      <c r="K65" s="1034"/>
      <c r="L65" s="1021"/>
      <c r="M65" s="1036">
        <f t="shared" ref="M65:AR65" si="53">SUBTOTAL(9,M66:M67)</f>
        <v>0</v>
      </c>
      <c r="N65" s="1023">
        <f t="shared" si="53"/>
        <v>0</v>
      </c>
      <c r="O65" s="1024">
        <f t="shared" si="53"/>
        <v>0</v>
      </c>
      <c r="P65" s="1024">
        <f t="shared" si="53"/>
        <v>0</v>
      </c>
      <c r="Q65" s="1024">
        <f t="shared" si="53"/>
        <v>0</v>
      </c>
      <c r="R65" s="1024">
        <f t="shared" si="53"/>
        <v>0</v>
      </c>
      <c r="S65" s="1024">
        <f t="shared" si="53"/>
        <v>0</v>
      </c>
      <c r="T65" s="1024">
        <f t="shared" si="53"/>
        <v>0</v>
      </c>
      <c r="U65" s="1024">
        <f t="shared" si="53"/>
        <v>0</v>
      </c>
      <c r="V65" s="1024">
        <f t="shared" si="53"/>
        <v>0</v>
      </c>
      <c r="W65" s="1024">
        <f t="shared" si="53"/>
        <v>0</v>
      </c>
      <c r="X65" s="1024">
        <f t="shared" si="53"/>
        <v>54795.42</v>
      </c>
      <c r="Y65" s="1024">
        <f t="shared" si="53"/>
        <v>58382.09</v>
      </c>
      <c r="Z65" s="1025">
        <f t="shared" si="53"/>
        <v>113177.51</v>
      </c>
      <c r="AA65" s="1026">
        <f t="shared" si="53"/>
        <v>0</v>
      </c>
      <c r="AB65" s="1027">
        <f t="shared" si="53"/>
        <v>303162.27</v>
      </c>
      <c r="AC65" s="1027">
        <f t="shared" si="53"/>
        <v>0</v>
      </c>
      <c r="AD65" s="1027">
        <f t="shared" si="53"/>
        <v>194913.87</v>
      </c>
      <c r="AE65" s="1027">
        <f t="shared" si="53"/>
        <v>0</v>
      </c>
      <c r="AF65" s="1027">
        <f t="shared" si="53"/>
        <v>0</v>
      </c>
      <c r="AG65" s="1027">
        <f t="shared" si="53"/>
        <v>349175</v>
      </c>
      <c r="AH65" s="1028">
        <f t="shared" si="53"/>
        <v>-0.25</v>
      </c>
      <c r="AI65" s="1028">
        <f t="shared" si="53"/>
        <v>0</v>
      </c>
      <c r="AJ65" s="1028">
        <f t="shared" si="53"/>
        <v>-49416.07</v>
      </c>
      <c r="AK65" s="1028">
        <f t="shared" si="53"/>
        <v>0</v>
      </c>
      <c r="AL65" s="1028">
        <f t="shared" si="53"/>
        <v>282457.37</v>
      </c>
      <c r="AM65" s="1025">
        <f t="shared" si="53"/>
        <v>1080292.19</v>
      </c>
      <c r="AN65" s="1024">
        <f t="shared" si="53"/>
        <v>-183528.19</v>
      </c>
      <c r="AO65" s="1024">
        <f t="shared" si="53"/>
        <v>-1</v>
      </c>
      <c r="AP65" s="1024">
        <f t="shared" si="53"/>
        <v>0</v>
      </c>
      <c r="AQ65" s="1024">
        <f t="shared" si="53"/>
        <v>26332.49</v>
      </c>
      <c r="AR65" s="1024">
        <f t="shared" si="53"/>
        <v>200000.1</v>
      </c>
      <c r="AS65" s="1024">
        <f t="shared" ref="AS65:BX65" si="54">SUBTOTAL(9,AS66:AS67)</f>
        <v>-3314.7200000000012</v>
      </c>
      <c r="AT65" s="1024">
        <f t="shared" si="54"/>
        <v>250000</v>
      </c>
      <c r="AU65" s="1024">
        <f t="shared" si="54"/>
        <v>0</v>
      </c>
      <c r="AV65" s="1024">
        <f t="shared" si="54"/>
        <v>0</v>
      </c>
      <c r="AW65" s="1024">
        <f t="shared" si="54"/>
        <v>0</v>
      </c>
      <c r="AX65" s="1024">
        <f t="shared" si="54"/>
        <v>0</v>
      </c>
      <c r="AY65" s="1024">
        <f t="shared" si="54"/>
        <v>0.29999999998835847</v>
      </c>
      <c r="AZ65" s="1024">
        <f t="shared" si="54"/>
        <v>289488.98</v>
      </c>
      <c r="BA65" s="1024">
        <f t="shared" si="54"/>
        <v>-26719</v>
      </c>
      <c r="BB65" s="1024">
        <f t="shared" si="54"/>
        <v>587.20999999999185</v>
      </c>
      <c r="BC65" s="1024">
        <f t="shared" si="54"/>
        <v>0</v>
      </c>
      <c r="BD65" s="1024">
        <f t="shared" si="54"/>
        <v>0</v>
      </c>
      <c r="BE65" s="1024">
        <f t="shared" si="54"/>
        <v>0</v>
      </c>
      <c r="BF65" s="1024">
        <f t="shared" si="54"/>
        <v>129677.16</v>
      </c>
      <c r="BG65" s="1024">
        <f t="shared" si="54"/>
        <v>0</v>
      </c>
      <c r="BH65" s="1024">
        <f t="shared" si="54"/>
        <v>0</v>
      </c>
      <c r="BI65" s="1024">
        <f t="shared" si="54"/>
        <v>0</v>
      </c>
      <c r="BJ65" s="1024">
        <f t="shared" si="54"/>
        <v>0</v>
      </c>
      <c r="BK65" s="1024">
        <f t="shared" si="54"/>
        <v>0</v>
      </c>
      <c r="BL65" s="1024">
        <f t="shared" si="54"/>
        <v>55178.99</v>
      </c>
      <c r="BM65" s="1024">
        <f t="shared" si="54"/>
        <v>158724.35999999999</v>
      </c>
      <c r="BN65" s="1024">
        <f t="shared" si="54"/>
        <v>0</v>
      </c>
      <c r="BO65" s="1024">
        <f t="shared" si="54"/>
        <v>0</v>
      </c>
      <c r="BP65" s="1024">
        <f t="shared" si="54"/>
        <v>0</v>
      </c>
      <c r="BQ65" s="1024">
        <f t="shared" si="54"/>
        <v>0</v>
      </c>
      <c r="BR65" s="1024">
        <f t="shared" si="54"/>
        <v>0</v>
      </c>
      <c r="BS65" s="1024">
        <f t="shared" si="54"/>
        <v>0</v>
      </c>
      <c r="BT65" s="1024">
        <f t="shared" si="54"/>
        <v>0</v>
      </c>
      <c r="BU65" s="1024">
        <f t="shared" si="54"/>
        <v>0</v>
      </c>
      <c r="BV65" s="1024">
        <f t="shared" si="54"/>
        <v>0</v>
      </c>
      <c r="BW65" s="1024">
        <f t="shared" si="54"/>
        <v>0</v>
      </c>
      <c r="BX65" s="1024">
        <f t="shared" si="54"/>
        <v>0</v>
      </c>
      <c r="BY65" s="1024">
        <f t="shared" ref="BY65:CF65" si="55">SUBTOTAL(9,BY66:BY67)</f>
        <v>0</v>
      </c>
      <c r="BZ65" s="1029">
        <f t="shared" si="55"/>
        <v>0</v>
      </c>
      <c r="CA65" s="1030">
        <f t="shared" si="55"/>
        <v>1641683.0400000003</v>
      </c>
      <c r="CB65" s="1024">
        <f t="shared" si="55"/>
        <v>0</v>
      </c>
      <c r="CC65" s="1023">
        <f t="shared" si="55"/>
        <v>1641683.0400000003</v>
      </c>
      <c r="CD65" s="1023">
        <f t="shared" si="55"/>
        <v>131742.66000000027</v>
      </c>
      <c r="CE65" s="1023">
        <f t="shared" si="55"/>
        <v>1709941.04</v>
      </c>
      <c r="CF65" s="1023">
        <f t="shared" si="55"/>
        <v>-68257.999999999884</v>
      </c>
      <c r="CG65" s="1029"/>
      <c r="CH65" s="972"/>
      <c r="CL65" s="1037">
        <f>SUBTOTAL(9,CL66:CL67)</f>
        <v>1509940.1</v>
      </c>
      <c r="CM65" s="976">
        <f t="shared" ref="CM65:CM96" si="56">+CL65-CC65</f>
        <v>-131742.94000000018</v>
      </c>
    </row>
    <row r="66" spans="1:91" s="1032" customFormat="1" ht="12.75" customHeight="1" outlineLevel="1">
      <c r="A66" s="996" t="s">
        <v>634</v>
      </c>
      <c r="B66" s="1015"/>
      <c r="C66" s="1075" t="s">
        <v>635</v>
      </c>
      <c r="D66" s="1016"/>
      <c r="E66" s="1017"/>
      <c r="F66" s="1018">
        <f>104000+652000</f>
        <v>756000</v>
      </c>
      <c r="G66" s="1018">
        <v>747483.38</v>
      </c>
      <c r="H66" s="1018"/>
      <c r="I66" s="1018">
        <v>747483.38</v>
      </c>
      <c r="J66" s="1033">
        <v>6400002347</v>
      </c>
      <c r="K66" s="1034">
        <v>1058100</v>
      </c>
      <c r="L66" s="1021" t="s">
        <v>310</v>
      </c>
      <c r="M66" s="1036">
        <v>0</v>
      </c>
      <c r="N66" s="1023">
        <v>0</v>
      </c>
      <c r="O66" s="1024">
        <v>0</v>
      </c>
      <c r="P66" s="1024">
        <v>0</v>
      </c>
      <c r="Q66" s="1024">
        <v>0</v>
      </c>
      <c r="R66" s="1024">
        <v>0</v>
      </c>
      <c r="S66" s="1024">
        <v>0</v>
      </c>
      <c r="T66" s="1024">
        <v>0</v>
      </c>
      <c r="U66" s="1024">
        <v>0</v>
      </c>
      <c r="V66" s="1024">
        <v>0</v>
      </c>
      <c r="W66" s="1024">
        <v>0</v>
      </c>
      <c r="X66" s="1024">
        <f>16622.34+11260.19+26912.89</f>
        <v>54795.42</v>
      </c>
      <c r="Y66" s="1024">
        <f>11815.08+33137.77+13429.24</f>
        <v>58382.09</v>
      </c>
      <c r="Z66" s="1025">
        <f>SUM(N66:Y66)</f>
        <v>113177.51</v>
      </c>
      <c r="AA66" s="1026">
        <v>0</v>
      </c>
      <c r="AB66" s="1027">
        <f>161726.64+56389.9+22242.5+8006.42+40265.91+14530.9</f>
        <v>303162.27</v>
      </c>
      <c r="AC66" s="1027">
        <v>0</v>
      </c>
      <c r="AD66" s="1027">
        <f>49416.07-588.24+6780.3+49416.07+87768.65+2121.02</f>
        <v>194913.87</v>
      </c>
      <c r="AE66" s="1027">
        <v>0</v>
      </c>
      <c r="AF66" s="1027">
        <v>0</v>
      </c>
      <c r="AG66" s="1027">
        <v>349175</v>
      </c>
      <c r="AH66" s="1028">
        <f>6183.78+38404.72+2232.25-349175+302354</f>
        <v>-0.25</v>
      </c>
      <c r="AI66" s="1028">
        <v>0</v>
      </c>
      <c r="AJ66" s="1028">
        <v>-49416.07</v>
      </c>
      <c r="AK66" s="1028">
        <v>0</v>
      </c>
      <c r="AL66" s="1028">
        <f>47.5+122306.74-302354+200000</f>
        <v>20000.239999999991</v>
      </c>
      <c r="AM66" s="1025">
        <f>SUM(AA66:AL66)</f>
        <v>817835.06</v>
      </c>
      <c r="AN66" s="1024">
        <f>16471.81-200000</f>
        <v>-183528.19</v>
      </c>
      <c r="AO66" s="1024">
        <v>-1</v>
      </c>
      <c r="AP66" s="1024"/>
      <c r="AQ66" s="1024"/>
      <c r="AR66" s="1024"/>
      <c r="AS66" s="1024"/>
      <c r="AT66" s="1024"/>
      <c r="AU66" s="1024"/>
      <c r="AV66" s="1024"/>
      <c r="AW66" s="1024"/>
      <c r="AX66" s="1024"/>
      <c r="AY66" s="1024"/>
      <c r="AZ66" s="1024">
        <f>SUM(AN66:AY66)</f>
        <v>-183529.19</v>
      </c>
      <c r="BA66" s="1024">
        <v>191112.8</v>
      </c>
      <c r="BB66" s="1024"/>
      <c r="BC66" s="1024"/>
      <c r="BD66" s="1024"/>
      <c r="BE66" s="1024"/>
      <c r="BF66" s="1024"/>
      <c r="BG66" s="1024"/>
      <c r="BH66" s="1024"/>
      <c r="BI66" s="1024"/>
      <c r="BJ66" s="1024"/>
      <c r="BK66" s="1024"/>
      <c r="BL66" s="1024"/>
      <c r="BM66" s="1024">
        <f>SUM(BA66:BL66)</f>
        <v>191112.8</v>
      </c>
      <c r="BN66" s="1024"/>
      <c r="BO66" s="1024"/>
      <c r="BP66" s="1024"/>
      <c r="BQ66" s="1024"/>
      <c r="BR66" s="1024"/>
      <c r="BS66" s="1024"/>
      <c r="BT66" s="1024"/>
      <c r="BU66" s="1024"/>
      <c r="BV66" s="1024"/>
      <c r="BW66" s="1024"/>
      <c r="BX66" s="1024"/>
      <c r="BY66" s="1024"/>
      <c r="BZ66" s="1029">
        <f>SUM(BN66:BY66)</f>
        <v>0</v>
      </c>
      <c r="CA66" s="1030">
        <f>SUMIF(($M$1:$BZ$1),"Actual",(M66:BZ66))</f>
        <v>938596.18000000017</v>
      </c>
      <c r="CB66" s="1024">
        <f>SUMIF(($M$1:$BZ$1),"Forecast",(M66:BZ66))</f>
        <v>0</v>
      </c>
      <c r="CC66" s="1036">
        <f>+CA66+CB66</f>
        <v>938596.18000000017</v>
      </c>
      <c r="CD66" s="1023">
        <f>+CC66-I66</f>
        <v>191112.80000000016</v>
      </c>
      <c r="CE66" s="1023">
        <v>938596.18</v>
      </c>
      <c r="CF66" s="1023">
        <f>+CC66-CE66</f>
        <v>0</v>
      </c>
      <c r="CG66" s="1029"/>
      <c r="CH66" s="972"/>
      <c r="CL66" s="976">
        <v>747483.38</v>
      </c>
      <c r="CM66" s="976">
        <f t="shared" si="56"/>
        <v>-191112.80000000016</v>
      </c>
    </row>
    <row r="67" spans="1:91" s="1032" customFormat="1" ht="12.75" customHeight="1" outlineLevel="1">
      <c r="A67" s="996"/>
      <c r="B67" s="1015"/>
      <c r="C67" s="1075" t="s">
        <v>636</v>
      </c>
      <c r="D67" s="1016"/>
      <c r="E67" s="1017"/>
      <c r="F67" s="1018">
        <f>275000+200000</f>
        <v>475000</v>
      </c>
      <c r="G67" s="1018">
        <v>762457</v>
      </c>
      <c r="H67" s="1018"/>
      <c r="I67" s="1018">
        <v>762457</v>
      </c>
      <c r="J67" s="1033">
        <v>6400003831</v>
      </c>
      <c r="K67" s="1034">
        <v>900000</v>
      </c>
      <c r="L67" s="1021" t="s">
        <v>310</v>
      </c>
      <c r="M67" s="1036">
        <v>0</v>
      </c>
      <c r="N67" s="1023">
        <v>0</v>
      </c>
      <c r="O67" s="1024">
        <v>0</v>
      </c>
      <c r="P67" s="1024">
        <v>0</v>
      </c>
      <c r="Q67" s="1024">
        <v>0</v>
      </c>
      <c r="R67" s="1024">
        <v>0</v>
      </c>
      <c r="S67" s="1024">
        <v>0</v>
      </c>
      <c r="T67" s="1024">
        <v>0</v>
      </c>
      <c r="U67" s="1024">
        <v>0</v>
      </c>
      <c r="V67" s="1024">
        <v>0</v>
      </c>
      <c r="W67" s="1024">
        <v>0</v>
      </c>
      <c r="X67" s="1024"/>
      <c r="Y67" s="1024"/>
      <c r="Z67" s="1025">
        <f>SUM(N67:Y67)</f>
        <v>0</v>
      </c>
      <c r="AA67" s="1026">
        <v>0</v>
      </c>
      <c r="AB67" s="1027"/>
      <c r="AC67" s="1027"/>
      <c r="AD67" s="1027"/>
      <c r="AE67" s="1027"/>
      <c r="AF67" s="1027"/>
      <c r="AG67" s="1027"/>
      <c r="AH67" s="1028"/>
      <c r="AI67" s="1028"/>
      <c r="AJ67" s="1028"/>
      <c r="AK67" s="1028"/>
      <c r="AL67" s="1028">
        <f>35500.56+18141.14+208815.43</f>
        <v>262457.13</v>
      </c>
      <c r="AM67" s="1025">
        <f>SUM(AA67:AL67)</f>
        <v>262457.13</v>
      </c>
      <c r="AN67" s="1024"/>
      <c r="AO67" s="1024"/>
      <c r="AP67" s="1024"/>
      <c r="AQ67" s="1024">
        <v>26332.49</v>
      </c>
      <c r="AR67" s="1024">
        <f>0.1+200000</f>
        <v>200000.1</v>
      </c>
      <c r="AS67" s="1024">
        <f>196685.28-200000</f>
        <v>-3314.7200000000012</v>
      </c>
      <c r="AT67" s="1024">
        <v>250000</v>
      </c>
      <c r="AU67" s="1024">
        <f>-250000+250000</f>
        <v>0</v>
      </c>
      <c r="AV67" s="1024">
        <f>-250000+250000</f>
        <v>0</v>
      </c>
      <c r="AW67" s="1024">
        <f>-250000+250000</f>
        <v>0</v>
      </c>
      <c r="AX67" s="1024">
        <f>-250000+250000</f>
        <v>0</v>
      </c>
      <c r="AY67" s="1024">
        <f>79281.3-196685.28+196685.28-250000+170719</f>
        <v>0.29999999998835847</v>
      </c>
      <c r="AZ67" s="1024">
        <f>SUM(AN67:AY67)</f>
        <v>473018.17</v>
      </c>
      <c r="BA67" s="1024">
        <f>-170719+144000-191112.8</f>
        <v>-217831.8</v>
      </c>
      <c r="BB67" s="1024">
        <f>144587.21-144000</f>
        <v>587.20999999999185</v>
      </c>
      <c r="BC67" s="1024"/>
      <c r="BD67" s="1024"/>
      <c r="BE67" s="1024"/>
      <c r="BF67" s="1024">
        <v>129677.16</v>
      </c>
      <c r="BG67" s="1024"/>
      <c r="BH67" s="1024"/>
      <c r="BI67" s="1024"/>
      <c r="BJ67" s="1024"/>
      <c r="BK67" s="1024"/>
      <c r="BL67" s="1076">
        <v>55178.99</v>
      </c>
      <c r="BM67" s="1024">
        <f>SUM(BA67:BL67)</f>
        <v>-32388.439999999995</v>
      </c>
      <c r="BN67" s="1024"/>
      <c r="BO67" s="1024"/>
      <c r="BP67" s="1024"/>
      <c r="BQ67" s="1024"/>
      <c r="BR67" s="1024"/>
      <c r="BS67" s="1093">
        <v>0</v>
      </c>
      <c r="BT67" s="1093">
        <v>0</v>
      </c>
      <c r="BU67" s="1024"/>
      <c r="BV67" s="1024"/>
      <c r="BW67" s="1024"/>
      <c r="BX67" s="1024"/>
      <c r="BY67" s="1024"/>
      <c r="BZ67" s="1029">
        <f>SUM(BN67:BY67)</f>
        <v>0</v>
      </c>
      <c r="CA67" s="1030">
        <f>SUMIF(($M$1:$BZ$1),"Actual",(M67:BZ67))</f>
        <v>703086.8600000001</v>
      </c>
      <c r="CB67" s="1077">
        <f>SUMIF(($M$1:$BZ$1),"Forecast",(M67:BZ67))</f>
        <v>0</v>
      </c>
      <c r="CC67" s="1036">
        <f>+CA67+CB67</f>
        <v>703086.8600000001</v>
      </c>
      <c r="CD67" s="1023">
        <f>+CC67-I67</f>
        <v>-59370.139999999898</v>
      </c>
      <c r="CE67" s="1023">
        <v>771344.86</v>
      </c>
      <c r="CF67" s="1023">
        <f>+CC67-CE67</f>
        <v>-68257.999999999884</v>
      </c>
      <c r="CG67" s="1029"/>
      <c r="CH67" s="972"/>
      <c r="CI67" s="1032">
        <v>403314.72</v>
      </c>
      <c r="CJ67" s="1032" t="s">
        <v>637</v>
      </c>
      <c r="CL67" s="976">
        <v>762456.72</v>
      </c>
      <c r="CM67" s="976">
        <f t="shared" si="56"/>
        <v>59369.85999999987</v>
      </c>
    </row>
    <row r="68" spans="1:91" s="1032" customFormat="1" ht="12.75" customHeight="1">
      <c r="A68" s="996"/>
      <c r="B68" s="1015"/>
      <c r="C68" s="1043" t="s">
        <v>335</v>
      </c>
      <c r="D68" s="1016"/>
      <c r="E68" s="1017"/>
      <c r="F68" s="1018">
        <f>SUBTOTAL(9,F69:F70)</f>
        <v>2597000</v>
      </c>
      <c r="G68" s="1018">
        <f>SUBTOTAL(9,G69:G70)</f>
        <v>2775872.2800000003</v>
      </c>
      <c r="H68" s="1018">
        <f>SUBTOTAL(9,H69:H70)</f>
        <v>0</v>
      </c>
      <c r="I68" s="1018">
        <f>SUBTOTAL(9,I69:I70)</f>
        <v>2775872.2800000003</v>
      </c>
      <c r="J68" s="1033"/>
      <c r="K68" s="1034"/>
      <c r="L68" s="1021"/>
      <c r="M68" s="1036">
        <f t="shared" ref="M68:AR68" si="57">SUBTOTAL(9,M69:M70)</f>
        <v>0</v>
      </c>
      <c r="N68" s="1023">
        <f t="shared" si="57"/>
        <v>0</v>
      </c>
      <c r="O68" s="1024">
        <f t="shared" si="57"/>
        <v>0</v>
      </c>
      <c r="P68" s="1024">
        <f t="shared" si="57"/>
        <v>0</v>
      </c>
      <c r="Q68" s="1024">
        <f t="shared" si="57"/>
        <v>0</v>
      </c>
      <c r="R68" s="1024">
        <f t="shared" si="57"/>
        <v>0</v>
      </c>
      <c r="S68" s="1024">
        <f t="shared" si="57"/>
        <v>0</v>
      </c>
      <c r="T68" s="1024">
        <f t="shared" si="57"/>
        <v>0</v>
      </c>
      <c r="U68" s="1024">
        <f t="shared" si="57"/>
        <v>0</v>
      </c>
      <c r="V68" s="1024">
        <f t="shared" si="57"/>
        <v>0</v>
      </c>
      <c r="W68" s="1024">
        <f t="shared" si="57"/>
        <v>0</v>
      </c>
      <c r="X68" s="1024">
        <f t="shared" si="57"/>
        <v>0</v>
      </c>
      <c r="Y68" s="1024">
        <f t="shared" si="57"/>
        <v>90931.57</v>
      </c>
      <c r="Z68" s="1025">
        <f t="shared" si="57"/>
        <v>90931.57</v>
      </c>
      <c r="AA68" s="1026">
        <f t="shared" si="57"/>
        <v>0</v>
      </c>
      <c r="AB68" s="1027">
        <f t="shared" si="57"/>
        <v>0</v>
      </c>
      <c r="AC68" s="1027">
        <f t="shared" si="57"/>
        <v>0</v>
      </c>
      <c r="AD68" s="1027">
        <f t="shared" si="57"/>
        <v>189877.37</v>
      </c>
      <c r="AE68" s="1027">
        <f t="shared" si="57"/>
        <v>0</v>
      </c>
      <c r="AF68" s="1027">
        <f t="shared" si="57"/>
        <v>10415.349999999999</v>
      </c>
      <c r="AG68" s="1027">
        <f t="shared" si="57"/>
        <v>1073.68</v>
      </c>
      <c r="AH68" s="1028">
        <f t="shared" si="57"/>
        <v>300079.67000000004</v>
      </c>
      <c r="AI68" s="1028">
        <f t="shared" si="57"/>
        <v>722.9</v>
      </c>
      <c r="AJ68" s="1028">
        <f t="shared" si="57"/>
        <v>0</v>
      </c>
      <c r="AK68" s="1028">
        <f t="shared" si="57"/>
        <v>1580.5</v>
      </c>
      <c r="AL68" s="1028">
        <f t="shared" si="57"/>
        <v>451458</v>
      </c>
      <c r="AM68" s="1025">
        <f t="shared" si="57"/>
        <v>955207.47000000009</v>
      </c>
      <c r="AN68" s="1024">
        <f t="shared" si="57"/>
        <v>5297.52</v>
      </c>
      <c r="AO68" s="1024">
        <f t="shared" si="57"/>
        <v>0</v>
      </c>
      <c r="AP68" s="1024">
        <f t="shared" si="57"/>
        <v>175287.48</v>
      </c>
      <c r="AQ68" s="1024">
        <f t="shared" si="57"/>
        <v>-233219.83000000002</v>
      </c>
      <c r="AR68" s="1024">
        <f t="shared" si="57"/>
        <v>-18379</v>
      </c>
      <c r="AS68" s="1024">
        <f t="shared" ref="AS68:BX68" si="58">SUBTOTAL(9,AS69:AS70)</f>
        <v>-17169.93</v>
      </c>
      <c r="AT68" s="1024">
        <f t="shared" si="58"/>
        <v>11749.82</v>
      </c>
      <c r="AU68" s="1024">
        <f t="shared" si="58"/>
        <v>104324.18</v>
      </c>
      <c r="AV68" s="1024">
        <f t="shared" si="58"/>
        <v>50000</v>
      </c>
      <c r="AW68" s="1024">
        <f t="shared" si="58"/>
        <v>42368</v>
      </c>
      <c r="AX68" s="1024">
        <f t="shared" si="58"/>
        <v>57624.5</v>
      </c>
      <c r="AY68" s="1024">
        <f t="shared" si="58"/>
        <v>45996</v>
      </c>
      <c r="AZ68" s="1024">
        <f t="shared" si="58"/>
        <v>223878.74</v>
      </c>
      <c r="BA68" s="1024">
        <f t="shared" si="58"/>
        <v>40904.5</v>
      </c>
      <c r="BB68" s="1024">
        <f t="shared" si="58"/>
        <v>45000</v>
      </c>
      <c r="BC68" s="1024">
        <f t="shared" si="58"/>
        <v>45000</v>
      </c>
      <c r="BD68" s="1024">
        <f t="shared" si="58"/>
        <v>45000</v>
      </c>
      <c r="BE68" s="1024">
        <f t="shared" si="58"/>
        <v>59052</v>
      </c>
      <c r="BF68" s="1024">
        <f t="shared" si="58"/>
        <v>82032</v>
      </c>
      <c r="BG68" s="1024">
        <f t="shared" si="58"/>
        <v>48223</v>
      </c>
      <c r="BH68" s="1024">
        <f t="shared" si="58"/>
        <v>8894.0500000000029</v>
      </c>
      <c r="BI68" s="1024">
        <f t="shared" si="58"/>
        <v>45000</v>
      </c>
      <c r="BJ68" s="1024">
        <f t="shared" si="58"/>
        <v>27839.15</v>
      </c>
      <c r="BK68" s="1024">
        <f t="shared" si="58"/>
        <v>2541.8000000000029</v>
      </c>
      <c r="BL68" s="1024">
        <f t="shared" si="58"/>
        <v>48135.35</v>
      </c>
      <c r="BM68" s="1024">
        <f t="shared" si="58"/>
        <v>497621.85</v>
      </c>
      <c r="BN68" s="1024">
        <f t="shared" si="58"/>
        <v>5396</v>
      </c>
      <c r="BO68" s="1024">
        <f t="shared" si="58"/>
        <v>23337.7</v>
      </c>
      <c r="BP68" s="1024">
        <f t="shared" si="58"/>
        <v>25000</v>
      </c>
      <c r="BQ68" s="1024">
        <f t="shared" si="58"/>
        <v>11093</v>
      </c>
      <c r="BR68" s="1024">
        <f t="shared" si="58"/>
        <v>0</v>
      </c>
      <c r="BS68" s="1024">
        <f t="shared" si="58"/>
        <v>0</v>
      </c>
      <c r="BT68" s="1024">
        <f t="shared" si="58"/>
        <v>0</v>
      </c>
      <c r="BU68" s="1024">
        <f t="shared" si="58"/>
        <v>0</v>
      </c>
      <c r="BV68" s="1024">
        <f t="shared" si="58"/>
        <v>0</v>
      </c>
      <c r="BW68" s="1024">
        <f t="shared" si="58"/>
        <v>0</v>
      </c>
      <c r="BX68" s="1024">
        <f t="shared" si="58"/>
        <v>0</v>
      </c>
      <c r="BY68" s="1024">
        <f t="shared" ref="BY68:CF68" si="59">SUBTOTAL(9,BY69:BY70)</f>
        <v>0</v>
      </c>
      <c r="BZ68" s="1029">
        <f t="shared" si="59"/>
        <v>64826.7</v>
      </c>
      <c r="CA68" s="1030">
        <f t="shared" si="59"/>
        <v>1832466.33</v>
      </c>
      <c r="CB68" s="1024">
        <f t="shared" si="59"/>
        <v>0</v>
      </c>
      <c r="CC68" s="1023">
        <f t="shared" si="59"/>
        <v>1832466.33</v>
      </c>
      <c r="CD68" s="1023">
        <f t="shared" si="59"/>
        <v>-943405.95000000007</v>
      </c>
      <c r="CE68" s="1023">
        <f t="shared" si="59"/>
        <v>1949288.9300000002</v>
      </c>
      <c r="CF68" s="1023">
        <f t="shared" si="59"/>
        <v>-116822.59999999998</v>
      </c>
      <c r="CG68" s="1029"/>
      <c r="CH68" s="972"/>
      <c r="CL68" s="1037">
        <f>SUBTOTAL(9,CL69:CL70)</f>
        <v>2793504.2534782621</v>
      </c>
      <c r="CM68" s="976">
        <f t="shared" si="56"/>
        <v>961037.92347826203</v>
      </c>
    </row>
    <row r="69" spans="1:91" s="1032" customFormat="1" ht="12.75" customHeight="1" outlineLevel="1">
      <c r="A69" s="996"/>
      <c r="B69" s="1015"/>
      <c r="C69" s="1078" t="s">
        <v>638</v>
      </c>
      <c r="D69" s="1016"/>
      <c r="E69" s="1017"/>
      <c r="F69" s="1018">
        <v>847000</v>
      </c>
      <c r="G69" s="1018">
        <v>933093.19</v>
      </c>
      <c r="H69" s="1018"/>
      <c r="I69" s="1018">
        <v>933093.19</v>
      </c>
      <c r="J69" s="1033">
        <v>6400003043</v>
      </c>
      <c r="K69" s="1034">
        <v>974848</v>
      </c>
      <c r="L69" s="1035" t="s">
        <v>310</v>
      </c>
      <c r="M69" s="1036">
        <v>0</v>
      </c>
      <c r="N69" s="1023">
        <v>0</v>
      </c>
      <c r="O69" s="1024">
        <v>0</v>
      </c>
      <c r="P69" s="1024">
        <v>0</v>
      </c>
      <c r="Q69" s="1024">
        <v>0</v>
      </c>
      <c r="R69" s="1024">
        <v>0</v>
      </c>
      <c r="S69" s="1024">
        <v>0</v>
      </c>
      <c r="T69" s="1024">
        <v>0</v>
      </c>
      <c r="U69" s="1024">
        <v>0</v>
      </c>
      <c r="V69" s="1024">
        <v>0</v>
      </c>
      <c r="W69" s="1024">
        <v>0</v>
      </c>
      <c r="X69" s="1024">
        <v>0</v>
      </c>
      <c r="Y69" s="1024"/>
      <c r="Z69" s="1025">
        <f>SUM(N69:Y69)</f>
        <v>0</v>
      </c>
      <c r="AA69" s="1026">
        <v>0</v>
      </c>
      <c r="AB69" s="1027">
        <v>0</v>
      </c>
      <c r="AC69" s="1027">
        <v>0</v>
      </c>
      <c r="AD69" s="1027">
        <f>94493+22789.63+72594.74</f>
        <v>189877.37</v>
      </c>
      <c r="AE69" s="1027">
        <v>0</v>
      </c>
      <c r="AF69" s="1027"/>
      <c r="AG69" s="1027"/>
      <c r="AH69" s="1028">
        <f>41089.98+26244.83+45203.8-3921.79+132401.26+59061.59</f>
        <v>300079.67000000004</v>
      </c>
      <c r="AI69" s="1028"/>
      <c r="AJ69" s="1028">
        <v>0</v>
      </c>
      <c r="AK69" s="1028"/>
      <c r="AL69" s="1028">
        <f>451458</f>
        <v>451458</v>
      </c>
      <c r="AM69" s="1025">
        <f>SUM(AA69:AL69)</f>
        <v>941415.04</v>
      </c>
      <c r="AN69" s="1024">
        <f>-451458+451458</f>
        <v>0</v>
      </c>
      <c r="AO69" s="1024">
        <f>-451458+451458</f>
        <v>0</v>
      </c>
      <c r="AP69" s="1024">
        <f>42366.15-451458+400770</f>
        <v>-8321.8499999999767</v>
      </c>
      <c r="AQ69" s="1024"/>
      <c r="AR69" s="1024"/>
      <c r="AS69" s="1024"/>
      <c r="AT69" s="1024"/>
      <c r="AU69" s="1024"/>
      <c r="AV69" s="1024"/>
      <c r="AW69" s="1024"/>
      <c r="AX69" s="1024"/>
      <c r="AY69" s="1024"/>
      <c r="AZ69" s="1024">
        <f>SUM(AN69:AY69)</f>
        <v>-8321.8499999999767</v>
      </c>
      <c r="BA69" s="1024"/>
      <c r="BB69" s="1024"/>
      <c r="BC69" s="1024"/>
      <c r="BD69" s="1024"/>
      <c r="BE69" s="1024"/>
      <c r="BF69" s="1024"/>
      <c r="BG69" s="1024"/>
      <c r="BH69" s="1024"/>
      <c r="BI69" s="1024"/>
      <c r="BJ69" s="1024"/>
      <c r="BK69" s="1024"/>
      <c r="BL69" s="1024"/>
      <c r="BM69" s="1024">
        <f>SUM(BA69:BL69)</f>
        <v>0</v>
      </c>
      <c r="BN69" s="1024"/>
      <c r="BO69" s="1024"/>
      <c r="BP69" s="1024"/>
      <c r="BQ69" s="1024"/>
      <c r="BR69" s="1024"/>
      <c r="BS69" s="1024"/>
      <c r="BT69" s="1024"/>
      <c r="BU69" s="1024"/>
      <c r="BV69" s="1024"/>
      <c r="BW69" s="1024"/>
      <c r="BX69" s="1024"/>
      <c r="BY69" s="1024"/>
      <c r="BZ69" s="1029">
        <f>SUM(BN69:BY69)</f>
        <v>0</v>
      </c>
      <c r="CA69" s="1030">
        <f>SUMIF(($M$1:$BZ$1),"Actual",(M69:BZ69))</f>
        <v>933093.19000000006</v>
      </c>
      <c r="CB69" s="1024">
        <f>SUMIF(($M$1:$BZ$1),"Forecast",(M69:BZ69))</f>
        <v>0</v>
      </c>
      <c r="CC69" s="1036">
        <f>+CA69+CB69</f>
        <v>933093.19000000006</v>
      </c>
      <c r="CD69" s="1023">
        <f>+CC69-I69</f>
        <v>0</v>
      </c>
      <c r="CE69" s="1023">
        <v>933093.19000000006</v>
      </c>
      <c r="CF69" s="1023">
        <f>+CC69-CE69</f>
        <v>0</v>
      </c>
      <c r="CG69" s="1029"/>
      <c r="CH69" s="972"/>
      <c r="CL69" s="976">
        <v>933093.19</v>
      </c>
      <c r="CM69" s="976">
        <f t="shared" si="56"/>
        <v>0</v>
      </c>
    </row>
    <row r="70" spans="1:91" s="1032" customFormat="1" ht="12.75" customHeight="1" outlineLevel="1">
      <c r="A70" s="996"/>
      <c r="B70" s="1015"/>
      <c r="C70" s="1078" t="s">
        <v>639</v>
      </c>
      <c r="D70" s="1016"/>
      <c r="E70" s="1017"/>
      <c r="F70" s="1018">
        <v>1750000</v>
      </c>
      <c r="G70" s="1018">
        <v>1842779.09</v>
      </c>
      <c r="H70" s="1018"/>
      <c r="I70" s="1018">
        <v>1842779.09</v>
      </c>
      <c r="J70" s="1033">
        <v>6400002523</v>
      </c>
      <c r="K70" s="1034">
        <v>3200000</v>
      </c>
      <c r="L70" s="1035" t="s">
        <v>310</v>
      </c>
      <c r="M70" s="1036">
        <v>0</v>
      </c>
      <c r="N70" s="1023">
        <v>0</v>
      </c>
      <c r="O70" s="1024">
        <v>0</v>
      </c>
      <c r="P70" s="1024">
        <v>0</v>
      </c>
      <c r="Q70" s="1024">
        <v>0</v>
      </c>
      <c r="R70" s="1024">
        <v>0</v>
      </c>
      <c r="S70" s="1024">
        <v>0</v>
      </c>
      <c r="T70" s="1024">
        <v>0</v>
      </c>
      <c r="U70" s="1024">
        <v>0</v>
      </c>
      <c r="V70" s="1024">
        <v>0</v>
      </c>
      <c r="W70" s="1024">
        <v>0</v>
      </c>
      <c r="X70" s="1024">
        <v>0</v>
      </c>
      <c r="Y70" s="1024">
        <f>84975.35+5956.22</f>
        <v>90931.57</v>
      </c>
      <c r="Z70" s="1025">
        <f>SUM(N70:Y70)</f>
        <v>90931.57</v>
      </c>
      <c r="AA70" s="1026">
        <v>0</v>
      </c>
      <c r="AB70" s="1027">
        <v>0</v>
      </c>
      <c r="AC70" s="1027">
        <v>0</v>
      </c>
      <c r="AD70" s="1027"/>
      <c r="AE70" s="1027"/>
      <c r="AF70" s="1027">
        <f>3296.64+1534.32+1863.69+3720.7</f>
        <v>10415.349999999999</v>
      </c>
      <c r="AG70" s="1027">
        <v>1073.68</v>
      </c>
      <c r="AH70" s="1028"/>
      <c r="AI70" s="1028">
        <v>722.9</v>
      </c>
      <c r="AJ70" s="1028"/>
      <c r="AK70" s="1028">
        <v>1580.5</v>
      </c>
      <c r="AL70" s="1028"/>
      <c r="AM70" s="1025">
        <f>SUM(AA70:AL70)</f>
        <v>13792.429999999998</v>
      </c>
      <c r="AN70" s="1024">
        <v>5297.52</v>
      </c>
      <c r="AO70" s="1024"/>
      <c r="AP70" s="1024">
        <f>3340.64+4982.1+35640+25208+5260.04+37949+43149.55+28080</f>
        <v>183609.33</v>
      </c>
      <c r="AQ70" s="1024">
        <f>27550.17-400770+140000</f>
        <v>-233219.83000000002</v>
      </c>
      <c r="AR70" s="1024">
        <f>45621-140000+76000</f>
        <v>-18379</v>
      </c>
      <c r="AS70" s="1024">
        <f>58830.07-76000</f>
        <v>-17169.93</v>
      </c>
      <c r="AT70" s="1024">
        <f>-38250.18+50000</f>
        <v>11749.82</v>
      </c>
      <c r="AU70" s="1024">
        <f>104324.18-50000+50000</f>
        <v>104324.18</v>
      </c>
      <c r="AV70" s="1024">
        <f>-50000+50000+50000</f>
        <v>50000</v>
      </c>
      <c r="AW70" s="1024">
        <f>42368-50000-50000+100000</f>
        <v>42368</v>
      </c>
      <c r="AX70" s="1024">
        <f>57624.5-100000+100000</f>
        <v>57624.5</v>
      </c>
      <c r="AY70" s="1076">
        <v>45996</v>
      </c>
      <c r="AZ70" s="1024">
        <f>SUM(AN70:AY70)</f>
        <v>232200.58999999997</v>
      </c>
      <c r="BA70" s="1024">
        <f>90904.5-100000+50000</f>
        <v>40904.5</v>
      </c>
      <c r="BB70" s="1024">
        <f>-50000+50000+45000</f>
        <v>45000</v>
      </c>
      <c r="BC70" s="1024">
        <f>-50000-45000+50000+45000+45000</f>
        <v>45000</v>
      </c>
      <c r="BD70" s="1024">
        <f>-140000+185000</f>
        <v>45000</v>
      </c>
      <c r="BE70" s="1024">
        <f>104052-185000+140000</f>
        <v>59052</v>
      </c>
      <c r="BF70" s="1024">
        <f>37058+49974-140000+135000</f>
        <v>82032</v>
      </c>
      <c r="BG70" s="1024">
        <f>48223-135000+135000</f>
        <v>48223</v>
      </c>
      <c r="BH70" s="1024">
        <f>98894.05-135000+45000</f>
        <v>8894.0500000000029</v>
      </c>
      <c r="BI70" s="1024">
        <f>-45000+90000</f>
        <v>45000</v>
      </c>
      <c r="BJ70" s="1024">
        <f>47839.15-90000+70000</f>
        <v>27839.15</v>
      </c>
      <c r="BK70" s="1024">
        <f>47541.8-70000+25000</f>
        <v>2541.8000000000029</v>
      </c>
      <c r="BL70" s="1076">
        <f>23135.35-25000+50000</f>
        <v>48135.35</v>
      </c>
      <c r="BM70" s="1024">
        <f>SUM(BA70:BL70)</f>
        <v>497621.85</v>
      </c>
      <c r="BN70" s="1024">
        <f>-50000+50000+5396</f>
        <v>5396</v>
      </c>
      <c r="BO70" s="1024">
        <v>23337.7</v>
      </c>
      <c r="BP70" s="1024">
        <f>-50000+75000</f>
        <v>25000</v>
      </c>
      <c r="BQ70" s="1093">
        <f>(38311.6-75000+50000)*(25/30)</f>
        <v>11093</v>
      </c>
      <c r="BR70" s="1093">
        <v>0</v>
      </c>
      <c r="BS70" s="1093">
        <v>0</v>
      </c>
      <c r="BT70" s="1093">
        <v>0</v>
      </c>
      <c r="BU70" s="1093"/>
      <c r="BV70" s="1024"/>
      <c r="BW70" s="1024"/>
      <c r="BX70" s="1024"/>
      <c r="BY70" s="1024"/>
      <c r="BZ70" s="1029">
        <f>SUM(BN70:BY70)</f>
        <v>64826.7</v>
      </c>
      <c r="CA70" s="1030">
        <f>SUMIF(($M$1:$BZ$1),"Actual",(M70:BZ70))</f>
        <v>899373.14</v>
      </c>
      <c r="CB70" s="1024">
        <f>SUMIF(($M$1:$BZ$1),"Forecast",(M70:BZ70))</f>
        <v>0</v>
      </c>
      <c r="CC70" s="1036">
        <f>+CA70+CB70</f>
        <v>899373.14</v>
      </c>
      <c r="CD70" s="1023">
        <f>+CC70-I70</f>
        <v>-943405.95000000007</v>
      </c>
      <c r="CE70" s="1023">
        <v>1016195.74</v>
      </c>
      <c r="CF70" s="1023">
        <f>+CC70-CE70</f>
        <v>-116822.59999999998</v>
      </c>
      <c r="CG70" s="1029"/>
      <c r="CH70" s="972"/>
      <c r="CI70" s="1032">
        <v>1701454</v>
      </c>
      <c r="CJ70" s="1032">
        <f>+CI70-CC70</f>
        <v>802080.86</v>
      </c>
      <c r="CK70" s="1032" t="s">
        <v>640</v>
      </c>
      <c r="CL70" s="976">
        <v>1860411.0634782622</v>
      </c>
      <c r="CM70" s="976">
        <f t="shared" si="56"/>
        <v>961037.92347826215</v>
      </c>
    </row>
    <row r="71" spans="1:91" s="1032" customFormat="1" ht="12.75" customHeight="1">
      <c r="A71" s="996"/>
      <c r="B71" s="1015"/>
      <c r="C71" s="1043" t="s">
        <v>629</v>
      </c>
      <c r="D71" s="1016"/>
      <c r="E71" s="1017"/>
      <c r="F71" s="1018">
        <f>SUBTOTAL(9,F72:F73)</f>
        <v>0</v>
      </c>
      <c r="G71" s="1018">
        <f>SUBTOTAL(9,G72:G73)</f>
        <v>18542.04</v>
      </c>
      <c r="H71" s="1018">
        <f>SUBTOTAL(9,H72:H73)</f>
        <v>0</v>
      </c>
      <c r="I71" s="1018">
        <f>SUBTOTAL(9,I72:I73)</f>
        <v>18542.04</v>
      </c>
      <c r="J71" s="1033"/>
      <c r="K71" s="1034"/>
      <c r="L71" s="1021"/>
      <c r="M71" s="1036">
        <f t="shared" ref="M71:AR71" si="60">SUBTOTAL(9,M72:M73)</f>
        <v>0</v>
      </c>
      <c r="N71" s="1023">
        <f t="shared" si="60"/>
        <v>0</v>
      </c>
      <c r="O71" s="1024">
        <f t="shared" si="60"/>
        <v>0</v>
      </c>
      <c r="P71" s="1024">
        <f t="shared" si="60"/>
        <v>0</v>
      </c>
      <c r="Q71" s="1024">
        <f t="shared" si="60"/>
        <v>0</v>
      </c>
      <c r="R71" s="1024">
        <f t="shared" si="60"/>
        <v>0</v>
      </c>
      <c r="S71" s="1024">
        <f t="shared" si="60"/>
        <v>0</v>
      </c>
      <c r="T71" s="1024">
        <f t="shared" si="60"/>
        <v>0</v>
      </c>
      <c r="U71" s="1024">
        <f t="shared" si="60"/>
        <v>0</v>
      </c>
      <c r="V71" s="1024">
        <f t="shared" si="60"/>
        <v>0</v>
      </c>
      <c r="W71" s="1024">
        <f t="shared" si="60"/>
        <v>0</v>
      </c>
      <c r="X71" s="1024">
        <f t="shared" si="60"/>
        <v>0</v>
      </c>
      <c r="Y71" s="1024">
        <f t="shared" si="60"/>
        <v>0</v>
      </c>
      <c r="Z71" s="1025">
        <f t="shared" si="60"/>
        <v>0</v>
      </c>
      <c r="AA71" s="1026">
        <f t="shared" si="60"/>
        <v>0</v>
      </c>
      <c r="AB71" s="1027">
        <f t="shared" si="60"/>
        <v>0</v>
      </c>
      <c r="AC71" s="1027">
        <f t="shared" si="60"/>
        <v>0</v>
      </c>
      <c r="AD71" s="1027">
        <f t="shared" si="60"/>
        <v>0</v>
      </c>
      <c r="AE71" s="1027">
        <f t="shared" si="60"/>
        <v>0</v>
      </c>
      <c r="AF71" s="1027">
        <f t="shared" si="60"/>
        <v>0</v>
      </c>
      <c r="AG71" s="1027">
        <f t="shared" si="60"/>
        <v>0</v>
      </c>
      <c r="AH71" s="1028">
        <f t="shared" si="60"/>
        <v>0</v>
      </c>
      <c r="AI71" s="1028">
        <f t="shared" si="60"/>
        <v>0</v>
      </c>
      <c r="AJ71" s="1028">
        <f t="shared" si="60"/>
        <v>0</v>
      </c>
      <c r="AK71" s="1028">
        <f t="shared" si="60"/>
        <v>0</v>
      </c>
      <c r="AL71" s="1028">
        <f t="shared" si="60"/>
        <v>18542.04</v>
      </c>
      <c r="AM71" s="1025">
        <f t="shared" si="60"/>
        <v>18542.04</v>
      </c>
      <c r="AN71" s="1024">
        <f t="shared" si="60"/>
        <v>0</v>
      </c>
      <c r="AO71" s="1024">
        <f t="shared" si="60"/>
        <v>0</v>
      </c>
      <c r="AP71" s="1024">
        <f t="shared" si="60"/>
        <v>0</v>
      </c>
      <c r="AQ71" s="1024">
        <f t="shared" si="60"/>
        <v>0</v>
      </c>
      <c r="AR71" s="1024">
        <f t="shared" si="60"/>
        <v>0</v>
      </c>
      <c r="AS71" s="1024">
        <f t="shared" ref="AS71:BX71" si="61">SUBTOTAL(9,AS72:AS73)</f>
        <v>0</v>
      </c>
      <c r="AT71" s="1024">
        <f t="shared" si="61"/>
        <v>0</v>
      </c>
      <c r="AU71" s="1024">
        <f t="shared" si="61"/>
        <v>0</v>
      </c>
      <c r="AV71" s="1024">
        <f t="shared" si="61"/>
        <v>0</v>
      </c>
      <c r="AW71" s="1024">
        <f t="shared" si="61"/>
        <v>0</v>
      </c>
      <c r="AX71" s="1024">
        <f t="shared" si="61"/>
        <v>0</v>
      </c>
      <c r="AY71" s="1024">
        <f t="shared" si="61"/>
        <v>0</v>
      </c>
      <c r="AZ71" s="1024">
        <f t="shared" si="61"/>
        <v>0</v>
      </c>
      <c r="BA71" s="1024">
        <f t="shared" si="61"/>
        <v>0</v>
      </c>
      <c r="BB71" s="1024">
        <f t="shared" si="61"/>
        <v>0</v>
      </c>
      <c r="BC71" s="1024">
        <f t="shared" si="61"/>
        <v>0</v>
      </c>
      <c r="BD71" s="1024">
        <f t="shared" si="61"/>
        <v>0</v>
      </c>
      <c r="BE71" s="1024">
        <f t="shared" si="61"/>
        <v>0</v>
      </c>
      <c r="BF71" s="1024">
        <f t="shared" si="61"/>
        <v>0</v>
      </c>
      <c r="BG71" s="1024">
        <f t="shared" si="61"/>
        <v>0</v>
      </c>
      <c r="BH71" s="1024">
        <f t="shared" si="61"/>
        <v>0</v>
      </c>
      <c r="BI71" s="1024">
        <f t="shared" si="61"/>
        <v>0</v>
      </c>
      <c r="BJ71" s="1024">
        <f t="shared" si="61"/>
        <v>0</v>
      </c>
      <c r="BK71" s="1024">
        <f t="shared" si="61"/>
        <v>0</v>
      </c>
      <c r="BL71" s="1024">
        <f t="shared" si="61"/>
        <v>0</v>
      </c>
      <c r="BM71" s="1024">
        <f t="shared" si="61"/>
        <v>0</v>
      </c>
      <c r="BN71" s="1024">
        <f t="shared" si="61"/>
        <v>0</v>
      </c>
      <c r="BO71" s="1024">
        <f t="shared" si="61"/>
        <v>0</v>
      </c>
      <c r="BP71" s="1024">
        <f t="shared" si="61"/>
        <v>0</v>
      </c>
      <c r="BQ71" s="1024">
        <f t="shared" si="61"/>
        <v>0</v>
      </c>
      <c r="BR71" s="1024">
        <f t="shared" si="61"/>
        <v>0</v>
      </c>
      <c r="BS71" s="1024">
        <f t="shared" si="61"/>
        <v>0</v>
      </c>
      <c r="BT71" s="1024">
        <f t="shared" si="61"/>
        <v>0</v>
      </c>
      <c r="BU71" s="1024">
        <f t="shared" si="61"/>
        <v>0</v>
      </c>
      <c r="BV71" s="1024">
        <f t="shared" si="61"/>
        <v>0</v>
      </c>
      <c r="BW71" s="1024">
        <f t="shared" si="61"/>
        <v>0</v>
      </c>
      <c r="BX71" s="1024">
        <f t="shared" si="61"/>
        <v>0</v>
      </c>
      <c r="BY71" s="1024">
        <f t="shared" ref="BY71:CF71" si="62">SUBTOTAL(9,BY72:BY73)</f>
        <v>0</v>
      </c>
      <c r="BZ71" s="1029">
        <f t="shared" si="62"/>
        <v>0</v>
      </c>
      <c r="CA71" s="1030">
        <f t="shared" si="62"/>
        <v>18542.04</v>
      </c>
      <c r="CB71" s="1024">
        <f t="shared" si="62"/>
        <v>0</v>
      </c>
      <c r="CC71" s="1023">
        <f t="shared" si="62"/>
        <v>18542.04</v>
      </c>
      <c r="CD71" s="1023">
        <f t="shared" si="62"/>
        <v>0</v>
      </c>
      <c r="CE71" s="1023">
        <f t="shared" si="62"/>
        <v>18542.04</v>
      </c>
      <c r="CF71" s="1023">
        <f t="shared" si="62"/>
        <v>0</v>
      </c>
      <c r="CG71" s="1029"/>
      <c r="CH71" s="972"/>
      <c r="CL71" s="1037">
        <f>SUBTOTAL(9,CL72:CL73)</f>
        <v>18542.04</v>
      </c>
      <c r="CM71" s="976">
        <f t="shared" si="56"/>
        <v>0</v>
      </c>
    </row>
    <row r="72" spans="1:91" s="1032" customFormat="1" ht="12.75" customHeight="1" outlineLevel="1">
      <c r="A72" s="996"/>
      <c r="B72" s="1015"/>
      <c r="C72" s="1078" t="s">
        <v>638</v>
      </c>
      <c r="D72" s="1016"/>
      <c r="E72" s="1017"/>
      <c r="F72" s="1018"/>
      <c r="G72" s="1018">
        <v>0</v>
      </c>
      <c r="H72" s="1018"/>
      <c r="I72" s="1018">
        <v>0</v>
      </c>
      <c r="J72" s="1033">
        <v>4600003649</v>
      </c>
      <c r="K72" s="1034">
        <v>1300000</v>
      </c>
      <c r="L72" s="1035" t="s">
        <v>326</v>
      </c>
      <c r="M72" s="1036"/>
      <c r="N72" s="1023">
        <v>0</v>
      </c>
      <c r="O72" s="1024">
        <v>0</v>
      </c>
      <c r="P72" s="1024">
        <v>0</v>
      </c>
      <c r="Q72" s="1024">
        <v>0</v>
      </c>
      <c r="R72" s="1024">
        <v>0</v>
      </c>
      <c r="S72" s="1024">
        <v>0</v>
      </c>
      <c r="T72" s="1024">
        <v>0</v>
      </c>
      <c r="U72" s="1024">
        <v>0</v>
      </c>
      <c r="V72" s="1024">
        <v>0</v>
      </c>
      <c r="W72" s="1024">
        <v>0</v>
      </c>
      <c r="X72" s="1024">
        <v>0</v>
      </c>
      <c r="Y72" s="1024">
        <v>0</v>
      </c>
      <c r="Z72" s="1025">
        <f>SUM(N72:Y72)</f>
        <v>0</v>
      </c>
      <c r="AA72" s="1026">
        <v>0</v>
      </c>
      <c r="AB72" s="1027">
        <v>0</v>
      </c>
      <c r="AC72" s="1027">
        <v>0</v>
      </c>
      <c r="AD72" s="1027">
        <v>0</v>
      </c>
      <c r="AE72" s="1027">
        <v>0</v>
      </c>
      <c r="AF72" s="1027">
        <v>0</v>
      </c>
      <c r="AG72" s="1027">
        <v>0</v>
      </c>
      <c r="AH72" s="1028">
        <v>0</v>
      </c>
      <c r="AI72" s="1028">
        <v>0</v>
      </c>
      <c r="AJ72" s="1028">
        <v>0</v>
      </c>
      <c r="AK72" s="1028">
        <v>0</v>
      </c>
      <c r="AL72" s="1028">
        <v>0</v>
      </c>
      <c r="AM72" s="1025">
        <f>SUM(AA72:AL72)</f>
        <v>0</v>
      </c>
      <c r="AN72" s="1024"/>
      <c r="AO72" s="1024"/>
      <c r="AP72" s="1024"/>
      <c r="AQ72" s="1024"/>
      <c r="AR72" s="1024"/>
      <c r="AS72" s="1024"/>
      <c r="AT72" s="1024"/>
      <c r="AU72" s="1024"/>
      <c r="AV72" s="1024"/>
      <c r="AW72" s="1024"/>
      <c r="AX72" s="1024"/>
      <c r="AY72" s="1024"/>
      <c r="AZ72" s="1024">
        <f>SUM(AN72:AY72)</f>
        <v>0</v>
      </c>
      <c r="BA72" s="1024"/>
      <c r="BB72" s="1024"/>
      <c r="BC72" s="1024"/>
      <c r="BD72" s="1024"/>
      <c r="BE72" s="1024"/>
      <c r="BF72" s="1024"/>
      <c r="BG72" s="1024"/>
      <c r="BH72" s="1024"/>
      <c r="BI72" s="1024"/>
      <c r="BJ72" s="1024"/>
      <c r="BK72" s="1024"/>
      <c r="BL72" s="1024"/>
      <c r="BM72" s="1024">
        <f>SUM(BA72:BL72)</f>
        <v>0</v>
      </c>
      <c r="BN72" s="1024"/>
      <c r="BO72" s="1024"/>
      <c r="BP72" s="1024"/>
      <c r="BQ72" s="1024"/>
      <c r="BR72" s="1024"/>
      <c r="BS72" s="1024"/>
      <c r="BT72" s="1024"/>
      <c r="BU72" s="1024"/>
      <c r="BV72" s="1024"/>
      <c r="BW72" s="1024"/>
      <c r="BX72" s="1024"/>
      <c r="BY72" s="1024"/>
      <c r="BZ72" s="1029">
        <f>SUM(BN72:BY72)</f>
        <v>0</v>
      </c>
      <c r="CA72" s="1030">
        <f>SUMIF(($M$1:$BZ$1),"Actual",(M72:BZ72))</f>
        <v>0</v>
      </c>
      <c r="CB72" s="1024">
        <f>SUMIF(($M$1:$BZ$1),"Forecast",(M72:BZ72))</f>
        <v>0</v>
      </c>
      <c r="CC72" s="1036">
        <f>+CA72+CB72</f>
        <v>0</v>
      </c>
      <c r="CD72" s="1023">
        <f>+CC72-I72</f>
        <v>0</v>
      </c>
      <c r="CE72" s="1023">
        <v>0</v>
      </c>
      <c r="CF72" s="1023">
        <f>+CC72-CE72</f>
        <v>0</v>
      </c>
      <c r="CG72" s="1029"/>
      <c r="CH72" s="972"/>
      <c r="CL72" s="976">
        <v>0</v>
      </c>
      <c r="CM72" s="976">
        <f t="shared" si="56"/>
        <v>0</v>
      </c>
    </row>
    <row r="73" spans="1:91" s="1032" customFormat="1" ht="12.75" customHeight="1" outlineLevel="1">
      <c r="A73" s="996"/>
      <c r="B73" s="1015"/>
      <c r="C73" s="1078" t="s">
        <v>638</v>
      </c>
      <c r="D73" s="1016"/>
      <c r="E73" s="1017"/>
      <c r="F73" s="1018"/>
      <c r="G73" s="1018">
        <v>18542.04</v>
      </c>
      <c r="H73" s="1018"/>
      <c r="I73" s="1018">
        <v>18542.04</v>
      </c>
      <c r="J73" s="1033">
        <v>4600005441</v>
      </c>
      <c r="K73" s="1034">
        <v>466349</v>
      </c>
      <c r="L73" s="1021" t="s">
        <v>310</v>
      </c>
      <c r="M73" s="1036"/>
      <c r="N73" s="1023">
        <v>0</v>
      </c>
      <c r="O73" s="1024">
        <v>0</v>
      </c>
      <c r="P73" s="1024">
        <v>0</v>
      </c>
      <c r="Q73" s="1024">
        <v>0</v>
      </c>
      <c r="R73" s="1024">
        <v>0</v>
      </c>
      <c r="S73" s="1024">
        <v>0</v>
      </c>
      <c r="T73" s="1024">
        <v>0</v>
      </c>
      <c r="U73" s="1024">
        <v>0</v>
      </c>
      <c r="V73" s="1024">
        <v>0</v>
      </c>
      <c r="W73" s="1024">
        <v>0</v>
      </c>
      <c r="X73" s="1024">
        <v>0</v>
      </c>
      <c r="Y73" s="1024">
        <v>0</v>
      </c>
      <c r="Z73" s="1025">
        <f>SUM(N73:Y73)</f>
        <v>0</v>
      </c>
      <c r="AA73" s="1026">
        <v>0</v>
      </c>
      <c r="AB73" s="1027">
        <v>0</v>
      </c>
      <c r="AC73" s="1027">
        <v>0</v>
      </c>
      <c r="AD73" s="1027">
        <v>0</v>
      </c>
      <c r="AE73" s="1027">
        <v>0</v>
      </c>
      <c r="AF73" s="1027">
        <v>0</v>
      </c>
      <c r="AG73" s="1027">
        <v>0</v>
      </c>
      <c r="AH73" s="1028">
        <v>0</v>
      </c>
      <c r="AI73" s="1028">
        <v>0</v>
      </c>
      <c r="AJ73" s="1028">
        <v>0</v>
      </c>
      <c r="AK73" s="1028">
        <v>0</v>
      </c>
      <c r="AL73" s="1028">
        <v>18542.04</v>
      </c>
      <c r="AM73" s="1025">
        <f>SUM(AA73:AL73)</f>
        <v>18542.04</v>
      </c>
      <c r="AN73" s="1024"/>
      <c r="AO73" s="1024"/>
      <c r="AP73" s="1024"/>
      <c r="AQ73" s="1024"/>
      <c r="AR73" s="1024"/>
      <c r="AS73" s="1024"/>
      <c r="AT73" s="1024"/>
      <c r="AU73" s="1024"/>
      <c r="AV73" s="1024"/>
      <c r="AW73" s="1024"/>
      <c r="AX73" s="1024"/>
      <c r="AY73" s="1024"/>
      <c r="AZ73" s="1024">
        <f>SUM(AN73:AY73)</f>
        <v>0</v>
      </c>
      <c r="BA73" s="1024"/>
      <c r="BB73" s="1024"/>
      <c r="BC73" s="1024"/>
      <c r="BD73" s="1024"/>
      <c r="BE73" s="1024"/>
      <c r="BF73" s="1024"/>
      <c r="BG73" s="1024"/>
      <c r="BH73" s="1024"/>
      <c r="BI73" s="1024"/>
      <c r="BJ73" s="1024"/>
      <c r="BK73" s="1024"/>
      <c r="BL73" s="1024"/>
      <c r="BM73" s="1024">
        <f>SUM(BA73:BL73)</f>
        <v>0</v>
      </c>
      <c r="BN73" s="1024"/>
      <c r="BO73" s="1024"/>
      <c r="BP73" s="1024"/>
      <c r="BQ73" s="1024"/>
      <c r="BR73" s="1024"/>
      <c r="BS73" s="1024"/>
      <c r="BT73" s="1024"/>
      <c r="BU73" s="1024"/>
      <c r="BV73" s="1024"/>
      <c r="BW73" s="1024"/>
      <c r="BX73" s="1024"/>
      <c r="BY73" s="1024"/>
      <c r="BZ73" s="1029">
        <f>SUM(BN73:BY73)</f>
        <v>0</v>
      </c>
      <c r="CA73" s="1030">
        <f>SUMIF(($M$1:$BZ$1),"Actual",(M73:BZ73))</f>
        <v>18542.04</v>
      </c>
      <c r="CB73" s="1024">
        <f>SUMIF(($M$1:$BZ$1),"Forecast",(M73:BZ73))</f>
        <v>0</v>
      </c>
      <c r="CC73" s="1036">
        <f>+CA73+CB73</f>
        <v>18542.04</v>
      </c>
      <c r="CD73" s="1023">
        <f>+CC73-I73</f>
        <v>0</v>
      </c>
      <c r="CE73" s="1023">
        <v>18542.04</v>
      </c>
      <c r="CF73" s="1023">
        <f>+CC73-CE73</f>
        <v>0</v>
      </c>
      <c r="CG73" s="1029"/>
      <c r="CH73" s="972"/>
      <c r="CL73" s="976">
        <v>18542.04</v>
      </c>
      <c r="CM73" s="976">
        <f t="shared" si="56"/>
        <v>0</v>
      </c>
    </row>
    <row r="74" spans="1:91" s="1032" customFormat="1" ht="12.75" customHeight="1">
      <c r="A74" s="996"/>
      <c r="B74" s="1015"/>
      <c r="C74" s="1043" t="s">
        <v>630</v>
      </c>
      <c r="D74" s="1016"/>
      <c r="E74" s="1017"/>
      <c r="F74" s="1018">
        <f>SUBTOTAL(9,F75:F76)</f>
        <v>0</v>
      </c>
      <c r="G74" s="1018">
        <f>SUBTOTAL(9,G75:G76)</f>
        <v>5237.51</v>
      </c>
      <c r="H74" s="1018">
        <f>SUBTOTAL(9,H75:H76)</f>
        <v>0</v>
      </c>
      <c r="I74" s="1018">
        <f>SUBTOTAL(9,I75:I76)</f>
        <v>5237.51</v>
      </c>
      <c r="J74" s="1033"/>
      <c r="K74" s="1034"/>
      <c r="L74" s="1035"/>
      <c r="M74" s="1036">
        <f t="shared" ref="M74:AR74" si="63">SUBTOTAL(9,M75:M76)</f>
        <v>0</v>
      </c>
      <c r="N74" s="1023">
        <f t="shared" si="63"/>
        <v>0</v>
      </c>
      <c r="O74" s="1024">
        <f t="shared" si="63"/>
        <v>0</v>
      </c>
      <c r="P74" s="1024">
        <f t="shared" si="63"/>
        <v>0</v>
      </c>
      <c r="Q74" s="1024">
        <f t="shared" si="63"/>
        <v>0</v>
      </c>
      <c r="R74" s="1024">
        <f t="shared" si="63"/>
        <v>0</v>
      </c>
      <c r="S74" s="1024">
        <f t="shared" si="63"/>
        <v>0</v>
      </c>
      <c r="T74" s="1024">
        <f t="shared" si="63"/>
        <v>0</v>
      </c>
      <c r="U74" s="1024">
        <f t="shared" si="63"/>
        <v>0</v>
      </c>
      <c r="V74" s="1024">
        <f t="shared" si="63"/>
        <v>0</v>
      </c>
      <c r="W74" s="1024">
        <f t="shared" si="63"/>
        <v>0</v>
      </c>
      <c r="X74" s="1024">
        <f t="shared" si="63"/>
        <v>0</v>
      </c>
      <c r="Y74" s="1024">
        <f t="shared" si="63"/>
        <v>0</v>
      </c>
      <c r="Z74" s="1025">
        <f t="shared" si="63"/>
        <v>0</v>
      </c>
      <c r="AA74" s="1026">
        <f t="shared" si="63"/>
        <v>0</v>
      </c>
      <c r="AB74" s="1027">
        <f t="shared" si="63"/>
        <v>0</v>
      </c>
      <c r="AC74" s="1027">
        <f t="shared" si="63"/>
        <v>0</v>
      </c>
      <c r="AD74" s="1027">
        <f t="shared" si="63"/>
        <v>0</v>
      </c>
      <c r="AE74" s="1027">
        <f t="shared" si="63"/>
        <v>0</v>
      </c>
      <c r="AF74" s="1027">
        <f t="shared" si="63"/>
        <v>0</v>
      </c>
      <c r="AG74" s="1027">
        <f t="shared" si="63"/>
        <v>0</v>
      </c>
      <c r="AH74" s="1028">
        <f t="shared" si="63"/>
        <v>0</v>
      </c>
      <c r="AI74" s="1028">
        <f t="shared" si="63"/>
        <v>0</v>
      </c>
      <c r="AJ74" s="1028">
        <f t="shared" si="63"/>
        <v>0</v>
      </c>
      <c r="AK74" s="1028">
        <f t="shared" si="63"/>
        <v>0</v>
      </c>
      <c r="AL74" s="1028">
        <f t="shared" si="63"/>
        <v>0</v>
      </c>
      <c r="AM74" s="1025">
        <f t="shared" si="63"/>
        <v>0</v>
      </c>
      <c r="AN74" s="1024">
        <f t="shared" si="63"/>
        <v>0</v>
      </c>
      <c r="AO74" s="1024">
        <f t="shared" si="63"/>
        <v>0</v>
      </c>
      <c r="AP74" s="1024">
        <f t="shared" si="63"/>
        <v>1104.23</v>
      </c>
      <c r="AQ74" s="1024">
        <f t="shared" si="63"/>
        <v>1476.63</v>
      </c>
      <c r="AR74" s="1024">
        <f t="shared" si="63"/>
        <v>2656.65</v>
      </c>
      <c r="AS74" s="1024">
        <f t="shared" ref="AS74:BX74" si="64">SUBTOTAL(9,AS75:AS76)</f>
        <v>0</v>
      </c>
      <c r="AT74" s="1024">
        <f t="shared" si="64"/>
        <v>0</v>
      </c>
      <c r="AU74" s="1024">
        <f t="shared" si="64"/>
        <v>0</v>
      </c>
      <c r="AV74" s="1024">
        <f t="shared" si="64"/>
        <v>0</v>
      </c>
      <c r="AW74" s="1024">
        <f t="shared" si="64"/>
        <v>0</v>
      </c>
      <c r="AX74" s="1024">
        <f t="shared" si="64"/>
        <v>0</v>
      </c>
      <c r="AY74" s="1024">
        <f t="shared" si="64"/>
        <v>0</v>
      </c>
      <c r="AZ74" s="1024">
        <f t="shared" si="64"/>
        <v>5237.51</v>
      </c>
      <c r="BA74" s="1024">
        <f t="shared" si="64"/>
        <v>0</v>
      </c>
      <c r="BB74" s="1024">
        <f t="shared" si="64"/>
        <v>0</v>
      </c>
      <c r="BC74" s="1024">
        <f t="shared" si="64"/>
        <v>0</v>
      </c>
      <c r="BD74" s="1024">
        <f t="shared" si="64"/>
        <v>0</v>
      </c>
      <c r="BE74" s="1024">
        <f t="shared" si="64"/>
        <v>0</v>
      </c>
      <c r="BF74" s="1024">
        <f t="shared" si="64"/>
        <v>0</v>
      </c>
      <c r="BG74" s="1024">
        <f t="shared" si="64"/>
        <v>0</v>
      </c>
      <c r="BH74" s="1024">
        <f t="shared" si="64"/>
        <v>0</v>
      </c>
      <c r="BI74" s="1024">
        <f t="shared" si="64"/>
        <v>0</v>
      </c>
      <c r="BJ74" s="1024">
        <f t="shared" si="64"/>
        <v>0</v>
      </c>
      <c r="BK74" s="1024">
        <f t="shared" si="64"/>
        <v>0</v>
      </c>
      <c r="BL74" s="1024">
        <f t="shared" si="64"/>
        <v>0</v>
      </c>
      <c r="BM74" s="1024">
        <f t="shared" si="64"/>
        <v>0</v>
      </c>
      <c r="BN74" s="1024">
        <f t="shared" si="64"/>
        <v>0</v>
      </c>
      <c r="BO74" s="1024">
        <f t="shared" si="64"/>
        <v>0</v>
      </c>
      <c r="BP74" s="1024">
        <f t="shared" si="64"/>
        <v>0</v>
      </c>
      <c r="BQ74" s="1024">
        <f t="shared" si="64"/>
        <v>0</v>
      </c>
      <c r="BR74" s="1024">
        <f t="shared" si="64"/>
        <v>0</v>
      </c>
      <c r="BS74" s="1024">
        <f t="shared" si="64"/>
        <v>0</v>
      </c>
      <c r="BT74" s="1024">
        <f t="shared" si="64"/>
        <v>0</v>
      </c>
      <c r="BU74" s="1024">
        <f t="shared" si="64"/>
        <v>0</v>
      </c>
      <c r="BV74" s="1024">
        <f t="shared" si="64"/>
        <v>0</v>
      </c>
      <c r="BW74" s="1024">
        <f t="shared" si="64"/>
        <v>0</v>
      </c>
      <c r="BX74" s="1024">
        <f t="shared" si="64"/>
        <v>0</v>
      </c>
      <c r="BY74" s="1024">
        <f t="shared" ref="BY74:CF74" si="65">SUBTOTAL(9,BY75:BY76)</f>
        <v>0</v>
      </c>
      <c r="BZ74" s="1029">
        <f t="shared" si="65"/>
        <v>0</v>
      </c>
      <c r="CA74" s="1030">
        <f t="shared" si="65"/>
        <v>5237.51</v>
      </c>
      <c r="CB74" s="1024">
        <f t="shared" si="65"/>
        <v>0</v>
      </c>
      <c r="CC74" s="1023">
        <f t="shared" si="65"/>
        <v>5237.51</v>
      </c>
      <c r="CD74" s="1023">
        <f t="shared" si="65"/>
        <v>0</v>
      </c>
      <c r="CE74" s="1023">
        <f t="shared" si="65"/>
        <v>5237.51</v>
      </c>
      <c r="CF74" s="1023">
        <f t="shared" si="65"/>
        <v>0</v>
      </c>
      <c r="CG74" s="1029"/>
      <c r="CH74" s="972"/>
      <c r="CL74" s="1037">
        <f>SUBTOTAL(9,CL75:CL76)</f>
        <v>5237.51</v>
      </c>
      <c r="CM74" s="976">
        <f t="shared" si="56"/>
        <v>0</v>
      </c>
    </row>
    <row r="75" spans="1:91" s="1032" customFormat="1" ht="12.75" customHeight="1" outlineLevel="1">
      <c r="A75" s="996"/>
      <c r="B75" s="1015"/>
      <c r="C75" s="1078"/>
      <c r="D75" s="1016"/>
      <c r="E75" s="1017"/>
      <c r="F75" s="1018">
        <v>0</v>
      </c>
      <c r="G75" s="1018">
        <v>0</v>
      </c>
      <c r="H75" s="1018"/>
      <c r="I75" s="1018">
        <v>0</v>
      </c>
      <c r="J75" s="1033">
        <v>4600004459</v>
      </c>
      <c r="K75" s="1034">
        <v>245000</v>
      </c>
      <c r="L75" s="1035" t="s">
        <v>326</v>
      </c>
      <c r="M75" s="1036"/>
      <c r="N75" s="1023">
        <v>0</v>
      </c>
      <c r="O75" s="1024">
        <v>0</v>
      </c>
      <c r="P75" s="1024">
        <v>0</v>
      </c>
      <c r="Q75" s="1024">
        <v>0</v>
      </c>
      <c r="R75" s="1024">
        <v>0</v>
      </c>
      <c r="S75" s="1024">
        <v>0</v>
      </c>
      <c r="T75" s="1024">
        <v>0</v>
      </c>
      <c r="U75" s="1024">
        <v>0</v>
      </c>
      <c r="V75" s="1024">
        <v>0</v>
      </c>
      <c r="W75" s="1024">
        <v>0</v>
      </c>
      <c r="X75" s="1024">
        <v>0</v>
      </c>
      <c r="Y75" s="1024">
        <v>0</v>
      </c>
      <c r="Z75" s="1025">
        <f>SUM(N75:Y75)</f>
        <v>0</v>
      </c>
      <c r="AA75" s="1026">
        <v>0</v>
      </c>
      <c r="AB75" s="1027">
        <v>0</v>
      </c>
      <c r="AC75" s="1027">
        <v>0</v>
      </c>
      <c r="AD75" s="1027">
        <v>0</v>
      </c>
      <c r="AE75" s="1027">
        <v>0</v>
      </c>
      <c r="AF75" s="1027">
        <v>0</v>
      </c>
      <c r="AG75" s="1027">
        <v>0</v>
      </c>
      <c r="AH75" s="1028">
        <v>0</v>
      </c>
      <c r="AI75" s="1028">
        <v>0</v>
      </c>
      <c r="AJ75" s="1028">
        <v>0</v>
      </c>
      <c r="AK75" s="1028">
        <v>0</v>
      </c>
      <c r="AL75" s="1028">
        <v>0</v>
      </c>
      <c r="AM75" s="1025">
        <f>SUM(AA75:AL75)</f>
        <v>0</v>
      </c>
      <c r="AN75" s="1024"/>
      <c r="AO75" s="1024"/>
      <c r="AP75" s="1024"/>
      <c r="AQ75" s="1024"/>
      <c r="AR75" s="1024"/>
      <c r="AS75" s="1024"/>
      <c r="AT75" s="1024"/>
      <c r="AU75" s="1024"/>
      <c r="AV75" s="1024"/>
      <c r="AW75" s="1024"/>
      <c r="AX75" s="1024"/>
      <c r="AY75" s="1024"/>
      <c r="AZ75" s="1024">
        <f>SUM(AN75:AY75)</f>
        <v>0</v>
      </c>
      <c r="BA75" s="1024"/>
      <c r="BB75" s="1024"/>
      <c r="BC75" s="1024"/>
      <c r="BD75" s="1024"/>
      <c r="BE75" s="1024"/>
      <c r="BF75" s="1024"/>
      <c r="BG75" s="1024"/>
      <c r="BH75" s="1024"/>
      <c r="BI75" s="1024"/>
      <c r="BJ75" s="1024"/>
      <c r="BK75" s="1024"/>
      <c r="BL75" s="1024"/>
      <c r="BM75" s="1024">
        <f>SUM(BA75:BL75)</f>
        <v>0</v>
      </c>
      <c r="BN75" s="1024"/>
      <c r="BO75" s="1024"/>
      <c r="BP75" s="1024"/>
      <c r="BQ75" s="1024"/>
      <c r="BR75" s="1024"/>
      <c r="BS75" s="1024"/>
      <c r="BT75" s="1024"/>
      <c r="BU75" s="1024"/>
      <c r="BV75" s="1024"/>
      <c r="BW75" s="1024"/>
      <c r="BX75" s="1024"/>
      <c r="BY75" s="1024"/>
      <c r="BZ75" s="1029">
        <f>SUM(BN75:BY75)</f>
        <v>0</v>
      </c>
      <c r="CA75" s="1030">
        <f>SUMIF(($M$1:$BZ$1),"Actual",(M75:BZ75))</f>
        <v>0</v>
      </c>
      <c r="CB75" s="1024">
        <f>SUMIF(($M$1:$BZ$1),"Forecast",(M75:BZ75))</f>
        <v>0</v>
      </c>
      <c r="CC75" s="1036">
        <f>+CA75+CB75</f>
        <v>0</v>
      </c>
      <c r="CD75" s="1023">
        <f>+CC75-I75</f>
        <v>0</v>
      </c>
      <c r="CE75" s="1023">
        <f>+CC75+CD75</f>
        <v>0</v>
      </c>
      <c r="CF75" s="1023">
        <f>+CC75-CE75</f>
        <v>0</v>
      </c>
      <c r="CG75" s="1029"/>
      <c r="CH75" s="972"/>
      <c r="CL75" s="976">
        <v>0</v>
      </c>
      <c r="CM75" s="976">
        <f t="shared" si="56"/>
        <v>0</v>
      </c>
    </row>
    <row r="76" spans="1:91" s="1032" customFormat="1" ht="12.75" customHeight="1" outlineLevel="1">
      <c r="A76" s="996"/>
      <c r="B76" s="1015"/>
      <c r="C76" s="1078"/>
      <c r="D76" s="1016"/>
      <c r="E76" s="1017"/>
      <c r="F76" s="1018">
        <v>0</v>
      </c>
      <c r="G76" s="1018">
        <v>5237.51</v>
      </c>
      <c r="H76" s="1018"/>
      <c r="I76" s="1018">
        <v>5237.51</v>
      </c>
      <c r="J76" s="1033">
        <v>6400002259</v>
      </c>
      <c r="K76" s="1034">
        <v>783704</v>
      </c>
      <c r="L76" s="1021" t="s">
        <v>310</v>
      </c>
      <c r="M76" s="1036"/>
      <c r="N76" s="1023">
        <v>0</v>
      </c>
      <c r="O76" s="1024">
        <v>0</v>
      </c>
      <c r="P76" s="1024">
        <v>0</v>
      </c>
      <c r="Q76" s="1024">
        <v>0</v>
      </c>
      <c r="R76" s="1024">
        <v>0</v>
      </c>
      <c r="S76" s="1024">
        <v>0</v>
      </c>
      <c r="T76" s="1024">
        <v>0</v>
      </c>
      <c r="U76" s="1024">
        <v>0</v>
      </c>
      <c r="V76" s="1024">
        <v>0</v>
      </c>
      <c r="W76" s="1024">
        <v>0</v>
      </c>
      <c r="X76" s="1024">
        <v>0</v>
      </c>
      <c r="Y76" s="1024">
        <v>0</v>
      </c>
      <c r="Z76" s="1025">
        <f>SUM(N76:Y76)</f>
        <v>0</v>
      </c>
      <c r="AA76" s="1026">
        <v>0</v>
      </c>
      <c r="AB76" s="1027">
        <v>0</v>
      </c>
      <c r="AC76" s="1027">
        <v>0</v>
      </c>
      <c r="AD76" s="1027">
        <v>0</v>
      </c>
      <c r="AE76" s="1027">
        <v>0</v>
      </c>
      <c r="AF76" s="1027">
        <v>0</v>
      </c>
      <c r="AG76" s="1027">
        <v>0</v>
      </c>
      <c r="AH76" s="1028">
        <v>0</v>
      </c>
      <c r="AI76" s="1028">
        <v>0</v>
      </c>
      <c r="AJ76" s="1028">
        <v>0</v>
      </c>
      <c r="AK76" s="1028">
        <v>0</v>
      </c>
      <c r="AL76" s="1028">
        <v>0</v>
      </c>
      <c r="AM76" s="1025">
        <f>SUM(AA76:AL76)</f>
        <v>0</v>
      </c>
      <c r="AN76" s="1024"/>
      <c r="AO76" s="1024"/>
      <c r="AP76" s="1024">
        <v>1104.23</v>
      </c>
      <c r="AQ76" s="1024">
        <v>1476.63</v>
      </c>
      <c r="AR76" s="1024">
        <v>2656.65</v>
      </c>
      <c r="AS76" s="1024"/>
      <c r="AT76" s="1024"/>
      <c r="AU76" s="1024"/>
      <c r="AV76" s="1024"/>
      <c r="AW76" s="1024"/>
      <c r="AX76" s="1024"/>
      <c r="AY76" s="1024"/>
      <c r="AZ76" s="1024">
        <f>SUM(AN76:AY76)</f>
        <v>5237.51</v>
      </c>
      <c r="BA76" s="1024"/>
      <c r="BB76" s="1024"/>
      <c r="BC76" s="1024"/>
      <c r="BD76" s="1024"/>
      <c r="BE76" s="1024"/>
      <c r="BF76" s="1024"/>
      <c r="BG76" s="1024"/>
      <c r="BH76" s="1024"/>
      <c r="BI76" s="1024"/>
      <c r="BJ76" s="1024"/>
      <c r="BK76" s="1024"/>
      <c r="BL76" s="1024"/>
      <c r="BM76" s="1024">
        <f>SUM(BA76:BL76)</f>
        <v>0</v>
      </c>
      <c r="BN76" s="1024"/>
      <c r="BO76" s="1024"/>
      <c r="BP76" s="1024"/>
      <c r="BQ76" s="1024"/>
      <c r="BR76" s="1024"/>
      <c r="BS76" s="1024"/>
      <c r="BT76" s="1024"/>
      <c r="BU76" s="1024"/>
      <c r="BV76" s="1024"/>
      <c r="BW76" s="1024"/>
      <c r="BX76" s="1024"/>
      <c r="BY76" s="1024"/>
      <c r="BZ76" s="1029">
        <f>SUM(BN76:BY76)</f>
        <v>0</v>
      </c>
      <c r="CA76" s="1030">
        <f>SUMIF(($M$1:$BZ$1),"Actual",(M76:BZ76))</f>
        <v>5237.51</v>
      </c>
      <c r="CB76" s="1024">
        <f>SUMIF(($M$1:$BZ$1),"Forecast",(M76:BZ76))</f>
        <v>0</v>
      </c>
      <c r="CC76" s="1036">
        <f>+CA76+CB76</f>
        <v>5237.51</v>
      </c>
      <c r="CD76" s="1023">
        <f>+CC76-I76</f>
        <v>0</v>
      </c>
      <c r="CE76" s="1023">
        <v>5237.51</v>
      </c>
      <c r="CF76" s="1023">
        <f>+CC76-CE76</f>
        <v>0</v>
      </c>
      <c r="CG76" s="1029"/>
      <c r="CH76" s="972"/>
      <c r="CL76" s="976">
        <v>5237.51</v>
      </c>
      <c r="CM76" s="976">
        <f t="shared" si="56"/>
        <v>0</v>
      </c>
    </row>
    <row r="77" spans="1:91" s="1032" customFormat="1" ht="12.75" customHeight="1">
      <c r="A77" s="996"/>
      <c r="B77" s="1015"/>
      <c r="C77" s="1016" t="s">
        <v>631</v>
      </c>
      <c r="D77" s="1016"/>
      <c r="E77" s="1017"/>
      <c r="F77" s="1018">
        <v>1000000</v>
      </c>
      <c r="G77" s="1018">
        <v>583586.13</v>
      </c>
      <c r="H77" s="1018"/>
      <c r="I77" s="1018">
        <v>583586.13</v>
      </c>
      <c r="J77" s="1033">
        <v>4600004051</v>
      </c>
      <c r="K77" s="1034">
        <v>2900000</v>
      </c>
      <c r="L77" s="1021" t="s">
        <v>314</v>
      </c>
      <c r="M77" s="1036"/>
      <c r="N77" s="1023">
        <v>0</v>
      </c>
      <c r="O77" s="1024">
        <v>3124.21</v>
      </c>
      <c r="P77" s="1024">
        <v>0</v>
      </c>
      <c r="Q77" s="1024">
        <v>0</v>
      </c>
      <c r="R77" s="1024">
        <v>0</v>
      </c>
      <c r="S77" s="1024">
        <v>7328.18</v>
      </c>
      <c r="T77" s="1024">
        <v>1469.55</v>
      </c>
      <c r="U77" s="1024">
        <v>0</v>
      </c>
      <c r="V77" s="1024">
        <v>0</v>
      </c>
      <c r="W77" s="1024">
        <f>1653.65+1453.91</f>
        <v>3107.5600000000004</v>
      </c>
      <c r="X77" s="1024">
        <v>8140.2</v>
      </c>
      <c r="Y77" s="1024">
        <f>3085.89+1290.63</f>
        <v>4376.5200000000004</v>
      </c>
      <c r="Z77" s="1025">
        <f>SUM(N77:Y77)</f>
        <v>27546.22</v>
      </c>
      <c r="AA77" s="1026">
        <v>0</v>
      </c>
      <c r="AB77" s="1027">
        <v>3391.22</v>
      </c>
      <c r="AC77" s="1027">
        <v>0</v>
      </c>
      <c r="AD77" s="1027">
        <v>3068.94</v>
      </c>
      <c r="AE77" s="1027">
        <v>0</v>
      </c>
      <c r="AF77" s="1027">
        <v>0</v>
      </c>
      <c r="AG77" s="1027">
        <v>0</v>
      </c>
      <c r="AH77" s="1028">
        <v>12138.51</v>
      </c>
      <c r="AI77" s="1028">
        <v>0</v>
      </c>
      <c r="AJ77" s="1028">
        <v>78331.59</v>
      </c>
      <c r="AK77" s="1028">
        <v>0</v>
      </c>
      <c r="AL77" s="1028">
        <v>35692.71</v>
      </c>
      <c r="AM77" s="1025">
        <f>SUM(AA77:AL77)</f>
        <v>132622.97</v>
      </c>
      <c r="AN77" s="1024"/>
      <c r="AO77" s="1024"/>
      <c r="AP77" s="1024">
        <v>359929.26</v>
      </c>
      <c r="AQ77" s="1024">
        <v>8404.7800000000007</v>
      </c>
      <c r="AR77" s="1024"/>
      <c r="AS77" s="1024"/>
      <c r="AT77" s="1024"/>
      <c r="AU77" s="1024"/>
      <c r="AV77" s="1024"/>
      <c r="AW77" s="1024"/>
      <c r="AX77" s="1024"/>
      <c r="AY77" s="1024"/>
      <c r="AZ77" s="1024">
        <f>SUM(AN77:AY77)</f>
        <v>368334.04000000004</v>
      </c>
      <c r="BA77" s="1024"/>
      <c r="BB77" s="1024"/>
      <c r="BC77" s="1024"/>
      <c r="BD77" s="1024"/>
      <c r="BE77" s="1024"/>
      <c r="BF77" s="1024"/>
      <c r="BG77" s="1024"/>
      <c r="BH77" s="1024"/>
      <c r="BI77" s="1024"/>
      <c r="BJ77" s="1024"/>
      <c r="BK77" s="1024"/>
      <c r="BL77" s="1024"/>
      <c r="BM77" s="1024">
        <f>SUM(BA77:BL77)</f>
        <v>0</v>
      </c>
      <c r="BN77" s="1024"/>
      <c r="BO77" s="1024"/>
      <c r="BP77" s="1024"/>
      <c r="BQ77" s="1024"/>
      <c r="BR77" s="1024"/>
      <c r="BS77" s="1024"/>
      <c r="BT77" s="1024"/>
      <c r="BU77" s="1024"/>
      <c r="BV77" s="1024"/>
      <c r="BW77" s="1024"/>
      <c r="BX77" s="1024"/>
      <c r="BY77" s="1024"/>
      <c r="BZ77" s="1029">
        <f>SUM(BN77:BY77)</f>
        <v>0</v>
      </c>
      <c r="CA77" s="1030">
        <f>SUMIF(($M$1:$BZ$1),"Actual",(M77:BZ77))</f>
        <v>528503.23</v>
      </c>
      <c r="CB77" s="1024">
        <f>SUMIF(($M$1:$BZ$1),"Forecast",(M77:BZ77))</f>
        <v>0</v>
      </c>
      <c r="CC77" s="1036">
        <f>+CA77+CB77</f>
        <v>528503.23</v>
      </c>
      <c r="CD77" s="1023">
        <f>+CC77-I77</f>
        <v>-55082.900000000023</v>
      </c>
      <c r="CE77" s="1023">
        <v>528503.23</v>
      </c>
      <c r="CF77" s="1023">
        <f>+CC77-CE77</f>
        <v>0</v>
      </c>
      <c r="CG77" s="1029"/>
      <c r="CH77" s="972"/>
      <c r="CI77" s="1032">
        <f>2900000-CC60</f>
        <v>2403221.75</v>
      </c>
      <c r="CJ77" s="1032">
        <f>+CI77-CC77</f>
        <v>1874718.52</v>
      </c>
      <c r="CK77" s="1032" t="s">
        <v>641</v>
      </c>
      <c r="CL77" s="976">
        <v>1000000.23</v>
      </c>
      <c r="CM77" s="976">
        <f t="shared" si="56"/>
        <v>471497</v>
      </c>
    </row>
    <row r="78" spans="1:91" s="1032" customFormat="1">
      <c r="A78" s="1079"/>
      <c r="B78" s="1015"/>
      <c r="C78" s="1016" t="s">
        <v>601</v>
      </c>
      <c r="D78" s="1016"/>
      <c r="E78" s="1017"/>
      <c r="F78" s="1023">
        <f>SUBTOTAL(9,F79:F123)</f>
        <v>1174268</v>
      </c>
      <c r="G78" s="1023">
        <f>SUBTOTAL(9,G79:G123)</f>
        <v>959595.50999999989</v>
      </c>
      <c r="H78" s="1023">
        <f>SUBTOTAL(9,H79:H123)</f>
        <v>0</v>
      </c>
      <c r="I78" s="1023">
        <f>SUBTOTAL(9,I79:I123)</f>
        <v>959595.50999999989</v>
      </c>
      <c r="J78" s="1019"/>
      <c r="K78" s="1020"/>
      <c r="L78" s="1021"/>
      <c r="M78" s="1022">
        <f t="shared" ref="M78:AR78" si="66">SUBTOTAL(9,M79:M123)</f>
        <v>0</v>
      </c>
      <c r="N78" s="1023">
        <f t="shared" si="66"/>
        <v>0</v>
      </c>
      <c r="O78" s="1024">
        <f t="shared" si="66"/>
        <v>14000</v>
      </c>
      <c r="P78" s="1024">
        <f t="shared" si="66"/>
        <v>3516</v>
      </c>
      <c r="Q78" s="1024">
        <f t="shared" si="66"/>
        <v>0</v>
      </c>
      <c r="R78" s="1024">
        <f t="shared" si="66"/>
        <v>0</v>
      </c>
      <c r="S78" s="1024">
        <f t="shared" si="66"/>
        <v>0</v>
      </c>
      <c r="T78" s="1024">
        <f t="shared" si="66"/>
        <v>0</v>
      </c>
      <c r="U78" s="1024">
        <f t="shared" si="66"/>
        <v>6500</v>
      </c>
      <c r="V78" s="1024">
        <f t="shared" si="66"/>
        <v>4000</v>
      </c>
      <c r="W78" s="1024">
        <f t="shared" si="66"/>
        <v>0</v>
      </c>
      <c r="X78" s="1024">
        <f t="shared" si="66"/>
        <v>3059.08</v>
      </c>
      <c r="Y78" s="1024">
        <f t="shared" si="66"/>
        <v>0</v>
      </c>
      <c r="Z78" s="1025">
        <f t="shared" si="66"/>
        <v>31075.08</v>
      </c>
      <c r="AA78" s="1026">
        <f t="shared" si="66"/>
        <v>9033.5</v>
      </c>
      <c r="AB78" s="1027">
        <f t="shared" si="66"/>
        <v>3276.75</v>
      </c>
      <c r="AC78" s="1027">
        <f t="shared" si="66"/>
        <v>1403</v>
      </c>
      <c r="AD78" s="1027">
        <f t="shared" si="66"/>
        <v>6180</v>
      </c>
      <c r="AE78" s="1027">
        <f t="shared" si="66"/>
        <v>44398.43</v>
      </c>
      <c r="AF78" s="1027">
        <f t="shared" si="66"/>
        <v>84146.04</v>
      </c>
      <c r="AG78" s="1027">
        <f t="shared" si="66"/>
        <v>55237.25</v>
      </c>
      <c r="AH78" s="1028">
        <f t="shared" si="66"/>
        <v>81270.28</v>
      </c>
      <c r="AI78" s="1028">
        <f t="shared" si="66"/>
        <v>97395.36000000003</v>
      </c>
      <c r="AJ78" s="1028">
        <f t="shared" si="66"/>
        <v>88379.12999999999</v>
      </c>
      <c r="AK78" s="1028">
        <f t="shared" si="66"/>
        <v>24550.079999999998</v>
      </c>
      <c r="AL78" s="1028">
        <f t="shared" si="66"/>
        <v>172194.88</v>
      </c>
      <c r="AM78" s="1025">
        <f t="shared" si="66"/>
        <v>667464.70000000007</v>
      </c>
      <c r="AN78" s="1024">
        <f t="shared" si="66"/>
        <v>27744.629999999997</v>
      </c>
      <c r="AO78" s="1024">
        <f t="shared" si="66"/>
        <v>16290.85</v>
      </c>
      <c r="AP78" s="1024">
        <f t="shared" si="66"/>
        <v>44187.600000000006</v>
      </c>
      <c r="AQ78" s="1024">
        <f t="shared" si="66"/>
        <v>26731.969999999998</v>
      </c>
      <c r="AR78" s="1024">
        <f t="shared" si="66"/>
        <v>44720.12</v>
      </c>
      <c r="AS78" s="1024">
        <f t="shared" ref="AS78:BX78" si="67">SUBTOTAL(9,AS79:AS123)</f>
        <v>31643.37</v>
      </c>
      <c r="AT78" s="1024">
        <f t="shared" si="67"/>
        <v>14108.35</v>
      </c>
      <c r="AU78" s="1024">
        <f t="shared" si="67"/>
        <v>17353.309999999998</v>
      </c>
      <c r="AV78" s="1024">
        <f t="shared" si="67"/>
        <v>31378.549999999996</v>
      </c>
      <c r="AW78" s="1024">
        <f t="shared" si="67"/>
        <v>6896.98</v>
      </c>
      <c r="AX78" s="1024">
        <f t="shared" si="67"/>
        <v>70297.849999999991</v>
      </c>
      <c r="AY78" s="1024">
        <f t="shared" si="67"/>
        <v>53049.32</v>
      </c>
      <c r="AZ78" s="1024">
        <f t="shared" si="67"/>
        <v>384402.89999999991</v>
      </c>
      <c r="BA78" s="1024">
        <f t="shared" si="67"/>
        <v>2321.5</v>
      </c>
      <c r="BB78" s="1024">
        <f t="shared" si="67"/>
        <v>21212.74</v>
      </c>
      <c r="BC78" s="1024">
        <f t="shared" si="67"/>
        <v>19041.59</v>
      </c>
      <c r="BD78" s="1024">
        <f t="shared" si="67"/>
        <v>4916.2000000000007</v>
      </c>
      <c r="BE78" s="1024">
        <f t="shared" si="67"/>
        <v>44635.05</v>
      </c>
      <c r="BF78" s="1024">
        <f t="shared" si="67"/>
        <v>4103.3</v>
      </c>
      <c r="BG78" s="1024">
        <f t="shared" si="67"/>
        <v>9738.5</v>
      </c>
      <c r="BH78" s="1024">
        <f t="shared" si="67"/>
        <v>38110.03</v>
      </c>
      <c r="BI78" s="1024">
        <f t="shared" si="67"/>
        <v>7782.619999999999</v>
      </c>
      <c r="BJ78" s="1024">
        <f t="shared" si="67"/>
        <v>18603.97</v>
      </c>
      <c r="BK78" s="1024">
        <f t="shared" si="67"/>
        <v>38045.08</v>
      </c>
      <c r="BL78" s="1024">
        <f t="shared" si="67"/>
        <v>21449.800000000003</v>
      </c>
      <c r="BM78" s="1024">
        <f t="shared" si="67"/>
        <v>229960.37999999998</v>
      </c>
      <c r="BN78" s="1024">
        <f t="shared" si="67"/>
        <v>10266.209999999999</v>
      </c>
      <c r="BO78" s="1024">
        <f t="shared" si="67"/>
        <v>7952.3799999999992</v>
      </c>
      <c r="BP78" s="1024">
        <f t="shared" si="67"/>
        <v>13943.84</v>
      </c>
      <c r="BQ78" s="1024">
        <f t="shared" si="67"/>
        <v>15447.266666666666</v>
      </c>
      <c r="BR78" s="1024">
        <f t="shared" si="67"/>
        <v>0</v>
      </c>
      <c r="BS78" s="1024">
        <f t="shared" si="67"/>
        <v>0</v>
      </c>
      <c r="BT78" s="1024">
        <f t="shared" si="67"/>
        <v>0</v>
      </c>
      <c r="BU78" s="1024">
        <f t="shared" si="67"/>
        <v>0</v>
      </c>
      <c r="BV78" s="1024">
        <f t="shared" si="67"/>
        <v>0</v>
      </c>
      <c r="BW78" s="1024">
        <f t="shared" si="67"/>
        <v>0</v>
      </c>
      <c r="BX78" s="1024">
        <f t="shared" si="67"/>
        <v>0</v>
      </c>
      <c r="BY78" s="1024">
        <f t="shared" ref="BY78:CF78" si="68">SUBTOTAL(9,BY79:BY123)</f>
        <v>0</v>
      </c>
      <c r="BZ78" s="1029">
        <f t="shared" si="68"/>
        <v>47609.69666666667</v>
      </c>
      <c r="CA78" s="1030">
        <f t="shared" si="68"/>
        <v>1360512.7566666666</v>
      </c>
      <c r="CB78" s="1024">
        <f t="shared" si="68"/>
        <v>0</v>
      </c>
      <c r="CC78" s="1023">
        <f t="shared" si="68"/>
        <v>1360512.7566666666</v>
      </c>
      <c r="CD78" s="1023">
        <f t="shared" si="68"/>
        <v>400917.24666666664</v>
      </c>
      <c r="CE78" s="1023">
        <f t="shared" si="68"/>
        <v>1398250.2900000003</v>
      </c>
      <c r="CF78" s="1023">
        <f t="shared" si="68"/>
        <v>-37737.533333333355</v>
      </c>
      <c r="CG78" s="1029"/>
      <c r="CH78" s="972"/>
      <c r="CL78" s="1037">
        <f>SUBTOTAL(9,CL79:CL123)</f>
        <v>1132894.4033333331</v>
      </c>
      <c r="CM78" s="976">
        <f t="shared" si="56"/>
        <v>-227618.35333333351</v>
      </c>
    </row>
    <row r="79" spans="1:91" s="1032" customFormat="1" ht="12.75" customHeight="1" outlineLevel="1">
      <c r="A79" s="996"/>
      <c r="B79" s="1015"/>
      <c r="C79" s="1016"/>
      <c r="D79" s="1016" t="s">
        <v>642</v>
      </c>
      <c r="E79" s="1017"/>
      <c r="F79" s="1023"/>
      <c r="G79" s="1023">
        <v>164.46</v>
      </c>
      <c r="H79" s="1023"/>
      <c r="I79" s="1023">
        <v>164.46</v>
      </c>
      <c r="J79" s="1033" t="s">
        <v>643</v>
      </c>
      <c r="K79" s="1034">
        <v>164.46</v>
      </c>
      <c r="L79" s="1035" t="s">
        <v>381</v>
      </c>
      <c r="M79" s="1036">
        <v>0</v>
      </c>
      <c r="N79" s="1023">
        <v>0</v>
      </c>
      <c r="O79" s="1024">
        <v>0</v>
      </c>
      <c r="P79" s="1024">
        <v>0</v>
      </c>
      <c r="Q79" s="1024">
        <v>0</v>
      </c>
      <c r="R79" s="1024">
        <v>0</v>
      </c>
      <c r="S79" s="1024">
        <v>0</v>
      </c>
      <c r="T79" s="1024">
        <v>0</v>
      </c>
      <c r="U79" s="1024">
        <v>0</v>
      </c>
      <c r="V79" s="1024">
        <v>0</v>
      </c>
      <c r="W79" s="1024">
        <v>0</v>
      </c>
      <c r="X79" s="1024">
        <v>0</v>
      </c>
      <c r="Y79" s="1024">
        <v>0</v>
      </c>
      <c r="Z79" s="1025">
        <f t="shared" ref="Z79:Z123" si="69">SUM(N79:Y79)</f>
        <v>0</v>
      </c>
      <c r="AA79" s="1026">
        <v>0</v>
      </c>
      <c r="AB79" s="1027">
        <v>0</v>
      </c>
      <c r="AC79" s="1027">
        <v>0</v>
      </c>
      <c r="AD79" s="1027">
        <v>0</v>
      </c>
      <c r="AE79" s="1027">
        <v>0</v>
      </c>
      <c r="AF79" s="1027"/>
      <c r="AG79" s="1027">
        <v>0</v>
      </c>
      <c r="AH79" s="1028"/>
      <c r="AI79" s="1028"/>
      <c r="AJ79" s="1028"/>
      <c r="AK79" s="1028"/>
      <c r="AL79" s="1028"/>
      <c r="AM79" s="1025">
        <f t="shared" ref="AM79:AM123" si="70">SUM(AA79:AL79)</f>
        <v>0</v>
      </c>
      <c r="AN79" s="1024"/>
      <c r="AO79" s="1024"/>
      <c r="AP79" s="1024">
        <v>164.46</v>
      </c>
      <c r="AQ79" s="1024"/>
      <c r="AR79" s="1024"/>
      <c r="AS79" s="1024"/>
      <c r="AT79" s="1024"/>
      <c r="AU79" s="1024"/>
      <c r="AV79" s="1024"/>
      <c r="AW79" s="1024"/>
      <c r="AX79" s="1024"/>
      <c r="AY79" s="1024"/>
      <c r="AZ79" s="1024">
        <f t="shared" ref="AZ79:AZ123" si="71">SUM(AN79:AY79)</f>
        <v>164.46</v>
      </c>
      <c r="BA79" s="1024"/>
      <c r="BB79" s="1024"/>
      <c r="BC79" s="1024"/>
      <c r="BD79" s="1024"/>
      <c r="BE79" s="1024"/>
      <c r="BF79" s="1024"/>
      <c r="BG79" s="1024"/>
      <c r="BH79" s="1024"/>
      <c r="BI79" s="1024"/>
      <c r="BJ79" s="1024"/>
      <c r="BK79" s="1024"/>
      <c r="BL79" s="1024"/>
      <c r="BM79" s="1024">
        <f t="shared" ref="BM79:BM123" si="72">SUM(BA79:BL79)</f>
        <v>0</v>
      </c>
      <c r="BN79" s="1024"/>
      <c r="BO79" s="1024"/>
      <c r="BP79" s="1024"/>
      <c r="BQ79" s="1024"/>
      <c r="BR79" s="1024"/>
      <c r="BS79" s="1024"/>
      <c r="BT79" s="1024"/>
      <c r="BU79" s="1024"/>
      <c r="BV79" s="1024"/>
      <c r="BW79" s="1024"/>
      <c r="BX79" s="1024"/>
      <c r="BY79" s="1024"/>
      <c r="BZ79" s="1029">
        <f t="shared" ref="BZ79:BZ123" si="73">SUM(BN79:BY79)</f>
        <v>0</v>
      </c>
      <c r="CA79" s="1030">
        <f t="shared" ref="CA79:CA123" si="74">SUMIF(($M$1:$BZ$1),"Actual",(M79:BZ79))</f>
        <v>164.46</v>
      </c>
      <c r="CB79" s="1024">
        <f t="shared" ref="CB79:CB123" si="75">SUMIF(($M$1:$BZ$1),"Forecast",(M79:BZ79))</f>
        <v>0</v>
      </c>
      <c r="CC79" s="1036">
        <f t="shared" ref="CC79:CC123" si="76">+CA79+CB79</f>
        <v>164.46</v>
      </c>
      <c r="CD79" s="1023">
        <f t="shared" ref="CD79:CD123" si="77">+CC79-I79</f>
        <v>0</v>
      </c>
      <c r="CE79" s="1023">
        <v>164.46</v>
      </c>
      <c r="CF79" s="1023">
        <f t="shared" ref="CF79:CF123" si="78">+CC79-CE79</f>
        <v>0</v>
      </c>
      <c r="CG79" s="1029"/>
      <c r="CH79" s="972"/>
      <c r="CL79" s="976">
        <v>164.46</v>
      </c>
      <c r="CM79" s="976">
        <f t="shared" si="56"/>
        <v>0</v>
      </c>
    </row>
    <row r="80" spans="1:91" s="1032" customFormat="1" ht="12.75" customHeight="1" outlineLevel="1">
      <c r="A80" s="996"/>
      <c r="B80" s="1015"/>
      <c r="C80" s="1043"/>
      <c r="D80" s="1016" t="s">
        <v>644</v>
      </c>
      <c r="E80" s="1017"/>
      <c r="F80" s="1023">
        <f>350000+15269+300000+135000+80000+294000-1</f>
        <v>1174268</v>
      </c>
      <c r="G80" s="1023">
        <v>7174.84</v>
      </c>
      <c r="H80" s="1023"/>
      <c r="I80" s="1023">
        <v>7174.84</v>
      </c>
      <c r="J80" s="1033"/>
      <c r="K80" s="1034"/>
      <c r="L80" s="1035" t="s">
        <v>314</v>
      </c>
      <c r="M80" s="1036">
        <v>0</v>
      </c>
      <c r="N80" s="1023">
        <v>0</v>
      </c>
      <c r="O80" s="1024">
        <v>0</v>
      </c>
      <c r="P80" s="1024">
        <v>0</v>
      </c>
      <c r="Q80" s="1024">
        <v>0</v>
      </c>
      <c r="R80" s="1024">
        <v>0</v>
      </c>
      <c r="S80" s="1024">
        <v>0</v>
      </c>
      <c r="T80" s="1024">
        <v>0</v>
      </c>
      <c r="U80" s="1024">
        <v>0</v>
      </c>
      <c r="V80" s="1024">
        <v>0</v>
      </c>
      <c r="W80" s="1024">
        <v>0</v>
      </c>
      <c r="X80" s="1024">
        <v>0</v>
      </c>
      <c r="Y80" s="1024">
        <v>0</v>
      </c>
      <c r="Z80" s="1025">
        <f t="shared" si="69"/>
        <v>0</v>
      </c>
      <c r="AA80" s="1026">
        <v>0</v>
      </c>
      <c r="AB80" s="1027">
        <v>0</v>
      </c>
      <c r="AC80" s="1027">
        <v>0</v>
      </c>
      <c r="AD80" s="1027">
        <v>0</v>
      </c>
      <c r="AE80" s="1027">
        <v>0</v>
      </c>
      <c r="AF80" s="1027">
        <v>39.9</v>
      </c>
      <c r="AG80" s="1027">
        <v>0</v>
      </c>
      <c r="AH80" s="1028">
        <f>173.03+133.1+452.54</f>
        <v>758.67000000000007</v>
      </c>
      <c r="AI80" s="1028">
        <v>1623.82</v>
      </c>
      <c r="AJ80" s="1028">
        <v>425.92</v>
      </c>
      <c r="AK80" s="1028">
        <v>3354.57</v>
      </c>
      <c r="AL80" s="1028">
        <f>215.04+215.04</f>
        <v>430.08</v>
      </c>
      <c r="AM80" s="1025">
        <f t="shared" si="70"/>
        <v>6632.96</v>
      </c>
      <c r="AN80" s="1024">
        <f>647.68-330.08-133.76-162-107.36+26.84</f>
        <v>-58.680000000000021</v>
      </c>
      <c r="AO80" s="1024">
        <v>-26.84</v>
      </c>
      <c r="AP80" s="1024">
        <f>191.1+191.1+61.76</f>
        <v>443.96</v>
      </c>
      <c r="AQ80" s="1024">
        <v>61.76</v>
      </c>
      <c r="AR80" s="1024">
        <f>256.2-61.76-191.1+256.2</f>
        <v>259.53999999999996</v>
      </c>
      <c r="AS80" s="1024">
        <v>-256.2</v>
      </c>
      <c r="AT80" s="1024"/>
      <c r="AU80" s="1024">
        <f>118.34</f>
        <v>118.34</v>
      </c>
      <c r="AV80" s="1024"/>
      <c r="AW80" s="1024"/>
      <c r="AX80" s="1024"/>
      <c r="AY80" s="1024"/>
      <c r="AZ80" s="1024">
        <f t="shared" si="71"/>
        <v>541.87999999999988</v>
      </c>
      <c r="BA80" s="1024"/>
      <c r="BB80" s="1024">
        <f>1794.62+312.32+2845.65</f>
        <v>4952.59</v>
      </c>
      <c r="BC80" s="1024">
        <f>988.2-2845.65+3275.7</f>
        <v>1418.2499999999998</v>
      </c>
      <c r="BD80" s="1024">
        <f>2159.4-312.32-3275.7+3037.8</f>
        <v>1609.1800000000005</v>
      </c>
      <c r="BE80" s="1024">
        <f>2799.9-3037.8+1372.5</f>
        <v>1134.5999999999999</v>
      </c>
      <c r="BF80" s="1024">
        <f>2159.4-1372.5+2891.4</f>
        <v>3678.3</v>
      </c>
      <c r="BG80" s="1024">
        <f>1317.6-2891.4+4209</f>
        <v>2635.2</v>
      </c>
      <c r="BH80" s="1024">
        <f>3948.14-4209+5412.14</f>
        <v>5151.2800000000007</v>
      </c>
      <c r="BI80" s="1024">
        <f>5394.57-5412.14+3132.69</f>
        <v>3115.1199999999994</v>
      </c>
      <c r="BJ80" s="1024">
        <f>1652.6-204.69-2928+4785.29</f>
        <v>3305.2</v>
      </c>
      <c r="BK80" s="1024">
        <f>2067-4785.29+8171.2</f>
        <v>5452.91</v>
      </c>
      <c r="BL80" s="1076">
        <f>6372.34-8171.2+7104.34</f>
        <v>5305.4800000000005</v>
      </c>
      <c r="BM80" s="1024">
        <f t="shared" si="72"/>
        <v>37758.11</v>
      </c>
      <c r="BN80" s="1024">
        <f>3367.2-7104.34+3367.2</f>
        <v>-369.94000000000051</v>
      </c>
      <c r="BO80" s="1024">
        <f>948.24-3367.2+4315.44</f>
        <v>1896.4799999999996</v>
      </c>
      <c r="BP80" s="1024">
        <f>-4315.44+2789</f>
        <v>-1526.4399999999996</v>
      </c>
      <c r="BQ80" s="1024">
        <f>-280.72+280.72</f>
        <v>0</v>
      </c>
      <c r="BR80" s="1093">
        <v>0</v>
      </c>
      <c r="BS80" s="1024"/>
      <c r="BT80" s="1024"/>
      <c r="BU80" s="1024"/>
      <c r="BV80" s="1024"/>
      <c r="BW80" s="1024"/>
      <c r="BX80" s="1024"/>
      <c r="BY80" s="1024"/>
      <c r="BZ80" s="1029">
        <f t="shared" si="73"/>
        <v>9.9999999999454303E-2</v>
      </c>
      <c r="CA80" s="1030">
        <f t="shared" si="74"/>
        <v>44933.05</v>
      </c>
      <c r="CB80" s="1024">
        <f t="shared" si="75"/>
        <v>0</v>
      </c>
      <c r="CC80" s="1036">
        <f t="shared" si="76"/>
        <v>44933.05</v>
      </c>
      <c r="CD80" s="1023">
        <f t="shared" si="77"/>
        <v>37758.210000000006</v>
      </c>
      <c r="CE80" s="1023">
        <v>44933.05</v>
      </c>
      <c r="CF80" s="1023">
        <f t="shared" si="78"/>
        <v>0</v>
      </c>
      <c r="CG80" s="1029"/>
      <c r="CH80" s="972"/>
      <c r="CL80" s="976">
        <v>7312.7</v>
      </c>
      <c r="CM80" s="976">
        <f t="shared" si="56"/>
        <v>-37620.350000000006</v>
      </c>
    </row>
    <row r="81" spans="1:91" s="1032" customFormat="1" ht="12.75" customHeight="1" outlineLevel="1">
      <c r="A81" s="996"/>
      <c r="B81" s="1015"/>
      <c r="C81" s="1043"/>
      <c r="D81" s="1016" t="s">
        <v>645</v>
      </c>
      <c r="E81" s="1017"/>
      <c r="F81" s="1023"/>
      <c r="G81" s="1023">
        <v>19085</v>
      </c>
      <c r="H81" s="1023"/>
      <c r="I81" s="1023">
        <v>19085</v>
      </c>
      <c r="J81" s="1033">
        <v>6400001990</v>
      </c>
      <c r="K81" s="1034">
        <v>50000</v>
      </c>
      <c r="L81" s="1035" t="s">
        <v>310</v>
      </c>
      <c r="M81" s="1036">
        <v>0</v>
      </c>
      <c r="N81" s="1023">
        <v>0</v>
      </c>
      <c r="O81" s="1024">
        <v>0</v>
      </c>
      <c r="P81" s="1024">
        <v>0</v>
      </c>
      <c r="Q81" s="1024">
        <v>0</v>
      </c>
      <c r="R81" s="1024">
        <v>0</v>
      </c>
      <c r="S81" s="1024">
        <v>0</v>
      </c>
      <c r="T81" s="1024">
        <v>0</v>
      </c>
      <c r="U81" s="1024">
        <v>0</v>
      </c>
      <c r="V81" s="1024">
        <v>0</v>
      </c>
      <c r="W81" s="1024">
        <v>0</v>
      </c>
      <c r="X81" s="1024">
        <v>0</v>
      </c>
      <c r="Y81" s="1024">
        <v>0</v>
      </c>
      <c r="Z81" s="1025">
        <f t="shared" si="69"/>
        <v>0</v>
      </c>
      <c r="AA81" s="1026"/>
      <c r="AB81" s="1027"/>
      <c r="AC81" s="1027"/>
      <c r="AD81" s="1027"/>
      <c r="AE81" s="1027"/>
      <c r="AF81" s="1027"/>
      <c r="AG81" s="1027"/>
      <c r="AH81" s="1028">
        <f>7070+4440</f>
        <v>11510</v>
      </c>
      <c r="AI81" s="1028"/>
      <c r="AJ81" s="1028">
        <v>7575</v>
      </c>
      <c r="AK81" s="1028"/>
      <c r="AL81" s="1028"/>
      <c r="AM81" s="1025">
        <f t="shared" si="70"/>
        <v>19085</v>
      </c>
      <c r="AN81" s="1024"/>
      <c r="AO81" s="1024"/>
      <c r="AP81" s="1024"/>
      <c r="AQ81" s="1024"/>
      <c r="AR81" s="1024"/>
      <c r="AS81" s="1024"/>
      <c r="AT81" s="1024"/>
      <c r="AU81" s="1024"/>
      <c r="AV81" s="1024"/>
      <c r="AW81" s="1024"/>
      <c r="AX81" s="1024"/>
      <c r="AY81" s="1024"/>
      <c r="AZ81" s="1024">
        <f t="shared" si="71"/>
        <v>0</v>
      </c>
      <c r="BA81" s="1024"/>
      <c r="BB81" s="1024"/>
      <c r="BC81" s="1024"/>
      <c r="BD81" s="1024"/>
      <c r="BE81" s="1024"/>
      <c r="BF81" s="1024"/>
      <c r="BG81" s="1024"/>
      <c r="BH81" s="1024"/>
      <c r="BI81" s="1024"/>
      <c r="BJ81" s="1024"/>
      <c r="BK81" s="1024"/>
      <c r="BL81" s="1024"/>
      <c r="BM81" s="1024">
        <f t="shared" si="72"/>
        <v>0</v>
      </c>
      <c r="BN81" s="1024"/>
      <c r="BO81" s="1024"/>
      <c r="BP81" s="1024"/>
      <c r="BQ81" s="1024"/>
      <c r="BR81" s="1024"/>
      <c r="BS81" s="1024"/>
      <c r="BT81" s="1024"/>
      <c r="BU81" s="1024"/>
      <c r="BV81" s="1024"/>
      <c r="BW81" s="1024"/>
      <c r="BX81" s="1024"/>
      <c r="BY81" s="1024"/>
      <c r="BZ81" s="1029">
        <f t="shared" si="73"/>
        <v>0</v>
      </c>
      <c r="CA81" s="1030">
        <f t="shared" si="74"/>
        <v>19085</v>
      </c>
      <c r="CB81" s="1024">
        <f t="shared" si="75"/>
        <v>0</v>
      </c>
      <c r="CC81" s="1036">
        <f t="shared" si="76"/>
        <v>19085</v>
      </c>
      <c r="CD81" s="1023">
        <f t="shared" si="77"/>
        <v>0</v>
      </c>
      <c r="CE81" s="1023">
        <v>19085</v>
      </c>
      <c r="CF81" s="1023">
        <f t="shared" si="78"/>
        <v>0</v>
      </c>
      <c r="CG81" s="1029"/>
      <c r="CH81" s="972">
        <f t="shared" ref="CH81:CH123" si="79">-CC81+K81</f>
        <v>30915</v>
      </c>
      <c r="CL81" s="976">
        <v>19085</v>
      </c>
      <c r="CM81" s="976">
        <f t="shared" si="56"/>
        <v>0</v>
      </c>
    </row>
    <row r="82" spans="1:91" s="1032" customFormat="1" ht="12.75" customHeight="1" outlineLevel="1">
      <c r="A82" s="996"/>
      <c r="B82" s="1015"/>
      <c r="C82" s="1043"/>
      <c r="D82" s="1016" t="s">
        <v>602</v>
      </c>
      <c r="E82" s="1017"/>
      <c r="F82" s="1023"/>
      <c r="G82" s="1023">
        <v>3205</v>
      </c>
      <c r="H82" s="1023"/>
      <c r="I82" s="1023">
        <v>3205</v>
      </c>
      <c r="J82" s="1033">
        <v>4600004978</v>
      </c>
      <c r="K82" s="1034">
        <v>1402483</v>
      </c>
      <c r="L82" s="1035" t="s">
        <v>314</v>
      </c>
      <c r="M82" s="1036">
        <v>0</v>
      </c>
      <c r="N82" s="1023">
        <v>0</v>
      </c>
      <c r="O82" s="1024">
        <v>0</v>
      </c>
      <c r="P82" s="1024">
        <v>0</v>
      </c>
      <c r="Q82" s="1024">
        <v>0</v>
      </c>
      <c r="R82" s="1024">
        <v>0</v>
      </c>
      <c r="S82" s="1024">
        <v>0</v>
      </c>
      <c r="T82" s="1024">
        <v>0</v>
      </c>
      <c r="U82" s="1024">
        <v>0</v>
      </c>
      <c r="V82" s="1024">
        <v>0</v>
      </c>
      <c r="W82" s="1024">
        <v>0</v>
      </c>
      <c r="X82" s="1024"/>
      <c r="Y82" s="1024">
        <v>0</v>
      </c>
      <c r="Z82" s="1025">
        <f t="shared" si="69"/>
        <v>0</v>
      </c>
      <c r="AA82" s="1026">
        <v>0</v>
      </c>
      <c r="AB82" s="1027">
        <v>390</v>
      </c>
      <c r="AC82" s="1027">
        <v>0</v>
      </c>
      <c r="AD82" s="1027">
        <f>569.4-49.4</f>
        <v>520</v>
      </c>
      <c r="AE82" s="1027">
        <v>0</v>
      </c>
      <c r="AF82" s="1027">
        <v>0</v>
      </c>
      <c r="AG82" s="1027">
        <v>0</v>
      </c>
      <c r="AH82" s="1028">
        <v>440</v>
      </c>
      <c r="AI82" s="1028">
        <v>0</v>
      </c>
      <c r="AJ82" s="1028">
        <v>0</v>
      </c>
      <c r="AK82" s="1028">
        <v>0</v>
      </c>
      <c r="AL82" s="1028">
        <v>1202.5</v>
      </c>
      <c r="AM82" s="1025">
        <f t="shared" si="70"/>
        <v>2552.5</v>
      </c>
      <c r="AN82" s="1024"/>
      <c r="AO82" s="1024"/>
      <c r="AP82" s="1024"/>
      <c r="AQ82" s="1024"/>
      <c r="AR82" s="1024"/>
      <c r="AS82" s="1024">
        <v>360</v>
      </c>
      <c r="AT82" s="1024"/>
      <c r="AU82" s="1024"/>
      <c r="AV82" s="1024">
        <v>292.5</v>
      </c>
      <c r="AW82" s="1024"/>
      <c r="AX82" s="1024"/>
      <c r="AY82" s="1024"/>
      <c r="AZ82" s="1024">
        <f t="shared" si="71"/>
        <v>652.5</v>
      </c>
      <c r="BA82" s="1024"/>
      <c r="BB82" s="1024"/>
      <c r="BC82" s="1024"/>
      <c r="BD82" s="1024"/>
      <c r="BE82" s="1024"/>
      <c r="BF82" s="1024"/>
      <c r="BG82" s="1024"/>
      <c r="BH82" s="1024"/>
      <c r="BI82" s="1024">
        <v>325</v>
      </c>
      <c r="BJ82" s="1024"/>
      <c r="BK82" s="1024"/>
      <c r="BL82" s="1024"/>
      <c r="BM82" s="1024">
        <f t="shared" si="72"/>
        <v>325</v>
      </c>
      <c r="BN82" s="1024"/>
      <c r="BO82" s="1024"/>
      <c r="BP82" s="1024">
        <v>320</v>
      </c>
      <c r="BQ82" s="1093">
        <f>292.5*(25/30)</f>
        <v>243.75</v>
      </c>
      <c r="BR82" s="1024"/>
      <c r="BS82" s="1024"/>
      <c r="BT82" s="1024"/>
      <c r="BU82" s="1024"/>
      <c r="BV82" s="1024"/>
      <c r="BW82" s="1024"/>
      <c r="BX82" s="1024"/>
      <c r="BY82" s="1024"/>
      <c r="BZ82" s="1029">
        <f t="shared" si="73"/>
        <v>563.75</v>
      </c>
      <c r="CA82" s="1030">
        <f t="shared" si="74"/>
        <v>4093.75</v>
      </c>
      <c r="CB82" s="1024">
        <f t="shared" si="75"/>
        <v>0</v>
      </c>
      <c r="CC82" s="1036">
        <f t="shared" si="76"/>
        <v>4093.75</v>
      </c>
      <c r="CD82" s="1023">
        <f t="shared" si="77"/>
        <v>888.75</v>
      </c>
      <c r="CE82" s="1023">
        <v>4142.5</v>
      </c>
      <c r="CF82" s="1023">
        <f t="shared" si="78"/>
        <v>-48.75</v>
      </c>
      <c r="CG82" s="1029"/>
      <c r="CH82" s="1042">
        <f t="shared" si="79"/>
        <v>1398389.25</v>
      </c>
      <c r="CL82" s="976">
        <v>2552.5</v>
      </c>
      <c r="CM82" s="976">
        <f t="shared" si="56"/>
        <v>-1541.25</v>
      </c>
    </row>
    <row r="83" spans="1:91" s="1032" customFormat="1" ht="12.75" customHeight="1" outlineLevel="1">
      <c r="A83" s="996"/>
      <c r="B83" s="1015"/>
      <c r="C83" s="1043"/>
      <c r="D83" s="1016" t="s">
        <v>455</v>
      </c>
      <c r="E83" s="1017"/>
      <c r="F83" s="1023"/>
      <c r="G83" s="1023">
        <v>569.67999999999995</v>
      </c>
      <c r="H83" s="1023"/>
      <c r="I83" s="1023">
        <v>569.67999999999995</v>
      </c>
      <c r="J83" s="1033">
        <v>4600003358</v>
      </c>
      <c r="K83" s="1034">
        <v>137000000</v>
      </c>
      <c r="L83" s="1035" t="s">
        <v>314</v>
      </c>
      <c r="M83" s="1036"/>
      <c r="N83" s="1023">
        <v>0</v>
      </c>
      <c r="O83" s="1024">
        <v>0</v>
      </c>
      <c r="P83" s="1024">
        <v>0</v>
      </c>
      <c r="Q83" s="1024">
        <v>0</v>
      </c>
      <c r="R83" s="1024">
        <v>0</v>
      </c>
      <c r="S83" s="1024">
        <v>0</v>
      </c>
      <c r="T83" s="1024">
        <v>0</v>
      </c>
      <c r="U83" s="1024">
        <v>0</v>
      </c>
      <c r="V83" s="1024">
        <v>0</v>
      </c>
      <c r="W83" s="1024">
        <v>0</v>
      </c>
      <c r="X83" s="1024">
        <v>0</v>
      </c>
      <c r="Y83" s="1024">
        <v>0</v>
      </c>
      <c r="Z83" s="1025">
        <f t="shared" si="69"/>
        <v>0</v>
      </c>
      <c r="AA83" s="1026">
        <v>0</v>
      </c>
      <c r="AB83" s="1027">
        <v>0</v>
      </c>
      <c r="AC83" s="1027">
        <v>0</v>
      </c>
      <c r="AD83" s="1027">
        <v>0</v>
      </c>
      <c r="AE83" s="1027">
        <v>0</v>
      </c>
      <c r="AF83" s="1027">
        <v>0</v>
      </c>
      <c r="AG83" s="1027">
        <v>0</v>
      </c>
      <c r="AH83" s="1028">
        <v>0</v>
      </c>
      <c r="AI83" s="1028">
        <v>0</v>
      </c>
      <c r="AJ83" s="1028">
        <v>0</v>
      </c>
      <c r="AK83" s="1028">
        <v>0</v>
      </c>
      <c r="AL83" s="1028">
        <v>0</v>
      </c>
      <c r="AM83" s="1025">
        <f t="shared" si="70"/>
        <v>0</v>
      </c>
      <c r="AN83" s="1024"/>
      <c r="AO83" s="1024"/>
      <c r="AP83" s="1024">
        <v>569.67999999999995</v>
      </c>
      <c r="AQ83" s="1024"/>
      <c r="AR83" s="1024"/>
      <c r="AS83" s="1024"/>
      <c r="AT83" s="1024"/>
      <c r="AU83" s="1024"/>
      <c r="AV83" s="1024"/>
      <c r="AW83" s="1024"/>
      <c r="AX83" s="1024"/>
      <c r="AY83" s="1024"/>
      <c r="AZ83" s="1024">
        <f t="shared" si="71"/>
        <v>569.67999999999995</v>
      </c>
      <c r="BA83" s="1024"/>
      <c r="BB83" s="1024"/>
      <c r="BC83" s="1024"/>
      <c r="BD83" s="1024"/>
      <c r="BE83" s="1024"/>
      <c r="BF83" s="1024"/>
      <c r="BG83" s="1024"/>
      <c r="BH83" s="1024"/>
      <c r="BI83" s="1024"/>
      <c r="BJ83" s="1024"/>
      <c r="BK83" s="1024"/>
      <c r="BL83" s="1024"/>
      <c r="BM83" s="1024">
        <f t="shared" si="72"/>
        <v>0</v>
      </c>
      <c r="BN83" s="1024"/>
      <c r="BO83" s="1024"/>
      <c r="BP83" s="1024"/>
      <c r="BQ83" s="1024"/>
      <c r="BR83" s="1024"/>
      <c r="BS83" s="1024"/>
      <c r="BT83" s="1024"/>
      <c r="BU83" s="1024"/>
      <c r="BV83" s="1024"/>
      <c r="BW83" s="1024"/>
      <c r="BX83" s="1024"/>
      <c r="BY83" s="1024"/>
      <c r="BZ83" s="1029">
        <f t="shared" si="73"/>
        <v>0</v>
      </c>
      <c r="CA83" s="1030">
        <f t="shared" si="74"/>
        <v>569.67999999999995</v>
      </c>
      <c r="CB83" s="1024">
        <f t="shared" si="75"/>
        <v>0</v>
      </c>
      <c r="CC83" s="1036">
        <f t="shared" si="76"/>
        <v>569.67999999999995</v>
      </c>
      <c r="CD83" s="1023">
        <f t="shared" si="77"/>
        <v>0</v>
      </c>
      <c r="CE83" s="1023">
        <v>569.67999999999995</v>
      </c>
      <c r="CF83" s="1023">
        <f t="shared" si="78"/>
        <v>0</v>
      </c>
      <c r="CG83" s="1029"/>
      <c r="CH83" s="972">
        <f t="shared" si="79"/>
        <v>136999430.31999999</v>
      </c>
      <c r="CL83" s="976">
        <v>569.67999999999995</v>
      </c>
      <c r="CM83" s="976">
        <f t="shared" si="56"/>
        <v>0</v>
      </c>
    </row>
    <row r="84" spans="1:91" s="1032" customFormat="1" ht="12.75" customHeight="1" outlineLevel="1">
      <c r="A84" s="996"/>
      <c r="B84" s="1015"/>
      <c r="C84" s="1043"/>
      <c r="D84" s="1016" t="s">
        <v>603</v>
      </c>
      <c r="E84" s="1017"/>
      <c r="F84" s="1023"/>
      <c r="G84" s="1023">
        <v>0</v>
      </c>
      <c r="H84" s="1023"/>
      <c r="I84" s="1023">
        <v>0</v>
      </c>
      <c r="J84" s="1033" t="s">
        <v>646</v>
      </c>
      <c r="K84" s="1034">
        <v>7863.98</v>
      </c>
      <c r="L84" s="1035" t="s">
        <v>381</v>
      </c>
      <c r="M84" s="1036"/>
      <c r="N84" s="1023">
        <v>0</v>
      </c>
      <c r="O84" s="1024">
        <v>0</v>
      </c>
      <c r="P84" s="1024">
        <v>0</v>
      </c>
      <c r="Q84" s="1024">
        <v>0</v>
      </c>
      <c r="R84" s="1024">
        <v>0</v>
      </c>
      <c r="S84" s="1024">
        <v>0</v>
      </c>
      <c r="T84" s="1024">
        <v>0</v>
      </c>
      <c r="U84" s="1024">
        <v>0</v>
      </c>
      <c r="V84" s="1024">
        <v>0</v>
      </c>
      <c r="W84" s="1024">
        <v>0</v>
      </c>
      <c r="X84" s="1024">
        <v>0</v>
      </c>
      <c r="Y84" s="1024">
        <v>0</v>
      </c>
      <c r="Z84" s="1025">
        <f t="shared" si="69"/>
        <v>0</v>
      </c>
      <c r="AA84" s="1026">
        <v>0</v>
      </c>
      <c r="AB84" s="1027">
        <v>0</v>
      </c>
      <c r="AC84" s="1027">
        <v>0</v>
      </c>
      <c r="AD84" s="1027">
        <v>0</v>
      </c>
      <c r="AE84" s="1027">
        <v>0</v>
      </c>
      <c r="AF84" s="1027">
        <v>0</v>
      </c>
      <c r="AG84" s="1027">
        <v>0</v>
      </c>
      <c r="AH84" s="1028">
        <v>0</v>
      </c>
      <c r="AI84" s="1028">
        <v>0</v>
      </c>
      <c r="AJ84" s="1028">
        <v>0</v>
      </c>
      <c r="AK84" s="1028">
        <v>0</v>
      </c>
      <c r="AL84" s="1028">
        <v>0</v>
      </c>
      <c r="AM84" s="1025">
        <f t="shared" si="70"/>
        <v>0</v>
      </c>
      <c r="AN84" s="1024"/>
      <c r="AO84" s="1024"/>
      <c r="AP84" s="1024"/>
      <c r="AQ84" s="1024"/>
      <c r="AR84" s="1024"/>
      <c r="AS84" s="1024"/>
      <c r="AT84" s="1024"/>
      <c r="AU84" s="1024"/>
      <c r="AV84" s="1024"/>
      <c r="AW84" s="1024"/>
      <c r="AX84" s="1024"/>
      <c r="AY84" s="1024"/>
      <c r="AZ84" s="1024">
        <f t="shared" si="71"/>
        <v>0</v>
      </c>
      <c r="BA84" s="1024"/>
      <c r="BB84" s="1024"/>
      <c r="BC84" s="1024"/>
      <c r="BD84" s="1024"/>
      <c r="BE84" s="1024"/>
      <c r="BF84" s="1024"/>
      <c r="BG84" s="1024"/>
      <c r="BH84" s="1024"/>
      <c r="BI84" s="1024"/>
      <c r="BJ84" s="1024"/>
      <c r="BK84" s="1024"/>
      <c r="BL84" s="1024"/>
      <c r="BM84" s="1024">
        <f t="shared" si="72"/>
        <v>0</v>
      </c>
      <c r="BN84" s="1024"/>
      <c r="BO84" s="1024"/>
      <c r="BP84" s="1024"/>
      <c r="BQ84" s="1024"/>
      <c r="BR84" s="1024"/>
      <c r="BS84" s="1024"/>
      <c r="BT84" s="1024"/>
      <c r="BU84" s="1024"/>
      <c r="BV84" s="1024"/>
      <c r="BW84" s="1024"/>
      <c r="BX84" s="1024"/>
      <c r="BY84" s="1024"/>
      <c r="BZ84" s="1029">
        <f t="shared" si="73"/>
        <v>0</v>
      </c>
      <c r="CA84" s="1030">
        <f t="shared" si="74"/>
        <v>0</v>
      </c>
      <c r="CB84" s="1024">
        <f t="shared" si="75"/>
        <v>0</v>
      </c>
      <c r="CC84" s="1036">
        <f t="shared" si="76"/>
        <v>0</v>
      </c>
      <c r="CD84" s="1023">
        <f t="shared" si="77"/>
        <v>0</v>
      </c>
      <c r="CE84" s="1023">
        <v>0</v>
      </c>
      <c r="CF84" s="1023">
        <f t="shared" si="78"/>
        <v>0</v>
      </c>
      <c r="CG84" s="1029"/>
      <c r="CH84" s="972">
        <f t="shared" si="79"/>
        <v>7863.98</v>
      </c>
      <c r="CL84" s="976">
        <v>0</v>
      </c>
      <c r="CM84" s="976">
        <f t="shared" si="56"/>
        <v>0</v>
      </c>
    </row>
    <row r="85" spans="1:91" s="1032" customFormat="1" ht="12.75" customHeight="1" outlineLevel="1">
      <c r="A85" s="996"/>
      <c r="B85" s="1015"/>
      <c r="C85" s="1043"/>
      <c r="D85" s="1016" t="s">
        <v>605</v>
      </c>
      <c r="E85" s="1017"/>
      <c r="F85" s="1023"/>
      <c r="G85" s="1023">
        <v>7587</v>
      </c>
      <c r="H85" s="1023"/>
      <c r="I85" s="1023">
        <v>7587</v>
      </c>
      <c r="J85" s="1033">
        <v>4600003664</v>
      </c>
      <c r="K85" s="1034">
        <v>1857550</v>
      </c>
      <c r="L85" s="1035" t="s">
        <v>314</v>
      </c>
      <c r="M85" s="1036"/>
      <c r="N85" s="1023">
        <v>0</v>
      </c>
      <c r="O85" s="1024">
        <v>0</v>
      </c>
      <c r="P85" s="1024">
        <v>0</v>
      </c>
      <c r="Q85" s="1024">
        <v>0</v>
      </c>
      <c r="R85" s="1024">
        <v>0</v>
      </c>
      <c r="S85" s="1024">
        <v>0</v>
      </c>
      <c r="T85" s="1024">
        <v>0</v>
      </c>
      <c r="U85" s="1024">
        <v>0</v>
      </c>
      <c r="V85" s="1024">
        <v>0</v>
      </c>
      <c r="W85" s="1024">
        <v>0</v>
      </c>
      <c r="X85" s="1024">
        <v>0</v>
      </c>
      <c r="Y85" s="1024">
        <v>0</v>
      </c>
      <c r="Z85" s="1025">
        <f t="shared" si="69"/>
        <v>0</v>
      </c>
      <c r="AA85" s="1026">
        <v>0</v>
      </c>
      <c r="AB85" s="1028">
        <v>0</v>
      </c>
      <c r="AC85" s="1027">
        <v>0</v>
      </c>
      <c r="AD85" s="1027">
        <v>0</v>
      </c>
      <c r="AE85" s="1027">
        <v>0</v>
      </c>
      <c r="AF85" s="1027">
        <v>0</v>
      </c>
      <c r="AG85" s="1027">
        <v>0</v>
      </c>
      <c r="AH85" s="1028">
        <v>6345</v>
      </c>
      <c r="AI85" s="1028">
        <v>1242</v>
      </c>
      <c r="AJ85" s="1028">
        <v>0</v>
      </c>
      <c r="AK85" s="1028">
        <v>0</v>
      </c>
      <c r="AL85" s="1028">
        <v>0</v>
      </c>
      <c r="AM85" s="1025">
        <f t="shared" si="70"/>
        <v>7587</v>
      </c>
      <c r="AN85" s="1024"/>
      <c r="AO85" s="1024"/>
      <c r="AP85" s="1024"/>
      <c r="AQ85" s="1024"/>
      <c r="AR85" s="1024"/>
      <c r="AS85" s="1024"/>
      <c r="AT85" s="1024"/>
      <c r="AU85" s="1024"/>
      <c r="AV85" s="1024"/>
      <c r="AW85" s="1024"/>
      <c r="AX85" s="1024"/>
      <c r="AY85" s="1024">
        <v>332</v>
      </c>
      <c r="AZ85" s="1024">
        <f t="shared" si="71"/>
        <v>332</v>
      </c>
      <c r="BA85" s="1024">
        <v>1162</v>
      </c>
      <c r="BB85" s="1024"/>
      <c r="BC85" s="1024"/>
      <c r="BD85" s="1024"/>
      <c r="BE85" s="1024"/>
      <c r="BF85" s="1024"/>
      <c r="BG85" s="1024"/>
      <c r="BH85" s="1024"/>
      <c r="BI85" s="1024"/>
      <c r="BJ85" s="1024"/>
      <c r="BK85" s="1024"/>
      <c r="BL85" s="1024"/>
      <c r="BM85" s="1024">
        <f t="shared" si="72"/>
        <v>1162</v>
      </c>
      <c r="BN85" s="1024"/>
      <c r="BO85" s="1024"/>
      <c r="BP85" s="1024"/>
      <c r="BQ85" s="1024"/>
      <c r="BR85" s="1024"/>
      <c r="BS85" s="1024"/>
      <c r="BT85" s="1024"/>
      <c r="BU85" s="1024"/>
      <c r="BV85" s="1024"/>
      <c r="BW85" s="1024"/>
      <c r="BX85" s="1024"/>
      <c r="BY85" s="1024"/>
      <c r="BZ85" s="1029">
        <f t="shared" si="73"/>
        <v>0</v>
      </c>
      <c r="CA85" s="1030">
        <f t="shared" si="74"/>
        <v>9081</v>
      </c>
      <c r="CB85" s="1024">
        <f t="shared" si="75"/>
        <v>0</v>
      </c>
      <c r="CC85" s="1036">
        <f t="shared" si="76"/>
        <v>9081</v>
      </c>
      <c r="CD85" s="1023">
        <f t="shared" si="77"/>
        <v>1494</v>
      </c>
      <c r="CE85" s="1023">
        <v>9081</v>
      </c>
      <c r="CF85" s="1023">
        <f t="shared" si="78"/>
        <v>0</v>
      </c>
      <c r="CG85" s="1029"/>
      <c r="CH85" s="1042">
        <f t="shared" si="79"/>
        <v>1848469</v>
      </c>
      <c r="CL85" s="976">
        <v>7587</v>
      </c>
      <c r="CM85" s="976">
        <f t="shared" si="56"/>
        <v>-1494</v>
      </c>
    </row>
    <row r="86" spans="1:91" s="1032" customFormat="1" ht="12.75" customHeight="1" outlineLevel="1">
      <c r="A86" s="996"/>
      <c r="B86" s="1015"/>
      <c r="C86" s="1043"/>
      <c r="D86" s="1016" t="s">
        <v>647</v>
      </c>
      <c r="E86" s="1017"/>
      <c r="F86" s="1023"/>
      <c r="G86" s="1023">
        <v>66953.5</v>
      </c>
      <c r="H86" s="1023"/>
      <c r="I86" s="1023">
        <v>66953.5</v>
      </c>
      <c r="J86" s="1033">
        <v>6400002830</v>
      </c>
      <c r="K86" s="1034">
        <v>74720</v>
      </c>
      <c r="L86" s="1035" t="s">
        <v>326</v>
      </c>
      <c r="M86" s="1036"/>
      <c r="N86" s="1023"/>
      <c r="O86" s="1024"/>
      <c r="P86" s="1024"/>
      <c r="Q86" s="1024"/>
      <c r="R86" s="1024"/>
      <c r="S86" s="1024"/>
      <c r="T86" s="1024"/>
      <c r="U86" s="1024"/>
      <c r="V86" s="1024"/>
      <c r="W86" s="1024"/>
      <c r="X86" s="1024"/>
      <c r="Y86" s="1024">
        <v>0</v>
      </c>
      <c r="Z86" s="1025">
        <f t="shared" si="69"/>
        <v>0</v>
      </c>
      <c r="AA86" s="1026">
        <v>7122.5</v>
      </c>
      <c r="AB86" s="1028"/>
      <c r="AC86" s="1027">
        <v>1403</v>
      </c>
      <c r="AD86" s="1027">
        <v>0</v>
      </c>
      <c r="AE86" s="1028"/>
      <c r="AF86" s="1027">
        <f>5350+16557</f>
        <v>21907</v>
      </c>
      <c r="AG86" s="1027">
        <f>9722.5+5350</f>
        <v>15072.5</v>
      </c>
      <c r="AH86" s="1028">
        <v>0</v>
      </c>
      <c r="AI86" s="1028">
        <f>5300+5350+10798.5</f>
        <v>21448.5</v>
      </c>
      <c r="AJ86" s="1028"/>
      <c r="AK86" s="1028">
        <v>0</v>
      </c>
      <c r="AL86" s="1028"/>
      <c r="AM86" s="1025">
        <f t="shared" si="70"/>
        <v>66953.5</v>
      </c>
      <c r="AN86" s="1024"/>
      <c r="AO86" s="1024"/>
      <c r="AP86" s="1024"/>
      <c r="AQ86" s="1024"/>
      <c r="AR86" s="1024"/>
      <c r="AS86" s="1024"/>
      <c r="AT86" s="1024"/>
      <c r="AU86" s="1024"/>
      <c r="AV86" s="1024"/>
      <c r="AW86" s="1024"/>
      <c r="AX86" s="1024"/>
      <c r="AY86" s="1024"/>
      <c r="AZ86" s="1024">
        <f t="shared" si="71"/>
        <v>0</v>
      </c>
      <c r="BA86" s="1024"/>
      <c r="BB86" s="1024"/>
      <c r="BC86" s="1024"/>
      <c r="BD86" s="1024"/>
      <c r="BE86" s="1024"/>
      <c r="BF86" s="1024"/>
      <c r="BG86" s="1024"/>
      <c r="BH86" s="1024"/>
      <c r="BI86" s="1024"/>
      <c r="BJ86" s="1024"/>
      <c r="BK86" s="1024"/>
      <c r="BL86" s="1024"/>
      <c r="BM86" s="1024">
        <f t="shared" si="72"/>
        <v>0</v>
      </c>
      <c r="BN86" s="1024"/>
      <c r="BO86" s="1024"/>
      <c r="BP86" s="1024"/>
      <c r="BQ86" s="1024"/>
      <c r="BR86" s="1024"/>
      <c r="BS86" s="1024"/>
      <c r="BT86" s="1024"/>
      <c r="BU86" s="1024"/>
      <c r="BV86" s="1024"/>
      <c r="BW86" s="1024"/>
      <c r="BX86" s="1024"/>
      <c r="BY86" s="1024"/>
      <c r="BZ86" s="1029">
        <f t="shared" si="73"/>
        <v>0</v>
      </c>
      <c r="CA86" s="1030">
        <f t="shared" si="74"/>
        <v>66953.5</v>
      </c>
      <c r="CB86" s="1024">
        <f t="shared" si="75"/>
        <v>0</v>
      </c>
      <c r="CC86" s="1036">
        <f t="shared" si="76"/>
        <v>66953.5</v>
      </c>
      <c r="CD86" s="1023">
        <f t="shared" si="77"/>
        <v>0</v>
      </c>
      <c r="CE86" s="1023">
        <v>66953.5</v>
      </c>
      <c r="CF86" s="1023">
        <f t="shared" si="78"/>
        <v>0</v>
      </c>
      <c r="CG86" s="1029"/>
      <c r="CH86" s="972">
        <f t="shared" si="79"/>
        <v>7766.5</v>
      </c>
      <c r="CL86" s="976">
        <v>66953.5</v>
      </c>
      <c r="CM86" s="976">
        <f t="shared" si="56"/>
        <v>0</v>
      </c>
    </row>
    <row r="87" spans="1:91" s="1032" customFormat="1" ht="12.75" customHeight="1" outlineLevel="1">
      <c r="A87" s="996"/>
      <c r="B87" s="1015"/>
      <c r="C87" s="1043"/>
      <c r="D87" s="1016" t="s">
        <v>647</v>
      </c>
      <c r="E87" s="1017"/>
      <c r="F87" s="1023"/>
      <c r="G87" s="1023">
        <v>26901.75</v>
      </c>
      <c r="H87" s="1023"/>
      <c r="I87" s="1023">
        <v>26901.75</v>
      </c>
      <c r="J87" s="1033">
        <v>6400002386</v>
      </c>
      <c r="K87" s="1034">
        <v>149520</v>
      </c>
      <c r="L87" s="1035" t="s">
        <v>326</v>
      </c>
      <c r="M87" s="1036"/>
      <c r="N87" s="1023"/>
      <c r="O87" s="1024"/>
      <c r="P87" s="1024"/>
      <c r="Q87" s="1024"/>
      <c r="R87" s="1024"/>
      <c r="S87" s="1024"/>
      <c r="T87" s="1024"/>
      <c r="U87" s="1024"/>
      <c r="V87" s="1024"/>
      <c r="W87" s="1024"/>
      <c r="X87" s="1024"/>
      <c r="Y87" s="1024">
        <v>0</v>
      </c>
      <c r="Z87" s="1025">
        <f t="shared" si="69"/>
        <v>0</v>
      </c>
      <c r="AA87" s="1026"/>
      <c r="AB87" s="1028">
        <v>2886.75</v>
      </c>
      <c r="AC87" s="1028"/>
      <c r="AD87" s="1028"/>
      <c r="AE87" s="1028">
        <f>4330+4950</f>
        <v>9280</v>
      </c>
      <c r="AF87" s="1028"/>
      <c r="AG87" s="1028"/>
      <c r="AH87" s="1028"/>
      <c r="AI87" s="1028"/>
      <c r="AJ87" s="1028">
        <v>14735</v>
      </c>
      <c r="AK87" s="1028">
        <v>0</v>
      </c>
      <c r="AL87" s="1028">
        <v>10000</v>
      </c>
      <c r="AM87" s="1025">
        <f t="shared" si="70"/>
        <v>36901.75</v>
      </c>
      <c r="AN87" s="1024">
        <v>-10000</v>
      </c>
      <c r="AO87" s="1024"/>
      <c r="AP87" s="1024"/>
      <c r="AQ87" s="1024"/>
      <c r="AR87" s="1024"/>
      <c r="AS87" s="1024"/>
      <c r="AT87" s="1024"/>
      <c r="AU87" s="1024"/>
      <c r="AV87" s="1024"/>
      <c r="AW87" s="1024"/>
      <c r="AX87" s="1024"/>
      <c r="AY87" s="1024"/>
      <c r="AZ87" s="1024">
        <f t="shared" si="71"/>
        <v>-10000</v>
      </c>
      <c r="BA87" s="1024"/>
      <c r="BB87" s="1024"/>
      <c r="BC87" s="1024"/>
      <c r="BD87" s="1024"/>
      <c r="BE87" s="1024"/>
      <c r="BF87" s="1024"/>
      <c r="BG87" s="1024"/>
      <c r="BH87" s="1024"/>
      <c r="BI87" s="1024"/>
      <c r="BJ87" s="1024"/>
      <c r="BK87" s="1024"/>
      <c r="BL87" s="1024"/>
      <c r="BM87" s="1024">
        <f t="shared" si="72"/>
        <v>0</v>
      </c>
      <c r="BN87" s="1024"/>
      <c r="BO87" s="1024"/>
      <c r="BP87" s="1024"/>
      <c r="BQ87" s="1024"/>
      <c r="BR87" s="1024"/>
      <c r="BS87" s="1024"/>
      <c r="BT87" s="1024"/>
      <c r="BU87" s="1024"/>
      <c r="BV87" s="1024"/>
      <c r="BW87" s="1024"/>
      <c r="BX87" s="1024"/>
      <c r="BY87" s="1024"/>
      <c r="BZ87" s="1029">
        <f t="shared" si="73"/>
        <v>0</v>
      </c>
      <c r="CA87" s="1030">
        <f t="shared" si="74"/>
        <v>26901.75</v>
      </c>
      <c r="CB87" s="1024">
        <f t="shared" si="75"/>
        <v>0</v>
      </c>
      <c r="CC87" s="1036">
        <f t="shared" si="76"/>
        <v>26901.75</v>
      </c>
      <c r="CD87" s="1023">
        <f t="shared" si="77"/>
        <v>0</v>
      </c>
      <c r="CE87" s="1023">
        <v>26901.75</v>
      </c>
      <c r="CF87" s="1023">
        <f t="shared" si="78"/>
        <v>0</v>
      </c>
      <c r="CG87" s="1029"/>
      <c r="CH87" s="972">
        <f t="shared" si="79"/>
        <v>122618.25</v>
      </c>
      <c r="CL87" s="976">
        <v>26901.75</v>
      </c>
      <c r="CM87" s="976">
        <f t="shared" si="56"/>
        <v>0</v>
      </c>
    </row>
    <row r="88" spans="1:91" s="1032" customFormat="1" ht="12.75" customHeight="1" outlineLevel="1">
      <c r="A88" s="996"/>
      <c r="B88" s="1015"/>
      <c r="C88" s="1043"/>
      <c r="D88" s="1043" t="s">
        <v>648</v>
      </c>
      <c r="E88" s="1017"/>
      <c r="F88" s="1023"/>
      <c r="G88" s="1023">
        <v>4927.5</v>
      </c>
      <c r="H88" s="1023"/>
      <c r="I88" s="1023">
        <v>4927.5</v>
      </c>
      <c r="J88" s="1033">
        <v>6400003320</v>
      </c>
      <c r="K88" s="1034">
        <v>35000</v>
      </c>
      <c r="L88" s="1035" t="s">
        <v>310</v>
      </c>
      <c r="M88" s="1036"/>
      <c r="N88" s="1023">
        <v>0</v>
      </c>
      <c r="O88" s="1024">
        <v>0</v>
      </c>
      <c r="P88" s="1024">
        <v>0</v>
      </c>
      <c r="Q88" s="1024">
        <v>0</v>
      </c>
      <c r="R88" s="1024">
        <v>0</v>
      </c>
      <c r="S88" s="1024">
        <v>0</v>
      </c>
      <c r="T88" s="1024">
        <v>0</v>
      </c>
      <c r="U88" s="1024">
        <v>0</v>
      </c>
      <c r="V88" s="1024">
        <v>0</v>
      </c>
      <c r="W88" s="1024">
        <v>0</v>
      </c>
      <c r="X88" s="1024">
        <v>0</v>
      </c>
      <c r="Y88" s="1024">
        <v>0</v>
      </c>
      <c r="Z88" s="1025">
        <f t="shared" si="69"/>
        <v>0</v>
      </c>
      <c r="AA88" s="1026">
        <v>0</v>
      </c>
      <c r="AB88" s="1028">
        <v>0</v>
      </c>
      <c r="AC88" s="1027">
        <v>0</v>
      </c>
      <c r="AD88" s="1027">
        <v>0</v>
      </c>
      <c r="AE88" s="1027">
        <v>0</v>
      </c>
      <c r="AF88" s="1027">
        <v>0</v>
      </c>
      <c r="AG88" s="1027">
        <v>4927.5</v>
      </c>
      <c r="AH88" s="1028">
        <v>0</v>
      </c>
      <c r="AI88" s="1028">
        <v>0</v>
      </c>
      <c r="AJ88" s="1028">
        <v>0</v>
      </c>
      <c r="AK88" s="1028">
        <v>0</v>
      </c>
      <c r="AL88" s="1028">
        <v>0</v>
      </c>
      <c r="AM88" s="1025">
        <f t="shared" si="70"/>
        <v>4927.5</v>
      </c>
      <c r="AN88" s="1024"/>
      <c r="AO88" s="1024"/>
      <c r="AP88" s="1024"/>
      <c r="AQ88" s="1024"/>
      <c r="AR88" s="1024"/>
      <c r="AS88" s="1024"/>
      <c r="AT88" s="1024"/>
      <c r="AU88" s="1024"/>
      <c r="AV88" s="1024"/>
      <c r="AW88" s="1024"/>
      <c r="AX88" s="1024"/>
      <c r="AY88" s="1024"/>
      <c r="AZ88" s="1024">
        <f t="shared" si="71"/>
        <v>0</v>
      </c>
      <c r="BA88" s="1024"/>
      <c r="BB88" s="1024"/>
      <c r="BC88" s="1024"/>
      <c r="BD88" s="1024"/>
      <c r="BE88" s="1024"/>
      <c r="BF88" s="1024"/>
      <c r="BG88" s="1024"/>
      <c r="BH88" s="1024"/>
      <c r="BI88" s="1024"/>
      <c r="BJ88" s="1024"/>
      <c r="BK88" s="1024"/>
      <c r="BL88" s="1024"/>
      <c r="BM88" s="1024">
        <f t="shared" si="72"/>
        <v>0</v>
      </c>
      <c r="BN88" s="1024"/>
      <c r="BO88" s="1024"/>
      <c r="BP88" s="1024"/>
      <c r="BQ88" s="1024"/>
      <c r="BR88" s="1024"/>
      <c r="BS88" s="1024"/>
      <c r="BT88" s="1024"/>
      <c r="BU88" s="1024"/>
      <c r="BV88" s="1024"/>
      <c r="BW88" s="1024"/>
      <c r="BX88" s="1024"/>
      <c r="BY88" s="1024"/>
      <c r="BZ88" s="1029">
        <f t="shared" si="73"/>
        <v>0</v>
      </c>
      <c r="CA88" s="1030">
        <f t="shared" si="74"/>
        <v>4927.5</v>
      </c>
      <c r="CB88" s="1024">
        <f t="shared" si="75"/>
        <v>0</v>
      </c>
      <c r="CC88" s="1036">
        <f t="shared" si="76"/>
        <v>4927.5</v>
      </c>
      <c r="CD88" s="1023">
        <f t="shared" si="77"/>
        <v>0</v>
      </c>
      <c r="CE88" s="1023">
        <v>4927.5</v>
      </c>
      <c r="CF88" s="1023">
        <f t="shared" si="78"/>
        <v>0</v>
      </c>
      <c r="CG88" s="1029"/>
      <c r="CH88" s="972">
        <f t="shared" si="79"/>
        <v>30072.5</v>
      </c>
      <c r="CL88" s="976">
        <v>4927.5</v>
      </c>
      <c r="CM88" s="976">
        <f t="shared" si="56"/>
        <v>0</v>
      </c>
    </row>
    <row r="89" spans="1:91" s="1032" customFormat="1" ht="12.75" customHeight="1" outlineLevel="1">
      <c r="A89" s="996"/>
      <c r="B89" s="1015"/>
      <c r="C89" s="1043"/>
      <c r="D89" s="1016" t="s">
        <v>649</v>
      </c>
      <c r="E89" s="1017"/>
      <c r="F89" s="1023"/>
      <c r="G89" s="1023">
        <v>14315</v>
      </c>
      <c r="H89" s="1023"/>
      <c r="I89" s="1023">
        <v>14315</v>
      </c>
      <c r="J89" s="1033">
        <v>4600003041</v>
      </c>
      <c r="K89" s="1034">
        <v>250000</v>
      </c>
      <c r="L89" s="1035" t="s">
        <v>381</v>
      </c>
      <c r="M89" s="1036"/>
      <c r="N89" s="1023">
        <v>0</v>
      </c>
      <c r="O89" s="1024">
        <v>0</v>
      </c>
      <c r="P89" s="1024">
        <v>0</v>
      </c>
      <c r="Q89" s="1024">
        <v>0</v>
      </c>
      <c r="R89" s="1024">
        <v>0</v>
      </c>
      <c r="S89" s="1024">
        <v>0</v>
      </c>
      <c r="T89" s="1024">
        <v>0</v>
      </c>
      <c r="U89" s="1024">
        <v>0</v>
      </c>
      <c r="V89" s="1024">
        <v>0</v>
      </c>
      <c r="W89" s="1024">
        <v>0</v>
      </c>
      <c r="X89" s="1024">
        <v>0</v>
      </c>
      <c r="Y89" s="1024">
        <v>0</v>
      </c>
      <c r="Z89" s="1025">
        <f t="shared" si="69"/>
        <v>0</v>
      </c>
      <c r="AA89" s="1026">
        <v>0</v>
      </c>
      <c r="AB89" s="1027">
        <v>0</v>
      </c>
      <c r="AC89" s="1027">
        <v>0</v>
      </c>
      <c r="AD89" s="1027">
        <v>0</v>
      </c>
      <c r="AE89" s="1027">
        <v>0</v>
      </c>
      <c r="AF89" s="1027">
        <v>0</v>
      </c>
      <c r="AG89" s="1027"/>
      <c r="AH89" s="1028">
        <v>0</v>
      </c>
      <c r="AI89" s="1028">
        <v>0</v>
      </c>
      <c r="AJ89" s="1028">
        <v>14315</v>
      </c>
      <c r="AK89" s="1028">
        <v>0</v>
      </c>
      <c r="AL89" s="1028">
        <v>0</v>
      </c>
      <c r="AM89" s="1025">
        <f t="shared" si="70"/>
        <v>14315</v>
      </c>
      <c r="AN89" s="1024"/>
      <c r="AO89" s="1024"/>
      <c r="AP89" s="1024"/>
      <c r="AQ89" s="1024"/>
      <c r="AR89" s="1024"/>
      <c r="AS89" s="1024"/>
      <c r="AT89" s="1024"/>
      <c r="AU89" s="1024"/>
      <c r="AV89" s="1024"/>
      <c r="AW89" s="1024"/>
      <c r="AX89" s="1024"/>
      <c r="AY89" s="1024"/>
      <c r="AZ89" s="1024">
        <f t="shared" si="71"/>
        <v>0</v>
      </c>
      <c r="BA89" s="1024"/>
      <c r="BB89" s="1024"/>
      <c r="BC89" s="1024"/>
      <c r="BD89" s="1024"/>
      <c r="BE89" s="1024"/>
      <c r="BF89" s="1024"/>
      <c r="BG89" s="1024"/>
      <c r="BH89" s="1024"/>
      <c r="BI89" s="1024"/>
      <c r="BJ89" s="1024"/>
      <c r="BK89" s="1024"/>
      <c r="BL89" s="1024"/>
      <c r="BM89" s="1024">
        <f t="shared" si="72"/>
        <v>0</v>
      </c>
      <c r="BN89" s="1024"/>
      <c r="BO89" s="1024"/>
      <c r="BP89" s="1024"/>
      <c r="BQ89" s="1024"/>
      <c r="BR89" s="1024"/>
      <c r="BS89" s="1024"/>
      <c r="BT89" s="1024"/>
      <c r="BU89" s="1024"/>
      <c r="BV89" s="1024"/>
      <c r="BW89" s="1024"/>
      <c r="BX89" s="1024"/>
      <c r="BY89" s="1024"/>
      <c r="BZ89" s="1029">
        <f t="shared" si="73"/>
        <v>0</v>
      </c>
      <c r="CA89" s="1030">
        <f t="shared" si="74"/>
        <v>14315</v>
      </c>
      <c r="CB89" s="1024">
        <f t="shared" si="75"/>
        <v>0</v>
      </c>
      <c r="CC89" s="1036">
        <f t="shared" si="76"/>
        <v>14315</v>
      </c>
      <c r="CD89" s="1023">
        <f t="shared" si="77"/>
        <v>0</v>
      </c>
      <c r="CE89" s="1023">
        <v>14315</v>
      </c>
      <c r="CF89" s="1023">
        <f t="shared" si="78"/>
        <v>0</v>
      </c>
      <c r="CG89" s="1029"/>
      <c r="CH89" s="972">
        <f t="shared" si="79"/>
        <v>235685</v>
      </c>
      <c r="CL89" s="976">
        <v>14315</v>
      </c>
      <c r="CM89" s="976">
        <f t="shared" si="56"/>
        <v>0</v>
      </c>
    </row>
    <row r="90" spans="1:91" s="1032" customFormat="1" ht="12.75" customHeight="1" outlineLevel="1">
      <c r="A90" s="996"/>
      <c r="B90" s="1015"/>
      <c r="C90" s="1043"/>
      <c r="D90" s="1043" t="s">
        <v>650</v>
      </c>
      <c r="E90" s="1017"/>
      <c r="F90" s="1023"/>
      <c r="G90" s="1023">
        <v>20078.77</v>
      </c>
      <c r="H90" s="1023"/>
      <c r="I90" s="1023">
        <v>20078.77</v>
      </c>
      <c r="J90" s="1033">
        <v>6400003595</v>
      </c>
      <c r="K90" s="1034">
        <v>60000</v>
      </c>
      <c r="L90" s="1035" t="s">
        <v>310</v>
      </c>
      <c r="M90" s="1036"/>
      <c r="N90" s="1023">
        <v>0</v>
      </c>
      <c r="O90" s="1024">
        <v>0</v>
      </c>
      <c r="P90" s="1024">
        <v>0</v>
      </c>
      <c r="Q90" s="1024">
        <v>0</v>
      </c>
      <c r="R90" s="1024">
        <v>0</v>
      </c>
      <c r="S90" s="1024">
        <v>0</v>
      </c>
      <c r="T90" s="1024">
        <v>0</v>
      </c>
      <c r="U90" s="1024">
        <v>0</v>
      </c>
      <c r="V90" s="1024">
        <v>0</v>
      </c>
      <c r="W90" s="1024">
        <v>0</v>
      </c>
      <c r="X90" s="1024">
        <v>0</v>
      </c>
      <c r="Y90" s="1024">
        <v>0</v>
      </c>
      <c r="Z90" s="1025">
        <f t="shared" si="69"/>
        <v>0</v>
      </c>
      <c r="AA90" s="1026">
        <v>0</v>
      </c>
      <c r="AB90" s="1027">
        <v>0</v>
      </c>
      <c r="AC90" s="1027">
        <v>0</v>
      </c>
      <c r="AD90" s="1027">
        <v>0</v>
      </c>
      <c r="AE90" s="1027">
        <v>0</v>
      </c>
      <c r="AF90" s="1027">
        <v>0</v>
      </c>
      <c r="AG90" s="1027">
        <v>3485</v>
      </c>
      <c r="AH90" s="1028">
        <v>0</v>
      </c>
      <c r="AI90" s="1028">
        <v>0</v>
      </c>
      <c r="AJ90" s="1028">
        <v>0</v>
      </c>
      <c r="AK90" s="1028">
        <v>0</v>
      </c>
      <c r="AL90" s="1028">
        <v>3825</v>
      </c>
      <c r="AM90" s="1025">
        <f t="shared" si="70"/>
        <v>7310</v>
      </c>
      <c r="AN90" s="1024"/>
      <c r="AO90" s="1024"/>
      <c r="AP90" s="1024"/>
      <c r="AQ90" s="1024"/>
      <c r="AR90" s="1024">
        <f>2040+10000</f>
        <v>12040</v>
      </c>
      <c r="AS90" s="1024">
        <f>6774.07-10000</f>
        <v>-3225.9300000000003</v>
      </c>
      <c r="AT90" s="1024"/>
      <c r="AU90" s="1024"/>
      <c r="AV90" s="1024">
        <v>3954.7</v>
      </c>
      <c r="AW90" s="1024"/>
      <c r="AX90" s="1024"/>
      <c r="AY90" s="1024">
        <v>5093.34</v>
      </c>
      <c r="AZ90" s="1024">
        <f t="shared" si="71"/>
        <v>17862.11</v>
      </c>
      <c r="BA90" s="1024"/>
      <c r="BB90" s="1024"/>
      <c r="BC90" s="1024"/>
      <c r="BD90" s="1024"/>
      <c r="BE90" s="1024">
        <v>3161.57</v>
      </c>
      <c r="BF90" s="1024"/>
      <c r="BG90" s="1024"/>
      <c r="BH90" s="1024"/>
      <c r="BI90" s="1024"/>
      <c r="BJ90" s="1024"/>
      <c r="BK90" s="1024"/>
      <c r="BL90" s="1024"/>
      <c r="BM90" s="1024">
        <f t="shared" si="72"/>
        <v>3161.57</v>
      </c>
      <c r="BN90" s="1024"/>
      <c r="BO90" s="1024"/>
      <c r="BP90" s="1024"/>
      <c r="BQ90" s="1024"/>
      <c r="BR90" s="1024"/>
      <c r="BS90" s="1024"/>
      <c r="BT90" s="1024"/>
      <c r="BU90" s="1024"/>
      <c r="BV90" s="1024"/>
      <c r="BW90" s="1024"/>
      <c r="BX90" s="1024"/>
      <c r="BY90" s="1024"/>
      <c r="BZ90" s="1029">
        <f t="shared" si="73"/>
        <v>0</v>
      </c>
      <c r="CA90" s="1030">
        <f t="shared" si="74"/>
        <v>28333.68</v>
      </c>
      <c r="CB90" s="1024">
        <f t="shared" si="75"/>
        <v>0</v>
      </c>
      <c r="CC90" s="1036">
        <f t="shared" si="76"/>
        <v>28333.68</v>
      </c>
      <c r="CD90" s="1023">
        <f t="shared" si="77"/>
        <v>8254.91</v>
      </c>
      <c r="CE90" s="1023">
        <v>28333.68</v>
      </c>
      <c r="CF90" s="1023">
        <f t="shared" si="78"/>
        <v>0</v>
      </c>
      <c r="CG90" s="1029"/>
      <c r="CH90" s="1042">
        <f t="shared" si="79"/>
        <v>31666.32</v>
      </c>
      <c r="CI90" s="1032">
        <v>60000</v>
      </c>
      <c r="CJ90" s="1032">
        <f>+CI90-CC90</f>
        <v>31666.32</v>
      </c>
      <c r="CL90" s="976">
        <v>19350</v>
      </c>
      <c r="CM90" s="976">
        <f t="shared" si="56"/>
        <v>-8983.68</v>
      </c>
    </row>
    <row r="91" spans="1:91" s="1032" customFormat="1" ht="12.75" customHeight="1" outlineLevel="1">
      <c r="A91" s="996"/>
      <c r="B91" s="1015"/>
      <c r="C91" s="1043"/>
      <c r="D91" s="1043" t="s">
        <v>651</v>
      </c>
      <c r="E91" s="1017"/>
      <c r="F91" s="1023"/>
      <c r="G91" s="1023">
        <v>200</v>
      </c>
      <c r="H91" s="1023"/>
      <c r="I91" s="1023">
        <v>200</v>
      </c>
      <c r="J91" s="1033" t="s">
        <v>652</v>
      </c>
      <c r="K91" s="1034">
        <v>200</v>
      </c>
      <c r="L91" s="1035" t="s">
        <v>381</v>
      </c>
      <c r="M91" s="1036"/>
      <c r="N91" s="1023">
        <v>0</v>
      </c>
      <c r="O91" s="1024">
        <v>0</v>
      </c>
      <c r="P91" s="1024">
        <v>0</v>
      </c>
      <c r="Q91" s="1024">
        <v>0</v>
      </c>
      <c r="R91" s="1024">
        <v>0</v>
      </c>
      <c r="S91" s="1024">
        <v>0</v>
      </c>
      <c r="T91" s="1024">
        <v>0</v>
      </c>
      <c r="U91" s="1024">
        <v>0</v>
      </c>
      <c r="V91" s="1024">
        <v>0</v>
      </c>
      <c r="W91" s="1024">
        <v>0</v>
      </c>
      <c r="X91" s="1024">
        <v>0</v>
      </c>
      <c r="Y91" s="1024">
        <v>0</v>
      </c>
      <c r="Z91" s="1025">
        <f t="shared" si="69"/>
        <v>0</v>
      </c>
      <c r="AA91" s="1026">
        <v>0</v>
      </c>
      <c r="AB91" s="1027">
        <v>0</v>
      </c>
      <c r="AC91" s="1027">
        <v>0</v>
      </c>
      <c r="AD91" s="1027">
        <v>0</v>
      </c>
      <c r="AE91" s="1027">
        <v>0</v>
      </c>
      <c r="AF91" s="1027">
        <v>0</v>
      </c>
      <c r="AG91" s="1027"/>
      <c r="AH91" s="1028"/>
      <c r="AI91" s="1028"/>
      <c r="AJ91" s="1028"/>
      <c r="AK91" s="1028"/>
      <c r="AL91" s="1028"/>
      <c r="AM91" s="1025">
        <f t="shared" si="70"/>
        <v>0</v>
      </c>
      <c r="AN91" s="1024"/>
      <c r="AO91" s="1024"/>
      <c r="AP91" s="1024"/>
      <c r="AQ91" s="1024"/>
      <c r="AR91" s="1024">
        <v>200</v>
      </c>
      <c r="AS91" s="1024"/>
      <c r="AT91" s="1024"/>
      <c r="AU91" s="1024"/>
      <c r="AV91" s="1024"/>
      <c r="AW91" s="1024"/>
      <c r="AX91" s="1024"/>
      <c r="AY91" s="1024"/>
      <c r="AZ91" s="1024">
        <f t="shared" si="71"/>
        <v>200</v>
      </c>
      <c r="BA91" s="1024"/>
      <c r="BB91" s="1024"/>
      <c r="BC91" s="1024"/>
      <c r="BD91" s="1024"/>
      <c r="BE91" s="1024"/>
      <c r="BF91" s="1024"/>
      <c r="BG91" s="1024"/>
      <c r="BH91" s="1024"/>
      <c r="BI91" s="1024"/>
      <c r="BJ91" s="1024"/>
      <c r="BK91" s="1024"/>
      <c r="BL91" s="1024"/>
      <c r="BM91" s="1024">
        <f t="shared" si="72"/>
        <v>0</v>
      </c>
      <c r="BN91" s="1024"/>
      <c r="BO91" s="1024"/>
      <c r="BP91" s="1024"/>
      <c r="BQ91" s="1024"/>
      <c r="BR91" s="1024"/>
      <c r="BS91" s="1024"/>
      <c r="BT91" s="1024"/>
      <c r="BU91" s="1024"/>
      <c r="BV91" s="1024"/>
      <c r="BW91" s="1024"/>
      <c r="BX91" s="1024"/>
      <c r="BY91" s="1024"/>
      <c r="BZ91" s="1029">
        <f t="shared" si="73"/>
        <v>0</v>
      </c>
      <c r="CA91" s="1030">
        <f t="shared" si="74"/>
        <v>200</v>
      </c>
      <c r="CB91" s="1024">
        <f t="shared" si="75"/>
        <v>0</v>
      </c>
      <c r="CC91" s="1036">
        <f t="shared" si="76"/>
        <v>200</v>
      </c>
      <c r="CD91" s="1023">
        <f t="shared" si="77"/>
        <v>0</v>
      </c>
      <c r="CE91" s="1023">
        <v>200</v>
      </c>
      <c r="CF91" s="1023">
        <f t="shared" si="78"/>
        <v>0</v>
      </c>
      <c r="CG91" s="1029"/>
      <c r="CH91" s="1042">
        <f t="shared" si="79"/>
        <v>0</v>
      </c>
      <c r="CL91" s="976">
        <v>200</v>
      </c>
      <c r="CM91" s="976">
        <f t="shared" si="56"/>
        <v>0</v>
      </c>
    </row>
    <row r="92" spans="1:91" s="1032" customFormat="1" ht="12.75" customHeight="1" outlineLevel="1">
      <c r="A92" s="996"/>
      <c r="B92" s="1015"/>
      <c r="C92" s="1043"/>
      <c r="D92" s="1043" t="s">
        <v>606</v>
      </c>
      <c r="E92" s="1017"/>
      <c r="F92" s="1023"/>
      <c r="G92" s="1023">
        <v>6991.67</v>
      </c>
      <c r="H92" s="1023"/>
      <c r="I92" s="1023">
        <v>6991.67</v>
      </c>
      <c r="J92" s="1033">
        <v>4600001845</v>
      </c>
      <c r="K92" s="1034">
        <v>6298200</v>
      </c>
      <c r="L92" s="1035" t="s">
        <v>314</v>
      </c>
      <c r="M92" s="1036"/>
      <c r="N92" s="1023">
        <v>0</v>
      </c>
      <c r="O92" s="1024">
        <v>0</v>
      </c>
      <c r="P92" s="1024">
        <v>0</v>
      </c>
      <c r="Q92" s="1024">
        <v>0</v>
      </c>
      <c r="R92" s="1024">
        <v>0</v>
      </c>
      <c r="S92" s="1024">
        <v>0</v>
      </c>
      <c r="T92" s="1024">
        <v>0</v>
      </c>
      <c r="U92" s="1024">
        <v>0</v>
      </c>
      <c r="V92" s="1024">
        <v>0</v>
      </c>
      <c r="W92" s="1024">
        <v>0</v>
      </c>
      <c r="X92" s="1024">
        <v>0</v>
      </c>
      <c r="Y92" s="1024">
        <v>0</v>
      </c>
      <c r="Z92" s="1025">
        <f t="shared" si="69"/>
        <v>0</v>
      </c>
      <c r="AA92" s="1026">
        <v>0</v>
      </c>
      <c r="AB92" s="1027">
        <v>0</v>
      </c>
      <c r="AC92" s="1027">
        <v>0</v>
      </c>
      <c r="AD92" s="1027">
        <v>0</v>
      </c>
      <c r="AE92" s="1027">
        <v>0</v>
      </c>
      <c r="AF92" s="1027">
        <v>0</v>
      </c>
      <c r="AG92" s="1027"/>
      <c r="AH92" s="1028"/>
      <c r="AI92" s="1028">
        <v>0</v>
      </c>
      <c r="AJ92" s="1028">
        <v>0</v>
      </c>
      <c r="AK92" s="1028">
        <v>0</v>
      </c>
      <c r="AL92" s="1028">
        <v>0</v>
      </c>
      <c r="AM92" s="1025">
        <f t="shared" si="70"/>
        <v>0</v>
      </c>
      <c r="AN92" s="1024"/>
      <c r="AO92" s="1024"/>
      <c r="AP92" s="1024"/>
      <c r="AQ92" s="1024">
        <v>1780.92</v>
      </c>
      <c r="AR92" s="1024">
        <v>629.51</v>
      </c>
      <c r="AS92" s="1024">
        <v>538.16</v>
      </c>
      <c r="AT92" s="1024">
        <v>649.35</v>
      </c>
      <c r="AU92" s="1024">
        <v>1367.01</v>
      </c>
      <c r="AV92" s="1024">
        <v>591.87</v>
      </c>
      <c r="AW92" s="1024">
        <v>1434.85</v>
      </c>
      <c r="AX92" s="1024">
        <v>739.78</v>
      </c>
      <c r="AY92" s="1076">
        <v>641.5</v>
      </c>
      <c r="AZ92" s="1024">
        <f t="shared" si="71"/>
        <v>8372.9500000000007</v>
      </c>
      <c r="BA92" s="1024"/>
      <c r="BB92" s="1024">
        <f>2254.4+2908.07</f>
        <v>5162.47</v>
      </c>
      <c r="BC92" s="1024">
        <v>10796.97</v>
      </c>
      <c r="BD92" s="1024"/>
      <c r="BE92" s="1024"/>
      <c r="BF92" s="1024"/>
      <c r="BG92" s="1024"/>
      <c r="BH92" s="1024"/>
      <c r="BI92" s="1024"/>
      <c r="BJ92" s="1024">
        <v>526.5</v>
      </c>
      <c r="BK92" s="1024"/>
      <c r="BL92" s="1024"/>
      <c r="BM92" s="1024">
        <f t="shared" si="72"/>
        <v>16485.939999999999</v>
      </c>
      <c r="BN92" s="1024"/>
      <c r="BO92" s="1024"/>
      <c r="BP92" s="1024"/>
      <c r="BQ92" s="1024"/>
      <c r="BR92" s="1024"/>
      <c r="BS92" s="1093">
        <v>0</v>
      </c>
      <c r="BT92" s="1024"/>
      <c r="BU92" s="1024"/>
      <c r="BV92" s="1024"/>
      <c r="BW92" s="1024"/>
      <c r="BX92" s="1024"/>
      <c r="BY92" s="1024"/>
      <c r="BZ92" s="1029">
        <f t="shared" si="73"/>
        <v>0</v>
      </c>
      <c r="CA92" s="1030">
        <f t="shared" si="74"/>
        <v>24858.89</v>
      </c>
      <c r="CB92" s="1024">
        <f t="shared" si="75"/>
        <v>0</v>
      </c>
      <c r="CC92" s="1036">
        <f t="shared" si="76"/>
        <v>24858.89</v>
      </c>
      <c r="CD92" s="1023">
        <f t="shared" si="77"/>
        <v>17867.22</v>
      </c>
      <c r="CE92" s="1023">
        <v>27332.39</v>
      </c>
      <c r="CF92" s="1023">
        <f t="shared" si="78"/>
        <v>-2473.5</v>
      </c>
      <c r="CG92" s="1029"/>
      <c r="CH92" s="1042">
        <f t="shared" si="79"/>
        <v>6273341.1100000003</v>
      </c>
      <c r="CI92" s="1080">
        <v>24500</v>
      </c>
      <c r="CJ92" s="1080">
        <f>+CI92-CC92</f>
        <v>-358.88999999999942</v>
      </c>
      <c r="CL92" s="976">
        <v>24501.253333333334</v>
      </c>
      <c r="CM92" s="976">
        <f t="shared" si="56"/>
        <v>-357.63666666666541</v>
      </c>
    </row>
    <row r="93" spans="1:91" s="1032" customFormat="1" ht="12.75" customHeight="1" outlineLevel="1">
      <c r="A93" s="996"/>
      <c r="B93" s="1015"/>
      <c r="C93" s="1043"/>
      <c r="D93" s="1043" t="s">
        <v>653</v>
      </c>
      <c r="E93" s="1017"/>
      <c r="F93" s="1023"/>
      <c r="G93" s="1023">
        <v>177787.88</v>
      </c>
      <c r="H93" s="1023"/>
      <c r="I93" s="1023">
        <v>177787.88</v>
      </c>
      <c r="J93" s="1033">
        <v>4600002357</v>
      </c>
      <c r="K93" s="1034">
        <v>11850200</v>
      </c>
      <c r="L93" s="1035" t="s">
        <v>314</v>
      </c>
      <c r="M93" s="1036"/>
      <c r="N93" s="1023">
        <v>0</v>
      </c>
      <c r="O93" s="1024">
        <v>0</v>
      </c>
      <c r="P93" s="1024">
        <v>0</v>
      </c>
      <c r="Q93" s="1024">
        <v>0</v>
      </c>
      <c r="R93" s="1024">
        <v>0</v>
      </c>
      <c r="S93" s="1024">
        <v>0</v>
      </c>
      <c r="T93" s="1024">
        <v>0</v>
      </c>
      <c r="U93" s="1024">
        <v>0</v>
      </c>
      <c r="V93" s="1024">
        <v>0</v>
      </c>
      <c r="W93" s="1024">
        <v>0</v>
      </c>
      <c r="X93" s="1024">
        <v>0</v>
      </c>
      <c r="Y93" s="1024">
        <v>0</v>
      </c>
      <c r="Z93" s="1025">
        <f t="shared" si="69"/>
        <v>0</v>
      </c>
      <c r="AA93" s="1026">
        <v>0</v>
      </c>
      <c r="AB93" s="1027">
        <v>0</v>
      </c>
      <c r="AC93" s="1027">
        <v>0</v>
      </c>
      <c r="AD93" s="1027">
        <v>0</v>
      </c>
      <c r="AE93" s="1027">
        <v>0</v>
      </c>
      <c r="AF93" s="1027">
        <v>13921.88</v>
      </c>
      <c r="AG93" s="1027">
        <v>0</v>
      </c>
      <c r="AH93" s="1028">
        <v>0</v>
      </c>
      <c r="AI93" s="1028">
        <v>55627.72</v>
      </c>
      <c r="AJ93" s="1028">
        <v>9289.9500000000007</v>
      </c>
      <c r="AK93" s="1028">
        <v>26301.8</v>
      </c>
      <c r="AL93" s="1028">
        <v>31782.880000000001</v>
      </c>
      <c r="AM93" s="1025">
        <f t="shared" si="70"/>
        <v>136924.23000000001</v>
      </c>
      <c r="AN93" s="1024">
        <v>16022.11</v>
      </c>
      <c r="AO93" s="1024"/>
      <c r="AP93" s="1024">
        <v>13007.61</v>
      </c>
      <c r="AQ93" s="1024">
        <v>10082.6</v>
      </c>
      <c r="AR93" s="1024">
        <v>1751.33</v>
      </c>
      <c r="AS93" s="1024"/>
      <c r="AT93" s="1024"/>
      <c r="AU93" s="1024"/>
      <c r="AV93" s="1024"/>
      <c r="AW93" s="1024"/>
      <c r="AX93" s="1024"/>
      <c r="AY93" s="1024"/>
      <c r="AZ93" s="1024">
        <f t="shared" si="71"/>
        <v>40863.65</v>
      </c>
      <c r="BA93" s="1024"/>
      <c r="BB93" s="1024"/>
      <c r="BC93" s="1024"/>
      <c r="BD93" s="1024"/>
      <c r="BE93" s="1024"/>
      <c r="BF93" s="1024"/>
      <c r="BG93" s="1024"/>
      <c r="BH93" s="1024"/>
      <c r="BI93" s="1024"/>
      <c r="BJ93" s="1024"/>
      <c r="BK93" s="1024"/>
      <c r="BL93" s="1024"/>
      <c r="BM93" s="1024">
        <f t="shared" si="72"/>
        <v>0</v>
      </c>
      <c r="BN93" s="1024"/>
      <c r="BO93" s="1024"/>
      <c r="BP93" s="1024"/>
      <c r="BQ93" s="1024"/>
      <c r="BR93" s="1024"/>
      <c r="BS93" s="1024"/>
      <c r="BT93" s="1024"/>
      <c r="BU93" s="1024"/>
      <c r="BV93" s="1024"/>
      <c r="BW93" s="1024"/>
      <c r="BX93" s="1024"/>
      <c r="BY93" s="1024"/>
      <c r="BZ93" s="1029">
        <f t="shared" si="73"/>
        <v>0</v>
      </c>
      <c r="CA93" s="1030">
        <f t="shared" si="74"/>
        <v>177787.88</v>
      </c>
      <c r="CB93" s="1024">
        <f t="shared" si="75"/>
        <v>0</v>
      </c>
      <c r="CC93" s="1036">
        <f t="shared" si="76"/>
        <v>177787.88</v>
      </c>
      <c r="CD93" s="1023">
        <f t="shared" si="77"/>
        <v>0</v>
      </c>
      <c r="CE93" s="1023">
        <v>177787.88</v>
      </c>
      <c r="CF93" s="1023">
        <f t="shared" si="78"/>
        <v>0</v>
      </c>
      <c r="CG93" s="1029"/>
      <c r="CH93" s="1042">
        <f t="shared" si="79"/>
        <v>11672412.119999999</v>
      </c>
      <c r="CL93" s="976">
        <v>177787.88</v>
      </c>
      <c r="CM93" s="976">
        <f t="shared" si="56"/>
        <v>0</v>
      </c>
    </row>
    <row r="94" spans="1:91" s="1032" customFormat="1" ht="12.75" customHeight="1" outlineLevel="1">
      <c r="A94" s="996"/>
      <c r="B94" s="1015"/>
      <c r="C94" s="1043"/>
      <c r="D94" s="1043" t="s">
        <v>348</v>
      </c>
      <c r="E94" s="1017"/>
      <c r="F94" s="1023"/>
      <c r="G94" s="1023"/>
      <c r="H94" s="1023"/>
      <c r="I94" s="1023"/>
      <c r="J94" s="1033">
        <v>6400003686</v>
      </c>
      <c r="K94" s="1034">
        <v>1000000</v>
      </c>
      <c r="L94" s="1035" t="s">
        <v>310</v>
      </c>
      <c r="M94" s="1036"/>
      <c r="N94" s="1023">
        <v>0</v>
      </c>
      <c r="O94" s="1024">
        <v>0</v>
      </c>
      <c r="P94" s="1024">
        <v>0</v>
      </c>
      <c r="Q94" s="1024">
        <v>0</v>
      </c>
      <c r="R94" s="1024">
        <v>0</v>
      </c>
      <c r="S94" s="1024">
        <v>0</v>
      </c>
      <c r="T94" s="1024">
        <v>0</v>
      </c>
      <c r="U94" s="1024">
        <v>0</v>
      </c>
      <c r="V94" s="1024">
        <v>0</v>
      </c>
      <c r="W94" s="1024">
        <v>0</v>
      </c>
      <c r="X94" s="1024">
        <v>0</v>
      </c>
      <c r="Y94" s="1024">
        <v>0</v>
      </c>
      <c r="Z94" s="1025">
        <f t="shared" si="69"/>
        <v>0</v>
      </c>
      <c r="AA94" s="1026">
        <v>0</v>
      </c>
      <c r="AB94" s="1027">
        <v>0</v>
      </c>
      <c r="AC94" s="1027">
        <v>0</v>
      </c>
      <c r="AD94" s="1027">
        <v>0</v>
      </c>
      <c r="AE94" s="1027"/>
      <c r="AF94" s="1027"/>
      <c r="AG94" s="1027"/>
      <c r="AH94" s="1028"/>
      <c r="AI94" s="1028"/>
      <c r="AJ94" s="1028"/>
      <c r="AK94" s="1028"/>
      <c r="AL94" s="1028"/>
      <c r="AM94" s="1025">
        <f t="shared" si="70"/>
        <v>0</v>
      </c>
      <c r="AN94" s="1024"/>
      <c r="AO94" s="1024"/>
      <c r="AP94" s="1024"/>
      <c r="AQ94" s="1024"/>
      <c r="AR94" s="1024"/>
      <c r="AS94" s="1024"/>
      <c r="AT94" s="1024"/>
      <c r="AU94" s="1024"/>
      <c r="AV94" s="1024"/>
      <c r="AW94" s="1024"/>
      <c r="AX94" s="1024"/>
      <c r="AY94" s="1024"/>
      <c r="AZ94" s="1024">
        <f t="shared" si="71"/>
        <v>0</v>
      </c>
      <c r="BA94" s="1024"/>
      <c r="BB94" s="1024"/>
      <c r="BC94" s="1024"/>
      <c r="BD94" s="1024">
        <v>1151.26</v>
      </c>
      <c r="BE94" s="1024"/>
      <c r="BF94" s="1024"/>
      <c r="BG94" s="1024"/>
      <c r="BH94" s="1024"/>
      <c r="BI94" s="1024"/>
      <c r="BJ94" s="1024">
        <v>550.52</v>
      </c>
      <c r="BK94" s="1024"/>
      <c r="BL94" s="1024">
        <v>470.81</v>
      </c>
      <c r="BM94" s="1024">
        <f t="shared" si="72"/>
        <v>2172.59</v>
      </c>
      <c r="BN94" s="1024">
        <f>1220.3-470.81</f>
        <v>749.49</v>
      </c>
      <c r="BO94" s="1024"/>
      <c r="BP94" s="1024"/>
      <c r="BQ94" s="1024"/>
      <c r="BR94" s="1024"/>
      <c r="BS94" s="1024"/>
      <c r="BT94" s="1024"/>
      <c r="BU94" s="1024"/>
      <c r="BV94" s="1024"/>
      <c r="BW94" s="1024"/>
      <c r="BX94" s="1024"/>
      <c r="BY94" s="1024"/>
      <c r="BZ94" s="1029">
        <f t="shared" si="73"/>
        <v>749.49</v>
      </c>
      <c r="CA94" s="1030">
        <f t="shared" si="74"/>
        <v>2922.08</v>
      </c>
      <c r="CB94" s="1024">
        <f t="shared" si="75"/>
        <v>0</v>
      </c>
      <c r="CC94" s="1036">
        <f t="shared" si="76"/>
        <v>2922.08</v>
      </c>
      <c r="CD94" s="1023">
        <f t="shared" si="77"/>
        <v>2922.08</v>
      </c>
      <c r="CE94" s="1023">
        <v>2922.08</v>
      </c>
      <c r="CF94" s="1023">
        <f t="shared" si="78"/>
        <v>0</v>
      </c>
      <c r="CG94" s="1029"/>
      <c r="CH94" s="1042">
        <f t="shared" si="79"/>
        <v>997077.92</v>
      </c>
      <c r="CL94" s="976">
        <v>177787.88</v>
      </c>
      <c r="CM94" s="976">
        <f t="shared" si="56"/>
        <v>174865.80000000002</v>
      </c>
    </row>
    <row r="95" spans="1:91" s="1032" customFormat="1" ht="12.75" customHeight="1" outlineLevel="1">
      <c r="A95" s="996"/>
      <c r="B95" s="1015"/>
      <c r="C95" s="1043"/>
      <c r="D95" s="1043" t="s">
        <v>654</v>
      </c>
      <c r="E95" s="1017"/>
      <c r="F95" s="1023"/>
      <c r="G95" s="1023">
        <v>14526.93</v>
      </c>
      <c r="H95" s="1023"/>
      <c r="I95" s="1023">
        <v>14526.93</v>
      </c>
      <c r="J95" s="1033">
        <v>6400003384</v>
      </c>
      <c r="K95" s="1034">
        <v>50000</v>
      </c>
      <c r="L95" s="1035" t="s">
        <v>310</v>
      </c>
      <c r="M95" s="1036"/>
      <c r="N95" s="1023">
        <v>0</v>
      </c>
      <c r="O95" s="1024">
        <v>0</v>
      </c>
      <c r="P95" s="1024">
        <v>0</v>
      </c>
      <c r="Q95" s="1024">
        <v>0</v>
      </c>
      <c r="R95" s="1024">
        <v>0</v>
      </c>
      <c r="S95" s="1024">
        <v>0</v>
      </c>
      <c r="T95" s="1024">
        <v>0</v>
      </c>
      <c r="U95" s="1024">
        <v>0</v>
      </c>
      <c r="V95" s="1024">
        <v>0</v>
      </c>
      <c r="W95" s="1024">
        <v>0</v>
      </c>
      <c r="X95" s="1024">
        <v>0</v>
      </c>
      <c r="Y95" s="1024">
        <v>0</v>
      </c>
      <c r="Z95" s="1025">
        <f t="shared" si="69"/>
        <v>0</v>
      </c>
      <c r="AA95" s="1026">
        <v>0</v>
      </c>
      <c r="AB95" s="1027">
        <v>0</v>
      </c>
      <c r="AC95" s="1027">
        <v>0</v>
      </c>
      <c r="AD95" s="1027">
        <v>0</v>
      </c>
      <c r="AE95" s="1027">
        <v>0</v>
      </c>
      <c r="AF95" s="1027">
        <v>0</v>
      </c>
      <c r="AG95" s="1027">
        <v>0</v>
      </c>
      <c r="AH95" s="1028">
        <v>0</v>
      </c>
      <c r="AI95" s="1028">
        <v>0</v>
      </c>
      <c r="AJ95" s="1028">
        <v>0</v>
      </c>
      <c r="AK95" s="1028">
        <v>0</v>
      </c>
      <c r="AL95" s="1028">
        <v>0</v>
      </c>
      <c r="AM95" s="1025">
        <f t="shared" si="70"/>
        <v>0</v>
      </c>
      <c r="AN95" s="1024"/>
      <c r="AO95" s="1024"/>
      <c r="AP95" s="1024"/>
      <c r="AQ95" s="1024"/>
      <c r="AR95" s="1024"/>
      <c r="AS95" s="1024">
        <v>6670.53</v>
      </c>
      <c r="AT95" s="1024"/>
      <c r="AU95" s="1024"/>
      <c r="AV95" s="1024">
        <v>7856.4</v>
      </c>
      <c r="AW95" s="1024"/>
      <c r="AX95" s="1024"/>
      <c r="AY95" s="1024"/>
      <c r="AZ95" s="1024">
        <f t="shared" si="71"/>
        <v>14526.93</v>
      </c>
      <c r="BA95" s="1024"/>
      <c r="BB95" s="1024"/>
      <c r="BC95" s="1024"/>
      <c r="BD95" s="1024"/>
      <c r="BE95" s="1024"/>
      <c r="BF95" s="1024"/>
      <c r="BG95" s="1024"/>
      <c r="BH95" s="1024"/>
      <c r="BI95" s="1024"/>
      <c r="BJ95" s="1024"/>
      <c r="BK95" s="1024"/>
      <c r="BL95" s="1024"/>
      <c r="BM95" s="1024">
        <f t="shared" si="72"/>
        <v>0</v>
      </c>
      <c r="BN95" s="1024"/>
      <c r="BO95" s="1024"/>
      <c r="BP95" s="1024"/>
      <c r="BQ95" s="1024"/>
      <c r="BR95" s="1024"/>
      <c r="BS95" s="1024"/>
      <c r="BT95" s="1024"/>
      <c r="BU95" s="1024"/>
      <c r="BV95" s="1024"/>
      <c r="BW95" s="1024"/>
      <c r="BX95" s="1024"/>
      <c r="BY95" s="1024"/>
      <c r="BZ95" s="1029">
        <f t="shared" si="73"/>
        <v>0</v>
      </c>
      <c r="CA95" s="1030">
        <f t="shared" si="74"/>
        <v>14526.93</v>
      </c>
      <c r="CB95" s="1024">
        <f t="shared" si="75"/>
        <v>0</v>
      </c>
      <c r="CC95" s="1036">
        <f t="shared" si="76"/>
        <v>14526.93</v>
      </c>
      <c r="CD95" s="1023">
        <f t="shared" si="77"/>
        <v>0</v>
      </c>
      <c r="CE95" s="1023">
        <v>14526.93</v>
      </c>
      <c r="CF95" s="1023">
        <f t="shared" si="78"/>
        <v>0</v>
      </c>
      <c r="CG95" s="1029"/>
      <c r="CH95" s="972">
        <f t="shared" si="79"/>
        <v>35473.07</v>
      </c>
      <c r="CI95" s="1032">
        <v>50000</v>
      </c>
      <c r="CJ95" s="1032">
        <f>+CI95-CC95</f>
        <v>35473.07</v>
      </c>
      <c r="CL95" s="976">
        <v>0</v>
      </c>
      <c r="CM95" s="976">
        <f t="shared" si="56"/>
        <v>-14526.93</v>
      </c>
    </row>
    <row r="96" spans="1:91" s="1032" customFormat="1" ht="12.75" customHeight="1" outlineLevel="1">
      <c r="A96" s="996"/>
      <c r="B96" s="1015"/>
      <c r="C96" s="1043"/>
      <c r="D96" s="1043" t="s">
        <v>609</v>
      </c>
      <c r="E96" s="1017"/>
      <c r="F96" s="1023"/>
      <c r="G96" s="1023">
        <v>0</v>
      </c>
      <c r="H96" s="1023"/>
      <c r="I96" s="1023">
        <v>0</v>
      </c>
      <c r="J96" s="1033">
        <v>4600003760</v>
      </c>
      <c r="K96" s="1034">
        <v>61000</v>
      </c>
      <c r="L96" s="1035" t="s">
        <v>326</v>
      </c>
      <c r="M96" s="1036"/>
      <c r="N96" s="1023">
        <v>0</v>
      </c>
      <c r="O96" s="1024">
        <v>0</v>
      </c>
      <c r="P96" s="1024">
        <v>0</v>
      </c>
      <c r="Q96" s="1024">
        <v>0</v>
      </c>
      <c r="R96" s="1024">
        <v>0</v>
      </c>
      <c r="S96" s="1024">
        <v>0</v>
      </c>
      <c r="T96" s="1024">
        <v>0</v>
      </c>
      <c r="U96" s="1024">
        <v>0</v>
      </c>
      <c r="V96" s="1024">
        <v>0</v>
      </c>
      <c r="W96" s="1024">
        <v>0</v>
      </c>
      <c r="X96" s="1024">
        <v>0</v>
      </c>
      <c r="Y96" s="1024">
        <v>0</v>
      </c>
      <c r="Z96" s="1025">
        <f t="shared" si="69"/>
        <v>0</v>
      </c>
      <c r="AA96" s="1026">
        <v>0</v>
      </c>
      <c r="AB96" s="1027">
        <v>0</v>
      </c>
      <c r="AC96" s="1027">
        <v>0</v>
      </c>
      <c r="AD96" s="1027">
        <v>0</v>
      </c>
      <c r="AE96" s="1027">
        <v>0</v>
      </c>
      <c r="AF96" s="1027">
        <v>0</v>
      </c>
      <c r="AG96" s="1027">
        <v>0</v>
      </c>
      <c r="AH96" s="1028">
        <v>0</v>
      </c>
      <c r="AI96" s="1028">
        <v>0</v>
      </c>
      <c r="AJ96" s="1028">
        <v>0</v>
      </c>
      <c r="AK96" s="1028">
        <v>0</v>
      </c>
      <c r="AL96" s="1028">
        <v>0</v>
      </c>
      <c r="AM96" s="1025">
        <f t="shared" si="70"/>
        <v>0</v>
      </c>
      <c r="AN96" s="1024"/>
      <c r="AO96" s="1024"/>
      <c r="AP96" s="1024"/>
      <c r="AQ96" s="1024"/>
      <c r="AR96" s="1024"/>
      <c r="AS96" s="1024"/>
      <c r="AT96" s="1024"/>
      <c r="AU96" s="1024"/>
      <c r="AV96" s="1024"/>
      <c r="AW96" s="1024"/>
      <c r="AX96" s="1024"/>
      <c r="AY96" s="1024"/>
      <c r="AZ96" s="1024">
        <f t="shared" si="71"/>
        <v>0</v>
      </c>
      <c r="BA96" s="1024"/>
      <c r="BB96" s="1024"/>
      <c r="BC96" s="1024"/>
      <c r="BD96" s="1024"/>
      <c r="BE96" s="1024"/>
      <c r="BF96" s="1024"/>
      <c r="BG96" s="1024"/>
      <c r="BH96" s="1024"/>
      <c r="BI96" s="1024"/>
      <c r="BJ96" s="1024"/>
      <c r="BK96" s="1024"/>
      <c r="BL96" s="1024"/>
      <c r="BM96" s="1024">
        <f t="shared" si="72"/>
        <v>0</v>
      </c>
      <c r="BN96" s="1024"/>
      <c r="BO96" s="1024"/>
      <c r="BP96" s="1024"/>
      <c r="BQ96" s="1024"/>
      <c r="BR96" s="1024"/>
      <c r="BS96" s="1024"/>
      <c r="BT96" s="1024"/>
      <c r="BU96" s="1024"/>
      <c r="BV96" s="1024"/>
      <c r="BW96" s="1024"/>
      <c r="BX96" s="1024"/>
      <c r="BY96" s="1024"/>
      <c r="BZ96" s="1029">
        <f t="shared" si="73"/>
        <v>0</v>
      </c>
      <c r="CA96" s="1030">
        <f t="shared" si="74"/>
        <v>0</v>
      </c>
      <c r="CB96" s="1024">
        <f t="shared" si="75"/>
        <v>0</v>
      </c>
      <c r="CC96" s="1036">
        <f t="shared" si="76"/>
        <v>0</v>
      </c>
      <c r="CD96" s="1023">
        <f t="shared" si="77"/>
        <v>0</v>
      </c>
      <c r="CE96" s="1023">
        <v>0</v>
      </c>
      <c r="CF96" s="1023">
        <f t="shared" si="78"/>
        <v>0</v>
      </c>
      <c r="CG96" s="1029"/>
      <c r="CH96" s="1042">
        <f t="shared" si="79"/>
        <v>61000</v>
      </c>
      <c r="CL96" s="976">
        <v>0</v>
      </c>
      <c r="CM96" s="976">
        <f t="shared" si="56"/>
        <v>0</v>
      </c>
    </row>
    <row r="97" spans="1:91" s="1032" customFormat="1" ht="12.75" customHeight="1" outlineLevel="1">
      <c r="A97" s="996"/>
      <c r="B97" s="1015"/>
      <c r="C97" s="1043"/>
      <c r="D97" s="1043" t="s">
        <v>610</v>
      </c>
      <c r="E97" s="1017"/>
      <c r="F97" s="1023"/>
      <c r="G97" s="1023">
        <v>19065.62</v>
      </c>
      <c r="H97" s="1023"/>
      <c r="I97" s="1023">
        <v>19065.62</v>
      </c>
      <c r="J97" s="1033">
        <v>4600003759</v>
      </c>
      <c r="K97" s="1034">
        <v>90000</v>
      </c>
      <c r="L97" s="1035" t="s">
        <v>314</v>
      </c>
      <c r="M97" s="1036"/>
      <c r="N97" s="1023">
        <v>0</v>
      </c>
      <c r="O97" s="1024">
        <v>0</v>
      </c>
      <c r="P97" s="1024">
        <v>0</v>
      </c>
      <c r="Q97" s="1024">
        <v>0</v>
      </c>
      <c r="R97" s="1024">
        <v>0</v>
      </c>
      <c r="S97" s="1024">
        <v>0</v>
      </c>
      <c r="T97" s="1024">
        <v>0</v>
      </c>
      <c r="U97" s="1024">
        <v>0</v>
      </c>
      <c r="V97" s="1024">
        <v>0</v>
      </c>
      <c r="W97" s="1024">
        <v>0</v>
      </c>
      <c r="X97" s="1024">
        <v>0</v>
      </c>
      <c r="Y97" s="1024">
        <v>0</v>
      </c>
      <c r="Z97" s="1025">
        <f t="shared" si="69"/>
        <v>0</v>
      </c>
      <c r="AA97" s="1026">
        <v>0</v>
      </c>
      <c r="AB97" s="1027">
        <v>0</v>
      </c>
      <c r="AC97" s="1027">
        <v>0</v>
      </c>
      <c r="AD97" s="1027">
        <v>0</v>
      </c>
      <c r="AE97" s="1027">
        <v>0</v>
      </c>
      <c r="AF97" s="1027">
        <v>0</v>
      </c>
      <c r="AG97" s="1027">
        <v>0</v>
      </c>
      <c r="AH97" s="1028">
        <v>0</v>
      </c>
      <c r="AI97" s="1028">
        <v>0</v>
      </c>
      <c r="AJ97" s="1028">
        <v>0</v>
      </c>
      <c r="AK97" s="1028">
        <v>0</v>
      </c>
      <c r="AL97" s="1028">
        <v>12537.9</v>
      </c>
      <c r="AM97" s="1025">
        <f t="shared" si="70"/>
        <v>12537.9</v>
      </c>
      <c r="AN97" s="1024"/>
      <c r="AO97" s="1024"/>
      <c r="AP97" s="1024"/>
      <c r="AQ97" s="1024"/>
      <c r="AR97" s="1024"/>
      <c r="AS97" s="1024"/>
      <c r="AT97" s="1024">
        <v>1800</v>
      </c>
      <c r="AU97" s="1024"/>
      <c r="AV97" s="1024">
        <v>4727.72</v>
      </c>
      <c r="AW97" s="1024"/>
      <c r="AX97" s="1024"/>
      <c r="AY97" s="1024">
        <v>5675.71</v>
      </c>
      <c r="AZ97" s="1024">
        <f t="shared" si="71"/>
        <v>12203.43</v>
      </c>
      <c r="BA97" s="1024"/>
      <c r="BB97" s="1024"/>
      <c r="BC97" s="1024">
        <v>7390.05</v>
      </c>
      <c r="BD97" s="1024"/>
      <c r="BE97" s="1024">
        <v>4996.33</v>
      </c>
      <c r="BF97" s="1024"/>
      <c r="BG97" s="1024"/>
      <c r="BH97" s="1024"/>
      <c r="BI97" s="1024"/>
      <c r="BJ97" s="1024">
        <v>1462.5</v>
      </c>
      <c r="BK97" s="1024"/>
      <c r="BL97" s="1024"/>
      <c r="BM97" s="1024">
        <f t="shared" si="72"/>
        <v>13848.880000000001</v>
      </c>
      <c r="BN97" s="1024"/>
      <c r="BO97" s="1024"/>
      <c r="BP97" s="1024"/>
      <c r="BQ97" s="1024"/>
      <c r="BR97" s="1024"/>
      <c r="BS97" s="1024"/>
      <c r="BT97" s="1024"/>
      <c r="BU97" s="1024"/>
      <c r="BV97" s="1024"/>
      <c r="BW97" s="1024"/>
      <c r="BX97" s="1024"/>
      <c r="BY97" s="1024"/>
      <c r="BZ97" s="1029">
        <f t="shared" si="73"/>
        <v>0</v>
      </c>
      <c r="CA97" s="1030">
        <f t="shared" si="74"/>
        <v>38590.21</v>
      </c>
      <c r="CB97" s="1024">
        <f t="shared" si="75"/>
        <v>0</v>
      </c>
      <c r="CC97" s="1036">
        <f t="shared" si="76"/>
        <v>38590.21</v>
      </c>
      <c r="CD97" s="1023">
        <f t="shared" si="77"/>
        <v>19524.59</v>
      </c>
      <c r="CE97" s="1023">
        <v>38590.21</v>
      </c>
      <c r="CF97" s="1023">
        <f t="shared" si="78"/>
        <v>0</v>
      </c>
      <c r="CG97" s="1029"/>
      <c r="CH97" s="972">
        <f t="shared" si="79"/>
        <v>51409.79</v>
      </c>
      <c r="CL97" s="976">
        <v>12537.9</v>
      </c>
      <c r="CM97" s="976">
        <f t="shared" ref="CM97:CM124" si="80">+CL97-CC97</f>
        <v>-26052.309999999998</v>
      </c>
    </row>
    <row r="98" spans="1:91" s="1032" customFormat="1" ht="12.75" customHeight="1" outlineLevel="1">
      <c r="A98" s="996"/>
      <c r="B98" s="1015"/>
      <c r="C98" s="1043"/>
      <c r="D98" s="1043" t="s">
        <v>655</v>
      </c>
      <c r="E98" s="1017"/>
      <c r="F98" s="1023"/>
      <c r="G98" s="1023">
        <v>0</v>
      </c>
      <c r="H98" s="1023"/>
      <c r="I98" s="1023">
        <v>0</v>
      </c>
      <c r="J98" s="1033"/>
      <c r="K98" s="1034"/>
      <c r="L98" s="1035"/>
      <c r="M98" s="1036"/>
      <c r="N98" s="1023">
        <v>0</v>
      </c>
      <c r="O98" s="1024">
        <v>0</v>
      </c>
      <c r="P98" s="1024">
        <v>0</v>
      </c>
      <c r="Q98" s="1024">
        <v>0</v>
      </c>
      <c r="R98" s="1024">
        <v>0</v>
      </c>
      <c r="S98" s="1024">
        <v>0</v>
      </c>
      <c r="T98" s="1024">
        <v>0</v>
      </c>
      <c r="U98" s="1024">
        <v>0</v>
      </c>
      <c r="V98" s="1024">
        <v>0</v>
      </c>
      <c r="W98" s="1024">
        <v>0</v>
      </c>
      <c r="X98" s="1024">
        <v>0</v>
      </c>
      <c r="Y98" s="1024">
        <v>0</v>
      </c>
      <c r="Z98" s="1025">
        <f t="shared" si="69"/>
        <v>0</v>
      </c>
      <c r="AA98" s="1026">
        <v>0</v>
      </c>
      <c r="AB98" s="1027">
        <v>0</v>
      </c>
      <c r="AC98" s="1027">
        <v>0</v>
      </c>
      <c r="AD98" s="1027">
        <v>0</v>
      </c>
      <c r="AE98" s="1027">
        <v>0</v>
      </c>
      <c r="AF98" s="1027">
        <v>0</v>
      </c>
      <c r="AG98" s="1027">
        <v>0</v>
      </c>
      <c r="AH98" s="1028">
        <v>0</v>
      </c>
      <c r="AI98" s="1028">
        <v>0</v>
      </c>
      <c r="AJ98" s="1028">
        <v>0</v>
      </c>
      <c r="AK98" s="1028">
        <v>0</v>
      </c>
      <c r="AL98" s="1028"/>
      <c r="AM98" s="1025">
        <f t="shared" si="70"/>
        <v>0</v>
      </c>
      <c r="AN98" s="1024"/>
      <c r="AO98" s="1024"/>
      <c r="AP98" s="1024"/>
      <c r="AQ98" s="1024"/>
      <c r="AR98" s="1024"/>
      <c r="AS98" s="1024"/>
      <c r="AT98" s="1024"/>
      <c r="AU98" s="1024"/>
      <c r="AV98" s="1024"/>
      <c r="AW98" s="1024"/>
      <c r="AX98" s="1024"/>
      <c r="AY98" s="1024"/>
      <c r="AZ98" s="1024">
        <f t="shared" si="71"/>
        <v>0</v>
      </c>
      <c r="BA98" s="1024"/>
      <c r="BB98" s="1024"/>
      <c r="BC98" s="1024"/>
      <c r="BD98" s="1024"/>
      <c r="BE98" s="1024"/>
      <c r="BF98" s="1024"/>
      <c r="BG98" s="1024"/>
      <c r="BH98" s="1024"/>
      <c r="BI98" s="1024"/>
      <c r="BJ98" s="1024"/>
      <c r="BK98" s="1024"/>
      <c r="BL98" s="1024"/>
      <c r="BM98" s="1024">
        <f t="shared" si="72"/>
        <v>0</v>
      </c>
      <c r="BN98" s="1024">
        <v>2814.18</v>
      </c>
      <c r="BO98" s="1024"/>
      <c r="BP98" s="1024"/>
      <c r="BQ98" s="1093">
        <f>17236.82*(25/30)</f>
        <v>14364.016666666666</v>
      </c>
      <c r="BR98" s="1024"/>
      <c r="BS98" s="1093">
        <v>0</v>
      </c>
      <c r="BT98" s="1024"/>
      <c r="BU98" s="1024"/>
      <c r="BV98" s="1024"/>
      <c r="BW98" s="1024"/>
      <c r="BX98" s="1024"/>
      <c r="BY98" s="1024"/>
      <c r="BZ98" s="1029">
        <f t="shared" si="73"/>
        <v>17178.196666666667</v>
      </c>
      <c r="CA98" s="1030">
        <f t="shared" si="74"/>
        <v>17178.196666666667</v>
      </c>
      <c r="CB98" s="1077">
        <f t="shared" si="75"/>
        <v>0</v>
      </c>
      <c r="CC98" s="1036">
        <f t="shared" si="76"/>
        <v>17178.196666666667</v>
      </c>
      <c r="CD98" s="1023">
        <f t="shared" si="77"/>
        <v>17178.196666666667</v>
      </c>
      <c r="CE98" s="1023">
        <v>22814.18</v>
      </c>
      <c r="CF98" s="1023">
        <f t="shared" si="78"/>
        <v>-5635.9833333333336</v>
      </c>
      <c r="CG98" s="1029"/>
      <c r="CH98" s="972">
        <f t="shared" si="79"/>
        <v>-17178.196666666667</v>
      </c>
      <c r="CL98" s="976">
        <v>0</v>
      </c>
      <c r="CM98" s="976">
        <f t="shared" si="80"/>
        <v>-17178.196666666667</v>
      </c>
    </row>
    <row r="99" spans="1:91" s="1032" customFormat="1" ht="12.75" customHeight="1" outlineLevel="1">
      <c r="A99" s="996"/>
      <c r="B99" s="1015"/>
      <c r="C99" s="1043"/>
      <c r="D99" s="1043" t="s">
        <v>656</v>
      </c>
      <c r="E99" s="1017"/>
      <c r="F99" s="1023"/>
      <c r="G99" s="1023">
        <v>0</v>
      </c>
      <c r="H99" s="1023"/>
      <c r="I99" s="1023">
        <v>0</v>
      </c>
      <c r="J99" s="1033">
        <v>6400004425</v>
      </c>
      <c r="K99" s="1034">
        <v>100000</v>
      </c>
      <c r="L99" s="1035" t="s">
        <v>310</v>
      </c>
      <c r="M99" s="1036"/>
      <c r="N99" s="1023">
        <v>0</v>
      </c>
      <c r="O99" s="1024">
        <v>0</v>
      </c>
      <c r="P99" s="1024">
        <v>0</v>
      </c>
      <c r="Q99" s="1024">
        <v>0</v>
      </c>
      <c r="R99" s="1024">
        <v>0</v>
      </c>
      <c r="S99" s="1024">
        <v>0</v>
      </c>
      <c r="T99" s="1024">
        <v>0</v>
      </c>
      <c r="U99" s="1024">
        <v>0</v>
      </c>
      <c r="V99" s="1024">
        <v>0</v>
      </c>
      <c r="W99" s="1024">
        <v>0</v>
      </c>
      <c r="X99" s="1024">
        <v>0</v>
      </c>
      <c r="Y99" s="1024">
        <v>0</v>
      </c>
      <c r="Z99" s="1025">
        <f t="shared" si="69"/>
        <v>0</v>
      </c>
      <c r="AA99" s="1026">
        <v>0</v>
      </c>
      <c r="AB99" s="1027">
        <v>0</v>
      </c>
      <c r="AC99" s="1027">
        <v>0</v>
      </c>
      <c r="AD99" s="1027">
        <v>0</v>
      </c>
      <c r="AE99" s="1027">
        <v>0</v>
      </c>
      <c r="AF99" s="1027">
        <v>0</v>
      </c>
      <c r="AG99" s="1027">
        <v>0</v>
      </c>
      <c r="AH99" s="1028">
        <v>0</v>
      </c>
      <c r="AI99" s="1028">
        <v>0</v>
      </c>
      <c r="AJ99" s="1028">
        <v>0</v>
      </c>
      <c r="AK99" s="1028">
        <v>0</v>
      </c>
      <c r="AL99" s="1028">
        <v>0</v>
      </c>
      <c r="AM99" s="1025">
        <f t="shared" si="70"/>
        <v>0</v>
      </c>
      <c r="AN99" s="1024"/>
      <c r="AO99" s="1024"/>
      <c r="AP99" s="1024"/>
      <c r="AQ99" s="1024"/>
      <c r="AR99" s="1024"/>
      <c r="AS99" s="1024"/>
      <c r="AT99" s="1024"/>
      <c r="AU99" s="1024"/>
      <c r="AV99" s="1024"/>
      <c r="AW99" s="1024"/>
      <c r="AX99" s="1024">
        <v>38758</v>
      </c>
      <c r="AY99" s="1024">
        <f>38046.63-38758</f>
        <v>-711.37000000000262</v>
      </c>
      <c r="AZ99" s="1024">
        <f t="shared" si="71"/>
        <v>38046.629999999997</v>
      </c>
      <c r="BA99" s="1024"/>
      <c r="BB99" s="1024"/>
      <c r="BC99" s="1024"/>
      <c r="BD99" s="1024"/>
      <c r="BE99" s="1024">
        <v>18580.66</v>
      </c>
      <c r="BF99" s="1024"/>
      <c r="BG99" s="1024"/>
      <c r="BH99" s="1024"/>
      <c r="BI99" s="1024"/>
      <c r="BJ99" s="1024"/>
      <c r="BK99" s="1024"/>
      <c r="BL99" s="1024"/>
      <c r="BM99" s="1024">
        <f t="shared" si="72"/>
        <v>18580.66</v>
      </c>
      <c r="BN99" s="1024"/>
      <c r="BO99" s="1024"/>
      <c r="BP99" s="1024"/>
      <c r="BQ99" s="1024"/>
      <c r="BR99" s="1024"/>
      <c r="BS99" s="1024"/>
      <c r="BT99" s="1024"/>
      <c r="BU99" s="1024"/>
      <c r="BV99" s="1024"/>
      <c r="BW99" s="1024"/>
      <c r="BX99" s="1024"/>
      <c r="BY99" s="1024"/>
      <c r="BZ99" s="1029">
        <f t="shared" si="73"/>
        <v>0</v>
      </c>
      <c r="CA99" s="1030">
        <f t="shared" si="74"/>
        <v>56627.289999999994</v>
      </c>
      <c r="CB99" s="1077">
        <f t="shared" si="75"/>
        <v>0</v>
      </c>
      <c r="CC99" s="1036">
        <f t="shared" si="76"/>
        <v>56627.289999999994</v>
      </c>
      <c r="CD99" s="1023">
        <f t="shared" si="77"/>
        <v>56627.289999999994</v>
      </c>
      <c r="CE99" s="1023">
        <v>56627.289999999994</v>
      </c>
      <c r="CF99" s="1023">
        <f t="shared" si="78"/>
        <v>0</v>
      </c>
      <c r="CG99" s="1029"/>
      <c r="CH99" s="972">
        <f t="shared" si="79"/>
        <v>43372.710000000006</v>
      </c>
      <c r="CL99" s="976">
        <v>0</v>
      </c>
      <c r="CM99" s="976">
        <f t="shared" si="80"/>
        <v>-56627.289999999994</v>
      </c>
    </row>
    <row r="100" spans="1:91" s="1032" customFormat="1" ht="12.75" customHeight="1" outlineLevel="1">
      <c r="A100" s="996"/>
      <c r="B100" s="1015"/>
      <c r="C100" s="1043"/>
      <c r="D100" s="1043" t="s">
        <v>612</v>
      </c>
      <c r="E100" s="1017"/>
      <c r="F100" s="1023"/>
      <c r="G100" s="1023">
        <v>0</v>
      </c>
      <c r="H100" s="1023"/>
      <c r="I100" s="1023">
        <v>0</v>
      </c>
      <c r="J100" s="1033">
        <v>4600004585</v>
      </c>
      <c r="K100" s="1034">
        <v>83522</v>
      </c>
      <c r="L100" s="1035" t="s">
        <v>326</v>
      </c>
      <c r="M100" s="1036"/>
      <c r="N100" s="1023">
        <v>0</v>
      </c>
      <c r="O100" s="1024">
        <v>0</v>
      </c>
      <c r="P100" s="1024">
        <v>0</v>
      </c>
      <c r="Q100" s="1024">
        <v>0</v>
      </c>
      <c r="R100" s="1024">
        <v>0</v>
      </c>
      <c r="S100" s="1024">
        <v>0</v>
      </c>
      <c r="T100" s="1024">
        <v>0</v>
      </c>
      <c r="U100" s="1024">
        <v>0</v>
      </c>
      <c r="V100" s="1024">
        <v>0</v>
      </c>
      <c r="W100" s="1024">
        <v>0</v>
      </c>
      <c r="X100" s="1024">
        <v>0</v>
      </c>
      <c r="Y100" s="1024">
        <v>0</v>
      </c>
      <c r="Z100" s="1025">
        <f t="shared" si="69"/>
        <v>0</v>
      </c>
      <c r="AA100" s="1026">
        <v>0</v>
      </c>
      <c r="AB100" s="1027">
        <v>0</v>
      </c>
      <c r="AC100" s="1027">
        <v>0</v>
      </c>
      <c r="AD100" s="1027">
        <v>0</v>
      </c>
      <c r="AE100" s="1027">
        <v>0</v>
      </c>
      <c r="AF100" s="1027">
        <v>0</v>
      </c>
      <c r="AG100" s="1027">
        <v>0</v>
      </c>
      <c r="AH100" s="1028">
        <v>0</v>
      </c>
      <c r="AI100" s="1028">
        <v>0</v>
      </c>
      <c r="AJ100" s="1028">
        <v>0</v>
      </c>
      <c r="AK100" s="1028">
        <v>0</v>
      </c>
      <c r="AL100" s="1028">
        <v>0</v>
      </c>
      <c r="AM100" s="1025">
        <f t="shared" si="70"/>
        <v>0</v>
      </c>
      <c r="AN100" s="1024"/>
      <c r="AO100" s="1024"/>
      <c r="AP100" s="1024"/>
      <c r="AQ100" s="1024"/>
      <c r="AR100" s="1024"/>
      <c r="AS100" s="1024"/>
      <c r="AT100" s="1024"/>
      <c r="AU100" s="1024"/>
      <c r="AV100" s="1024"/>
      <c r="AW100" s="1024"/>
      <c r="AX100" s="1024"/>
      <c r="AY100" s="1024"/>
      <c r="AZ100" s="1024">
        <f t="shared" si="71"/>
        <v>0</v>
      </c>
      <c r="BA100" s="1024"/>
      <c r="BB100" s="1024"/>
      <c r="BC100" s="1024"/>
      <c r="BD100" s="1024"/>
      <c r="BE100" s="1024"/>
      <c r="BF100" s="1024"/>
      <c r="BG100" s="1024"/>
      <c r="BH100" s="1024"/>
      <c r="BI100" s="1024"/>
      <c r="BJ100" s="1024"/>
      <c r="BK100" s="1024"/>
      <c r="BL100" s="1076"/>
      <c r="BM100" s="1024">
        <f t="shared" si="72"/>
        <v>0</v>
      </c>
      <c r="BN100" s="1024"/>
      <c r="BO100" s="1024"/>
      <c r="BP100" s="1024"/>
      <c r="BQ100" s="1024"/>
      <c r="BR100" s="1024"/>
      <c r="BS100" s="1024"/>
      <c r="BT100" s="1024"/>
      <c r="BU100" s="1024"/>
      <c r="BV100" s="1024"/>
      <c r="BW100" s="1024"/>
      <c r="BX100" s="1024"/>
      <c r="BY100" s="1024"/>
      <c r="BZ100" s="1029">
        <f t="shared" si="73"/>
        <v>0</v>
      </c>
      <c r="CA100" s="1030">
        <f t="shared" si="74"/>
        <v>0</v>
      </c>
      <c r="CB100" s="1024">
        <f t="shared" si="75"/>
        <v>0</v>
      </c>
      <c r="CC100" s="1036">
        <f t="shared" si="76"/>
        <v>0</v>
      </c>
      <c r="CD100" s="1023">
        <f t="shared" si="77"/>
        <v>0</v>
      </c>
      <c r="CE100" s="1023">
        <v>0</v>
      </c>
      <c r="CF100" s="1023">
        <f t="shared" si="78"/>
        <v>0</v>
      </c>
      <c r="CG100" s="1029"/>
      <c r="CH100" s="972">
        <f t="shared" si="79"/>
        <v>83522</v>
      </c>
      <c r="CL100" s="976">
        <v>0</v>
      </c>
      <c r="CM100" s="976">
        <f t="shared" si="80"/>
        <v>0</v>
      </c>
    </row>
    <row r="101" spans="1:91" s="1032" customFormat="1" ht="12.75" customHeight="1" outlineLevel="1">
      <c r="A101" s="996"/>
      <c r="B101" s="1015"/>
      <c r="C101" s="1043"/>
      <c r="D101" s="1043" t="s">
        <v>657</v>
      </c>
      <c r="E101" s="1017"/>
      <c r="F101" s="1023"/>
      <c r="G101" s="1023">
        <v>106245.36</v>
      </c>
      <c r="H101" s="1023"/>
      <c r="I101" s="1023">
        <v>106245.36</v>
      </c>
      <c r="J101" s="1033">
        <v>4600005167</v>
      </c>
      <c r="K101" s="1034">
        <v>13409100</v>
      </c>
      <c r="L101" s="1035" t="s">
        <v>314</v>
      </c>
      <c r="M101" s="1036"/>
      <c r="N101" s="1023"/>
      <c r="O101" s="1024"/>
      <c r="P101" s="1024"/>
      <c r="Q101" s="1024"/>
      <c r="R101" s="1024"/>
      <c r="S101" s="1024"/>
      <c r="T101" s="1024"/>
      <c r="U101" s="1024"/>
      <c r="V101" s="1024"/>
      <c r="W101" s="1024"/>
      <c r="X101" s="1024"/>
      <c r="Y101" s="1024">
        <v>0</v>
      </c>
      <c r="Z101" s="1025">
        <f t="shared" si="69"/>
        <v>0</v>
      </c>
      <c r="AA101" s="1026">
        <v>1911</v>
      </c>
      <c r="AB101" s="1027">
        <v>0</v>
      </c>
      <c r="AC101" s="1027">
        <v>0</v>
      </c>
      <c r="AD101" s="1027">
        <v>0</v>
      </c>
      <c r="AE101" s="1027">
        <v>0</v>
      </c>
      <c r="AF101" s="1027">
        <v>0</v>
      </c>
      <c r="AG101" s="1027">
        <f>9240+6058.25</f>
        <v>15298.25</v>
      </c>
      <c r="AH101" s="1028">
        <f>10653.25+14393.58</f>
        <v>25046.83</v>
      </c>
      <c r="AI101" s="1028">
        <v>521.02</v>
      </c>
      <c r="AJ101" s="1028">
        <v>20858.259999999998</v>
      </c>
      <c r="AK101" s="1028">
        <v>-15040.11</v>
      </c>
      <c r="AL101" s="1028">
        <v>12825.33</v>
      </c>
      <c r="AM101" s="1025">
        <f t="shared" si="70"/>
        <v>61420.58</v>
      </c>
      <c r="AN101" s="1024">
        <v>20720.61</v>
      </c>
      <c r="AO101" s="1024">
        <v>1799.75</v>
      </c>
      <c r="AP101" s="1024">
        <v>13667.67</v>
      </c>
      <c r="AQ101" s="1024"/>
      <c r="AR101" s="1024"/>
      <c r="AS101" s="1024"/>
      <c r="AT101" s="1024">
        <v>8636.75</v>
      </c>
      <c r="AU101" s="1024"/>
      <c r="AV101" s="1024"/>
      <c r="AW101" s="1024"/>
      <c r="AX101" s="1024">
        <v>18931.099999999999</v>
      </c>
      <c r="AY101" s="1076">
        <v>8076.5</v>
      </c>
      <c r="AZ101" s="1024">
        <f t="shared" si="71"/>
        <v>71832.38</v>
      </c>
      <c r="BA101" s="1024"/>
      <c r="BB101" s="1024">
        <v>8694.9500000000007</v>
      </c>
      <c r="BC101" s="1024"/>
      <c r="BD101" s="1024"/>
      <c r="BE101" s="1024">
        <f>4074.85+3808+990</f>
        <v>8872.85</v>
      </c>
      <c r="BF101" s="1024"/>
      <c r="BG101" s="1024">
        <v>6853.3</v>
      </c>
      <c r="BH101" s="1024">
        <v>32958.75</v>
      </c>
      <c r="BI101" s="1024">
        <v>3747.5</v>
      </c>
      <c r="BJ101" s="1024">
        <v>12359.25</v>
      </c>
      <c r="BK101" s="1024"/>
      <c r="BL101" s="1076">
        <v>10487.45</v>
      </c>
      <c r="BM101" s="1024">
        <f t="shared" si="72"/>
        <v>83974.05</v>
      </c>
      <c r="BN101" s="1024">
        <v>4530.55</v>
      </c>
      <c r="BO101" s="1024">
        <f>6055.9</f>
        <v>6055.9</v>
      </c>
      <c r="BP101" s="1024">
        <f>7550.9+5554.4</f>
        <v>13105.3</v>
      </c>
      <c r="BQ101" s="1093">
        <f>1007.4*(25/30)</f>
        <v>839.5</v>
      </c>
      <c r="BR101" s="1093">
        <v>0</v>
      </c>
      <c r="BS101" s="1024"/>
      <c r="BT101" s="1024"/>
      <c r="BU101" s="1024"/>
      <c r="BV101" s="1024"/>
      <c r="BW101" s="1024"/>
      <c r="BX101" s="1024"/>
      <c r="BY101" s="1024"/>
      <c r="BZ101" s="1029">
        <f t="shared" si="73"/>
        <v>24531.25</v>
      </c>
      <c r="CA101" s="1030">
        <f t="shared" si="74"/>
        <v>241758.25999999998</v>
      </c>
      <c r="CB101" s="1024">
        <f t="shared" si="75"/>
        <v>0</v>
      </c>
      <c r="CC101" s="1036">
        <f t="shared" si="76"/>
        <v>241758.25999999998</v>
      </c>
      <c r="CD101" s="1023">
        <f t="shared" si="77"/>
        <v>135512.89999999997</v>
      </c>
      <c r="CE101" s="1023">
        <v>251739.56</v>
      </c>
      <c r="CF101" s="1023">
        <f t="shared" si="78"/>
        <v>-9981.3000000000175</v>
      </c>
      <c r="CG101" s="1029"/>
      <c r="CH101" s="1042">
        <f t="shared" si="79"/>
        <v>13167341.74</v>
      </c>
      <c r="CL101" s="976">
        <v>110143.86</v>
      </c>
      <c r="CM101" s="976">
        <f t="shared" si="80"/>
        <v>-131614.39999999997</v>
      </c>
    </row>
    <row r="102" spans="1:91" s="1032" customFormat="1" ht="12.75" customHeight="1" outlineLevel="1">
      <c r="A102" s="996"/>
      <c r="B102" s="1015"/>
      <c r="C102" s="1043"/>
      <c r="D102" s="1043" t="s">
        <v>658</v>
      </c>
      <c r="E102" s="1017"/>
      <c r="F102" s="1023"/>
      <c r="G102" s="1023">
        <v>2572.13</v>
      </c>
      <c r="H102" s="1023"/>
      <c r="I102" s="1023">
        <v>2572.13</v>
      </c>
      <c r="J102" s="1033">
        <v>4600004346</v>
      </c>
      <c r="K102" s="1034">
        <v>1806603</v>
      </c>
      <c r="L102" s="1035" t="s">
        <v>326</v>
      </c>
      <c r="M102" s="1036"/>
      <c r="N102" s="1023"/>
      <c r="O102" s="1024"/>
      <c r="P102" s="1024"/>
      <c r="Q102" s="1024"/>
      <c r="R102" s="1024"/>
      <c r="S102" s="1024"/>
      <c r="T102" s="1024"/>
      <c r="U102" s="1024"/>
      <c r="V102" s="1024"/>
      <c r="W102" s="1024"/>
      <c r="X102" s="1024"/>
      <c r="Y102" s="1024">
        <v>0</v>
      </c>
      <c r="Z102" s="1025">
        <f t="shared" si="69"/>
        <v>0</v>
      </c>
      <c r="AA102" s="1026"/>
      <c r="AB102" s="1027">
        <v>0</v>
      </c>
      <c r="AC102" s="1027">
        <v>0</v>
      </c>
      <c r="AD102" s="1027">
        <v>0</v>
      </c>
      <c r="AE102" s="1027">
        <v>0</v>
      </c>
      <c r="AF102" s="1027">
        <v>0</v>
      </c>
      <c r="AG102" s="1027"/>
      <c r="AH102" s="1028"/>
      <c r="AI102" s="1028"/>
      <c r="AJ102" s="1028"/>
      <c r="AK102" s="1028"/>
      <c r="AL102" s="1028">
        <f>2603.04-30.91</f>
        <v>2572.13</v>
      </c>
      <c r="AM102" s="1025">
        <f t="shared" si="70"/>
        <v>2572.13</v>
      </c>
      <c r="AN102" s="1024"/>
      <c r="AO102" s="1024"/>
      <c r="AP102" s="1024"/>
      <c r="AQ102" s="1024"/>
      <c r="AR102" s="1024"/>
      <c r="AS102" s="1024"/>
      <c r="AT102" s="1024"/>
      <c r="AU102" s="1024"/>
      <c r="AV102" s="1024"/>
      <c r="AW102" s="1024"/>
      <c r="AX102" s="1024"/>
      <c r="AY102" s="1024"/>
      <c r="AZ102" s="1024">
        <f t="shared" si="71"/>
        <v>0</v>
      </c>
      <c r="BA102" s="1024"/>
      <c r="BB102" s="1024"/>
      <c r="BC102" s="1024"/>
      <c r="BD102" s="1024"/>
      <c r="BE102" s="1024"/>
      <c r="BF102" s="1024"/>
      <c r="BG102" s="1024"/>
      <c r="BH102" s="1024"/>
      <c r="BI102" s="1024"/>
      <c r="BJ102" s="1024"/>
      <c r="BK102" s="1024"/>
      <c r="BL102" s="1024"/>
      <c r="BM102" s="1024">
        <f t="shared" si="72"/>
        <v>0</v>
      </c>
      <c r="BN102" s="1024"/>
      <c r="BO102" s="1024"/>
      <c r="BP102" s="1024"/>
      <c r="BQ102" s="1024"/>
      <c r="BR102" s="1024"/>
      <c r="BS102" s="1024"/>
      <c r="BT102" s="1024"/>
      <c r="BU102" s="1024"/>
      <c r="BV102" s="1024"/>
      <c r="BW102" s="1024"/>
      <c r="BX102" s="1024"/>
      <c r="BY102" s="1024"/>
      <c r="BZ102" s="1029">
        <f t="shared" si="73"/>
        <v>0</v>
      </c>
      <c r="CA102" s="1030">
        <f t="shared" si="74"/>
        <v>2572.13</v>
      </c>
      <c r="CB102" s="1024">
        <f t="shared" si="75"/>
        <v>0</v>
      </c>
      <c r="CC102" s="1036">
        <f t="shared" si="76"/>
        <v>2572.13</v>
      </c>
      <c r="CD102" s="1023">
        <f t="shared" si="77"/>
        <v>0</v>
      </c>
      <c r="CE102" s="1023">
        <v>2572.13</v>
      </c>
      <c r="CF102" s="1023">
        <f t="shared" si="78"/>
        <v>0</v>
      </c>
      <c r="CG102" s="1029"/>
      <c r="CH102" s="972">
        <f t="shared" si="79"/>
        <v>1804030.87</v>
      </c>
      <c r="CL102" s="976">
        <v>2572.13</v>
      </c>
      <c r="CM102" s="976">
        <f t="shared" si="80"/>
        <v>0</v>
      </c>
    </row>
    <row r="103" spans="1:91" s="1032" customFormat="1" ht="12.75" customHeight="1" outlineLevel="1">
      <c r="A103" s="996"/>
      <c r="B103" s="1015"/>
      <c r="C103" s="1043"/>
      <c r="D103" s="1043" t="s">
        <v>659</v>
      </c>
      <c r="E103" s="1017"/>
      <c r="F103" s="1023"/>
      <c r="G103" s="1023">
        <v>2680</v>
      </c>
      <c r="H103" s="1023"/>
      <c r="I103" s="1023">
        <v>2680</v>
      </c>
      <c r="J103" s="1033">
        <v>6400002843</v>
      </c>
      <c r="K103" s="1034">
        <v>580500</v>
      </c>
      <c r="L103" s="1035" t="s">
        <v>314</v>
      </c>
      <c r="M103" s="1036"/>
      <c r="N103" s="1023"/>
      <c r="O103" s="1024"/>
      <c r="P103" s="1024"/>
      <c r="Q103" s="1024"/>
      <c r="R103" s="1024"/>
      <c r="S103" s="1024"/>
      <c r="T103" s="1024"/>
      <c r="U103" s="1024"/>
      <c r="V103" s="1024"/>
      <c r="W103" s="1024"/>
      <c r="X103" s="1024"/>
      <c r="Y103" s="1024">
        <v>0</v>
      </c>
      <c r="Z103" s="1025">
        <f t="shared" si="69"/>
        <v>0</v>
      </c>
      <c r="AA103" s="1026"/>
      <c r="AB103" s="1027">
        <v>0</v>
      </c>
      <c r="AC103" s="1027">
        <v>0</v>
      </c>
      <c r="AD103" s="1027">
        <v>0</v>
      </c>
      <c r="AE103" s="1027">
        <v>0</v>
      </c>
      <c r="AF103" s="1027">
        <v>0</v>
      </c>
      <c r="AG103" s="1027"/>
      <c r="AH103" s="1028"/>
      <c r="AI103" s="1028"/>
      <c r="AJ103" s="1028"/>
      <c r="AK103" s="1028"/>
      <c r="AL103" s="1028"/>
      <c r="AM103" s="1025">
        <f t="shared" si="70"/>
        <v>0</v>
      </c>
      <c r="AN103" s="1024"/>
      <c r="AO103" s="1024"/>
      <c r="AP103" s="1024">
        <v>2680</v>
      </c>
      <c r="AQ103" s="1024"/>
      <c r="AR103" s="1024"/>
      <c r="AS103" s="1024"/>
      <c r="AT103" s="1024"/>
      <c r="AU103" s="1024"/>
      <c r="AV103" s="1024"/>
      <c r="AW103" s="1024"/>
      <c r="AX103" s="1024"/>
      <c r="AY103" s="1024"/>
      <c r="AZ103" s="1024">
        <f t="shared" si="71"/>
        <v>2680</v>
      </c>
      <c r="BA103" s="1024"/>
      <c r="BB103" s="1024"/>
      <c r="BC103" s="1024"/>
      <c r="BD103" s="1024"/>
      <c r="BE103" s="1024"/>
      <c r="BF103" s="1024"/>
      <c r="BG103" s="1024"/>
      <c r="BH103" s="1024"/>
      <c r="BI103" s="1024"/>
      <c r="BJ103" s="1024"/>
      <c r="BK103" s="1024"/>
      <c r="BL103" s="1024"/>
      <c r="BM103" s="1024">
        <f t="shared" si="72"/>
        <v>0</v>
      </c>
      <c r="BN103" s="1024"/>
      <c r="BO103" s="1024"/>
      <c r="BP103" s="1024"/>
      <c r="BQ103" s="1024"/>
      <c r="BR103" s="1024"/>
      <c r="BS103" s="1024"/>
      <c r="BT103" s="1024"/>
      <c r="BU103" s="1024"/>
      <c r="BV103" s="1024"/>
      <c r="BW103" s="1024"/>
      <c r="BX103" s="1024"/>
      <c r="BY103" s="1024"/>
      <c r="BZ103" s="1029">
        <f t="shared" si="73"/>
        <v>0</v>
      </c>
      <c r="CA103" s="1030">
        <f t="shared" si="74"/>
        <v>2680</v>
      </c>
      <c r="CB103" s="1024">
        <f t="shared" si="75"/>
        <v>0</v>
      </c>
      <c r="CC103" s="1036">
        <f t="shared" si="76"/>
        <v>2680</v>
      </c>
      <c r="CD103" s="1023">
        <f t="shared" si="77"/>
        <v>0</v>
      </c>
      <c r="CE103" s="1023">
        <v>2680</v>
      </c>
      <c r="CF103" s="1023">
        <f t="shared" si="78"/>
        <v>0</v>
      </c>
      <c r="CG103" s="1029"/>
      <c r="CH103" s="972">
        <f t="shared" si="79"/>
        <v>577820</v>
      </c>
      <c r="CL103" s="976">
        <v>2680</v>
      </c>
      <c r="CM103" s="976">
        <f t="shared" si="80"/>
        <v>0</v>
      </c>
    </row>
    <row r="104" spans="1:91" s="1032" customFormat="1" ht="12.75" customHeight="1" outlineLevel="1">
      <c r="A104" s="996"/>
      <c r="B104" s="1015"/>
      <c r="C104" s="1043"/>
      <c r="D104" s="1043" t="s">
        <v>351</v>
      </c>
      <c r="E104" s="1017"/>
      <c r="F104" s="1023"/>
      <c r="G104" s="1023">
        <v>0</v>
      </c>
      <c r="H104" s="1023"/>
      <c r="I104" s="1023">
        <v>0</v>
      </c>
      <c r="J104" s="1033">
        <v>6400001837</v>
      </c>
      <c r="K104" s="1034">
        <v>300000</v>
      </c>
      <c r="L104" s="1035" t="s">
        <v>310</v>
      </c>
      <c r="M104" s="1036"/>
      <c r="N104" s="1023"/>
      <c r="O104" s="1024"/>
      <c r="P104" s="1024"/>
      <c r="Q104" s="1024"/>
      <c r="R104" s="1024"/>
      <c r="S104" s="1024"/>
      <c r="T104" s="1024"/>
      <c r="U104" s="1024"/>
      <c r="V104" s="1024"/>
      <c r="W104" s="1024"/>
      <c r="X104" s="1024"/>
      <c r="Y104" s="1024">
        <v>0</v>
      </c>
      <c r="Z104" s="1025">
        <f t="shared" si="69"/>
        <v>0</v>
      </c>
      <c r="AA104" s="1026"/>
      <c r="AB104" s="1027">
        <v>0</v>
      </c>
      <c r="AC104" s="1027">
        <v>0</v>
      </c>
      <c r="AD104" s="1027">
        <v>0</v>
      </c>
      <c r="AE104" s="1027">
        <v>0</v>
      </c>
      <c r="AF104" s="1027">
        <v>0</v>
      </c>
      <c r="AG104" s="1027"/>
      <c r="AH104" s="1028"/>
      <c r="AI104" s="1028"/>
      <c r="AJ104" s="1028"/>
      <c r="AK104" s="1028"/>
      <c r="AL104" s="1028"/>
      <c r="AM104" s="1025">
        <f t="shared" si="70"/>
        <v>0</v>
      </c>
      <c r="AN104" s="1024"/>
      <c r="AO104" s="1024"/>
      <c r="AP104" s="1024"/>
      <c r="AQ104" s="1024"/>
      <c r="AR104" s="1024"/>
      <c r="AS104" s="1024"/>
      <c r="AT104" s="1024"/>
      <c r="AU104" s="1024"/>
      <c r="AV104" s="1024"/>
      <c r="AW104" s="1024"/>
      <c r="AX104" s="1024"/>
      <c r="AY104" s="1024"/>
      <c r="AZ104" s="1024">
        <f t="shared" si="71"/>
        <v>0</v>
      </c>
      <c r="BA104" s="1024"/>
      <c r="BB104" s="1024"/>
      <c r="BC104" s="1024"/>
      <c r="BD104" s="1024"/>
      <c r="BE104" s="1024">
        <v>1709.14</v>
      </c>
      <c r="BF104" s="1024"/>
      <c r="BG104" s="1024"/>
      <c r="BH104" s="1024"/>
      <c r="BI104" s="1024"/>
      <c r="BJ104" s="1024"/>
      <c r="BK104" s="1024"/>
      <c r="BL104" s="1024"/>
      <c r="BM104" s="1024">
        <f t="shared" si="72"/>
        <v>1709.14</v>
      </c>
      <c r="BN104" s="1024"/>
      <c r="BO104" s="1024"/>
      <c r="BP104" s="1024"/>
      <c r="BQ104" s="1024"/>
      <c r="BR104" s="1024"/>
      <c r="BS104" s="1024"/>
      <c r="BT104" s="1024"/>
      <c r="BU104" s="1024"/>
      <c r="BV104" s="1024"/>
      <c r="BW104" s="1024"/>
      <c r="BX104" s="1024"/>
      <c r="BY104" s="1024"/>
      <c r="BZ104" s="1029">
        <f t="shared" si="73"/>
        <v>0</v>
      </c>
      <c r="CA104" s="1030">
        <f t="shared" si="74"/>
        <v>1709.14</v>
      </c>
      <c r="CB104" s="1024">
        <f t="shared" si="75"/>
        <v>0</v>
      </c>
      <c r="CC104" s="1036">
        <f t="shared" si="76"/>
        <v>1709.14</v>
      </c>
      <c r="CD104" s="1023">
        <f t="shared" si="77"/>
        <v>1709.14</v>
      </c>
      <c r="CE104" s="1023">
        <v>1709.14</v>
      </c>
      <c r="CF104" s="1023">
        <f t="shared" si="78"/>
        <v>0</v>
      </c>
      <c r="CG104" s="1029"/>
      <c r="CH104" s="972">
        <f t="shared" si="79"/>
        <v>298290.86</v>
      </c>
      <c r="CL104" s="976">
        <v>0</v>
      </c>
      <c r="CM104" s="976">
        <f t="shared" si="80"/>
        <v>-1709.14</v>
      </c>
    </row>
    <row r="105" spans="1:91" s="1032" customFormat="1" ht="12.75" customHeight="1" outlineLevel="1">
      <c r="A105" s="996"/>
      <c r="B105" s="1015"/>
      <c r="C105" s="1043"/>
      <c r="D105" s="1043" t="s">
        <v>613</v>
      </c>
      <c r="E105" s="1017"/>
      <c r="F105" s="1023"/>
      <c r="G105" s="1023">
        <v>111188.12</v>
      </c>
      <c r="H105" s="1023"/>
      <c r="I105" s="1023">
        <v>111188.12</v>
      </c>
      <c r="J105" s="1033">
        <v>4600002887</v>
      </c>
      <c r="K105" s="1034">
        <v>547805</v>
      </c>
      <c r="L105" s="1035" t="s">
        <v>314</v>
      </c>
      <c r="M105" s="1036"/>
      <c r="N105" s="1023">
        <v>0</v>
      </c>
      <c r="O105" s="1024">
        <v>0</v>
      </c>
      <c r="P105" s="1024">
        <v>0</v>
      </c>
      <c r="Q105" s="1024">
        <v>0</v>
      </c>
      <c r="R105" s="1024">
        <v>0</v>
      </c>
      <c r="S105" s="1024">
        <v>0</v>
      </c>
      <c r="T105" s="1024">
        <v>0</v>
      </c>
      <c r="U105" s="1024">
        <v>0</v>
      </c>
      <c r="V105" s="1024">
        <v>0</v>
      </c>
      <c r="W105" s="1024">
        <v>0</v>
      </c>
      <c r="X105" s="1024">
        <v>0</v>
      </c>
      <c r="Y105" s="1024">
        <v>0</v>
      </c>
      <c r="Z105" s="1025">
        <f t="shared" si="69"/>
        <v>0</v>
      </c>
      <c r="AA105" s="1026">
        <v>0</v>
      </c>
      <c r="AB105" s="1027">
        <v>0</v>
      </c>
      <c r="AC105" s="1027">
        <v>0</v>
      </c>
      <c r="AD105" s="1027">
        <v>0</v>
      </c>
      <c r="AE105" s="1027">
        <v>5295</v>
      </c>
      <c r="AF105" s="1027">
        <v>2118.52</v>
      </c>
      <c r="AG105" s="1027">
        <f>3409.83-295.83+5060+7980+300</f>
        <v>16454</v>
      </c>
      <c r="AH105" s="1028">
        <f>5045+6240</f>
        <v>11285</v>
      </c>
      <c r="AI105" s="1028">
        <v>767</v>
      </c>
      <c r="AJ105" s="1028">
        <v>21180</v>
      </c>
      <c r="AK105" s="1028">
        <v>0</v>
      </c>
      <c r="AL105" s="1028">
        <v>21146</v>
      </c>
      <c r="AM105" s="1025">
        <f t="shared" si="70"/>
        <v>78245.52</v>
      </c>
      <c r="AN105" s="1024">
        <v>13925</v>
      </c>
      <c r="AO105" s="1024">
        <v>4267.1000000000004</v>
      </c>
      <c r="AP105" s="1024">
        <v>2271.1999999999998</v>
      </c>
      <c r="AQ105" s="1024">
        <v>7289</v>
      </c>
      <c r="AR105" s="1024">
        <v>3390.3</v>
      </c>
      <c r="AS105" s="1024">
        <v>600</v>
      </c>
      <c r="AT105" s="1024"/>
      <c r="AU105" s="1024"/>
      <c r="AV105" s="1024">
        <v>1200</v>
      </c>
      <c r="AW105" s="1024"/>
      <c r="AX105" s="1024"/>
      <c r="AY105" s="1076">
        <v>11990.04</v>
      </c>
      <c r="AZ105" s="1024">
        <f t="shared" si="71"/>
        <v>44932.639999999999</v>
      </c>
      <c r="BA105" s="1024">
        <v>1050</v>
      </c>
      <c r="BB105" s="1024"/>
      <c r="BC105" s="1024">
        <v>-525</v>
      </c>
      <c r="BD105" s="1024">
        <v>300</v>
      </c>
      <c r="BE105" s="1024">
        <v>450</v>
      </c>
      <c r="BF105" s="1024"/>
      <c r="BG105" s="1024"/>
      <c r="BH105" s="1024"/>
      <c r="BI105" s="1024"/>
      <c r="BJ105" s="1024"/>
      <c r="BK105" s="1024">
        <v>5170.26</v>
      </c>
      <c r="BL105" s="1024"/>
      <c r="BM105" s="1024">
        <f t="shared" si="72"/>
        <v>6445.26</v>
      </c>
      <c r="BN105" s="1024"/>
      <c r="BO105" s="1024"/>
      <c r="BP105" s="1024"/>
      <c r="BQ105" s="1024"/>
      <c r="BR105" s="1093">
        <v>0</v>
      </c>
      <c r="BS105" s="1024"/>
      <c r="BT105" s="1024"/>
      <c r="BU105" s="1024"/>
      <c r="BV105" s="1024"/>
      <c r="BW105" s="1024"/>
      <c r="BX105" s="1024"/>
      <c r="BY105" s="1024"/>
      <c r="BZ105" s="1029">
        <f t="shared" si="73"/>
        <v>0</v>
      </c>
      <c r="CA105" s="1030">
        <f t="shared" si="74"/>
        <v>129623.42</v>
      </c>
      <c r="CB105" s="1024">
        <f t="shared" si="75"/>
        <v>0</v>
      </c>
      <c r="CC105" s="1036">
        <f t="shared" si="76"/>
        <v>129623.42</v>
      </c>
      <c r="CD105" s="1023">
        <f t="shared" si="77"/>
        <v>18435.300000000003</v>
      </c>
      <c r="CE105" s="1023">
        <v>129623.42</v>
      </c>
      <c r="CF105" s="1023">
        <f t="shared" si="78"/>
        <v>0</v>
      </c>
      <c r="CG105" s="1029"/>
      <c r="CH105" s="972">
        <f t="shared" si="79"/>
        <v>418181.58</v>
      </c>
      <c r="CL105" s="976">
        <v>109388.12</v>
      </c>
      <c r="CM105" s="976">
        <f t="shared" si="80"/>
        <v>-20235.300000000003</v>
      </c>
    </row>
    <row r="106" spans="1:91" s="1032" customFormat="1" ht="12.75" customHeight="1" outlineLevel="1">
      <c r="A106" s="996"/>
      <c r="B106" s="1015"/>
      <c r="C106" s="1043"/>
      <c r="D106" s="1043" t="s">
        <v>614</v>
      </c>
      <c r="E106" s="1017"/>
      <c r="F106" s="1023"/>
      <c r="G106" s="1023">
        <v>22511.03</v>
      </c>
      <c r="H106" s="1023"/>
      <c r="I106" s="1023">
        <v>22511.03</v>
      </c>
      <c r="J106" s="1033">
        <v>4600003761</v>
      </c>
      <c r="K106" s="1034">
        <v>100000</v>
      </c>
      <c r="L106" s="1035" t="s">
        <v>314</v>
      </c>
      <c r="M106" s="1036"/>
      <c r="N106" s="1023">
        <v>0</v>
      </c>
      <c r="O106" s="1024">
        <v>0</v>
      </c>
      <c r="P106" s="1024">
        <v>0</v>
      </c>
      <c r="Q106" s="1024">
        <v>0</v>
      </c>
      <c r="R106" s="1024">
        <v>0</v>
      </c>
      <c r="S106" s="1024">
        <v>0</v>
      </c>
      <c r="T106" s="1024">
        <v>0</v>
      </c>
      <c r="U106" s="1024">
        <v>0</v>
      </c>
      <c r="V106" s="1024">
        <v>0</v>
      </c>
      <c r="W106" s="1024">
        <v>0</v>
      </c>
      <c r="X106" s="1024">
        <v>0</v>
      </c>
      <c r="Y106" s="1024">
        <v>0</v>
      </c>
      <c r="Z106" s="1025">
        <f t="shared" si="69"/>
        <v>0</v>
      </c>
      <c r="AA106" s="1026">
        <v>0</v>
      </c>
      <c r="AB106" s="1027">
        <v>0</v>
      </c>
      <c r="AC106" s="1027">
        <v>0</v>
      </c>
      <c r="AD106" s="1027">
        <v>0</v>
      </c>
      <c r="AE106" s="1027">
        <v>0</v>
      </c>
      <c r="AF106" s="1027">
        <v>0</v>
      </c>
      <c r="AG106" s="1027">
        <v>0</v>
      </c>
      <c r="AH106" s="1028">
        <v>0</v>
      </c>
      <c r="AI106" s="1028">
        <v>0</v>
      </c>
      <c r="AJ106" s="1028">
        <v>0</v>
      </c>
      <c r="AK106" s="1028">
        <v>0</v>
      </c>
      <c r="AL106" s="1028">
        <f>9499.14+10000</f>
        <v>19499.14</v>
      </c>
      <c r="AM106" s="1025">
        <f t="shared" si="70"/>
        <v>19499.14</v>
      </c>
      <c r="AN106" s="1024">
        <v>-10000</v>
      </c>
      <c r="AO106" s="1024"/>
      <c r="AP106" s="1024"/>
      <c r="AQ106" s="1024"/>
      <c r="AR106" s="1024">
        <v>6702.2</v>
      </c>
      <c r="AS106" s="1024">
        <v>6309.69</v>
      </c>
      <c r="AT106" s="1024"/>
      <c r="AU106" s="1024"/>
      <c r="AV106" s="1024"/>
      <c r="AW106" s="1024"/>
      <c r="AX106" s="1024"/>
      <c r="AY106" s="1024">
        <v>10554.04</v>
      </c>
      <c r="AZ106" s="1024">
        <f t="shared" si="71"/>
        <v>13565.93</v>
      </c>
      <c r="BA106" s="1024"/>
      <c r="BB106" s="1024"/>
      <c r="BC106" s="1024"/>
      <c r="BD106" s="1024"/>
      <c r="BE106" s="1024"/>
      <c r="BF106" s="1024"/>
      <c r="BG106" s="1024"/>
      <c r="BH106" s="1024"/>
      <c r="BI106" s="1024"/>
      <c r="BJ106" s="1024"/>
      <c r="BK106" s="1024"/>
      <c r="BL106" s="1024">
        <v>5186.0600000000004</v>
      </c>
      <c r="BM106" s="1024">
        <f t="shared" si="72"/>
        <v>5186.0600000000004</v>
      </c>
      <c r="BN106" s="1024"/>
      <c r="BO106" s="1024"/>
      <c r="BP106" s="1024"/>
      <c r="BQ106" s="1024"/>
      <c r="BR106" s="1024"/>
      <c r="BS106" s="1024"/>
      <c r="BT106" s="1024"/>
      <c r="BU106" s="1024"/>
      <c r="BV106" s="1024"/>
      <c r="BW106" s="1024"/>
      <c r="BX106" s="1024"/>
      <c r="BY106" s="1024"/>
      <c r="BZ106" s="1029">
        <f t="shared" si="73"/>
        <v>0</v>
      </c>
      <c r="CA106" s="1030">
        <f t="shared" si="74"/>
        <v>38251.129999999997</v>
      </c>
      <c r="CB106" s="1024">
        <f t="shared" si="75"/>
        <v>0</v>
      </c>
      <c r="CC106" s="1036">
        <f t="shared" si="76"/>
        <v>38251.129999999997</v>
      </c>
      <c r="CD106" s="1023">
        <f t="shared" si="77"/>
        <v>15740.099999999999</v>
      </c>
      <c r="CE106" s="1023">
        <v>38251.129999999997</v>
      </c>
      <c r="CF106" s="1023">
        <f t="shared" si="78"/>
        <v>0</v>
      </c>
      <c r="CG106" s="1029"/>
      <c r="CH106" s="972">
        <f t="shared" si="79"/>
        <v>61748.87</v>
      </c>
      <c r="CL106" s="976">
        <v>16201.34</v>
      </c>
      <c r="CM106" s="976">
        <f t="shared" si="80"/>
        <v>-22049.789999999997</v>
      </c>
    </row>
    <row r="107" spans="1:91" s="1032" customFormat="1" ht="12.75" customHeight="1" outlineLevel="1">
      <c r="A107" s="996"/>
      <c r="B107" s="1015"/>
      <c r="C107" s="1043"/>
      <c r="D107" s="1043" t="s">
        <v>615</v>
      </c>
      <c r="E107" s="1017"/>
      <c r="F107" s="1023"/>
      <c r="G107" s="1023">
        <v>51556.46</v>
      </c>
      <c r="H107" s="1023"/>
      <c r="I107" s="1023">
        <v>51556.46</v>
      </c>
      <c r="J107" s="1033">
        <v>4600003758</v>
      </c>
      <c r="K107" s="1034">
        <v>90000</v>
      </c>
      <c r="L107" s="1035" t="s">
        <v>314</v>
      </c>
      <c r="M107" s="1036"/>
      <c r="N107" s="1023">
        <v>0</v>
      </c>
      <c r="O107" s="1024">
        <v>0</v>
      </c>
      <c r="P107" s="1024">
        <v>0</v>
      </c>
      <c r="Q107" s="1024">
        <v>0</v>
      </c>
      <c r="R107" s="1024">
        <v>0</v>
      </c>
      <c r="S107" s="1024">
        <v>0</v>
      </c>
      <c r="T107" s="1024">
        <v>0</v>
      </c>
      <c r="U107" s="1024">
        <v>0</v>
      </c>
      <c r="V107" s="1024">
        <v>0</v>
      </c>
      <c r="W107" s="1024">
        <v>0</v>
      </c>
      <c r="X107" s="1024">
        <v>3059.08</v>
      </c>
      <c r="Y107" s="1024">
        <v>0</v>
      </c>
      <c r="Z107" s="1025">
        <f t="shared" si="69"/>
        <v>3059.08</v>
      </c>
      <c r="AA107" s="1026">
        <v>0</v>
      </c>
      <c r="AB107" s="1027">
        <v>0</v>
      </c>
      <c r="AC107" s="1027">
        <v>0</v>
      </c>
      <c r="AD107" s="1027">
        <v>0</v>
      </c>
      <c r="AE107" s="1027">
        <v>0</v>
      </c>
      <c r="AF107" s="1027">
        <v>0</v>
      </c>
      <c r="AG107" s="1027">
        <v>0</v>
      </c>
      <c r="AH107" s="1028">
        <v>5367.78</v>
      </c>
      <c r="AI107" s="1028">
        <v>1365.88</v>
      </c>
      <c r="AJ107" s="1028">
        <v>0</v>
      </c>
      <c r="AK107" s="1028">
        <v>0</v>
      </c>
      <c r="AL107" s="1028">
        <f>5687.6+10000</f>
        <v>15687.6</v>
      </c>
      <c r="AM107" s="1025">
        <f t="shared" si="70"/>
        <v>22421.260000000002</v>
      </c>
      <c r="AN107" s="1024">
        <f>6442.67-10000</f>
        <v>-3557.33</v>
      </c>
      <c r="AO107" s="1024"/>
      <c r="AP107" s="1024"/>
      <c r="AQ107" s="1024">
        <v>1600</v>
      </c>
      <c r="AR107" s="1024">
        <v>2684.7</v>
      </c>
      <c r="AS107" s="1024">
        <v>9321.6</v>
      </c>
      <c r="AT107" s="1024">
        <v>3022.25</v>
      </c>
      <c r="AU107" s="1024">
        <v>3090</v>
      </c>
      <c r="AV107" s="1024">
        <v>9914.9</v>
      </c>
      <c r="AW107" s="1024"/>
      <c r="AX107" s="1024">
        <v>400</v>
      </c>
      <c r="AY107" s="1024">
        <v>4909.1899999999996</v>
      </c>
      <c r="AZ107" s="1024">
        <f t="shared" si="71"/>
        <v>31385.31</v>
      </c>
      <c r="BA107" s="1024"/>
      <c r="BB107" s="1024"/>
      <c r="BC107" s="1024"/>
      <c r="BD107" s="1024">
        <v>1855.76</v>
      </c>
      <c r="BE107" s="1024">
        <v>3145.57</v>
      </c>
      <c r="BF107" s="1024"/>
      <c r="BG107" s="1024"/>
      <c r="BH107" s="1024"/>
      <c r="BI107" s="1024"/>
      <c r="BJ107" s="1024">
        <v>400</v>
      </c>
      <c r="BK107" s="1024"/>
      <c r="BL107" s="1024"/>
      <c r="BM107" s="1024">
        <f t="shared" si="72"/>
        <v>5401.33</v>
      </c>
      <c r="BN107" s="1024"/>
      <c r="BO107" s="1024"/>
      <c r="BP107" s="1024"/>
      <c r="BQ107" s="1024"/>
      <c r="BR107" s="1024"/>
      <c r="BS107" s="1093">
        <v>0</v>
      </c>
      <c r="BT107" s="1093">
        <v>0</v>
      </c>
      <c r="BU107" s="1024"/>
      <c r="BV107" s="1024"/>
      <c r="BW107" s="1024"/>
      <c r="BX107" s="1024"/>
      <c r="BY107" s="1024"/>
      <c r="BZ107" s="1029">
        <f t="shared" si="73"/>
        <v>0</v>
      </c>
      <c r="CA107" s="1030">
        <f t="shared" si="74"/>
        <v>62266.98000000001</v>
      </c>
      <c r="CB107" s="1024">
        <f t="shared" si="75"/>
        <v>0</v>
      </c>
      <c r="CC107" s="1036">
        <f t="shared" si="76"/>
        <v>62266.98000000001</v>
      </c>
      <c r="CD107" s="1023">
        <f t="shared" si="77"/>
        <v>10710.520000000011</v>
      </c>
      <c r="CE107" s="1023">
        <v>81864.98000000001</v>
      </c>
      <c r="CF107" s="1023">
        <f t="shared" si="78"/>
        <v>-19598</v>
      </c>
      <c r="CG107" s="1029"/>
      <c r="CH107" s="972">
        <f t="shared" si="79"/>
        <v>27733.01999999999</v>
      </c>
      <c r="CL107" s="976">
        <v>26207.71</v>
      </c>
      <c r="CM107" s="976">
        <f t="shared" si="80"/>
        <v>-36059.270000000011</v>
      </c>
    </row>
    <row r="108" spans="1:91" s="1032" customFormat="1" ht="12.75" customHeight="1" outlineLevel="1">
      <c r="A108" s="996"/>
      <c r="B108" s="1015"/>
      <c r="C108" s="1043"/>
      <c r="D108" s="1043" t="s">
        <v>660</v>
      </c>
      <c r="E108" s="1017"/>
      <c r="F108" s="1023"/>
      <c r="G108" s="1023">
        <v>7291.62</v>
      </c>
      <c r="H108" s="1023"/>
      <c r="I108" s="1023">
        <v>7291.62</v>
      </c>
      <c r="J108" s="1033">
        <v>4600003716</v>
      </c>
      <c r="K108" s="1034">
        <v>17868747</v>
      </c>
      <c r="L108" s="1035" t="s">
        <v>310</v>
      </c>
      <c r="M108" s="1023"/>
      <c r="N108" s="1023">
        <v>0</v>
      </c>
      <c r="O108" s="1024">
        <v>0</v>
      </c>
      <c r="P108" s="1024">
        <v>0</v>
      </c>
      <c r="Q108" s="1024">
        <v>0</v>
      </c>
      <c r="R108" s="1024">
        <v>0</v>
      </c>
      <c r="S108" s="1024">
        <v>0</v>
      </c>
      <c r="T108" s="1024">
        <v>0</v>
      </c>
      <c r="U108" s="1024">
        <v>0</v>
      </c>
      <c r="V108" s="1024">
        <v>0</v>
      </c>
      <c r="W108" s="1024">
        <v>0</v>
      </c>
      <c r="X108" s="1024">
        <v>0</v>
      </c>
      <c r="Y108" s="1024">
        <v>0</v>
      </c>
      <c r="Z108" s="1025">
        <f t="shared" si="69"/>
        <v>0</v>
      </c>
      <c r="AA108" s="1026">
        <v>0</v>
      </c>
      <c r="AB108" s="1027">
        <v>0</v>
      </c>
      <c r="AC108" s="1027">
        <v>0</v>
      </c>
      <c r="AD108" s="1027">
        <v>0</v>
      </c>
      <c r="AE108" s="1027">
        <v>0</v>
      </c>
      <c r="AF108" s="1027">
        <v>0</v>
      </c>
      <c r="AG108" s="1027">
        <v>0</v>
      </c>
      <c r="AH108" s="1028">
        <v>0</v>
      </c>
      <c r="AI108" s="1028">
        <v>0</v>
      </c>
      <c r="AJ108" s="1028">
        <v>0</v>
      </c>
      <c r="AK108" s="1028">
        <v>0</v>
      </c>
      <c r="AL108" s="1028">
        <v>7291.62</v>
      </c>
      <c r="AM108" s="1025">
        <f t="shared" si="70"/>
        <v>7291.62</v>
      </c>
      <c r="AN108" s="1024"/>
      <c r="AO108" s="1024"/>
      <c r="AP108" s="1024"/>
      <c r="AQ108" s="1024"/>
      <c r="AR108" s="1024"/>
      <c r="AS108" s="1024"/>
      <c r="AT108" s="1024"/>
      <c r="AU108" s="1024"/>
      <c r="AV108" s="1024"/>
      <c r="AW108" s="1024"/>
      <c r="AX108" s="1024"/>
      <c r="AY108" s="1024"/>
      <c r="AZ108" s="1024">
        <f t="shared" si="71"/>
        <v>0</v>
      </c>
      <c r="BA108" s="1024"/>
      <c r="BB108" s="1024"/>
      <c r="BC108" s="1024"/>
      <c r="BD108" s="1024"/>
      <c r="BE108" s="1024"/>
      <c r="BF108" s="1024"/>
      <c r="BG108" s="1024"/>
      <c r="BH108" s="1024"/>
      <c r="BI108" s="1024"/>
      <c r="BJ108" s="1024"/>
      <c r="BK108" s="1024"/>
      <c r="BL108" s="1024"/>
      <c r="BM108" s="1024">
        <f t="shared" si="72"/>
        <v>0</v>
      </c>
      <c r="BN108" s="1024"/>
      <c r="BO108" s="1024"/>
      <c r="BP108" s="1024"/>
      <c r="BQ108" s="1024"/>
      <c r="BR108" s="1024"/>
      <c r="BS108" s="1024"/>
      <c r="BT108" s="1024"/>
      <c r="BU108" s="1024"/>
      <c r="BV108" s="1024"/>
      <c r="BW108" s="1024"/>
      <c r="BX108" s="1024"/>
      <c r="BY108" s="1024"/>
      <c r="BZ108" s="1029">
        <f t="shared" si="73"/>
        <v>0</v>
      </c>
      <c r="CA108" s="1030">
        <f t="shared" si="74"/>
        <v>7291.62</v>
      </c>
      <c r="CB108" s="1024">
        <f t="shared" si="75"/>
        <v>0</v>
      </c>
      <c r="CC108" s="1036">
        <f t="shared" si="76"/>
        <v>7291.62</v>
      </c>
      <c r="CD108" s="1023">
        <f t="shared" si="77"/>
        <v>0</v>
      </c>
      <c r="CE108" s="1023">
        <v>7291.62</v>
      </c>
      <c r="CF108" s="1023">
        <f t="shared" si="78"/>
        <v>0</v>
      </c>
      <c r="CG108" s="1029"/>
      <c r="CH108" s="972">
        <f t="shared" si="79"/>
        <v>17861455.379999999</v>
      </c>
      <c r="CL108" s="976">
        <v>7291.62</v>
      </c>
      <c r="CM108" s="976">
        <f t="shared" si="80"/>
        <v>0</v>
      </c>
    </row>
    <row r="109" spans="1:91" s="1032" customFormat="1" ht="12.75" customHeight="1" outlineLevel="1">
      <c r="A109" s="996"/>
      <c r="B109" s="1015"/>
      <c r="C109" s="1043"/>
      <c r="D109" s="1043" t="s">
        <v>660</v>
      </c>
      <c r="E109" s="1017"/>
      <c r="F109" s="1023"/>
      <c r="G109" s="1023">
        <v>4972.8599999999997</v>
      </c>
      <c r="H109" s="1023"/>
      <c r="I109" s="1023">
        <v>4972.8599999999997</v>
      </c>
      <c r="J109" s="1033">
        <v>6400003722</v>
      </c>
      <c r="K109" s="1034">
        <v>80000</v>
      </c>
      <c r="L109" s="1035" t="s">
        <v>310</v>
      </c>
      <c r="M109" s="1023"/>
      <c r="N109" s="1023">
        <v>0</v>
      </c>
      <c r="O109" s="1024">
        <v>0</v>
      </c>
      <c r="P109" s="1024">
        <v>0</v>
      </c>
      <c r="Q109" s="1024">
        <v>0</v>
      </c>
      <c r="R109" s="1024">
        <v>0</v>
      </c>
      <c r="S109" s="1024">
        <v>0</v>
      </c>
      <c r="T109" s="1024">
        <v>0</v>
      </c>
      <c r="U109" s="1024">
        <v>0</v>
      </c>
      <c r="V109" s="1024">
        <v>0</v>
      </c>
      <c r="W109" s="1024">
        <v>0</v>
      </c>
      <c r="X109" s="1024">
        <v>0</v>
      </c>
      <c r="Y109" s="1024">
        <v>0</v>
      </c>
      <c r="Z109" s="1025">
        <f t="shared" si="69"/>
        <v>0</v>
      </c>
      <c r="AA109" s="1026">
        <v>0</v>
      </c>
      <c r="AB109" s="1027">
        <v>0</v>
      </c>
      <c r="AC109" s="1027">
        <v>0</v>
      </c>
      <c r="AD109" s="1027">
        <v>0</v>
      </c>
      <c r="AE109" s="1027">
        <v>0</v>
      </c>
      <c r="AF109" s="1027">
        <v>0</v>
      </c>
      <c r="AG109" s="1027">
        <v>0</v>
      </c>
      <c r="AH109" s="1028">
        <v>0</v>
      </c>
      <c r="AI109" s="1028">
        <v>0</v>
      </c>
      <c r="AJ109" s="1028">
        <v>0</v>
      </c>
      <c r="AK109" s="1028">
        <v>0</v>
      </c>
      <c r="AL109" s="1028"/>
      <c r="AM109" s="1025">
        <f t="shared" si="70"/>
        <v>0</v>
      </c>
      <c r="AN109" s="1024"/>
      <c r="AO109" s="1024"/>
      <c r="AP109" s="1024"/>
      <c r="AQ109" s="1024"/>
      <c r="AR109" s="1024"/>
      <c r="AS109" s="1024">
        <v>4972.8599999999997</v>
      </c>
      <c r="AT109" s="1024"/>
      <c r="AU109" s="1024"/>
      <c r="AV109" s="1024"/>
      <c r="AW109" s="1024"/>
      <c r="AX109" s="1024"/>
      <c r="AY109" s="1024"/>
      <c r="AZ109" s="1024">
        <f t="shared" si="71"/>
        <v>4972.8599999999997</v>
      </c>
      <c r="BA109" s="1024"/>
      <c r="BB109" s="1024"/>
      <c r="BC109" s="1024"/>
      <c r="BD109" s="1024"/>
      <c r="BE109" s="1024"/>
      <c r="BF109" s="1024"/>
      <c r="BG109" s="1024"/>
      <c r="BH109" s="1024"/>
      <c r="BI109" s="1024"/>
      <c r="BJ109" s="1024"/>
      <c r="BK109" s="1024"/>
      <c r="BL109" s="1024"/>
      <c r="BM109" s="1024">
        <f t="shared" si="72"/>
        <v>0</v>
      </c>
      <c r="BN109" s="1024"/>
      <c r="BO109" s="1024"/>
      <c r="BP109" s="1024"/>
      <c r="BQ109" s="1024"/>
      <c r="BR109" s="1024"/>
      <c r="BS109" s="1024"/>
      <c r="BT109" s="1024"/>
      <c r="BU109" s="1024"/>
      <c r="BV109" s="1024"/>
      <c r="BW109" s="1024"/>
      <c r="BX109" s="1024"/>
      <c r="BY109" s="1024"/>
      <c r="BZ109" s="1029">
        <f t="shared" si="73"/>
        <v>0</v>
      </c>
      <c r="CA109" s="1030">
        <f t="shared" si="74"/>
        <v>4972.8599999999997</v>
      </c>
      <c r="CB109" s="1024">
        <f t="shared" si="75"/>
        <v>0</v>
      </c>
      <c r="CC109" s="1036">
        <f t="shared" si="76"/>
        <v>4972.8599999999997</v>
      </c>
      <c r="CD109" s="1023">
        <f t="shared" si="77"/>
        <v>0</v>
      </c>
      <c r="CE109" s="1023">
        <v>4972.8599999999997</v>
      </c>
      <c r="CF109" s="1023">
        <f t="shared" si="78"/>
        <v>0</v>
      </c>
      <c r="CG109" s="1029"/>
      <c r="CH109" s="972">
        <f t="shared" si="79"/>
        <v>75027.14</v>
      </c>
      <c r="CL109" s="976">
        <v>0</v>
      </c>
      <c r="CM109" s="976">
        <f t="shared" si="80"/>
        <v>-4972.8599999999997</v>
      </c>
    </row>
    <row r="110" spans="1:91" s="1032" customFormat="1" ht="12.75" customHeight="1" outlineLevel="1">
      <c r="A110" s="996"/>
      <c r="B110" s="1015"/>
      <c r="C110" s="1043"/>
      <c r="D110" s="1043" t="s">
        <v>333</v>
      </c>
      <c r="E110" s="1017"/>
      <c r="F110" s="1023"/>
      <c r="G110" s="1023">
        <v>0</v>
      </c>
      <c r="H110" s="1023"/>
      <c r="I110" s="1023">
        <v>0</v>
      </c>
      <c r="J110" s="1033">
        <v>4600001798</v>
      </c>
      <c r="K110" s="1034">
        <v>1089998</v>
      </c>
      <c r="L110" s="1035" t="s">
        <v>314</v>
      </c>
      <c r="M110" s="1036"/>
      <c r="N110" s="1023">
        <v>0</v>
      </c>
      <c r="O110" s="1024">
        <v>0</v>
      </c>
      <c r="P110" s="1024">
        <v>0</v>
      </c>
      <c r="Q110" s="1024">
        <v>0</v>
      </c>
      <c r="R110" s="1024">
        <v>0</v>
      </c>
      <c r="S110" s="1024">
        <v>0</v>
      </c>
      <c r="T110" s="1024">
        <v>0</v>
      </c>
      <c r="U110" s="1024">
        <v>0</v>
      </c>
      <c r="V110" s="1024">
        <v>0</v>
      </c>
      <c r="W110" s="1024">
        <v>0</v>
      </c>
      <c r="X110" s="1024">
        <v>0</v>
      </c>
      <c r="Y110" s="1024">
        <v>0</v>
      </c>
      <c r="Z110" s="1025">
        <f t="shared" si="69"/>
        <v>0</v>
      </c>
      <c r="AA110" s="1026">
        <v>0</v>
      </c>
      <c r="AB110" s="1027">
        <v>0</v>
      </c>
      <c r="AC110" s="1027">
        <v>0</v>
      </c>
      <c r="AD110" s="1027">
        <v>0</v>
      </c>
      <c r="AE110" s="1027">
        <v>0</v>
      </c>
      <c r="AF110" s="1027">
        <v>0</v>
      </c>
      <c r="AG110" s="1027">
        <v>0</v>
      </c>
      <c r="AH110" s="1028">
        <v>0</v>
      </c>
      <c r="AI110" s="1028">
        <v>0</v>
      </c>
      <c r="AJ110" s="1028">
        <v>0</v>
      </c>
      <c r="AK110" s="1028">
        <v>0</v>
      </c>
      <c r="AL110" s="1028">
        <v>0</v>
      </c>
      <c r="AM110" s="1025">
        <f t="shared" si="70"/>
        <v>0</v>
      </c>
      <c r="AN110" s="1024"/>
      <c r="AO110" s="1024"/>
      <c r="AP110" s="1024"/>
      <c r="AQ110" s="1024"/>
      <c r="AR110" s="1024"/>
      <c r="AS110" s="1024"/>
      <c r="AT110" s="1024"/>
      <c r="AU110" s="1024"/>
      <c r="AV110" s="1024"/>
      <c r="AW110" s="1024"/>
      <c r="AX110" s="1024"/>
      <c r="AY110" s="1024"/>
      <c r="AZ110" s="1024">
        <f t="shared" si="71"/>
        <v>0</v>
      </c>
      <c r="BA110" s="1024"/>
      <c r="BB110" s="1024"/>
      <c r="BC110" s="1024"/>
      <c r="BD110" s="1024"/>
      <c r="BE110" s="1024"/>
      <c r="BF110" s="1024"/>
      <c r="BG110" s="1024"/>
      <c r="BH110" s="1024"/>
      <c r="BI110" s="1024"/>
      <c r="BJ110" s="1024"/>
      <c r="BK110" s="1024"/>
      <c r="BL110" s="1024"/>
      <c r="BM110" s="1024">
        <f t="shared" si="72"/>
        <v>0</v>
      </c>
      <c r="BN110" s="1024"/>
      <c r="BO110" s="1024"/>
      <c r="BP110" s="1024"/>
      <c r="BQ110" s="1024"/>
      <c r="BR110" s="1024"/>
      <c r="BS110" s="1024"/>
      <c r="BT110" s="1024"/>
      <c r="BU110" s="1024"/>
      <c r="BV110" s="1024"/>
      <c r="BW110" s="1024"/>
      <c r="BX110" s="1024"/>
      <c r="BY110" s="1024"/>
      <c r="BZ110" s="1029">
        <f t="shared" si="73"/>
        <v>0</v>
      </c>
      <c r="CA110" s="1030">
        <f t="shared" si="74"/>
        <v>0</v>
      </c>
      <c r="CB110" s="1024">
        <f t="shared" si="75"/>
        <v>0</v>
      </c>
      <c r="CC110" s="1036">
        <f t="shared" si="76"/>
        <v>0</v>
      </c>
      <c r="CD110" s="1023">
        <f t="shared" si="77"/>
        <v>0</v>
      </c>
      <c r="CE110" s="1023">
        <v>0</v>
      </c>
      <c r="CF110" s="1023">
        <f t="shared" si="78"/>
        <v>0</v>
      </c>
      <c r="CG110" s="1029"/>
      <c r="CH110" s="1042">
        <f t="shared" si="79"/>
        <v>1089998</v>
      </c>
      <c r="CL110" s="976"/>
      <c r="CM110" s="976">
        <f t="shared" si="80"/>
        <v>0</v>
      </c>
    </row>
    <row r="111" spans="1:91" s="1032" customFormat="1" ht="12.75" customHeight="1" outlineLevel="1">
      <c r="A111" s="996"/>
      <c r="B111" s="1015"/>
      <c r="C111" s="1043"/>
      <c r="D111" s="1043" t="s">
        <v>661</v>
      </c>
      <c r="E111" s="1017"/>
      <c r="F111" s="1023"/>
      <c r="G111" s="1023">
        <v>14000</v>
      </c>
      <c r="H111" s="1023"/>
      <c r="I111" s="1023">
        <v>14000</v>
      </c>
      <c r="J111" s="1033">
        <v>6400001510</v>
      </c>
      <c r="K111" s="1034">
        <v>14000</v>
      </c>
      <c r="L111" s="1035" t="s">
        <v>326</v>
      </c>
      <c r="M111" s="1036"/>
      <c r="N111" s="1023">
        <v>0</v>
      </c>
      <c r="O111" s="1024">
        <v>14000</v>
      </c>
      <c r="P111" s="1024">
        <v>0</v>
      </c>
      <c r="Q111" s="1024">
        <v>0</v>
      </c>
      <c r="R111" s="1024">
        <v>0</v>
      </c>
      <c r="S111" s="1024">
        <v>0</v>
      </c>
      <c r="T111" s="1024">
        <v>0</v>
      </c>
      <c r="U111" s="1024">
        <v>0</v>
      </c>
      <c r="V111" s="1024">
        <v>0</v>
      </c>
      <c r="W111" s="1024">
        <v>0</v>
      </c>
      <c r="X111" s="1024">
        <v>0</v>
      </c>
      <c r="Y111" s="1024">
        <v>0</v>
      </c>
      <c r="Z111" s="1025">
        <f t="shared" si="69"/>
        <v>14000</v>
      </c>
      <c r="AA111" s="1026">
        <v>0</v>
      </c>
      <c r="AB111" s="1027">
        <v>0</v>
      </c>
      <c r="AC111" s="1027">
        <v>0</v>
      </c>
      <c r="AD111" s="1027">
        <v>0</v>
      </c>
      <c r="AE111" s="1027">
        <v>0</v>
      </c>
      <c r="AF111" s="1027">
        <v>0</v>
      </c>
      <c r="AG111" s="1027">
        <v>0</v>
      </c>
      <c r="AH111" s="1028">
        <v>0</v>
      </c>
      <c r="AI111" s="1028">
        <v>0</v>
      </c>
      <c r="AJ111" s="1028">
        <v>0</v>
      </c>
      <c r="AK111" s="1028">
        <v>0</v>
      </c>
      <c r="AL111" s="1028">
        <v>0</v>
      </c>
      <c r="AM111" s="1025">
        <f t="shared" si="70"/>
        <v>0</v>
      </c>
      <c r="AN111" s="1024"/>
      <c r="AO111" s="1024"/>
      <c r="AP111" s="1024"/>
      <c r="AQ111" s="1024"/>
      <c r="AR111" s="1024"/>
      <c r="AS111" s="1024"/>
      <c r="AT111" s="1024"/>
      <c r="AU111" s="1024"/>
      <c r="AV111" s="1024"/>
      <c r="AW111" s="1024"/>
      <c r="AX111" s="1024"/>
      <c r="AY111" s="1024"/>
      <c r="AZ111" s="1024">
        <f t="shared" si="71"/>
        <v>0</v>
      </c>
      <c r="BA111" s="1024"/>
      <c r="BB111" s="1024"/>
      <c r="BC111" s="1024"/>
      <c r="BD111" s="1024"/>
      <c r="BE111" s="1024"/>
      <c r="BF111" s="1024"/>
      <c r="BG111" s="1024"/>
      <c r="BH111" s="1024"/>
      <c r="BI111" s="1024"/>
      <c r="BJ111" s="1024"/>
      <c r="BK111" s="1024"/>
      <c r="BL111" s="1024"/>
      <c r="BM111" s="1024">
        <f t="shared" si="72"/>
        <v>0</v>
      </c>
      <c r="BN111" s="1024"/>
      <c r="BO111" s="1024"/>
      <c r="BP111" s="1024"/>
      <c r="BQ111" s="1024"/>
      <c r="BR111" s="1024"/>
      <c r="BS111" s="1024"/>
      <c r="BT111" s="1024"/>
      <c r="BU111" s="1024"/>
      <c r="BV111" s="1024"/>
      <c r="BW111" s="1024"/>
      <c r="BX111" s="1024"/>
      <c r="BY111" s="1024"/>
      <c r="BZ111" s="1029">
        <f t="shared" si="73"/>
        <v>0</v>
      </c>
      <c r="CA111" s="1030">
        <f t="shared" si="74"/>
        <v>14000</v>
      </c>
      <c r="CB111" s="1024">
        <f t="shared" si="75"/>
        <v>0</v>
      </c>
      <c r="CC111" s="1036">
        <f t="shared" si="76"/>
        <v>14000</v>
      </c>
      <c r="CD111" s="1023">
        <f t="shared" si="77"/>
        <v>0</v>
      </c>
      <c r="CE111" s="1023">
        <v>14000</v>
      </c>
      <c r="CF111" s="1023">
        <f t="shared" si="78"/>
        <v>0</v>
      </c>
      <c r="CG111" s="1029"/>
      <c r="CH111" s="972">
        <f t="shared" si="79"/>
        <v>0</v>
      </c>
      <c r="CL111" s="976">
        <v>14000</v>
      </c>
      <c r="CM111" s="976">
        <f t="shared" si="80"/>
        <v>0</v>
      </c>
    </row>
    <row r="112" spans="1:91" s="1032" customFormat="1" ht="12.75" customHeight="1" outlineLevel="1">
      <c r="A112" s="996"/>
      <c r="B112" s="1015"/>
      <c r="C112" s="1043"/>
      <c r="D112" s="1043" t="s">
        <v>617</v>
      </c>
      <c r="E112" s="1017"/>
      <c r="F112" s="1023"/>
      <c r="G112" s="1023">
        <v>109.5</v>
      </c>
      <c r="H112" s="1023"/>
      <c r="I112" s="1023">
        <v>109.5</v>
      </c>
      <c r="J112" s="1033">
        <v>4600001697</v>
      </c>
      <c r="K112" s="1034">
        <v>1287500</v>
      </c>
      <c r="L112" s="1035" t="s">
        <v>314</v>
      </c>
      <c r="M112" s="1036"/>
      <c r="N112" s="1023">
        <v>0</v>
      </c>
      <c r="O112" s="1024"/>
      <c r="P112" s="1024">
        <v>0</v>
      </c>
      <c r="Q112" s="1024">
        <v>0</v>
      </c>
      <c r="R112" s="1024">
        <v>0</v>
      </c>
      <c r="S112" s="1024">
        <v>0</v>
      </c>
      <c r="T112" s="1024">
        <v>0</v>
      </c>
      <c r="U112" s="1024">
        <v>0</v>
      </c>
      <c r="V112" s="1024">
        <v>0</v>
      </c>
      <c r="W112" s="1024">
        <v>0</v>
      </c>
      <c r="X112" s="1024">
        <v>0</v>
      </c>
      <c r="Y112" s="1024">
        <v>0</v>
      </c>
      <c r="Z112" s="1025">
        <f t="shared" si="69"/>
        <v>0</v>
      </c>
      <c r="AA112" s="1026">
        <v>0</v>
      </c>
      <c r="AB112" s="1027">
        <v>0</v>
      </c>
      <c r="AC112" s="1027">
        <v>0</v>
      </c>
      <c r="AD112" s="1027">
        <v>0</v>
      </c>
      <c r="AE112" s="1027">
        <v>0</v>
      </c>
      <c r="AF112" s="1027">
        <v>0</v>
      </c>
      <c r="AG112" s="1027">
        <v>0</v>
      </c>
      <c r="AH112" s="1028">
        <v>0</v>
      </c>
      <c r="AI112" s="1028">
        <v>0</v>
      </c>
      <c r="AJ112" s="1028">
        <v>0</v>
      </c>
      <c r="AK112" s="1028">
        <v>0</v>
      </c>
      <c r="AL112" s="1028">
        <v>0</v>
      </c>
      <c r="AM112" s="1025">
        <f t="shared" si="70"/>
        <v>0</v>
      </c>
      <c r="AN112" s="1024"/>
      <c r="AO112" s="1024"/>
      <c r="AP112" s="1024"/>
      <c r="AQ112" s="1024"/>
      <c r="AR112" s="1024"/>
      <c r="AS112" s="1024"/>
      <c r="AT112" s="1024"/>
      <c r="AU112" s="1024"/>
      <c r="AV112" s="1024">
        <v>109.5</v>
      </c>
      <c r="AW112" s="1024"/>
      <c r="AX112" s="1024">
        <v>109.5</v>
      </c>
      <c r="AY112" s="1024">
        <v>109.5</v>
      </c>
      <c r="AZ112" s="1024">
        <f t="shared" si="71"/>
        <v>328.5</v>
      </c>
      <c r="BA112" s="1024">
        <v>109.5</v>
      </c>
      <c r="BB112" s="1024">
        <v>109.5</v>
      </c>
      <c r="BC112" s="1024">
        <v>-38.68</v>
      </c>
      <c r="BD112" s="1024"/>
      <c r="BE112" s="1024"/>
      <c r="BF112" s="1024"/>
      <c r="BG112" s="1024"/>
      <c r="BH112" s="1024"/>
      <c r="BI112" s="1024"/>
      <c r="BJ112" s="1024"/>
      <c r="BK112" s="1024"/>
      <c r="BL112" s="1024"/>
      <c r="BM112" s="1024">
        <f t="shared" si="72"/>
        <v>180.32</v>
      </c>
      <c r="BN112" s="1024"/>
      <c r="BO112" s="1024"/>
      <c r="BP112" s="1024"/>
      <c r="BQ112" s="1024"/>
      <c r="BR112" s="1024"/>
      <c r="BS112" s="1024"/>
      <c r="BT112" s="1024"/>
      <c r="BU112" s="1024"/>
      <c r="BV112" s="1024"/>
      <c r="BW112" s="1024"/>
      <c r="BX112" s="1024"/>
      <c r="BY112" s="1024"/>
      <c r="BZ112" s="1029">
        <f t="shared" si="73"/>
        <v>0</v>
      </c>
      <c r="CA112" s="1030">
        <f t="shared" si="74"/>
        <v>508.82</v>
      </c>
      <c r="CB112" s="1024">
        <f t="shared" si="75"/>
        <v>0</v>
      </c>
      <c r="CC112" s="1036">
        <f t="shared" si="76"/>
        <v>508.82</v>
      </c>
      <c r="CD112" s="1023">
        <f t="shared" si="77"/>
        <v>399.32</v>
      </c>
      <c r="CE112" s="1023">
        <v>508.82</v>
      </c>
      <c r="CF112" s="1023">
        <f t="shared" si="78"/>
        <v>0</v>
      </c>
      <c r="CG112" s="1029"/>
      <c r="CH112" s="972">
        <f t="shared" si="79"/>
        <v>1286991.18</v>
      </c>
      <c r="CL112" s="976">
        <v>0</v>
      </c>
      <c r="CM112" s="976">
        <f t="shared" si="80"/>
        <v>-508.82</v>
      </c>
    </row>
    <row r="113" spans="1:91" s="1032" customFormat="1" ht="12.75" customHeight="1" outlineLevel="1">
      <c r="A113" s="996"/>
      <c r="B113" s="1015"/>
      <c r="C113" s="1043"/>
      <c r="D113" s="1043" t="s">
        <v>662</v>
      </c>
      <c r="E113" s="1017"/>
      <c r="F113" s="1023"/>
      <c r="G113" s="1023">
        <v>5306.69</v>
      </c>
      <c r="H113" s="1023"/>
      <c r="I113" s="1023">
        <v>5306.69</v>
      </c>
      <c r="J113" s="1033">
        <v>6400003906</v>
      </c>
      <c r="K113" s="1034">
        <v>385250</v>
      </c>
      <c r="L113" s="1035" t="s">
        <v>326</v>
      </c>
      <c r="M113" s="1036"/>
      <c r="N113" s="1023">
        <v>0</v>
      </c>
      <c r="O113" s="1024">
        <v>0</v>
      </c>
      <c r="P113" s="1024">
        <v>0</v>
      </c>
      <c r="Q113" s="1024">
        <v>0</v>
      </c>
      <c r="R113" s="1024">
        <v>0</v>
      </c>
      <c r="S113" s="1024">
        <v>0</v>
      </c>
      <c r="T113" s="1024">
        <v>0</v>
      </c>
      <c r="U113" s="1024">
        <v>0</v>
      </c>
      <c r="V113" s="1024">
        <v>0</v>
      </c>
      <c r="W113" s="1024">
        <v>0</v>
      </c>
      <c r="X113" s="1024">
        <v>0</v>
      </c>
      <c r="Y113" s="1024">
        <v>0</v>
      </c>
      <c r="Z113" s="1025">
        <f t="shared" si="69"/>
        <v>0</v>
      </c>
      <c r="AA113" s="1026">
        <v>0</v>
      </c>
      <c r="AB113" s="1027">
        <v>0</v>
      </c>
      <c r="AC113" s="1027">
        <v>0</v>
      </c>
      <c r="AD113" s="1027">
        <v>0</v>
      </c>
      <c r="AE113" s="1027">
        <v>0</v>
      </c>
      <c r="AF113" s="1027">
        <v>0</v>
      </c>
      <c r="AG113" s="1027">
        <v>0</v>
      </c>
      <c r="AH113" s="1028">
        <v>0</v>
      </c>
      <c r="AI113" s="1028">
        <v>0</v>
      </c>
      <c r="AJ113" s="1028">
        <v>0</v>
      </c>
      <c r="AK113" s="1028"/>
      <c r="AL113" s="1028">
        <v>0</v>
      </c>
      <c r="AM113" s="1025">
        <f t="shared" si="70"/>
        <v>0</v>
      </c>
      <c r="AN113" s="1024"/>
      <c r="AO113" s="1024"/>
      <c r="AP113" s="1024"/>
      <c r="AQ113" s="1024">
        <v>5306.69</v>
      </c>
      <c r="AR113" s="1024"/>
      <c r="AS113" s="1024"/>
      <c r="AT113" s="1024"/>
      <c r="AU113" s="1024"/>
      <c r="AV113" s="1024"/>
      <c r="AW113" s="1024"/>
      <c r="AX113" s="1024"/>
      <c r="AY113" s="1024"/>
      <c r="AZ113" s="1024">
        <f t="shared" si="71"/>
        <v>5306.69</v>
      </c>
      <c r="BA113" s="1024"/>
      <c r="BB113" s="1024"/>
      <c r="BC113" s="1024"/>
      <c r="BD113" s="1024"/>
      <c r="BE113" s="1024"/>
      <c r="BF113" s="1024"/>
      <c r="BG113" s="1024"/>
      <c r="BH113" s="1024"/>
      <c r="BI113" s="1024"/>
      <c r="BJ113" s="1024"/>
      <c r="BK113" s="1024"/>
      <c r="BL113" s="1024"/>
      <c r="BM113" s="1024">
        <f t="shared" si="72"/>
        <v>0</v>
      </c>
      <c r="BN113" s="1024"/>
      <c r="BO113" s="1024"/>
      <c r="BP113" s="1024"/>
      <c r="BQ113" s="1024"/>
      <c r="BR113" s="1024"/>
      <c r="BS113" s="1024"/>
      <c r="BT113" s="1024"/>
      <c r="BU113" s="1024"/>
      <c r="BV113" s="1024"/>
      <c r="BW113" s="1024"/>
      <c r="BX113" s="1024"/>
      <c r="BY113" s="1024"/>
      <c r="BZ113" s="1029">
        <f t="shared" si="73"/>
        <v>0</v>
      </c>
      <c r="CA113" s="1030">
        <f t="shared" si="74"/>
        <v>5306.69</v>
      </c>
      <c r="CB113" s="1024">
        <f t="shared" si="75"/>
        <v>0</v>
      </c>
      <c r="CC113" s="1036">
        <f t="shared" si="76"/>
        <v>5306.69</v>
      </c>
      <c r="CD113" s="1023">
        <f t="shared" si="77"/>
        <v>0</v>
      </c>
      <c r="CE113" s="1023">
        <v>5306.69</v>
      </c>
      <c r="CF113" s="1023">
        <f t="shared" si="78"/>
        <v>0</v>
      </c>
      <c r="CG113" s="1029"/>
      <c r="CH113" s="1042">
        <f t="shared" si="79"/>
        <v>379943.31</v>
      </c>
      <c r="CL113" s="976">
        <v>5306.69</v>
      </c>
      <c r="CM113" s="976">
        <f t="shared" si="80"/>
        <v>0</v>
      </c>
    </row>
    <row r="114" spans="1:91" s="1032" customFormat="1" ht="12.75" customHeight="1" outlineLevel="1">
      <c r="A114" s="996"/>
      <c r="B114" s="1015"/>
      <c r="C114" s="1043"/>
      <c r="D114" s="1043" t="s">
        <v>663</v>
      </c>
      <c r="E114" s="1017"/>
      <c r="F114" s="1023"/>
      <c r="G114" s="1023">
        <v>55008.5</v>
      </c>
      <c r="H114" s="1023"/>
      <c r="I114" s="1023">
        <v>55008.5</v>
      </c>
      <c r="J114" s="1033">
        <v>6400001495</v>
      </c>
      <c r="K114" s="1034">
        <v>70000</v>
      </c>
      <c r="L114" s="1035" t="s">
        <v>326</v>
      </c>
      <c r="M114" s="1036"/>
      <c r="N114" s="1023">
        <v>0</v>
      </c>
      <c r="O114" s="1024">
        <v>0</v>
      </c>
      <c r="P114" s="1024">
        <v>0</v>
      </c>
      <c r="Q114" s="1024">
        <v>0</v>
      </c>
      <c r="R114" s="1024">
        <v>0</v>
      </c>
      <c r="S114" s="1024">
        <v>0</v>
      </c>
      <c r="T114" s="1024">
        <v>0</v>
      </c>
      <c r="U114" s="1024">
        <v>6500</v>
      </c>
      <c r="V114" s="1024">
        <v>4000</v>
      </c>
      <c r="W114" s="1024">
        <v>0</v>
      </c>
      <c r="X114" s="1024">
        <v>0</v>
      </c>
      <c r="Y114" s="1024">
        <v>0</v>
      </c>
      <c r="Z114" s="1025">
        <f t="shared" si="69"/>
        <v>10500</v>
      </c>
      <c r="AA114" s="1026">
        <v>0</v>
      </c>
      <c r="AB114" s="1027">
        <v>0</v>
      </c>
      <c r="AC114" s="1027">
        <v>0</v>
      </c>
      <c r="AD114" s="1027"/>
      <c r="AE114" s="1027"/>
      <c r="AF114" s="1027">
        <v>0</v>
      </c>
      <c r="AG114" s="1027">
        <v>0</v>
      </c>
      <c r="AH114" s="1028"/>
      <c r="AI114" s="1028">
        <v>0</v>
      </c>
      <c r="AJ114" s="1028">
        <v>0</v>
      </c>
      <c r="AK114" s="1028">
        <v>0</v>
      </c>
      <c r="AL114" s="1028"/>
      <c r="AM114" s="1025">
        <f t="shared" si="70"/>
        <v>0</v>
      </c>
      <c r="AN114" s="1024"/>
      <c r="AO114" s="1024"/>
      <c r="AP114" s="1024"/>
      <c r="AQ114" s="1024"/>
      <c r="AR114" s="1024"/>
      <c r="AS114" s="1024"/>
      <c r="AT114" s="1024"/>
      <c r="AU114" s="1024"/>
      <c r="AV114" s="1024"/>
      <c r="AW114" s="1024"/>
      <c r="AX114" s="1024"/>
      <c r="AY114" s="1024"/>
      <c r="AZ114" s="1024">
        <f t="shared" si="71"/>
        <v>0</v>
      </c>
      <c r="BA114" s="1024"/>
      <c r="BB114" s="1024"/>
      <c r="BC114" s="1024"/>
      <c r="BD114" s="1024"/>
      <c r="BE114" s="1024"/>
      <c r="BF114" s="1024"/>
      <c r="BG114" s="1024"/>
      <c r="BH114" s="1024"/>
      <c r="BI114" s="1024"/>
      <c r="BJ114" s="1024"/>
      <c r="BK114" s="1024"/>
      <c r="BL114" s="1024"/>
      <c r="BM114" s="1024">
        <f t="shared" si="72"/>
        <v>0</v>
      </c>
      <c r="BN114" s="1024"/>
      <c r="BO114" s="1024"/>
      <c r="BP114" s="1024"/>
      <c r="BQ114" s="1024"/>
      <c r="BR114" s="1024"/>
      <c r="BS114" s="1024"/>
      <c r="BT114" s="1024"/>
      <c r="BU114" s="1024"/>
      <c r="BV114" s="1024"/>
      <c r="BW114" s="1024"/>
      <c r="BX114" s="1024"/>
      <c r="BY114" s="1024"/>
      <c r="BZ114" s="1029">
        <f t="shared" si="73"/>
        <v>0</v>
      </c>
      <c r="CA114" s="1030">
        <f t="shared" si="74"/>
        <v>10500</v>
      </c>
      <c r="CB114" s="1024">
        <f t="shared" si="75"/>
        <v>0</v>
      </c>
      <c r="CC114" s="1036">
        <f t="shared" si="76"/>
        <v>10500</v>
      </c>
      <c r="CD114" s="1023">
        <f t="shared" si="77"/>
        <v>-44508.5</v>
      </c>
      <c r="CE114" s="1023">
        <v>10500</v>
      </c>
      <c r="CF114" s="1023">
        <f t="shared" si="78"/>
        <v>0</v>
      </c>
      <c r="CG114" s="1029"/>
      <c r="CH114" s="972">
        <f t="shared" si="79"/>
        <v>59500</v>
      </c>
      <c r="CL114" s="976">
        <v>55008.5</v>
      </c>
      <c r="CM114" s="976">
        <f t="shared" si="80"/>
        <v>44508.5</v>
      </c>
    </row>
    <row r="115" spans="1:91" s="1032" customFormat="1" ht="12.75" customHeight="1" outlineLevel="1">
      <c r="A115" s="996"/>
      <c r="B115" s="1015"/>
      <c r="C115" s="1043"/>
      <c r="D115" s="1043" t="s">
        <v>663</v>
      </c>
      <c r="E115" s="1017"/>
      <c r="F115" s="1023"/>
      <c r="G115" s="1023">
        <v>20517</v>
      </c>
      <c r="H115" s="1023"/>
      <c r="I115" s="1023">
        <v>20517</v>
      </c>
      <c r="J115" s="1033">
        <v>6400002966</v>
      </c>
      <c r="K115" s="1034">
        <v>180000</v>
      </c>
      <c r="L115" s="1035" t="s">
        <v>310</v>
      </c>
      <c r="M115" s="1036"/>
      <c r="N115" s="1023">
        <v>0</v>
      </c>
      <c r="O115" s="1024">
        <v>0</v>
      </c>
      <c r="P115" s="1024">
        <v>0</v>
      </c>
      <c r="Q115" s="1024">
        <v>0</v>
      </c>
      <c r="R115" s="1024">
        <v>0</v>
      </c>
      <c r="S115" s="1024">
        <v>0</v>
      </c>
      <c r="T115" s="1024">
        <v>0</v>
      </c>
      <c r="U115" s="1024"/>
      <c r="V115" s="1024"/>
      <c r="W115" s="1024">
        <v>0</v>
      </c>
      <c r="X115" s="1024">
        <v>0</v>
      </c>
      <c r="Y115" s="1024">
        <v>0</v>
      </c>
      <c r="Z115" s="1025">
        <f t="shared" si="69"/>
        <v>0</v>
      </c>
      <c r="AA115" s="1026">
        <v>0</v>
      </c>
      <c r="AB115" s="1027">
        <v>0</v>
      </c>
      <c r="AC115" s="1027">
        <v>0</v>
      </c>
      <c r="AD115" s="1027">
        <v>5660</v>
      </c>
      <c r="AE115" s="1027">
        <v>25742</v>
      </c>
      <c r="AF115" s="1027"/>
      <c r="AG115" s="1027"/>
      <c r="AH115" s="1028">
        <f>7564+12953</f>
        <v>20517</v>
      </c>
      <c r="AI115" s="1028"/>
      <c r="AJ115" s="1028"/>
      <c r="AK115" s="1028"/>
      <c r="AL115" s="1028">
        <v>13106.5</v>
      </c>
      <c r="AM115" s="1025">
        <f t="shared" si="70"/>
        <v>65025.5</v>
      </c>
      <c r="AN115" s="1024"/>
      <c r="AO115" s="1024"/>
      <c r="AP115" s="1024"/>
      <c r="AQ115" s="1024"/>
      <c r="AR115" s="1024"/>
      <c r="AS115" s="1024"/>
      <c r="AT115" s="1024"/>
      <c r="AU115" s="1024"/>
      <c r="AV115" s="1024"/>
      <c r="AW115" s="1024"/>
      <c r="AX115" s="1024"/>
      <c r="AY115" s="1024"/>
      <c r="AZ115" s="1024">
        <f t="shared" si="71"/>
        <v>0</v>
      </c>
      <c r="BA115" s="1024"/>
      <c r="BB115" s="1024"/>
      <c r="BC115" s="1024"/>
      <c r="BD115" s="1024"/>
      <c r="BE115" s="1024"/>
      <c r="BF115" s="1024"/>
      <c r="BG115" s="1024"/>
      <c r="BH115" s="1024"/>
      <c r="BI115" s="1024"/>
      <c r="BJ115" s="1024"/>
      <c r="BK115" s="1024"/>
      <c r="BL115" s="1024"/>
      <c r="BM115" s="1024">
        <f t="shared" si="72"/>
        <v>0</v>
      </c>
      <c r="BN115" s="1024"/>
      <c r="BO115" s="1024"/>
      <c r="BP115" s="1024"/>
      <c r="BQ115" s="1024"/>
      <c r="BR115" s="1024"/>
      <c r="BS115" s="1024"/>
      <c r="BT115" s="1024"/>
      <c r="BU115" s="1024"/>
      <c r="BV115" s="1024"/>
      <c r="BW115" s="1024"/>
      <c r="BX115" s="1024"/>
      <c r="BY115" s="1024"/>
      <c r="BZ115" s="1029">
        <f t="shared" si="73"/>
        <v>0</v>
      </c>
      <c r="CA115" s="1030">
        <f t="shared" si="74"/>
        <v>65025.5</v>
      </c>
      <c r="CB115" s="1024">
        <f t="shared" si="75"/>
        <v>0</v>
      </c>
      <c r="CC115" s="1036">
        <f t="shared" si="76"/>
        <v>65025.5</v>
      </c>
      <c r="CD115" s="1023">
        <f t="shared" si="77"/>
        <v>44508.5</v>
      </c>
      <c r="CE115" s="1023">
        <v>65025.5</v>
      </c>
      <c r="CF115" s="1023">
        <f t="shared" si="78"/>
        <v>0</v>
      </c>
      <c r="CG115" s="1029"/>
      <c r="CH115" s="972">
        <f t="shared" si="79"/>
        <v>114974.5</v>
      </c>
      <c r="CI115" s="1032">
        <v>151600</v>
      </c>
      <c r="CJ115" s="1032">
        <f>+CI115-CC115</f>
        <v>86574.5</v>
      </c>
      <c r="CL115" s="976">
        <v>34771.5</v>
      </c>
      <c r="CM115" s="976">
        <f t="shared" si="80"/>
        <v>-30254</v>
      </c>
    </row>
    <row r="116" spans="1:91" s="1032" customFormat="1" ht="12.75" customHeight="1" outlineLevel="1">
      <c r="A116" s="996"/>
      <c r="B116" s="1015"/>
      <c r="C116" s="1043"/>
      <c r="D116" s="1043" t="s">
        <v>664</v>
      </c>
      <c r="E116" s="1017"/>
      <c r="F116" s="1023"/>
      <c r="G116" s="1023"/>
      <c r="H116" s="1023"/>
      <c r="I116" s="1023"/>
      <c r="J116" s="1033">
        <v>4600003376</v>
      </c>
      <c r="K116" s="1034">
        <v>254000</v>
      </c>
      <c r="L116" s="1035" t="s">
        <v>310</v>
      </c>
      <c r="M116" s="1036"/>
      <c r="N116" s="1023">
        <v>0</v>
      </c>
      <c r="O116" s="1024">
        <v>0</v>
      </c>
      <c r="P116" s="1024">
        <v>0</v>
      </c>
      <c r="Q116" s="1024">
        <v>0</v>
      </c>
      <c r="R116" s="1024">
        <v>0</v>
      </c>
      <c r="S116" s="1024">
        <v>0</v>
      </c>
      <c r="T116" s="1024">
        <v>0</v>
      </c>
      <c r="U116" s="1024"/>
      <c r="V116" s="1024"/>
      <c r="W116" s="1024">
        <v>0</v>
      </c>
      <c r="X116" s="1024">
        <v>0</v>
      </c>
      <c r="Y116" s="1024">
        <v>0</v>
      </c>
      <c r="Z116" s="1025">
        <f t="shared" si="69"/>
        <v>0</v>
      </c>
      <c r="AA116" s="1026">
        <v>0</v>
      </c>
      <c r="AB116" s="1027">
        <v>0</v>
      </c>
      <c r="AC116" s="1027">
        <v>0</v>
      </c>
      <c r="AD116" s="1027"/>
      <c r="AE116" s="1027"/>
      <c r="AF116" s="1027"/>
      <c r="AG116" s="1027"/>
      <c r="AH116" s="1028"/>
      <c r="AI116" s="1028"/>
      <c r="AJ116" s="1028"/>
      <c r="AK116" s="1028"/>
      <c r="AL116" s="1028"/>
      <c r="AM116" s="1025">
        <f t="shared" si="70"/>
        <v>0</v>
      </c>
      <c r="AN116" s="1024"/>
      <c r="AO116" s="1024"/>
      <c r="AP116" s="1024"/>
      <c r="AQ116" s="1024"/>
      <c r="AR116" s="1024"/>
      <c r="AS116" s="1024"/>
      <c r="AT116" s="1024"/>
      <c r="AU116" s="1024"/>
      <c r="AV116" s="1024"/>
      <c r="AW116" s="1024"/>
      <c r="AX116" s="1024"/>
      <c r="AY116" s="1024"/>
      <c r="AZ116" s="1024">
        <f t="shared" si="71"/>
        <v>0</v>
      </c>
      <c r="BA116" s="1024"/>
      <c r="BB116" s="1024"/>
      <c r="BC116" s="1024"/>
      <c r="BD116" s="1024"/>
      <c r="BE116" s="1024"/>
      <c r="BF116" s="1024"/>
      <c r="BG116" s="1024">
        <v>250</v>
      </c>
      <c r="BH116" s="1024"/>
      <c r="BI116" s="1024"/>
      <c r="BJ116" s="1024"/>
      <c r="BK116" s="1024"/>
      <c r="BL116" s="1024"/>
      <c r="BM116" s="1024">
        <f t="shared" si="72"/>
        <v>250</v>
      </c>
      <c r="BN116" s="1024"/>
      <c r="BO116" s="1024"/>
      <c r="BP116" s="1024"/>
      <c r="BQ116" s="1024"/>
      <c r="BR116" s="1024"/>
      <c r="BS116" s="1024"/>
      <c r="BT116" s="1024"/>
      <c r="BU116" s="1024"/>
      <c r="BV116" s="1024"/>
      <c r="BW116" s="1024"/>
      <c r="BX116" s="1024"/>
      <c r="BY116" s="1024"/>
      <c r="BZ116" s="1029">
        <f t="shared" si="73"/>
        <v>0</v>
      </c>
      <c r="CA116" s="1030">
        <f t="shared" si="74"/>
        <v>250</v>
      </c>
      <c r="CB116" s="1024">
        <f t="shared" si="75"/>
        <v>0</v>
      </c>
      <c r="CC116" s="1036">
        <f t="shared" si="76"/>
        <v>250</v>
      </c>
      <c r="CD116" s="1023">
        <f t="shared" si="77"/>
        <v>250</v>
      </c>
      <c r="CE116" s="1023">
        <v>250</v>
      </c>
      <c r="CF116" s="1023">
        <f t="shared" si="78"/>
        <v>0</v>
      </c>
      <c r="CG116" s="1029"/>
      <c r="CH116" s="972">
        <f t="shared" si="79"/>
        <v>253750</v>
      </c>
      <c r="CI116" s="1032">
        <v>0</v>
      </c>
      <c r="CJ116" s="1032">
        <f>+CI116-CC116</f>
        <v>-250</v>
      </c>
      <c r="CL116" s="976">
        <v>0</v>
      </c>
      <c r="CM116" s="976">
        <f t="shared" si="80"/>
        <v>-250</v>
      </c>
    </row>
    <row r="117" spans="1:91" s="1032" customFormat="1" ht="12.75" customHeight="1" outlineLevel="1">
      <c r="A117" s="996"/>
      <c r="B117" s="1015"/>
      <c r="C117" s="1043"/>
      <c r="D117" s="1043" t="s">
        <v>618</v>
      </c>
      <c r="E117" s="1017"/>
      <c r="F117" s="1023"/>
      <c r="G117" s="1023">
        <v>29360</v>
      </c>
      <c r="H117" s="1023"/>
      <c r="I117" s="1023">
        <v>29360</v>
      </c>
      <c r="J117" s="1033">
        <v>6400002993</v>
      </c>
      <c r="K117" s="1034">
        <v>50000</v>
      </c>
      <c r="L117" s="1035" t="s">
        <v>326</v>
      </c>
      <c r="M117" s="1036"/>
      <c r="N117" s="1023">
        <v>0</v>
      </c>
      <c r="O117" s="1024">
        <v>0</v>
      </c>
      <c r="P117" s="1024">
        <v>0</v>
      </c>
      <c r="Q117" s="1024">
        <v>0</v>
      </c>
      <c r="R117" s="1024">
        <v>0</v>
      </c>
      <c r="S117" s="1024">
        <v>0</v>
      </c>
      <c r="T117" s="1024">
        <v>0</v>
      </c>
      <c r="U117" s="1024">
        <v>0</v>
      </c>
      <c r="V117" s="1024">
        <v>0</v>
      </c>
      <c r="W117" s="1024">
        <v>0</v>
      </c>
      <c r="X117" s="1024">
        <v>0</v>
      </c>
      <c r="Y117" s="1024">
        <v>0</v>
      </c>
      <c r="Z117" s="1025">
        <f t="shared" si="69"/>
        <v>0</v>
      </c>
      <c r="AA117" s="1026">
        <v>0</v>
      </c>
      <c r="AB117" s="1027">
        <v>0</v>
      </c>
      <c r="AC117" s="1027">
        <v>0</v>
      </c>
      <c r="AD117" s="1027">
        <v>0</v>
      </c>
      <c r="AE117" s="1027">
        <v>0</v>
      </c>
      <c r="AF117" s="1027">
        <v>29360</v>
      </c>
      <c r="AG117" s="1027">
        <v>0</v>
      </c>
      <c r="AH117" s="1028">
        <v>0</v>
      </c>
      <c r="AI117" s="1028">
        <v>0</v>
      </c>
      <c r="AJ117" s="1028">
        <v>0</v>
      </c>
      <c r="AK117" s="1028">
        <v>0</v>
      </c>
      <c r="AL117" s="1028">
        <v>0</v>
      </c>
      <c r="AM117" s="1025">
        <f t="shared" si="70"/>
        <v>29360</v>
      </c>
      <c r="AN117" s="1024"/>
      <c r="AO117" s="1024"/>
      <c r="AP117" s="1024"/>
      <c r="AQ117" s="1024"/>
      <c r="AR117" s="1024"/>
      <c r="AS117" s="1024"/>
      <c r="AT117" s="1024"/>
      <c r="AU117" s="1024"/>
      <c r="AV117" s="1024"/>
      <c r="AW117" s="1024"/>
      <c r="AX117" s="1024"/>
      <c r="AY117" s="1024"/>
      <c r="AZ117" s="1024">
        <f t="shared" si="71"/>
        <v>0</v>
      </c>
      <c r="BA117" s="1024"/>
      <c r="BB117" s="1024"/>
      <c r="BC117" s="1024"/>
      <c r="BD117" s="1024"/>
      <c r="BE117" s="1024"/>
      <c r="BF117" s="1024"/>
      <c r="BG117" s="1024"/>
      <c r="BH117" s="1024"/>
      <c r="BI117" s="1024"/>
      <c r="BJ117" s="1024"/>
      <c r="BK117" s="1024"/>
      <c r="BL117" s="1024"/>
      <c r="BM117" s="1024">
        <f t="shared" si="72"/>
        <v>0</v>
      </c>
      <c r="BN117" s="1024"/>
      <c r="BO117" s="1024"/>
      <c r="BP117" s="1024"/>
      <c r="BQ117" s="1024"/>
      <c r="BR117" s="1024"/>
      <c r="BS117" s="1024"/>
      <c r="BT117" s="1024"/>
      <c r="BU117" s="1024"/>
      <c r="BV117" s="1024"/>
      <c r="BW117" s="1024"/>
      <c r="BX117" s="1024"/>
      <c r="BY117" s="1024"/>
      <c r="BZ117" s="1029">
        <f t="shared" si="73"/>
        <v>0</v>
      </c>
      <c r="CA117" s="1030">
        <f t="shared" si="74"/>
        <v>29360</v>
      </c>
      <c r="CB117" s="1024">
        <f t="shared" si="75"/>
        <v>0</v>
      </c>
      <c r="CC117" s="1036">
        <f t="shared" si="76"/>
        <v>29360</v>
      </c>
      <c r="CD117" s="1023">
        <f t="shared" si="77"/>
        <v>0</v>
      </c>
      <c r="CE117" s="1023">
        <v>29360</v>
      </c>
      <c r="CF117" s="1023">
        <f t="shared" si="78"/>
        <v>0</v>
      </c>
      <c r="CG117" s="1029"/>
      <c r="CH117" s="972">
        <f t="shared" si="79"/>
        <v>20640</v>
      </c>
      <c r="CL117" s="976">
        <v>29360</v>
      </c>
      <c r="CM117" s="976">
        <f t="shared" si="80"/>
        <v>0</v>
      </c>
    </row>
    <row r="118" spans="1:91" s="1032" customFormat="1" ht="12.75" customHeight="1" outlineLevel="1">
      <c r="A118" s="996"/>
      <c r="B118" s="1015"/>
      <c r="C118" s="1043"/>
      <c r="D118" s="1043" t="s">
        <v>665</v>
      </c>
      <c r="E118" s="1017"/>
      <c r="F118" s="1023"/>
      <c r="G118" s="1023">
        <v>3722.74</v>
      </c>
      <c r="H118" s="1023"/>
      <c r="I118" s="1023">
        <v>3722.74</v>
      </c>
      <c r="J118" s="1033">
        <v>6400001732</v>
      </c>
      <c r="K118" s="1034">
        <v>950000</v>
      </c>
      <c r="L118" s="1035" t="s">
        <v>314</v>
      </c>
      <c r="M118" s="1036"/>
      <c r="N118" s="1023">
        <v>0</v>
      </c>
      <c r="O118" s="1024">
        <v>0</v>
      </c>
      <c r="P118" s="1024">
        <v>0</v>
      </c>
      <c r="Q118" s="1024">
        <v>0</v>
      </c>
      <c r="R118" s="1024">
        <v>0</v>
      </c>
      <c r="S118" s="1024">
        <v>0</v>
      </c>
      <c r="T118" s="1024">
        <v>0</v>
      </c>
      <c r="U118" s="1024">
        <v>0</v>
      </c>
      <c r="V118" s="1024">
        <v>0</v>
      </c>
      <c r="W118" s="1024">
        <v>0</v>
      </c>
      <c r="X118" s="1024">
        <v>0</v>
      </c>
      <c r="Y118" s="1024">
        <v>0</v>
      </c>
      <c r="Z118" s="1025">
        <f t="shared" si="69"/>
        <v>0</v>
      </c>
      <c r="AA118" s="1026">
        <v>0</v>
      </c>
      <c r="AB118" s="1027">
        <v>0</v>
      </c>
      <c r="AC118" s="1027">
        <v>0</v>
      </c>
      <c r="AD118" s="1027">
        <v>0</v>
      </c>
      <c r="AE118" s="1027">
        <v>2336</v>
      </c>
      <c r="AF118" s="1027">
        <v>0</v>
      </c>
      <c r="AG118" s="1027">
        <v>0</v>
      </c>
      <c r="AH118" s="1028">
        <v>0</v>
      </c>
      <c r="AI118" s="1028">
        <v>693.82</v>
      </c>
      <c r="AJ118" s="1028">
        <v>0</v>
      </c>
      <c r="AK118" s="1028">
        <v>0</v>
      </c>
      <c r="AL118" s="1028">
        <v>0</v>
      </c>
      <c r="AM118" s="1025">
        <f t="shared" si="70"/>
        <v>3029.82</v>
      </c>
      <c r="AN118" s="1024">
        <v>692.92</v>
      </c>
      <c r="AO118" s="1024"/>
      <c r="AP118" s="1024"/>
      <c r="AQ118" s="1024"/>
      <c r="AR118" s="1024"/>
      <c r="AS118" s="1024"/>
      <c r="AT118" s="1024"/>
      <c r="AU118" s="1024"/>
      <c r="AV118" s="1024"/>
      <c r="AW118" s="1024"/>
      <c r="AX118" s="1024"/>
      <c r="AY118" s="1024"/>
      <c r="AZ118" s="1024">
        <f t="shared" si="71"/>
        <v>692.92</v>
      </c>
      <c r="BA118" s="1024"/>
      <c r="BB118" s="1024"/>
      <c r="BC118" s="1024"/>
      <c r="BD118" s="1024"/>
      <c r="BE118" s="1024"/>
      <c r="BF118" s="1024"/>
      <c r="BG118" s="1024"/>
      <c r="BH118" s="1024"/>
      <c r="BI118" s="1024"/>
      <c r="BJ118" s="1024"/>
      <c r="BK118" s="1024"/>
      <c r="BL118" s="1024"/>
      <c r="BM118" s="1024">
        <f t="shared" si="72"/>
        <v>0</v>
      </c>
      <c r="BN118" s="1024"/>
      <c r="BO118" s="1024"/>
      <c r="BP118" s="1024"/>
      <c r="BQ118" s="1024"/>
      <c r="BR118" s="1024"/>
      <c r="BS118" s="1024"/>
      <c r="BT118" s="1024"/>
      <c r="BU118" s="1024"/>
      <c r="BV118" s="1024"/>
      <c r="BW118" s="1024"/>
      <c r="BX118" s="1024"/>
      <c r="BY118" s="1024"/>
      <c r="BZ118" s="1029">
        <f t="shared" si="73"/>
        <v>0</v>
      </c>
      <c r="CA118" s="1030">
        <f t="shared" si="74"/>
        <v>3722.7400000000002</v>
      </c>
      <c r="CB118" s="1024">
        <f t="shared" si="75"/>
        <v>0</v>
      </c>
      <c r="CC118" s="1036">
        <f t="shared" si="76"/>
        <v>3722.7400000000002</v>
      </c>
      <c r="CD118" s="1023">
        <f t="shared" si="77"/>
        <v>0</v>
      </c>
      <c r="CE118" s="1023">
        <v>3722.7400000000002</v>
      </c>
      <c r="CF118" s="1023">
        <f t="shared" si="78"/>
        <v>0</v>
      </c>
      <c r="CG118" s="1029"/>
      <c r="CH118" s="1042">
        <f t="shared" si="79"/>
        <v>946277.26</v>
      </c>
      <c r="CL118" s="976">
        <v>3722.74</v>
      </c>
      <c r="CM118" s="976">
        <f t="shared" si="80"/>
        <v>0</v>
      </c>
    </row>
    <row r="119" spans="1:91" s="1032" customFormat="1" ht="12.75" customHeight="1" outlineLevel="1">
      <c r="A119" s="996"/>
      <c r="B119" s="1015"/>
      <c r="C119" s="1043"/>
      <c r="D119" s="1043" t="s">
        <v>666</v>
      </c>
      <c r="E119" s="1017"/>
      <c r="F119" s="1023"/>
      <c r="G119" s="1023">
        <v>611</v>
      </c>
      <c r="H119" s="1023"/>
      <c r="I119" s="1023">
        <v>611</v>
      </c>
      <c r="J119" s="1033" t="s">
        <v>667</v>
      </c>
      <c r="K119" s="1034">
        <v>611</v>
      </c>
      <c r="L119" s="1035" t="s">
        <v>381</v>
      </c>
      <c r="M119" s="1036"/>
      <c r="N119" s="1023">
        <v>0</v>
      </c>
      <c r="O119" s="1024">
        <v>0</v>
      </c>
      <c r="P119" s="1024">
        <v>0</v>
      </c>
      <c r="Q119" s="1024">
        <v>0</v>
      </c>
      <c r="R119" s="1024">
        <v>0</v>
      </c>
      <c r="S119" s="1024">
        <v>0</v>
      </c>
      <c r="T119" s="1024">
        <v>0</v>
      </c>
      <c r="U119" s="1024">
        <v>0</v>
      </c>
      <c r="V119" s="1024">
        <v>0</v>
      </c>
      <c r="W119" s="1024">
        <v>0</v>
      </c>
      <c r="X119" s="1024">
        <v>0</v>
      </c>
      <c r="Y119" s="1024">
        <v>0</v>
      </c>
      <c r="Z119" s="1025">
        <f t="shared" si="69"/>
        <v>0</v>
      </c>
      <c r="AA119" s="1026">
        <v>0</v>
      </c>
      <c r="AB119" s="1027">
        <v>0</v>
      </c>
      <c r="AC119" s="1027">
        <v>0</v>
      </c>
      <c r="AD119" s="1027">
        <v>0</v>
      </c>
      <c r="AE119" s="1027">
        <v>0</v>
      </c>
      <c r="AF119" s="1027">
        <v>0</v>
      </c>
      <c r="AG119" s="1027"/>
      <c r="AH119" s="1028"/>
      <c r="AI119" s="1028"/>
      <c r="AJ119" s="1028"/>
      <c r="AK119" s="1028"/>
      <c r="AL119" s="1028"/>
      <c r="AM119" s="1025">
        <f t="shared" si="70"/>
        <v>0</v>
      </c>
      <c r="AN119" s="1024"/>
      <c r="AO119" s="1024"/>
      <c r="AP119" s="1024"/>
      <c r="AQ119" s="1024">
        <v>611</v>
      </c>
      <c r="AR119" s="1024"/>
      <c r="AS119" s="1024"/>
      <c r="AT119" s="1024"/>
      <c r="AU119" s="1024"/>
      <c r="AV119" s="1024"/>
      <c r="AW119" s="1024"/>
      <c r="AX119" s="1024"/>
      <c r="AY119" s="1024"/>
      <c r="AZ119" s="1024">
        <f t="shared" si="71"/>
        <v>611</v>
      </c>
      <c r="BA119" s="1024"/>
      <c r="BB119" s="1024"/>
      <c r="BC119" s="1024"/>
      <c r="BD119" s="1024"/>
      <c r="BE119" s="1024"/>
      <c r="BF119" s="1024"/>
      <c r="BG119" s="1024"/>
      <c r="BH119" s="1024"/>
      <c r="BI119" s="1024"/>
      <c r="BJ119" s="1024"/>
      <c r="BK119" s="1024"/>
      <c r="BL119" s="1024"/>
      <c r="BM119" s="1024">
        <f t="shared" si="72"/>
        <v>0</v>
      </c>
      <c r="BN119" s="1024"/>
      <c r="BO119" s="1024"/>
      <c r="BP119" s="1024"/>
      <c r="BQ119" s="1024"/>
      <c r="BR119" s="1024"/>
      <c r="BS119" s="1024"/>
      <c r="BT119" s="1024"/>
      <c r="BU119" s="1024"/>
      <c r="BV119" s="1024"/>
      <c r="BW119" s="1024"/>
      <c r="BX119" s="1024"/>
      <c r="BY119" s="1024"/>
      <c r="BZ119" s="1029">
        <f t="shared" si="73"/>
        <v>0</v>
      </c>
      <c r="CA119" s="1030">
        <f t="shared" si="74"/>
        <v>611</v>
      </c>
      <c r="CB119" s="1024">
        <f t="shared" si="75"/>
        <v>0</v>
      </c>
      <c r="CC119" s="1036">
        <f t="shared" si="76"/>
        <v>611</v>
      </c>
      <c r="CD119" s="1023">
        <f t="shared" si="77"/>
        <v>0</v>
      </c>
      <c r="CE119" s="1023">
        <v>611</v>
      </c>
      <c r="CF119" s="1023">
        <f t="shared" si="78"/>
        <v>0</v>
      </c>
      <c r="CG119" s="1029"/>
      <c r="CH119" s="1042">
        <f t="shared" si="79"/>
        <v>0</v>
      </c>
      <c r="CL119" s="976">
        <v>611</v>
      </c>
      <c r="CM119" s="976">
        <f t="shared" si="80"/>
        <v>0</v>
      </c>
    </row>
    <row r="120" spans="1:91" s="1032" customFormat="1" ht="12.75" customHeight="1" outlineLevel="1">
      <c r="A120" s="996"/>
      <c r="B120" s="1015"/>
      <c r="C120" s="1043"/>
      <c r="D120" s="1043" t="s">
        <v>668</v>
      </c>
      <c r="E120" s="1017"/>
      <c r="F120" s="1023"/>
      <c r="G120" s="1023">
        <v>120698.81</v>
      </c>
      <c r="H120" s="1023"/>
      <c r="I120" s="1023">
        <v>120698.81</v>
      </c>
      <c r="J120" s="1033">
        <v>6400001434</v>
      </c>
      <c r="K120" s="1034">
        <v>300000</v>
      </c>
      <c r="L120" s="1035" t="s">
        <v>326</v>
      </c>
      <c r="M120" s="1036"/>
      <c r="N120" s="1023"/>
      <c r="O120" s="1024"/>
      <c r="P120" s="1024"/>
      <c r="Q120" s="1024"/>
      <c r="R120" s="1024"/>
      <c r="S120" s="1024"/>
      <c r="T120" s="1024"/>
      <c r="U120" s="1024"/>
      <c r="V120" s="1024"/>
      <c r="W120" s="1024"/>
      <c r="X120" s="1024"/>
      <c r="Y120" s="1024"/>
      <c r="Z120" s="1025">
        <f t="shared" si="69"/>
        <v>0</v>
      </c>
      <c r="AA120" s="1026">
        <v>0</v>
      </c>
      <c r="AB120" s="1027">
        <v>0</v>
      </c>
      <c r="AC120" s="1027">
        <v>0</v>
      </c>
      <c r="AD120" s="1027">
        <v>0</v>
      </c>
      <c r="AE120" s="1027">
        <v>1745.43</v>
      </c>
      <c r="AF120" s="1027">
        <f>18176.24-1377.5</f>
        <v>16798.740000000002</v>
      </c>
      <c r="AG120" s="1027">
        <v>0</v>
      </c>
      <c r="AH120" s="1028">
        <v>0</v>
      </c>
      <c r="AI120" s="1028">
        <v>14105.6</v>
      </c>
      <c r="AJ120" s="1028">
        <v>0</v>
      </c>
      <c r="AK120" s="1028">
        <v>9933.82</v>
      </c>
      <c r="AL120" s="1028">
        <v>20288.2</v>
      </c>
      <c r="AM120" s="1025">
        <f t="shared" si="70"/>
        <v>62871.790000000008</v>
      </c>
      <c r="AN120" s="1024"/>
      <c r="AO120" s="1024">
        <v>10250.84</v>
      </c>
      <c r="AP120" s="1024">
        <v>11383.02</v>
      </c>
      <c r="AQ120" s="1024"/>
      <c r="AR120" s="1024">
        <v>17062.54</v>
      </c>
      <c r="AS120" s="1024">
        <v>6352.66</v>
      </c>
      <c r="AT120" s="1024"/>
      <c r="AU120" s="1024">
        <v>12777.96</v>
      </c>
      <c r="AV120" s="1024"/>
      <c r="AW120" s="1024"/>
      <c r="AX120" s="1024"/>
      <c r="AY120" s="1024">
        <v>710.57</v>
      </c>
      <c r="AZ120" s="1024">
        <f t="shared" si="71"/>
        <v>58537.59</v>
      </c>
      <c r="BA120" s="1024"/>
      <c r="BB120" s="1024"/>
      <c r="BC120" s="1024"/>
      <c r="BD120" s="1024"/>
      <c r="BE120" s="1024"/>
      <c r="BF120" s="1024"/>
      <c r="BG120" s="1024"/>
      <c r="BH120" s="1024"/>
      <c r="BI120" s="1024"/>
      <c r="BJ120" s="1024"/>
      <c r="BK120" s="1024"/>
      <c r="BL120" s="1024"/>
      <c r="BM120" s="1024">
        <f t="shared" si="72"/>
        <v>0</v>
      </c>
      <c r="BN120" s="1024"/>
      <c r="BO120" s="1024"/>
      <c r="BP120" s="1024"/>
      <c r="BQ120" s="1024"/>
      <c r="BR120" s="1024"/>
      <c r="BS120" s="1024"/>
      <c r="BT120" s="1024"/>
      <c r="BU120" s="1024"/>
      <c r="BV120" s="1024"/>
      <c r="BW120" s="1024"/>
      <c r="BX120" s="1024"/>
      <c r="BY120" s="1024"/>
      <c r="BZ120" s="1029">
        <f t="shared" si="73"/>
        <v>0</v>
      </c>
      <c r="CA120" s="1030">
        <f t="shared" si="74"/>
        <v>121409.38</v>
      </c>
      <c r="CB120" s="1024">
        <f t="shared" si="75"/>
        <v>0</v>
      </c>
      <c r="CC120" s="1036">
        <f t="shared" si="76"/>
        <v>121409.38</v>
      </c>
      <c r="CD120" s="1023">
        <f t="shared" si="77"/>
        <v>710.57000000000698</v>
      </c>
      <c r="CE120" s="1023">
        <v>121409.38</v>
      </c>
      <c r="CF120" s="1023">
        <f t="shared" si="78"/>
        <v>0</v>
      </c>
      <c r="CG120" s="1029"/>
      <c r="CH120" s="1042">
        <f t="shared" si="79"/>
        <v>178590.62</v>
      </c>
      <c r="CI120" s="1032">
        <v>149579</v>
      </c>
      <c r="CJ120" s="1032">
        <f>+CI120-CC120</f>
        <v>28169.619999999995</v>
      </c>
      <c r="CL120" s="976">
        <v>149579.19</v>
      </c>
      <c r="CM120" s="976">
        <f t="shared" si="80"/>
        <v>28169.809999999998</v>
      </c>
    </row>
    <row r="121" spans="1:91" s="1032" customFormat="1" ht="12.75" customHeight="1" outlineLevel="1">
      <c r="A121" s="996"/>
      <c r="B121" s="1015"/>
      <c r="C121" s="1043"/>
      <c r="D121" s="1043" t="s">
        <v>669</v>
      </c>
      <c r="E121" s="1017"/>
      <c r="F121" s="1023"/>
      <c r="G121" s="1023">
        <v>0</v>
      </c>
      <c r="H121" s="1023"/>
      <c r="I121" s="1023">
        <v>0</v>
      </c>
      <c r="J121" s="1033">
        <v>4600002127</v>
      </c>
      <c r="K121" s="1034">
        <v>1733624</v>
      </c>
      <c r="L121" s="1035" t="s">
        <v>310</v>
      </c>
      <c r="M121" s="1036"/>
      <c r="N121" s="1023"/>
      <c r="O121" s="1024"/>
      <c r="P121" s="1024"/>
      <c r="Q121" s="1024"/>
      <c r="R121" s="1024"/>
      <c r="S121" s="1024"/>
      <c r="T121" s="1024"/>
      <c r="U121" s="1024"/>
      <c r="V121" s="1024"/>
      <c r="W121" s="1024"/>
      <c r="X121" s="1024"/>
      <c r="Y121" s="1024"/>
      <c r="Z121" s="1025">
        <f t="shared" si="69"/>
        <v>0</v>
      </c>
      <c r="AA121" s="1026">
        <v>0</v>
      </c>
      <c r="AB121" s="1027">
        <v>0</v>
      </c>
      <c r="AC121" s="1027">
        <v>0</v>
      </c>
      <c r="AD121" s="1027">
        <v>0</v>
      </c>
      <c r="AE121" s="1027"/>
      <c r="AF121" s="1027"/>
      <c r="AG121" s="1027"/>
      <c r="AH121" s="1028"/>
      <c r="AI121" s="1028"/>
      <c r="AJ121" s="1028"/>
      <c r="AK121" s="1028"/>
      <c r="AL121" s="1028"/>
      <c r="AM121" s="1025">
        <f t="shared" si="70"/>
        <v>0</v>
      </c>
      <c r="AN121" s="1024"/>
      <c r="AO121" s="1024"/>
      <c r="AP121" s="1024"/>
      <c r="AQ121" s="1024"/>
      <c r="AR121" s="1024"/>
      <c r="AS121" s="1024"/>
      <c r="AT121" s="1024"/>
      <c r="AU121" s="1024"/>
      <c r="AV121" s="1024"/>
      <c r="AW121" s="1024"/>
      <c r="AX121" s="1024">
        <v>10509.47</v>
      </c>
      <c r="AY121" s="1024"/>
      <c r="AZ121" s="1024">
        <f t="shared" si="71"/>
        <v>10509.47</v>
      </c>
      <c r="BA121" s="1024"/>
      <c r="BB121" s="1024">
        <v>1953.23</v>
      </c>
      <c r="BC121" s="1024"/>
      <c r="BD121" s="1024"/>
      <c r="BE121" s="1024"/>
      <c r="BF121" s="1024"/>
      <c r="BG121" s="1024"/>
      <c r="BH121" s="1024"/>
      <c r="BI121" s="1024"/>
      <c r="BJ121" s="1024"/>
      <c r="BK121" s="1024">
        <v>27421.91</v>
      </c>
      <c r="BL121" s="1024"/>
      <c r="BM121" s="1024">
        <f t="shared" si="72"/>
        <v>29375.14</v>
      </c>
      <c r="BN121" s="1024"/>
      <c r="BO121" s="1024"/>
      <c r="BP121" s="1024">
        <v>2044.98</v>
      </c>
      <c r="BQ121" s="1024"/>
      <c r="BR121" s="1024"/>
      <c r="BS121" s="1024"/>
      <c r="BT121" s="1024"/>
      <c r="BU121" s="1024"/>
      <c r="BV121" s="1024"/>
      <c r="BW121" s="1024"/>
      <c r="BX121" s="1024"/>
      <c r="BY121" s="1024"/>
      <c r="BZ121" s="1029">
        <f t="shared" si="73"/>
        <v>2044.98</v>
      </c>
      <c r="CA121" s="1030">
        <f t="shared" si="74"/>
        <v>41929.590000000004</v>
      </c>
      <c r="CB121" s="1024">
        <f t="shared" si="75"/>
        <v>0</v>
      </c>
      <c r="CC121" s="1036">
        <f t="shared" si="76"/>
        <v>41929.590000000004</v>
      </c>
      <c r="CD121" s="1023">
        <f t="shared" si="77"/>
        <v>41929.590000000004</v>
      </c>
      <c r="CE121" s="1023">
        <v>41929.590000000004</v>
      </c>
      <c r="CF121" s="1023">
        <f t="shared" si="78"/>
        <v>0</v>
      </c>
      <c r="CG121" s="1029"/>
      <c r="CH121" s="1042">
        <f t="shared" si="79"/>
        <v>1691694.41</v>
      </c>
      <c r="CI121" s="1032">
        <v>0</v>
      </c>
      <c r="CJ121" s="1032">
        <f>+CI121-CC121</f>
        <v>-41929.590000000004</v>
      </c>
      <c r="CL121" s="976">
        <v>0</v>
      </c>
      <c r="CM121" s="976">
        <f t="shared" si="80"/>
        <v>-41929.590000000004</v>
      </c>
    </row>
    <row r="122" spans="1:91" s="1032" customFormat="1" ht="12.75" customHeight="1" outlineLevel="1">
      <c r="A122" s="996"/>
      <c r="B122" s="1015"/>
      <c r="C122" s="1043"/>
      <c r="D122" s="1016" t="s">
        <v>368</v>
      </c>
      <c r="E122" s="1017"/>
      <c r="F122" s="1023"/>
      <c r="G122" s="1023">
        <v>8193.09</v>
      </c>
      <c r="H122" s="1023"/>
      <c r="I122" s="1023">
        <v>8193.09</v>
      </c>
      <c r="J122" s="1033">
        <v>4600001047</v>
      </c>
      <c r="K122" s="1034">
        <v>803801</v>
      </c>
      <c r="L122" s="1035" t="s">
        <v>314</v>
      </c>
      <c r="M122" s="1036"/>
      <c r="N122" s="1023">
        <v>0</v>
      </c>
      <c r="O122" s="1024">
        <v>0</v>
      </c>
      <c r="P122" s="1024">
        <v>0</v>
      </c>
      <c r="Q122" s="1024">
        <v>0</v>
      </c>
      <c r="R122" s="1024">
        <v>0</v>
      </c>
      <c r="S122" s="1024">
        <v>0</v>
      </c>
      <c r="T122" s="1024">
        <v>0</v>
      </c>
      <c r="U122" s="1024">
        <v>0</v>
      </c>
      <c r="V122" s="1024">
        <v>0</v>
      </c>
      <c r="W122" s="1024">
        <v>0</v>
      </c>
      <c r="X122" s="1024">
        <v>0</v>
      </c>
      <c r="Y122" s="1024">
        <v>0</v>
      </c>
      <c r="Z122" s="1025">
        <f t="shared" si="69"/>
        <v>0</v>
      </c>
      <c r="AA122" s="1026">
        <v>0</v>
      </c>
      <c r="AB122" s="1027">
        <v>0</v>
      </c>
      <c r="AC122" s="1027">
        <v>0</v>
      </c>
      <c r="AD122" s="1027">
        <v>0</v>
      </c>
      <c r="AE122" s="1027">
        <v>0</v>
      </c>
      <c r="AF122" s="1027">
        <v>0</v>
      </c>
      <c r="AG122" s="1027">
        <v>0</v>
      </c>
      <c r="AH122" s="1028">
        <v>0</v>
      </c>
      <c r="AI122" s="1028">
        <v>0</v>
      </c>
      <c r="AJ122" s="1028">
        <v>0</v>
      </c>
      <c r="AK122" s="1028">
        <v>0</v>
      </c>
      <c r="AL122" s="1028">
        <v>0</v>
      </c>
      <c r="AM122" s="1025">
        <f t="shared" si="70"/>
        <v>0</v>
      </c>
      <c r="AN122" s="1024"/>
      <c r="AO122" s="1024"/>
      <c r="AP122" s="1024"/>
      <c r="AQ122" s="1024"/>
      <c r="AR122" s="1024"/>
      <c r="AS122" s="1024"/>
      <c r="AT122" s="1024"/>
      <c r="AU122" s="1024"/>
      <c r="AV122" s="1024">
        <v>2730.96</v>
      </c>
      <c r="AW122" s="1024">
        <v>5462.13</v>
      </c>
      <c r="AX122" s="1024">
        <v>850</v>
      </c>
      <c r="AY122" s="1024">
        <v>5668.3</v>
      </c>
      <c r="AZ122" s="1024">
        <f t="shared" si="71"/>
        <v>14711.39</v>
      </c>
      <c r="BA122" s="1024"/>
      <c r="BB122" s="1024">
        <v>340</v>
      </c>
      <c r="BC122" s="1024"/>
      <c r="BD122" s="1024"/>
      <c r="BE122" s="1024">
        <v>2584.33</v>
      </c>
      <c r="BF122" s="1024">
        <v>425</v>
      </c>
      <c r="BG122" s="1024"/>
      <c r="BH122" s="1024"/>
      <c r="BI122" s="1024">
        <v>595</v>
      </c>
      <c r="BJ122" s="1024"/>
      <c r="BK122" s="1024"/>
      <c r="BL122" s="1024"/>
      <c r="BM122" s="1024">
        <f t="shared" si="72"/>
        <v>3944.33</v>
      </c>
      <c r="BN122" s="1024">
        <v>2541.9299999999998</v>
      </c>
      <c r="BO122" s="1024"/>
      <c r="BP122" s="1024"/>
      <c r="BQ122" s="1024"/>
      <c r="BR122" s="1024"/>
      <c r="BS122" s="1024"/>
      <c r="BT122" s="1024"/>
      <c r="BU122" s="1024"/>
      <c r="BV122" s="1024"/>
      <c r="BW122" s="1024"/>
      <c r="BX122" s="1024"/>
      <c r="BY122" s="1024"/>
      <c r="BZ122" s="1029">
        <f t="shared" si="73"/>
        <v>2541.9299999999998</v>
      </c>
      <c r="CA122" s="1030">
        <f t="shared" si="74"/>
        <v>21197.65</v>
      </c>
      <c r="CB122" s="1024">
        <f t="shared" si="75"/>
        <v>0</v>
      </c>
      <c r="CC122" s="1036">
        <f t="shared" si="76"/>
        <v>21197.65</v>
      </c>
      <c r="CD122" s="1023">
        <f t="shared" si="77"/>
        <v>13004.560000000001</v>
      </c>
      <c r="CE122" s="1023">
        <v>21197.65</v>
      </c>
      <c r="CF122" s="1023">
        <f t="shared" si="78"/>
        <v>0</v>
      </c>
      <c r="CG122" s="1029"/>
      <c r="CH122" s="972">
        <f t="shared" si="79"/>
        <v>782603.35</v>
      </c>
      <c r="CL122" s="976">
        <v>0</v>
      </c>
      <c r="CM122" s="976">
        <f t="shared" si="80"/>
        <v>-21197.65</v>
      </c>
    </row>
    <row r="123" spans="1:91" s="1032" customFormat="1" ht="12.75" customHeight="1" outlineLevel="1">
      <c r="A123" s="996"/>
      <c r="B123" s="1015"/>
      <c r="C123" s="1043"/>
      <c r="D123" s="1016" t="s">
        <v>624</v>
      </c>
      <c r="E123" s="1017"/>
      <c r="F123" s="1023"/>
      <c r="G123" s="1023">
        <v>3516</v>
      </c>
      <c r="H123" s="1023"/>
      <c r="I123" s="1023">
        <v>3516</v>
      </c>
      <c r="J123" s="1033">
        <v>4600004470</v>
      </c>
      <c r="K123" s="1034">
        <v>400000</v>
      </c>
      <c r="L123" s="1035" t="s">
        <v>326</v>
      </c>
      <c r="M123" s="1036"/>
      <c r="N123" s="1023">
        <v>0</v>
      </c>
      <c r="O123" s="1024">
        <v>0</v>
      </c>
      <c r="P123" s="1024">
        <v>3516</v>
      </c>
      <c r="Q123" s="1024">
        <v>0</v>
      </c>
      <c r="R123" s="1024">
        <v>0</v>
      </c>
      <c r="S123" s="1024">
        <v>0</v>
      </c>
      <c r="T123" s="1024">
        <v>0</v>
      </c>
      <c r="U123" s="1024">
        <v>0</v>
      </c>
      <c r="V123" s="1024">
        <v>0</v>
      </c>
      <c r="W123" s="1024">
        <v>0</v>
      </c>
      <c r="X123" s="1024">
        <v>0</v>
      </c>
      <c r="Y123" s="1024">
        <v>0</v>
      </c>
      <c r="Z123" s="1025">
        <f t="shared" si="69"/>
        <v>3516</v>
      </c>
      <c r="AA123" s="1026">
        <v>0</v>
      </c>
      <c r="AB123" s="1027">
        <v>0</v>
      </c>
      <c r="AC123" s="1027">
        <v>0</v>
      </c>
      <c r="AD123" s="1027">
        <v>0</v>
      </c>
      <c r="AE123" s="1027">
        <v>0</v>
      </c>
      <c r="AF123" s="1027">
        <v>0</v>
      </c>
      <c r="AG123" s="1027">
        <v>0</v>
      </c>
      <c r="AH123" s="1028">
        <v>0</v>
      </c>
      <c r="AI123" s="1028">
        <v>0</v>
      </c>
      <c r="AJ123" s="1028">
        <v>0</v>
      </c>
      <c r="AK123" s="1028">
        <v>0</v>
      </c>
      <c r="AL123" s="1028">
        <v>0</v>
      </c>
      <c r="AM123" s="1025">
        <f t="shared" si="70"/>
        <v>0</v>
      </c>
      <c r="AN123" s="1024"/>
      <c r="AO123" s="1024"/>
      <c r="AP123" s="1024"/>
      <c r="AQ123" s="1024"/>
      <c r="AR123" s="1024"/>
      <c r="AS123" s="1024"/>
      <c r="AT123" s="1024"/>
      <c r="AU123" s="1024"/>
      <c r="AV123" s="1024"/>
      <c r="AW123" s="1024"/>
      <c r="AX123" s="1024"/>
      <c r="AY123" s="1024"/>
      <c r="AZ123" s="1024">
        <f t="shared" si="71"/>
        <v>0</v>
      </c>
      <c r="BA123" s="1024"/>
      <c r="BB123" s="1024"/>
      <c r="BC123" s="1024"/>
      <c r="BD123" s="1024"/>
      <c r="BE123" s="1024"/>
      <c r="BF123" s="1024"/>
      <c r="BG123" s="1024"/>
      <c r="BH123" s="1024"/>
      <c r="BI123" s="1024"/>
      <c r="BJ123" s="1024"/>
      <c r="BK123" s="1024"/>
      <c r="BL123" s="1024"/>
      <c r="BM123" s="1024">
        <f t="shared" si="72"/>
        <v>0</v>
      </c>
      <c r="BN123" s="1024"/>
      <c r="BO123" s="1024"/>
      <c r="BP123" s="1024"/>
      <c r="BQ123" s="1024"/>
      <c r="BR123" s="1024"/>
      <c r="BS123" s="1024"/>
      <c r="BT123" s="1024"/>
      <c r="BU123" s="1024"/>
      <c r="BV123" s="1024"/>
      <c r="BW123" s="1024"/>
      <c r="BX123" s="1024"/>
      <c r="BY123" s="1024"/>
      <c r="BZ123" s="1029">
        <f t="shared" si="73"/>
        <v>0</v>
      </c>
      <c r="CA123" s="1030">
        <f t="shared" si="74"/>
        <v>3516</v>
      </c>
      <c r="CB123" s="1031">
        <f t="shared" si="75"/>
        <v>0</v>
      </c>
      <c r="CC123" s="1036">
        <f t="shared" si="76"/>
        <v>3516</v>
      </c>
      <c r="CD123" s="1023">
        <f t="shared" si="77"/>
        <v>0</v>
      </c>
      <c r="CE123" s="1023">
        <v>3516</v>
      </c>
      <c r="CF123" s="1023">
        <f t="shared" si="78"/>
        <v>0</v>
      </c>
      <c r="CG123" s="1029"/>
      <c r="CH123" s="1042">
        <f t="shared" si="79"/>
        <v>396484</v>
      </c>
      <c r="CL123" s="976">
        <v>3516</v>
      </c>
      <c r="CM123" s="976">
        <f t="shared" si="80"/>
        <v>0</v>
      </c>
    </row>
    <row r="124" spans="1:91" s="1064" customFormat="1">
      <c r="A124" s="1045"/>
      <c r="B124" s="1046" t="s">
        <v>670</v>
      </c>
      <c r="C124" s="1047"/>
      <c r="D124" s="1047"/>
      <c r="E124" s="1048"/>
      <c r="F124" s="1054">
        <f>SUBTOTAL(9,F64:F123)</f>
        <v>6002268</v>
      </c>
      <c r="G124" s="1054">
        <f>SUBTOTAL(9,G64:G123)</f>
        <v>5852773.8499999996</v>
      </c>
      <c r="H124" s="1054">
        <f>SUBTOTAL(9,H64:H123)</f>
        <v>0</v>
      </c>
      <c r="I124" s="1054">
        <f>SUBTOTAL(9,I64:I123)</f>
        <v>5852773.8499999996</v>
      </c>
      <c r="J124" s="1050"/>
      <c r="K124" s="1051"/>
      <c r="L124" s="1052"/>
      <c r="M124" s="1053">
        <f t="shared" ref="M124:AR124" si="81">SUBTOTAL(9,M64:M123)</f>
        <v>0</v>
      </c>
      <c r="N124" s="1054">
        <f t="shared" si="81"/>
        <v>0</v>
      </c>
      <c r="O124" s="1055">
        <f t="shared" si="81"/>
        <v>17124.21</v>
      </c>
      <c r="P124" s="1055">
        <f t="shared" si="81"/>
        <v>3516</v>
      </c>
      <c r="Q124" s="1055">
        <f t="shared" si="81"/>
        <v>0</v>
      </c>
      <c r="R124" s="1055">
        <f t="shared" si="81"/>
        <v>0</v>
      </c>
      <c r="S124" s="1055">
        <f t="shared" si="81"/>
        <v>7328.18</v>
      </c>
      <c r="T124" s="1055">
        <f t="shared" si="81"/>
        <v>1469.55</v>
      </c>
      <c r="U124" s="1055">
        <f t="shared" si="81"/>
        <v>6500</v>
      </c>
      <c r="V124" s="1055">
        <f t="shared" si="81"/>
        <v>4000</v>
      </c>
      <c r="W124" s="1055">
        <f t="shared" si="81"/>
        <v>3107.5600000000004</v>
      </c>
      <c r="X124" s="1055">
        <f t="shared" si="81"/>
        <v>65994.7</v>
      </c>
      <c r="Y124" s="1055">
        <f t="shared" si="81"/>
        <v>153690.18</v>
      </c>
      <c r="Z124" s="1056">
        <f t="shared" si="81"/>
        <v>262730.38</v>
      </c>
      <c r="AA124" s="1057">
        <f t="shared" si="81"/>
        <v>9033.5</v>
      </c>
      <c r="AB124" s="1058">
        <f t="shared" si="81"/>
        <v>309830.24</v>
      </c>
      <c r="AC124" s="1058">
        <f t="shared" si="81"/>
        <v>1403</v>
      </c>
      <c r="AD124" s="1058">
        <f t="shared" si="81"/>
        <v>394040.18</v>
      </c>
      <c r="AE124" s="1058">
        <f t="shared" si="81"/>
        <v>44398.43</v>
      </c>
      <c r="AF124" s="1058">
        <f t="shared" si="81"/>
        <v>94561.39</v>
      </c>
      <c r="AG124" s="1058">
        <f t="shared" si="81"/>
        <v>405485.93</v>
      </c>
      <c r="AH124" s="1059">
        <f t="shared" si="81"/>
        <v>393488.21000000008</v>
      </c>
      <c r="AI124" s="1059">
        <f t="shared" si="81"/>
        <v>98118.260000000024</v>
      </c>
      <c r="AJ124" s="1059">
        <f t="shared" si="81"/>
        <v>117294.65</v>
      </c>
      <c r="AK124" s="1059">
        <f t="shared" si="81"/>
        <v>26130.579999999998</v>
      </c>
      <c r="AL124" s="1059">
        <f t="shared" si="81"/>
        <v>960344.99999999988</v>
      </c>
      <c r="AM124" s="1056">
        <f t="shared" si="81"/>
        <v>2854129.3699999996</v>
      </c>
      <c r="AN124" s="1055">
        <f t="shared" si="81"/>
        <v>-150486.03999999998</v>
      </c>
      <c r="AO124" s="1055">
        <f t="shared" si="81"/>
        <v>16289.85</v>
      </c>
      <c r="AP124" s="1055">
        <f t="shared" si="81"/>
        <v>580508.56999999995</v>
      </c>
      <c r="AQ124" s="1055">
        <f t="shared" si="81"/>
        <v>-170273.96</v>
      </c>
      <c r="AR124" s="1055">
        <f t="shared" si="81"/>
        <v>228997.87000000002</v>
      </c>
      <c r="AS124" s="1055">
        <f t="shared" ref="AS124:BX124" si="82">SUBTOTAL(9,AS64:AS123)</f>
        <v>11158.719999999994</v>
      </c>
      <c r="AT124" s="1055">
        <f t="shared" si="82"/>
        <v>275858.17</v>
      </c>
      <c r="AU124" s="1055">
        <f t="shared" si="82"/>
        <v>121677.48999999999</v>
      </c>
      <c r="AV124" s="1055">
        <f t="shared" si="82"/>
        <v>81378.55</v>
      </c>
      <c r="AW124" s="1055">
        <f t="shared" si="82"/>
        <v>49264.979999999996</v>
      </c>
      <c r="AX124" s="1055">
        <f t="shared" si="82"/>
        <v>127922.35</v>
      </c>
      <c r="AY124" s="1055">
        <f t="shared" si="82"/>
        <v>99045.62000000001</v>
      </c>
      <c r="AZ124" s="1055">
        <f t="shared" si="82"/>
        <v>1271342.17</v>
      </c>
      <c r="BA124" s="1055">
        <f t="shared" si="82"/>
        <v>16507</v>
      </c>
      <c r="BB124" s="1055">
        <f t="shared" si="82"/>
        <v>66799.949999999983</v>
      </c>
      <c r="BC124" s="1055">
        <f t="shared" si="82"/>
        <v>64041.590000000004</v>
      </c>
      <c r="BD124" s="1055">
        <f t="shared" si="82"/>
        <v>49916.200000000004</v>
      </c>
      <c r="BE124" s="1055">
        <f t="shared" si="82"/>
        <v>103687.05000000002</v>
      </c>
      <c r="BF124" s="1055">
        <f t="shared" si="82"/>
        <v>215812.46</v>
      </c>
      <c r="BG124" s="1055">
        <f t="shared" si="82"/>
        <v>57961.5</v>
      </c>
      <c r="BH124" s="1055">
        <f t="shared" si="82"/>
        <v>47004.08</v>
      </c>
      <c r="BI124" s="1055">
        <f t="shared" si="82"/>
        <v>52782.62</v>
      </c>
      <c r="BJ124" s="1055">
        <f t="shared" si="82"/>
        <v>46443.12</v>
      </c>
      <c r="BK124" s="1055">
        <f t="shared" si="82"/>
        <v>40586.880000000005</v>
      </c>
      <c r="BL124" s="1055">
        <f t="shared" si="82"/>
        <v>124764.13999999998</v>
      </c>
      <c r="BM124" s="1055">
        <f t="shared" si="82"/>
        <v>886306.58999999985</v>
      </c>
      <c r="BN124" s="1055">
        <f t="shared" si="82"/>
        <v>15662.21</v>
      </c>
      <c r="BO124" s="1055">
        <f t="shared" si="82"/>
        <v>31290.080000000002</v>
      </c>
      <c r="BP124" s="1055">
        <f t="shared" si="82"/>
        <v>38943.840000000004</v>
      </c>
      <c r="BQ124" s="1055">
        <f t="shared" si="82"/>
        <v>26540.266666666666</v>
      </c>
      <c r="BR124" s="1055">
        <f t="shared" si="82"/>
        <v>0</v>
      </c>
      <c r="BS124" s="1055">
        <f t="shared" si="82"/>
        <v>0</v>
      </c>
      <c r="BT124" s="1055">
        <f t="shared" si="82"/>
        <v>0</v>
      </c>
      <c r="BU124" s="1055">
        <f t="shared" si="82"/>
        <v>0</v>
      </c>
      <c r="BV124" s="1055">
        <f t="shared" si="82"/>
        <v>0</v>
      </c>
      <c r="BW124" s="1055">
        <f t="shared" si="82"/>
        <v>0</v>
      </c>
      <c r="BX124" s="1055">
        <f t="shared" si="82"/>
        <v>0</v>
      </c>
      <c r="BY124" s="1055">
        <f t="shared" ref="BY124:CF124" si="83">SUBTOTAL(9,BY64:BY123)</f>
        <v>0</v>
      </c>
      <c r="BZ124" s="1060">
        <f t="shared" si="83"/>
        <v>112436.39666666665</v>
      </c>
      <c r="CA124" s="1061">
        <f t="shared" si="83"/>
        <v>5386944.9066666663</v>
      </c>
      <c r="CB124" s="1062">
        <f t="shared" si="83"/>
        <v>0</v>
      </c>
      <c r="CC124" s="1054">
        <f t="shared" si="83"/>
        <v>5386944.9066666663</v>
      </c>
      <c r="CD124" s="1054">
        <f t="shared" si="83"/>
        <v>-465828.94333333307</v>
      </c>
      <c r="CE124" s="1054">
        <f t="shared" si="83"/>
        <v>5609763.0399999991</v>
      </c>
      <c r="CF124" s="1054">
        <f t="shared" si="83"/>
        <v>-222818.13333333321</v>
      </c>
      <c r="CG124" s="1060"/>
      <c r="CH124" s="1063"/>
      <c r="CL124" s="1065">
        <f>SUBTOTAL(9,CL64:CL123)</f>
        <v>6460118.5368115958</v>
      </c>
      <c r="CM124" s="1066">
        <f t="shared" si="80"/>
        <v>1073173.6301449295</v>
      </c>
    </row>
    <row r="125" spans="1:91" s="1032" customFormat="1" ht="9" customHeight="1">
      <c r="A125" s="996"/>
      <c r="B125" s="1015"/>
      <c r="C125" s="1016"/>
      <c r="D125" s="1016"/>
      <c r="E125" s="1017"/>
      <c r="F125" s="1023"/>
      <c r="G125" s="1023"/>
      <c r="H125" s="1023"/>
      <c r="I125" s="1023"/>
      <c r="J125" s="1019"/>
      <c r="K125" s="1020"/>
      <c r="L125" s="1021"/>
      <c r="M125" s="1022"/>
      <c r="N125" s="1023"/>
      <c r="O125" s="1024"/>
      <c r="P125" s="1024"/>
      <c r="Q125" s="1024"/>
      <c r="R125" s="1024"/>
      <c r="S125" s="1024"/>
      <c r="T125" s="1024"/>
      <c r="U125" s="1024"/>
      <c r="V125" s="1024"/>
      <c r="W125" s="1024"/>
      <c r="X125" s="1024"/>
      <c r="Y125" s="1024"/>
      <c r="Z125" s="1025">
        <f>SUM(N125:Y125)</f>
        <v>0</v>
      </c>
      <c r="AA125" s="1026"/>
      <c r="AB125" s="1027"/>
      <c r="AC125" s="1027"/>
      <c r="AD125" s="1027"/>
      <c r="AE125" s="1027"/>
      <c r="AF125" s="1027"/>
      <c r="AG125" s="1027"/>
      <c r="AH125" s="1028"/>
      <c r="AI125" s="1028"/>
      <c r="AJ125" s="1028"/>
      <c r="AK125" s="1028"/>
      <c r="AL125" s="1028"/>
      <c r="AM125" s="1025">
        <f>SUM(AA125:AL125)</f>
        <v>0</v>
      </c>
      <c r="AN125" s="1024"/>
      <c r="AO125" s="1024"/>
      <c r="AP125" s="1024"/>
      <c r="AQ125" s="1024"/>
      <c r="AR125" s="1024"/>
      <c r="AS125" s="1024"/>
      <c r="AT125" s="1024"/>
      <c r="AU125" s="1024"/>
      <c r="AV125" s="1024"/>
      <c r="AW125" s="1024"/>
      <c r="AX125" s="1024"/>
      <c r="AY125" s="1024"/>
      <c r="AZ125" s="1024">
        <f>SUM(AN125:AY125)</f>
        <v>0</v>
      </c>
      <c r="BA125" s="1024"/>
      <c r="BB125" s="1024"/>
      <c r="BC125" s="1024"/>
      <c r="BD125" s="1024"/>
      <c r="BE125" s="1024"/>
      <c r="BF125" s="1024"/>
      <c r="BG125" s="1024"/>
      <c r="BH125" s="1024"/>
      <c r="BI125" s="1024"/>
      <c r="BJ125" s="1024"/>
      <c r="BK125" s="1024"/>
      <c r="BL125" s="1024"/>
      <c r="BM125" s="1024">
        <f>SUM(BA125:BL125)</f>
        <v>0</v>
      </c>
      <c r="BN125" s="1024"/>
      <c r="BO125" s="1024"/>
      <c r="BP125" s="1024"/>
      <c r="BQ125" s="1024"/>
      <c r="BR125" s="1024"/>
      <c r="BS125" s="1024"/>
      <c r="BT125" s="1024"/>
      <c r="BU125" s="1024"/>
      <c r="BV125" s="1024"/>
      <c r="BW125" s="1024"/>
      <c r="BX125" s="1024"/>
      <c r="BY125" s="1024"/>
      <c r="BZ125" s="1029">
        <f>SUM(BN125:BY125)</f>
        <v>0</v>
      </c>
      <c r="CA125" s="1030">
        <f>+M125+Z125+SUM(AA125:AH125)</f>
        <v>0</v>
      </c>
      <c r="CB125" s="1031">
        <f>+CC125-CA125</f>
        <v>0</v>
      </c>
      <c r="CC125" s="1023">
        <f>+M125+Z125+AM125+AZ125+BM125+BZ125</f>
        <v>0</v>
      </c>
      <c r="CD125" s="1023">
        <f>+CC125-I125</f>
        <v>0</v>
      </c>
      <c r="CE125" s="1023">
        <f>+O125+AB125+AO125+BB125+BO125+CB125</f>
        <v>0</v>
      </c>
      <c r="CF125" s="1023">
        <f>+P125+AC125+AP125+BC125+BP125+CC125</f>
        <v>0</v>
      </c>
      <c r="CG125" s="1029"/>
      <c r="CH125" s="972"/>
      <c r="CL125" s="976"/>
      <c r="CM125" s="976"/>
    </row>
    <row r="126" spans="1:91" s="1073" customFormat="1">
      <c r="A126" s="1455"/>
      <c r="B126" s="997" t="s">
        <v>450</v>
      </c>
      <c r="C126" s="1067"/>
      <c r="D126" s="1067"/>
      <c r="E126" s="1068"/>
      <c r="F126" s="1003"/>
      <c r="G126" s="1003"/>
      <c r="H126" s="1003"/>
      <c r="I126" s="1003"/>
      <c r="J126" s="1070"/>
      <c r="K126" s="1071"/>
      <c r="L126" s="1072"/>
      <c r="M126" s="1081"/>
      <c r="N126" s="1003"/>
      <c r="O126" s="1004"/>
      <c r="P126" s="1004"/>
      <c r="Q126" s="1004"/>
      <c r="R126" s="1004"/>
      <c r="S126" s="1004"/>
      <c r="T126" s="1004"/>
      <c r="U126" s="1004"/>
      <c r="V126" s="1004"/>
      <c r="W126" s="1004"/>
      <c r="X126" s="1004"/>
      <c r="Y126" s="1004"/>
      <c r="Z126" s="1005"/>
      <c r="AA126" s="1006"/>
      <c r="AB126" s="1007"/>
      <c r="AC126" s="1007"/>
      <c r="AD126" s="1007"/>
      <c r="AE126" s="1007"/>
      <c r="AF126" s="1007"/>
      <c r="AG126" s="1007"/>
      <c r="AH126" s="1008"/>
      <c r="AI126" s="1008"/>
      <c r="AJ126" s="1008"/>
      <c r="AK126" s="1008"/>
      <c r="AL126" s="1008"/>
      <c r="AM126" s="1005"/>
      <c r="AN126" s="1004"/>
      <c r="AO126" s="1004"/>
      <c r="AP126" s="1004"/>
      <c r="AQ126" s="1004"/>
      <c r="AR126" s="1004"/>
      <c r="AS126" s="1004"/>
      <c r="AT126" s="1004"/>
      <c r="AU126" s="1004"/>
      <c r="AV126" s="1004"/>
      <c r="AW126" s="1004"/>
      <c r="AX126" s="1004"/>
      <c r="AY126" s="1004"/>
      <c r="AZ126" s="1004"/>
      <c r="BA126" s="1004"/>
      <c r="BB126" s="1004"/>
      <c r="BC126" s="1004"/>
      <c r="BD126" s="1004"/>
      <c r="BE126" s="1004"/>
      <c r="BF126" s="1004"/>
      <c r="BG126" s="1004"/>
      <c r="BH126" s="1004"/>
      <c r="BI126" s="1004"/>
      <c r="BJ126" s="1004"/>
      <c r="BK126" s="1004"/>
      <c r="BL126" s="1004"/>
      <c r="BM126" s="1004"/>
      <c r="BN126" s="1004"/>
      <c r="BO126" s="1004"/>
      <c r="BP126" s="1004"/>
      <c r="BQ126" s="1004"/>
      <c r="BR126" s="1004"/>
      <c r="BS126" s="1004"/>
      <c r="BT126" s="1004"/>
      <c r="BU126" s="1004"/>
      <c r="BV126" s="1004"/>
      <c r="BW126" s="1004"/>
      <c r="BX126" s="1004"/>
      <c r="BY126" s="1004"/>
      <c r="BZ126" s="1009"/>
      <c r="CA126" s="1010"/>
      <c r="CB126" s="1011"/>
      <c r="CC126" s="1003"/>
      <c r="CD126" s="1003"/>
      <c r="CE126" s="1003"/>
      <c r="CF126" s="1003"/>
      <c r="CG126" s="1009"/>
      <c r="CH126" s="1012"/>
      <c r="CJ126" s="1074"/>
      <c r="CL126" s="1082"/>
      <c r="CM126" s="976"/>
    </row>
    <row r="127" spans="1:91" s="1032" customFormat="1" ht="9" customHeight="1">
      <c r="A127" s="1455"/>
      <c r="B127" s="1015"/>
      <c r="C127" s="1016"/>
      <c r="D127" s="1016"/>
      <c r="E127" s="1017"/>
      <c r="F127" s="1023"/>
      <c r="G127" s="1023"/>
      <c r="H127" s="1023"/>
      <c r="I127" s="1023"/>
      <c r="J127" s="1019"/>
      <c r="K127" s="1020"/>
      <c r="L127" s="1021"/>
      <c r="M127" s="1022"/>
      <c r="N127" s="1023"/>
      <c r="O127" s="1024"/>
      <c r="P127" s="1024"/>
      <c r="Q127" s="1024"/>
      <c r="R127" s="1024"/>
      <c r="S127" s="1024"/>
      <c r="T127" s="1024"/>
      <c r="U127" s="1024"/>
      <c r="V127" s="1024"/>
      <c r="W127" s="1024"/>
      <c r="X127" s="1024"/>
      <c r="Y127" s="1024"/>
      <c r="Z127" s="1025">
        <f>SUM(N127:Y127)</f>
        <v>0</v>
      </c>
      <c r="AA127" s="1026"/>
      <c r="AB127" s="1027"/>
      <c r="AC127" s="1027"/>
      <c r="AD127" s="1027"/>
      <c r="AE127" s="1027"/>
      <c r="AF127" s="1027"/>
      <c r="AG127" s="1027"/>
      <c r="AH127" s="1028"/>
      <c r="AI127" s="1028"/>
      <c r="AJ127" s="1028"/>
      <c r="AK127" s="1028"/>
      <c r="AL127" s="1028"/>
      <c r="AM127" s="1025">
        <f>SUM(AA127:AL127)</f>
        <v>0</v>
      </c>
      <c r="AN127" s="1024"/>
      <c r="AO127" s="1024"/>
      <c r="AP127" s="1024"/>
      <c r="AQ127" s="1024"/>
      <c r="AR127" s="1024"/>
      <c r="AS127" s="1024"/>
      <c r="AT127" s="1024"/>
      <c r="AU127" s="1024"/>
      <c r="AV127" s="1024"/>
      <c r="AW127" s="1024"/>
      <c r="AX127" s="1024"/>
      <c r="AY127" s="1024"/>
      <c r="AZ127" s="1024">
        <f>SUM(AN127:AY127)</f>
        <v>0</v>
      </c>
      <c r="BA127" s="1024"/>
      <c r="BB127" s="1024"/>
      <c r="BC127" s="1024"/>
      <c r="BD127" s="1024"/>
      <c r="BE127" s="1024"/>
      <c r="BF127" s="1024"/>
      <c r="BG127" s="1024"/>
      <c r="BH127" s="1024"/>
      <c r="BI127" s="1024"/>
      <c r="BJ127" s="1024"/>
      <c r="BK127" s="1024"/>
      <c r="BL127" s="1024"/>
      <c r="BM127" s="1024">
        <f>SUM(BA127:BL127)</f>
        <v>0</v>
      </c>
      <c r="BN127" s="1024"/>
      <c r="BO127" s="1024"/>
      <c r="BP127" s="1024"/>
      <c r="BQ127" s="1024"/>
      <c r="BR127" s="1024"/>
      <c r="BS127" s="1024"/>
      <c r="BT127" s="1024"/>
      <c r="BU127" s="1024"/>
      <c r="BV127" s="1024"/>
      <c r="BW127" s="1024"/>
      <c r="BX127" s="1024"/>
      <c r="BY127" s="1024"/>
      <c r="BZ127" s="1029">
        <f>SUM(BN127:BY127)</f>
        <v>0</v>
      </c>
      <c r="CA127" s="1030">
        <f>+M127+Z127+SUM(AA127:AH127)</f>
        <v>0</v>
      </c>
      <c r="CB127" s="1031">
        <f>+CC127-CA127</f>
        <v>0</v>
      </c>
      <c r="CC127" s="1023">
        <f>+M127+Z127+AM127+AZ127+BM127+BZ127</f>
        <v>0</v>
      </c>
      <c r="CD127" s="1023">
        <f>+CC127-I127</f>
        <v>0</v>
      </c>
      <c r="CE127" s="1023">
        <f>+O127+AB127+AO127+BB127+BO127+CB127</f>
        <v>0</v>
      </c>
      <c r="CF127" s="1023">
        <f>+P127+AC127+AP127+BC127+BP127+CC127</f>
        <v>0</v>
      </c>
      <c r="CG127" s="1029"/>
      <c r="CH127" s="972"/>
      <c r="CL127" s="976"/>
      <c r="CM127" s="976"/>
    </row>
    <row r="128" spans="1:91" s="1032" customFormat="1">
      <c r="A128" s="1455"/>
      <c r="B128" s="1015"/>
      <c r="C128" s="1016" t="s">
        <v>671</v>
      </c>
      <c r="D128" s="1016"/>
      <c r="E128" s="1017"/>
      <c r="F128" s="1023">
        <f>SUBTOTAL(9,F129:F157)</f>
        <v>47788377</v>
      </c>
      <c r="G128" s="1023">
        <f>SUBTOTAL(9,G129:G157)</f>
        <v>47989494.493021704</v>
      </c>
      <c r="H128" s="1023">
        <f>SUBTOTAL(9,H129:H157)</f>
        <v>2000000</v>
      </c>
      <c r="I128" s="1023">
        <f>SUBTOTAL(9,I129:I157)</f>
        <v>49989494.493021727</v>
      </c>
      <c r="J128" s="1019"/>
      <c r="K128" s="1020"/>
      <c r="L128" s="1021"/>
      <c r="M128" s="1022">
        <f t="shared" ref="M128:AR128" si="84">SUBTOTAL(9,M129:M157)</f>
        <v>0</v>
      </c>
      <c r="N128" s="1023">
        <f t="shared" si="84"/>
        <v>0</v>
      </c>
      <c r="O128" s="1024">
        <f t="shared" si="84"/>
        <v>0</v>
      </c>
      <c r="P128" s="1024">
        <f t="shared" si="84"/>
        <v>0</v>
      </c>
      <c r="Q128" s="1024">
        <f t="shared" si="84"/>
        <v>0</v>
      </c>
      <c r="R128" s="1024">
        <f t="shared" si="84"/>
        <v>0</v>
      </c>
      <c r="S128" s="1024">
        <f t="shared" si="84"/>
        <v>0</v>
      </c>
      <c r="T128" s="1024">
        <f t="shared" si="84"/>
        <v>0</v>
      </c>
      <c r="U128" s="1024">
        <f t="shared" si="84"/>
        <v>0</v>
      </c>
      <c r="V128" s="1024">
        <f t="shared" si="84"/>
        <v>0</v>
      </c>
      <c r="W128" s="1024">
        <f t="shared" si="84"/>
        <v>0</v>
      </c>
      <c r="X128" s="1024">
        <f t="shared" si="84"/>
        <v>0</v>
      </c>
      <c r="Y128" s="1024">
        <f t="shared" si="84"/>
        <v>0</v>
      </c>
      <c r="Z128" s="1025">
        <f t="shared" si="84"/>
        <v>0</v>
      </c>
      <c r="AA128" s="1026">
        <f t="shared" si="84"/>
        <v>0</v>
      </c>
      <c r="AB128" s="1027">
        <f t="shared" si="84"/>
        <v>0</v>
      </c>
      <c r="AC128" s="1027">
        <f t="shared" si="84"/>
        <v>0</v>
      </c>
      <c r="AD128" s="1027">
        <f t="shared" si="84"/>
        <v>0</v>
      </c>
      <c r="AE128" s="1027">
        <f t="shared" si="84"/>
        <v>0</v>
      </c>
      <c r="AF128" s="1027">
        <f t="shared" si="84"/>
        <v>0</v>
      </c>
      <c r="AG128" s="1027">
        <f t="shared" si="84"/>
        <v>0</v>
      </c>
      <c r="AH128" s="1028">
        <f t="shared" si="84"/>
        <v>0</v>
      </c>
      <c r="AI128" s="1028">
        <f t="shared" si="84"/>
        <v>0</v>
      </c>
      <c r="AJ128" s="1028">
        <f t="shared" si="84"/>
        <v>0</v>
      </c>
      <c r="AK128" s="1028">
        <f t="shared" si="84"/>
        <v>0</v>
      </c>
      <c r="AL128" s="1028">
        <f t="shared" si="84"/>
        <v>1637174.4100000001</v>
      </c>
      <c r="AM128" s="1025">
        <f t="shared" si="84"/>
        <v>1637174.4100000001</v>
      </c>
      <c r="AN128" s="1024">
        <f t="shared" si="84"/>
        <v>4302.1899999999996</v>
      </c>
      <c r="AO128" s="1024">
        <f t="shared" si="84"/>
        <v>4878171.4800000004</v>
      </c>
      <c r="AP128" s="1024">
        <f t="shared" si="84"/>
        <v>3657073.2</v>
      </c>
      <c r="AQ128" s="1024">
        <f t="shared" si="84"/>
        <v>2811108.57</v>
      </c>
      <c r="AR128" s="1024">
        <f t="shared" si="84"/>
        <v>1789404.35</v>
      </c>
      <c r="AS128" s="1024">
        <f t="shared" ref="AS128:BX128" si="85">SUBTOTAL(9,AS129:AS157)</f>
        <v>1000000.31</v>
      </c>
      <c r="AT128" s="1024">
        <f t="shared" si="85"/>
        <v>1400000</v>
      </c>
      <c r="AU128" s="1024">
        <f t="shared" si="85"/>
        <v>41401.584000000119</v>
      </c>
      <c r="AV128" s="1024">
        <f t="shared" si="85"/>
        <v>545611.39000000013</v>
      </c>
      <c r="AW128" s="1024">
        <f t="shared" si="85"/>
        <v>810495.21400000004</v>
      </c>
      <c r="AX128" s="1024">
        <f t="shared" si="85"/>
        <v>743459.03</v>
      </c>
      <c r="AY128" s="1024">
        <f t="shared" si="85"/>
        <v>4098197.1799999997</v>
      </c>
      <c r="AZ128" s="1024">
        <f t="shared" si="85"/>
        <v>21779224.498</v>
      </c>
      <c r="BA128" s="1024">
        <f t="shared" si="85"/>
        <v>1997445.1226000001</v>
      </c>
      <c r="BB128" s="1024">
        <f t="shared" si="85"/>
        <v>2214217.8618000001</v>
      </c>
      <c r="BC128" s="1024">
        <f t="shared" si="85"/>
        <v>2077474.6574400002</v>
      </c>
      <c r="BD128" s="1024">
        <f t="shared" si="85"/>
        <v>3729792.3952600001</v>
      </c>
      <c r="BE128" s="1024">
        <f t="shared" si="85"/>
        <v>887862.6952600003</v>
      </c>
      <c r="BF128" s="1024">
        <f t="shared" si="85"/>
        <v>1277344.0957599999</v>
      </c>
      <c r="BG128" s="1024">
        <f t="shared" si="85"/>
        <v>1105372.2897000001</v>
      </c>
      <c r="BH128" s="1024">
        <f t="shared" si="85"/>
        <v>457849.11819999997</v>
      </c>
      <c r="BI128" s="1024">
        <f t="shared" si="85"/>
        <v>1338989.9733800001</v>
      </c>
      <c r="BJ128" s="1024">
        <f t="shared" si="85"/>
        <v>322941.84288000036</v>
      </c>
      <c r="BK128" s="1024">
        <f t="shared" si="85"/>
        <v>1155454.4409999999</v>
      </c>
      <c r="BL128" s="1024">
        <f t="shared" si="85"/>
        <v>334084.90676000022</v>
      </c>
      <c r="BM128" s="1024">
        <f t="shared" si="85"/>
        <v>16898829.400039997</v>
      </c>
      <c r="BN128" s="1024">
        <f t="shared" si="85"/>
        <v>4021944.1698599998</v>
      </c>
      <c r="BO128" s="1024">
        <f t="shared" si="85"/>
        <v>434960.81684000045</v>
      </c>
      <c r="BP128" s="1024">
        <f t="shared" si="85"/>
        <v>1235966.9954599999</v>
      </c>
      <c r="BQ128" s="1024">
        <f t="shared" si="85"/>
        <v>1193263.4445999998</v>
      </c>
      <c r="BR128" s="1024">
        <f t="shared" si="85"/>
        <v>0</v>
      </c>
      <c r="BS128" s="1024">
        <f t="shared" si="85"/>
        <v>0</v>
      </c>
      <c r="BT128" s="1024">
        <f t="shared" si="85"/>
        <v>0</v>
      </c>
      <c r="BU128" s="1024">
        <f t="shared" si="85"/>
        <v>0</v>
      </c>
      <c r="BV128" s="1024">
        <f t="shared" si="85"/>
        <v>0</v>
      </c>
      <c r="BW128" s="1024">
        <f t="shared" si="85"/>
        <v>0</v>
      </c>
      <c r="BX128" s="1024">
        <f t="shared" si="85"/>
        <v>0</v>
      </c>
      <c r="BY128" s="1024">
        <f t="shared" ref="BY128:CF128" si="86">SUBTOTAL(9,BY129:BY157)</f>
        <v>0</v>
      </c>
      <c r="BZ128" s="1029">
        <f t="shared" si="86"/>
        <v>6886135.4267600002</v>
      </c>
      <c r="CA128" s="1030">
        <f t="shared" si="86"/>
        <v>47201363.734800003</v>
      </c>
      <c r="CB128" s="1031">
        <f t="shared" si="86"/>
        <v>0</v>
      </c>
      <c r="CC128" s="1023">
        <f t="shared" si="86"/>
        <v>47201363.734800003</v>
      </c>
      <c r="CD128" s="1023">
        <f t="shared" si="86"/>
        <v>-2788130.7582217269</v>
      </c>
      <c r="CE128" s="1023">
        <f t="shared" si="86"/>
        <v>50622886.652482741</v>
      </c>
      <c r="CF128" s="1023">
        <f t="shared" si="86"/>
        <v>-3421522.9176827427</v>
      </c>
      <c r="CG128" s="1029"/>
      <c r="CH128" s="972"/>
      <c r="CI128" s="1083">
        <f>SUBTOTAL(9,CI129:CI157)</f>
        <v>48762605.927999988</v>
      </c>
      <c r="CJ128" s="1083">
        <f>SUBTOTAL(9,CJ129:CJ157)</f>
        <v>1561242.1931999982</v>
      </c>
      <c r="CL128" s="1037">
        <f>SUBTOTAL(9,CL129:CL157)</f>
        <v>48235000.060703993</v>
      </c>
      <c r="CM128" s="976">
        <f>SUBTOTAL(9,CM129:CM157)</f>
        <v>1033636.3259039909</v>
      </c>
    </row>
    <row r="129" spans="1:91" s="1032" customFormat="1" ht="12.75" customHeight="1" outlineLevel="1">
      <c r="A129" s="1455"/>
      <c r="B129" s="1015"/>
      <c r="C129" s="1016"/>
      <c r="D129" s="1084" t="s">
        <v>672</v>
      </c>
      <c r="E129" s="1085"/>
      <c r="F129" s="1023">
        <f>3349000+14295500+11649500+19500+4690000+3785625+5150000+3349252</f>
        <v>46288377</v>
      </c>
      <c r="G129" s="1023">
        <v>46459997.306450278</v>
      </c>
      <c r="H129" s="1023">
        <v>2000000</v>
      </c>
      <c r="I129" s="1023">
        <f>46459997.3064503+H129</f>
        <v>48459997.3064503</v>
      </c>
      <c r="J129" s="1019">
        <v>6400003681</v>
      </c>
      <c r="K129" s="1020">
        <f>46454675*1.082</f>
        <v>50263958.350000001</v>
      </c>
      <c r="L129" s="1021" t="s">
        <v>310</v>
      </c>
      <c r="M129" s="1022"/>
      <c r="N129" s="1023"/>
      <c r="O129" s="1024"/>
      <c r="P129" s="1024"/>
      <c r="Q129" s="1024"/>
      <c r="R129" s="1024"/>
      <c r="S129" s="1024"/>
      <c r="T129" s="1024"/>
      <c r="U129" s="1024"/>
      <c r="V129" s="1024"/>
      <c r="W129" s="1024"/>
      <c r="X129" s="1024"/>
      <c r="Y129" s="1024"/>
      <c r="Z129" s="1025">
        <f t="shared" ref="Z129:Z157" si="87">SUM(N129:Y129)</f>
        <v>0</v>
      </c>
      <c r="AA129" s="1026"/>
      <c r="AB129" s="1027"/>
      <c r="AC129" s="1027"/>
      <c r="AD129" s="1027"/>
      <c r="AE129" s="1027"/>
      <c r="AF129" s="1027"/>
      <c r="AG129" s="1027"/>
      <c r="AH129" s="1028"/>
      <c r="AI129" s="1028"/>
      <c r="AJ129" s="1028"/>
      <c r="AK129" s="1028"/>
      <c r="AL129" s="1028">
        <f>679172.41</f>
        <v>679172.41</v>
      </c>
      <c r="AM129" s="1025">
        <f t="shared" ref="AM129:AM157" si="88">SUM(AA129:AL129)</f>
        <v>679172.41</v>
      </c>
      <c r="AN129" s="1024">
        <f>4302.19</f>
        <v>4302.1899999999996</v>
      </c>
      <c r="AO129" s="1024">
        <f>1527908.48</f>
        <v>1527908.48</v>
      </c>
      <c r="AP129" s="1024">
        <f>3002203.79+1306037.41</f>
        <v>4308241.2</v>
      </c>
      <c r="AQ129" s="1024">
        <f>3370591.57</f>
        <v>3370591.57</v>
      </c>
      <c r="AR129" s="1024">
        <f>307098.35</f>
        <v>307098.34999999998</v>
      </c>
      <c r="AS129" s="1024">
        <f>3379841.31</f>
        <v>3379841.31</v>
      </c>
      <c r="AT129" s="1024"/>
      <c r="AU129" s="1024">
        <f>3017831.46-AU132-AU133-AU276-AU277-AU278-AU266-AU267-AU268-AU279</f>
        <v>1828078.3260000001</v>
      </c>
      <c r="AV129" s="1024">
        <f>815351.57+920907.22-AV132-AV133-AV276-AV277-AV278-AV266-AV267-AV268-AV279-AV222</f>
        <v>1195042.3900000001</v>
      </c>
      <c r="AW129" s="1024">
        <f>1057729-AW132-AW133-AW276-AW277-AW278-AW266-AW267-AW268-AW279-AW222</f>
        <v>949558.21400000004</v>
      </c>
      <c r="AX129" s="1024">
        <f>661882.03-AX136-AX137</f>
        <v>646342.34600000002</v>
      </c>
      <c r="AY129" s="1076">
        <f>1169458.34-2350.66-AY222-AY277-AY136-AY137-AY138-AY139-AY140</f>
        <v>1052579.0620000002</v>
      </c>
      <c r="AZ129" s="1024">
        <f t="shared" ref="AZ129:AZ157" si="89">SUM(AN129:AY129)</f>
        <v>18569583.438000001</v>
      </c>
      <c r="BA129" s="1024">
        <f>1539802.3-BA141-BA222-BA142-BA278</f>
        <v>1315201.0646000002</v>
      </c>
      <c r="BB129" s="1024">
        <f>2015345.54-BB132-BB222-BB223</f>
        <v>1804194.2137999998</v>
      </c>
      <c r="BC129" s="1024">
        <f>2537720.12-BC222-BC276</f>
        <v>2372489.97744</v>
      </c>
      <c r="BD129" s="1024">
        <f>2242712.45-BD222</f>
        <v>2098136.0752600003</v>
      </c>
      <c r="BE129" s="1024">
        <f>3801429.2-BE145-BE222-BE226-BE144-BE227-BE228-BE269</f>
        <v>3560876.7202600003</v>
      </c>
      <c r="BF129" s="1024">
        <f>1040832.45-BF145-BF222-BF225-BF226-BF227-BF228-BF229-BF231</f>
        <v>734184.10675999988</v>
      </c>
      <c r="BG129" s="1024">
        <f>1545608.36-BG222-BG225-BG229-BG230-BG231-BG232-BG270</f>
        <v>1134059.7597000001</v>
      </c>
      <c r="BH129" s="1024">
        <f>1102722.28-BH147-BH148-BH222-BH229-BH231-BH230-BH235-BH237-BH238-BH239-BH279</f>
        <v>553949.30019999994</v>
      </c>
      <c r="BI129" s="1024">
        <f>1078565.82-BI152-BI221</f>
        <v>758033.80458</v>
      </c>
      <c r="BJ129" s="1086">
        <f>1750203.56-BJ152-BJ225-BJ230-BJ231-BJ232-BJ222</f>
        <v>1166685.7640800003</v>
      </c>
      <c r="BK129" s="1024">
        <f>1073250.21-BK152-BK222-BK229-BK230-BK231-BK232-BK235</f>
        <v>566255.36219999974</v>
      </c>
      <c r="BL129" s="1076">
        <f>1654702.85-BL222-BL225-BL230-BL231-BL232-BL235-BL241-BL242-BL243-BL244-BL245-BL246-BL247-BL248-BL250-BL252-BL253-BL254-BL255</f>
        <v>1001335.9667600002</v>
      </c>
      <c r="BM129" s="1024">
        <f t="shared" ref="BM129:BM157" si="90">SUM(BA129:BL129)</f>
        <v>17065402.11564</v>
      </c>
      <c r="BN129" s="1024">
        <f>1193662.7-BN222-BN247-BN250-BN252-BN253-BN254-BN255</f>
        <v>853634.16985999991</v>
      </c>
      <c r="BO129" s="1024">
        <f>2885375.17-BO153-BO230-BO232-BO248-BO250-BO251-BO253-BO254-BO222-BO255-47493.39</f>
        <v>2297058.8168400005</v>
      </c>
      <c r="BP129" s="1024">
        <f>1560667.04-BP153-BP222-BP232-BP236-BP245-BP248-BP250-BP251-BP254-BP255</f>
        <v>913468.27003999986</v>
      </c>
      <c r="BQ129" s="1313">
        <f>1825256.36*(25/30)-BQ153-BQ222-BQ225-BQ232-BQ235-BQ236-BQ248-BQ251-BQ254-BQ255</f>
        <v>1119985.8046499998</v>
      </c>
      <c r="BR129" s="1093">
        <v>0</v>
      </c>
      <c r="BS129" s="1093">
        <v>0</v>
      </c>
      <c r="BT129" s="1093">
        <v>0</v>
      </c>
      <c r="BU129" s="1093"/>
      <c r="BV129" s="1024"/>
      <c r="BW129" s="1024"/>
      <c r="BX129" s="1024"/>
      <c r="BY129" s="1024"/>
      <c r="BZ129" s="1029">
        <f t="shared" ref="BZ129:BZ157" si="91">SUM(BN129:BY129)</f>
        <v>5184147.0613899995</v>
      </c>
      <c r="CA129" s="1030">
        <f t="shared" ref="CA129:CA157" si="92">SUMIF(($M$1:$BZ$1),"Actual",(M129:BZ129))</f>
        <v>41498305.025030002</v>
      </c>
      <c r="CB129" s="1031">
        <f t="shared" ref="CB129:CB150" si="93">SUMIF(($M$1:$BZ$1),"Forecast",(M129:BZ129))</f>
        <v>0</v>
      </c>
      <c r="CC129" s="1036">
        <f t="shared" ref="CC129:CC157" si="94">+CA129+CB129</f>
        <v>41498305.025030002</v>
      </c>
      <c r="CD129" s="1023">
        <f t="shared" ref="CD129:CD157" si="95">+CC129-I129</f>
        <v>-6961692.2814202979</v>
      </c>
      <c r="CE129" s="1023">
        <v>47963427.070662744</v>
      </c>
      <c r="CF129" s="1023">
        <f t="shared" ref="CF129:CF157" si="96">+CC129-CE129</f>
        <v>-6465122.0456327423</v>
      </c>
      <c r="CG129" s="1029"/>
      <c r="CH129" s="972"/>
      <c r="CI129" s="1083">
        <f>+(42939000)*1.082</f>
        <v>46459998</v>
      </c>
      <c r="CJ129" s="1083">
        <f t="shared" ref="CJ129:CJ154" si="97">+CI129-CC129</f>
        <v>4961692.974969998</v>
      </c>
      <c r="CL129" s="976">
        <v>47235000.060703993</v>
      </c>
      <c r="CM129" s="976">
        <f t="shared" ref="CM129:CM160" si="98">+CL129-CC129</f>
        <v>5736695.0356739908</v>
      </c>
    </row>
    <row r="130" spans="1:91" s="1064" customFormat="1" outlineLevel="1">
      <c r="A130" s="1087"/>
      <c r="B130" s="1046"/>
      <c r="C130" s="1088"/>
      <c r="D130" s="1088" t="s">
        <v>673</v>
      </c>
      <c r="E130" s="1048"/>
      <c r="F130" s="1054"/>
      <c r="G130" s="1054">
        <v>0</v>
      </c>
      <c r="H130" s="1054"/>
      <c r="I130" s="1054">
        <v>0</v>
      </c>
      <c r="J130" s="1050"/>
      <c r="K130" s="1051"/>
      <c r="L130" s="1052"/>
      <c r="M130" s="1053"/>
      <c r="N130" s="1054"/>
      <c r="O130" s="1055"/>
      <c r="P130" s="1055"/>
      <c r="Q130" s="1055"/>
      <c r="R130" s="1055"/>
      <c r="S130" s="1055"/>
      <c r="T130" s="1055"/>
      <c r="U130" s="1055"/>
      <c r="V130" s="1055"/>
      <c r="W130" s="1055"/>
      <c r="X130" s="1055"/>
      <c r="Y130" s="1055"/>
      <c r="Z130" s="1056">
        <f t="shared" si="87"/>
        <v>0</v>
      </c>
      <c r="AA130" s="1057"/>
      <c r="AB130" s="1058"/>
      <c r="AC130" s="1058"/>
      <c r="AD130" s="1058"/>
      <c r="AE130" s="1058"/>
      <c r="AF130" s="1058"/>
      <c r="AG130" s="1058"/>
      <c r="AH130" s="1059"/>
      <c r="AI130" s="1059"/>
      <c r="AJ130" s="1059"/>
      <c r="AK130" s="1059"/>
      <c r="AL130" s="1059">
        <f>958002</f>
        <v>958002</v>
      </c>
      <c r="AM130" s="1056">
        <f t="shared" si="88"/>
        <v>958002</v>
      </c>
      <c r="AN130" s="1024">
        <f>-958002+958002</f>
        <v>0</v>
      </c>
      <c r="AO130" s="1024">
        <f>-958002+1306032+3002233</f>
        <v>3350263</v>
      </c>
      <c r="AP130" s="1024">
        <f>-1306032-3002233+3657097</f>
        <v>-651168</v>
      </c>
      <c r="AQ130" s="1024">
        <f>-3657097+3097614</f>
        <v>-559483</v>
      </c>
      <c r="AR130" s="1024">
        <f>-3097614+3379841+1200079</f>
        <v>1482306</v>
      </c>
      <c r="AS130" s="1024">
        <f>-3379841-1200079+1200079+1000000</f>
        <v>-2379841</v>
      </c>
      <c r="AT130" s="1024">
        <f>-1200079-1000000+1200079+1000000+1400000</f>
        <v>1400000</v>
      </c>
      <c r="AU130" s="1024">
        <f>-1200079-1000000-1400000+815351+844008</f>
        <v>-1940720</v>
      </c>
      <c r="AV130" s="1024">
        <f>-815351-844008+1009928</f>
        <v>-649431</v>
      </c>
      <c r="AW130" s="1055">
        <f>-1009928+870865</f>
        <v>-139063</v>
      </c>
      <c r="AX130" s="1055">
        <f>-870865+952442</f>
        <v>81577</v>
      </c>
      <c r="AY130" s="1089">
        <f>-952442+1539802</f>
        <v>587360</v>
      </c>
      <c r="AZ130" s="1055">
        <f t="shared" si="89"/>
        <v>581800</v>
      </c>
      <c r="BA130" s="1055">
        <f>-1539802+2123450</f>
        <v>583648</v>
      </c>
      <c r="BB130" s="1055">
        <f>-2123450+2537720</f>
        <v>414270</v>
      </c>
      <c r="BC130" s="1055">
        <f>-2537720+2242704.68</f>
        <v>-295015.31999999983</v>
      </c>
      <c r="BD130" s="1055">
        <f>-2242704.68+3874361</f>
        <v>1631656.3199999998</v>
      </c>
      <c r="BE130" s="1055">
        <f>-3874361+1042689</f>
        <v>-2831672</v>
      </c>
      <c r="BF130" s="1055">
        <f>-1042689+1528687.47</f>
        <v>485998.47</v>
      </c>
      <c r="BG130" s="1055">
        <f>-1528687.47+1500000</f>
        <v>-28687.469999999972</v>
      </c>
      <c r="BH130" s="1055">
        <f>-1500000+1346218</f>
        <v>-153782</v>
      </c>
      <c r="BI130" s="1055">
        <f>-1346217.91+1922085</f>
        <v>575867.09000000008</v>
      </c>
      <c r="BJ130" s="1055">
        <f>-1922085+1073252</f>
        <v>-848833</v>
      </c>
      <c r="BK130" s="1055">
        <f>-1073252+1657362</f>
        <v>584110</v>
      </c>
      <c r="BL130" s="1055">
        <f>-1657362+1000000</f>
        <v>-657362</v>
      </c>
      <c r="BM130" s="1055">
        <f t="shared" si="90"/>
        <v>-539801.90999999992</v>
      </c>
      <c r="BN130" s="1055">
        <f>-1000000+4168310</f>
        <v>3168310</v>
      </c>
      <c r="BO130" s="1055">
        <f>-4168310+2265637</f>
        <v>-1902673</v>
      </c>
      <c r="BP130" s="1055">
        <f>-2265637+2193860</f>
        <v>-71777</v>
      </c>
      <c r="BQ130" s="1312">
        <f>(-2193860+1994594)*(25/30)</f>
        <v>-166055</v>
      </c>
      <c r="BR130" s="1093">
        <v>0</v>
      </c>
      <c r="BS130" s="1093">
        <v>0</v>
      </c>
      <c r="BT130" s="1055"/>
      <c r="BU130" s="1055"/>
      <c r="BV130" s="1055"/>
      <c r="BW130" s="1055"/>
      <c r="BX130" s="1055"/>
      <c r="BY130" s="1055"/>
      <c r="BZ130" s="1060">
        <f t="shared" si="91"/>
        <v>1027805</v>
      </c>
      <c r="CA130" s="1030">
        <f t="shared" si="92"/>
        <v>2027805.0899999999</v>
      </c>
      <c r="CB130" s="1062">
        <f t="shared" si="93"/>
        <v>0</v>
      </c>
      <c r="CC130" s="1054">
        <f t="shared" si="94"/>
        <v>2027805.0899999999</v>
      </c>
      <c r="CD130" s="1054">
        <f t="shared" si="95"/>
        <v>2027805.0899999999</v>
      </c>
      <c r="CE130" s="1054">
        <v>8.9999999850988388E-2</v>
      </c>
      <c r="CF130" s="1054">
        <f t="shared" si="96"/>
        <v>2027805</v>
      </c>
      <c r="CG130" s="1060"/>
      <c r="CH130" s="1063"/>
      <c r="CI130" s="1090"/>
      <c r="CJ130" s="1090">
        <f t="shared" si="97"/>
        <v>-2027805.0899999999</v>
      </c>
      <c r="CL130" s="1082">
        <v>0</v>
      </c>
      <c r="CM130" s="1082">
        <f t="shared" si="98"/>
        <v>-2027805.0899999999</v>
      </c>
    </row>
    <row r="131" spans="1:91" s="1064" customFormat="1" outlineLevel="1">
      <c r="A131" s="1087"/>
      <c r="B131" s="1046"/>
      <c r="C131" s="1088"/>
      <c r="D131" s="1088" t="s">
        <v>674</v>
      </c>
      <c r="E131" s="1048"/>
      <c r="F131" s="1054"/>
      <c r="G131" s="1054">
        <v>0</v>
      </c>
      <c r="H131" s="1054"/>
      <c r="I131" s="1054">
        <v>0</v>
      </c>
      <c r="J131" s="1050"/>
      <c r="K131" s="1051"/>
      <c r="L131" s="1052"/>
      <c r="M131" s="1053"/>
      <c r="N131" s="1054"/>
      <c r="O131" s="1055"/>
      <c r="P131" s="1055"/>
      <c r="Q131" s="1055"/>
      <c r="R131" s="1055"/>
      <c r="S131" s="1055"/>
      <c r="T131" s="1055"/>
      <c r="U131" s="1055"/>
      <c r="V131" s="1055"/>
      <c r="W131" s="1055"/>
      <c r="X131" s="1055"/>
      <c r="Y131" s="1055"/>
      <c r="Z131" s="1056">
        <f t="shared" si="87"/>
        <v>0</v>
      </c>
      <c r="AA131" s="1057"/>
      <c r="AB131" s="1058"/>
      <c r="AC131" s="1058"/>
      <c r="AD131" s="1058"/>
      <c r="AE131" s="1058"/>
      <c r="AF131" s="1058"/>
      <c r="AG131" s="1058"/>
      <c r="AH131" s="1059"/>
      <c r="AI131" s="1059"/>
      <c r="AJ131" s="1059"/>
      <c r="AK131" s="1059"/>
      <c r="AL131" s="1059"/>
      <c r="AM131" s="1056">
        <f t="shared" si="88"/>
        <v>0</v>
      </c>
      <c r="AN131" s="1024">
        <f>-958002+958002</f>
        <v>0</v>
      </c>
      <c r="AO131" s="1024"/>
      <c r="AP131" s="1024"/>
      <c r="AQ131" s="1024"/>
      <c r="AR131" s="1024"/>
      <c r="AS131" s="1024"/>
      <c r="AT131" s="1024"/>
      <c r="AU131" s="1024"/>
      <c r="AV131" s="1024"/>
      <c r="AW131" s="1055"/>
      <c r="AX131" s="1055"/>
      <c r="AY131" s="1089">
        <f>2317491</f>
        <v>2317491</v>
      </c>
      <c r="AZ131" s="1055">
        <f t="shared" si="89"/>
        <v>2317491</v>
      </c>
      <c r="BA131" s="1055">
        <f>-2317491+2368729</f>
        <v>51238</v>
      </c>
      <c r="BB131" s="1055">
        <f>-2368729+2359869</f>
        <v>-8860</v>
      </c>
      <c r="BC131" s="1055">
        <f>-2359869+2359869</f>
        <v>0</v>
      </c>
      <c r="BD131" s="1055">
        <f>-2359869+2359869</f>
        <v>0</v>
      </c>
      <c r="BE131" s="1055">
        <f>-2359869+2442530</f>
        <v>82661</v>
      </c>
      <c r="BF131" s="1055">
        <f>-2442530+2442530</f>
        <v>0</v>
      </c>
      <c r="BG131" s="1055">
        <f>-2442530+2442530</f>
        <v>0</v>
      </c>
      <c r="BH131" s="1055">
        <f>-2442530+2491611</f>
        <v>49081</v>
      </c>
      <c r="BI131" s="1055">
        <f>-2491611+2491611</f>
        <v>0</v>
      </c>
      <c r="BJ131" s="1055">
        <f>-2491611+2491611</f>
        <v>0</v>
      </c>
      <c r="BK131" s="1055">
        <f>-2491611+2491611</f>
        <v>0</v>
      </c>
      <c r="BL131" s="1055">
        <f>-2491611+2491611</f>
        <v>0</v>
      </c>
      <c r="BM131" s="1055">
        <f t="shared" si="90"/>
        <v>174120</v>
      </c>
      <c r="BN131" s="1055">
        <f>-2491611+2491611</f>
        <v>0</v>
      </c>
      <c r="BO131" s="1055">
        <f>-2491611+2491611</f>
        <v>0</v>
      </c>
      <c r="BP131" s="1055">
        <f>-2491611+2491611</f>
        <v>0</v>
      </c>
      <c r="BQ131" s="1312">
        <f>(-2491611+2595398)*(25/30)</f>
        <v>86489.166666666672</v>
      </c>
      <c r="BR131" s="1055">
        <f>-2595398+2595398</f>
        <v>0</v>
      </c>
      <c r="BS131" s="1055">
        <f>-2595398+2595398</f>
        <v>0</v>
      </c>
      <c r="BT131" s="1093">
        <v>0</v>
      </c>
      <c r="BU131" s="1055"/>
      <c r="BV131" s="1055"/>
      <c r="BW131" s="1055"/>
      <c r="BX131" s="1055"/>
      <c r="BY131" s="1055"/>
      <c r="BZ131" s="1060">
        <f t="shared" si="91"/>
        <v>86489.166666666672</v>
      </c>
      <c r="CA131" s="1030">
        <f t="shared" si="92"/>
        <v>2578100.1666666665</v>
      </c>
      <c r="CB131" s="1062">
        <f t="shared" si="93"/>
        <v>0</v>
      </c>
      <c r="CC131" s="1054">
        <f t="shared" si="94"/>
        <v>2578100.1666666665</v>
      </c>
      <c r="CD131" s="1054">
        <f t="shared" si="95"/>
        <v>2578100.1666666665</v>
      </c>
      <c r="CE131" s="1054">
        <v>0</v>
      </c>
      <c r="CF131" s="1054">
        <f t="shared" si="96"/>
        <v>2578100.1666666665</v>
      </c>
      <c r="CG131" s="1060"/>
      <c r="CH131" s="1063"/>
      <c r="CI131" s="1090"/>
      <c r="CJ131" s="1090">
        <f t="shared" si="97"/>
        <v>-2578100.1666666665</v>
      </c>
      <c r="CL131" s="1082">
        <v>0</v>
      </c>
      <c r="CM131" s="1082">
        <f t="shared" si="98"/>
        <v>-2578100.1666666665</v>
      </c>
    </row>
    <row r="132" spans="1:91" s="1032" customFormat="1" outlineLevel="1">
      <c r="A132" s="1091"/>
      <c r="B132" s="1015"/>
      <c r="C132" s="1078"/>
      <c r="D132" s="1092" t="s">
        <v>675</v>
      </c>
      <c r="E132" s="1085"/>
      <c r="F132" s="1023"/>
      <c r="G132" s="1023">
        <v>432799.92857142864</v>
      </c>
      <c r="H132" s="1023"/>
      <c r="I132" s="1023">
        <v>432799.92857142864</v>
      </c>
      <c r="J132" s="1019"/>
      <c r="K132" s="1020"/>
      <c r="L132" s="1021"/>
      <c r="M132" s="1022"/>
      <c r="N132" s="1023"/>
      <c r="O132" s="1024"/>
      <c r="P132" s="1024"/>
      <c r="Q132" s="1024"/>
      <c r="R132" s="1024"/>
      <c r="S132" s="1024"/>
      <c r="T132" s="1024"/>
      <c r="U132" s="1024"/>
      <c r="V132" s="1024"/>
      <c r="W132" s="1024"/>
      <c r="X132" s="1024"/>
      <c r="Y132" s="1024"/>
      <c r="Z132" s="1025">
        <f t="shared" si="87"/>
        <v>0</v>
      </c>
      <c r="AA132" s="1026"/>
      <c r="AB132" s="1027"/>
      <c r="AC132" s="1027"/>
      <c r="AD132" s="1027"/>
      <c r="AE132" s="1027"/>
      <c r="AF132" s="1027"/>
      <c r="AG132" s="1027"/>
      <c r="AH132" s="1028"/>
      <c r="AI132" s="1028"/>
      <c r="AJ132" s="1028"/>
      <c r="AK132" s="1028"/>
      <c r="AL132" s="1028"/>
      <c r="AM132" s="1025">
        <f t="shared" si="88"/>
        <v>0</v>
      </c>
      <c r="AN132" s="1024"/>
      <c r="AO132" s="1024"/>
      <c r="AP132" s="1024"/>
      <c r="AQ132" s="1024"/>
      <c r="AR132" s="1024"/>
      <c r="AS132" s="1024"/>
      <c r="AT132" s="1024"/>
      <c r="AU132" s="1024">
        <f>23000*1.082</f>
        <v>24886</v>
      </c>
      <c r="AV132" s="1024"/>
      <c r="AW132" s="1024"/>
      <c r="AX132" s="1024"/>
      <c r="AY132" s="1076"/>
      <c r="AZ132" s="1024">
        <f t="shared" si="89"/>
        <v>24886</v>
      </c>
      <c r="BA132" s="1024"/>
      <c r="BB132" s="1024">
        <f>4264*1.082</f>
        <v>4613.6480000000001</v>
      </c>
      <c r="BC132" s="1024"/>
      <c r="BD132" s="1024"/>
      <c r="BE132" s="1024"/>
      <c r="BF132" s="1024"/>
      <c r="BG132" s="1024"/>
      <c r="BH132" s="1024"/>
      <c r="BI132" s="1024"/>
      <c r="BJ132" s="1024"/>
      <c r="BK132" s="1024"/>
      <c r="BL132" s="1024"/>
      <c r="BM132" s="1024">
        <f t="shared" si="90"/>
        <v>4613.6480000000001</v>
      </c>
      <c r="BN132" s="1024"/>
      <c r="BO132" s="1024"/>
      <c r="BP132" s="1024"/>
      <c r="BQ132" s="1024"/>
      <c r="BR132" s="1024"/>
      <c r="BS132" s="1024"/>
      <c r="BT132" s="1024"/>
      <c r="BU132" s="1024"/>
      <c r="BV132" s="1024"/>
      <c r="BW132" s="1024"/>
      <c r="BX132" s="1024"/>
      <c r="BY132" s="1024"/>
      <c r="BZ132" s="1029">
        <f t="shared" si="91"/>
        <v>0</v>
      </c>
      <c r="CA132" s="1018">
        <f t="shared" si="92"/>
        <v>29499.648000000001</v>
      </c>
      <c r="CB132" s="1024">
        <f t="shared" si="93"/>
        <v>0</v>
      </c>
      <c r="CC132" s="1023">
        <f t="shared" si="94"/>
        <v>29499.648000000001</v>
      </c>
      <c r="CD132" s="1023">
        <f t="shared" si="95"/>
        <v>-403300.28057142865</v>
      </c>
      <c r="CE132" s="1023">
        <v>29499.648000000001</v>
      </c>
      <c r="CF132" s="1023">
        <f t="shared" si="96"/>
        <v>0</v>
      </c>
      <c r="CG132" s="1029"/>
      <c r="CH132" s="972"/>
      <c r="CI132" s="1083">
        <f>400000*1.082</f>
        <v>432800.00000000006</v>
      </c>
      <c r="CJ132" s="1083">
        <f t="shared" si="97"/>
        <v>403300.35200000007</v>
      </c>
      <c r="CL132" s="976">
        <v>0</v>
      </c>
      <c r="CM132" s="976">
        <f t="shared" si="98"/>
        <v>-29499.648000000001</v>
      </c>
    </row>
    <row r="133" spans="1:91" s="1032" customFormat="1" outlineLevel="1">
      <c r="A133" s="1091"/>
      <c r="B133" s="1015"/>
      <c r="C133" s="1078"/>
      <c r="D133" s="1092" t="s">
        <v>676</v>
      </c>
      <c r="E133" s="1085"/>
      <c r="F133" s="1023"/>
      <c r="G133" s="1023">
        <v>129157.258</v>
      </c>
      <c r="H133" s="1023"/>
      <c r="I133" s="1023">
        <v>129157.258</v>
      </c>
      <c r="J133" s="1019"/>
      <c r="K133" s="1020"/>
      <c r="L133" s="1021"/>
      <c r="M133" s="1022"/>
      <c r="N133" s="1023"/>
      <c r="O133" s="1024"/>
      <c r="P133" s="1024"/>
      <c r="Q133" s="1024"/>
      <c r="R133" s="1024"/>
      <c r="S133" s="1024"/>
      <c r="T133" s="1024"/>
      <c r="U133" s="1024"/>
      <c r="V133" s="1024"/>
      <c r="W133" s="1024"/>
      <c r="X133" s="1024"/>
      <c r="Y133" s="1024"/>
      <c r="Z133" s="1025">
        <f t="shared" si="87"/>
        <v>0</v>
      </c>
      <c r="AA133" s="1026"/>
      <c r="AB133" s="1027"/>
      <c r="AC133" s="1027"/>
      <c r="AD133" s="1027"/>
      <c r="AE133" s="1027"/>
      <c r="AF133" s="1027"/>
      <c r="AG133" s="1027"/>
      <c r="AH133" s="1028"/>
      <c r="AI133" s="1028"/>
      <c r="AJ133" s="1028"/>
      <c r="AK133" s="1028"/>
      <c r="AL133" s="1028"/>
      <c r="AM133" s="1025">
        <f t="shared" si="88"/>
        <v>0</v>
      </c>
      <c r="AN133" s="1024"/>
      <c r="AO133" s="1024"/>
      <c r="AP133" s="1024"/>
      <c r="AQ133" s="1024"/>
      <c r="AR133" s="1024"/>
      <c r="AS133" s="1024"/>
      <c r="AT133" s="1024"/>
      <c r="AU133" s="1024">
        <f>119369*1.082</f>
        <v>129157.258</v>
      </c>
      <c r="AV133" s="1024"/>
      <c r="AW133" s="1024"/>
      <c r="AX133" s="1024"/>
      <c r="AY133" s="1024"/>
      <c r="AZ133" s="1024">
        <f t="shared" si="89"/>
        <v>129157.258</v>
      </c>
      <c r="BA133" s="1024"/>
      <c r="BB133" s="1024"/>
      <c r="BC133" s="1024"/>
      <c r="BD133" s="1024"/>
      <c r="BE133" s="1024"/>
      <c r="BF133" s="1024"/>
      <c r="BG133" s="1024"/>
      <c r="BH133" s="1024"/>
      <c r="BI133" s="1024"/>
      <c r="BJ133" s="1024"/>
      <c r="BK133" s="1024"/>
      <c r="BL133" s="1024"/>
      <c r="BM133" s="1024">
        <f t="shared" si="90"/>
        <v>0</v>
      </c>
      <c r="BN133" s="1024"/>
      <c r="BO133" s="1024"/>
      <c r="BP133" s="1024"/>
      <c r="BQ133" s="1024"/>
      <c r="BR133" s="1024"/>
      <c r="BS133" s="1024"/>
      <c r="BT133" s="1024"/>
      <c r="BU133" s="1024"/>
      <c r="BV133" s="1024"/>
      <c r="BW133" s="1024"/>
      <c r="BX133" s="1024"/>
      <c r="BY133" s="1024"/>
      <c r="BZ133" s="1029">
        <f t="shared" si="91"/>
        <v>0</v>
      </c>
      <c r="CA133" s="1018">
        <f t="shared" si="92"/>
        <v>129157.258</v>
      </c>
      <c r="CB133" s="1031">
        <f t="shared" si="93"/>
        <v>0</v>
      </c>
      <c r="CC133" s="1023">
        <f t="shared" si="94"/>
        <v>129157.258</v>
      </c>
      <c r="CD133" s="1023">
        <f t="shared" si="95"/>
        <v>0</v>
      </c>
      <c r="CE133" s="1023">
        <v>129157.258</v>
      </c>
      <c r="CF133" s="1023">
        <f t="shared" si="96"/>
        <v>0</v>
      </c>
      <c r="CG133" s="1029"/>
      <c r="CH133" s="972"/>
      <c r="CI133" s="1083">
        <f>119369*1.082</f>
        <v>129157.258</v>
      </c>
      <c r="CJ133" s="1083">
        <f t="shared" si="97"/>
        <v>0</v>
      </c>
      <c r="CL133" s="976">
        <v>0</v>
      </c>
      <c r="CM133" s="976">
        <f t="shared" si="98"/>
        <v>-129157.258</v>
      </c>
    </row>
    <row r="134" spans="1:91" s="1032" customFormat="1" outlineLevel="1">
      <c r="A134" s="1091"/>
      <c r="B134" s="1015"/>
      <c r="C134" s="1078"/>
      <c r="D134" s="1092" t="s">
        <v>677</v>
      </c>
      <c r="E134" s="1085"/>
      <c r="F134" s="1023"/>
      <c r="G134" s="1023">
        <v>-32460</v>
      </c>
      <c r="H134" s="1023"/>
      <c r="I134" s="1023">
        <v>-32460</v>
      </c>
      <c r="J134" s="1019"/>
      <c r="K134" s="1020"/>
      <c r="L134" s="1021"/>
      <c r="M134" s="1022"/>
      <c r="N134" s="1023"/>
      <c r="O134" s="1024"/>
      <c r="P134" s="1024"/>
      <c r="Q134" s="1024"/>
      <c r="R134" s="1024"/>
      <c r="S134" s="1024"/>
      <c r="T134" s="1024"/>
      <c r="U134" s="1024"/>
      <c r="V134" s="1024"/>
      <c r="W134" s="1024"/>
      <c r="X134" s="1024"/>
      <c r="Y134" s="1024"/>
      <c r="Z134" s="1025">
        <f t="shared" si="87"/>
        <v>0</v>
      </c>
      <c r="AA134" s="1026"/>
      <c r="AB134" s="1027"/>
      <c r="AC134" s="1027"/>
      <c r="AD134" s="1027"/>
      <c r="AE134" s="1027"/>
      <c r="AF134" s="1027"/>
      <c r="AG134" s="1027"/>
      <c r="AH134" s="1028"/>
      <c r="AI134" s="1028"/>
      <c r="AJ134" s="1028"/>
      <c r="AK134" s="1028"/>
      <c r="AL134" s="1028"/>
      <c r="AM134" s="1025">
        <f t="shared" si="88"/>
        <v>0</v>
      </c>
      <c r="AN134" s="1024"/>
      <c r="AO134" s="1024"/>
      <c r="AP134" s="1024"/>
      <c r="AQ134" s="1024"/>
      <c r="AR134" s="1024"/>
      <c r="AS134" s="1024"/>
      <c r="AT134" s="1024"/>
      <c r="AU134" s="1024"/>
      <c r="AV134" s="1024"/>
      <c r="AW134" s="1024"/>
      <c r="AX134" s="1024"/>
      <c r="AY134" s="1024"/>
      <c r="AZ134" s="1024">
        <f t="shared" si="89"/>
        <v>0</v>
      </c>
      <c r="BA134" s="1024"/>
      <c r="BB134" s="1024"/>
      <c r="BC134" s="1024"/>
      <c r="BD134" s="1024"/>
      <c r="BE134" s="1024"/>
      <c r="BF134" s="1024"/>
      <c r="BG134" s="1024"/>
      <c r="BH134" s="1024"/>
      <c r="BI134" s="1024"/>
      <c r="BJ134" s="1024"/>
      <c r="BK134" s="1024"/>
      <c r="BL134" s="1076"/>
      <c r="BM134" s="1024">
        <f t="shared" si="90"/>
        <v>0</v>
      </c>
      <c r="BN134" s="1024"/>
      <c r="BO134" s="1024"/>
      <c r="BP134" s="1024"/>
      <c r="BQ134" s="1024"/>
      <c r="BR134" s="1024"/>
      <c r="BS134" s="1093">
        <v>0</v>
      </c>
      <c r="BT134" s="1024"/>
      <c r="BU134" s="1024"/>
      <c r="BV134" s="1024"/>
      <c r="BW134" s="1024"/>
      <c r="BX134" s="1024"/>
      <c r="BY134" s="1024"/>
      <c r="BZ134" s="1029">
        <f t="shared" si="91"/>
        <v>0</v>
      </c>
      <c r="CA134" s="1018">
        <f t="shared" si="92"/>
        <v>0</v>
      </c>
      <c r="CB134" s="1093">
        <f t="shared" si="93"/>
        <v>0</v>
      </c>
      <c r="CC134" s="1023">
        <f t="shared" si="94"/>
        <v>0</v>
      </c>
      <c r="CD134" s="1023">
        <f t="shared" si="95"/>
        <v>32460</v>
      </c>
      <c r="CE134" s="1023">
        <v>-32460.000000000004</v>
      </c>
      <c r="CF134" s="1023">
        <f t="shared" si="96"/>
        <v>32460.000000000004</v>
      </c>
      <c r="CG134" s="1029"/>
      <c r="CH134" s="972"/>
      <c r="CI134" s="1094">
        <f>-30000*1.082</f>
        <v>-32460.000000000004</v>
      </c>
      <c r="CJ134" s="1083">
        <f t="shared" si="97"/>
        <v>-32460.000000000004</v>
      </c>
      <c r="CL134" s="976">
        <v>0</v>
      </c>
      <c r="CM134" s="976">
        <f t="shared" si="98"/>
        <v>0</v>
      </c>
    </row>
    <row r="135" spans="1:91" s="1032" customFormat="1" outlineLevel="1">
      <c r="A135" s="1091"/>
      <c r="B135" s="1015"/>
      <c r="C135" s="1078"/>
      <c r="D135" s="1095" t="s">
        <v>678</v>
      </c>
      <c r="E135" s="1085"/>
      <c r="F135" s="1023"/>
      <c r="G135" s="1023"/>
      <c r="H135" s="1023"/>
      <c r="I135" s="1023"/>
      <c r="J135" s="1019"/>
      <c r="K135" s="1020"/>
      <c r="L135" s="1021"/>
      <c r="M135" s="1022"/>
      <c r="N135" s="1023"/>
      <c r="O135" s="1024"/>
      <c r="P135" s="1024"/>
      <c r="Q135" s="1024"/>
      <c r="R135" s="1024"/>
      <c r="S135" s="1024"/>
      <c r="T135" s="1024"/>
      <c r="U135" s="1024"/>
      <c r="V135" s="1024"/>
      <c r="W135" s="1024"/>
      <c r="X135" s="1024"/>
      <c r="Y135" s="1024"/>
      <c r="Z135" s="1025">
        <f t="shared" si="87"/>
        <v>0</v>
      </c>
      <c r="AA135" s="1026"/>
      <c r="AB135" s="1027"/>
      <c r="AC135" s="1027"/>
      <c r="AD135" s="1027"/>
      <c r="AE135" s="1027"/>
      <c r="AF135" s="1027"/>
      <c r="AG135" s="1027"/>
      <c r="AH135" s="1028"/>
      <c r="AI135" s="1028"/>
      <c r="AJ135" s="1028"/>
      <c r="AK135" s="1028"/>
      <c r="AL135" s="1028"/>
      <c r="AM135" s="1025">
        <f t="shared" si="88"/>
        <v>0</v>
      </c>
      <c r="AN135" s="1024"/>
      <c r="AO135" s="1024"/>
      <c r="AP135" s="1024"/>
      <c r="AQ135" s="1024"/>
      <c r="AR135" s="1024"/>
      <c r="AS135" s="1024"/>
      <c r="AT135" s="1024"/>
      <c r="AU135" s="1024"/>
      <c r="AV135" s="1024"/>
      <c r="AW135" s="1024"/>
      <c r="AX135" s="1024"/>
      <c r="AY135" s="1076"/>
      <c r="AZ135" s="1024">
        <f t="shared" si="89"/>
        <v>0</v>
      </c>
      <c r="BA135" s="1024"/>
      <c r="BB135" s="1024"/>
      <c r="BC135" s="1024"/>
      <c r="BD135" s="1024"/>
      <c r="BE135" s="1024"/>
      <c r="BF135" s="1024"/>
      <c r="BG135" s="1024"/>
      <c r="BH135" s="1024"/>
      <c r="BI135" s="1024"/>
      <c r="BJ135" s="1024"/>
      <c r="BK135" s="1024"/>
      <c r="BL135" s="1076"/>
      <c r="BM135" s="1024">
        <f t="shared" si="90"/>
        <v>0</v>
      </c>
      <c r="BN135" s="1024"/>
      <c r="BO135" s="1024"/>
      <c r="BP135" s="1024"/>
      <c r="BQ135" s="1024"/>
      <c r="BR135" s="1024"/>
      <c r="BS135" s="1024"/>
      <c r="BT135" s="1024"/>
      <c r="BU135" s="1024"/>
      <c r="BV135" s="1024"/>
      <c r="BW135" s="1024"/>
      <c r="BX135" s="1024"/>
      <c r="BY135" s="1024"/>
      <c r="BZ135" s="1029">
        <f t="shared" si="91"/>
        <v>0</v>
      </c>
      <c r="CA135" s="1018">
        <f t="shared" si="92"/>
        <v>0</v>
      </c>
      <c r="CB135" s="1031">
        <f t="shared" si="93"/>
        <v>0</v>
      </c>
      <c r="CC135" s="1023">
        <f t="shared" si="94"/>
        <v>0</v>
      </c>
      <c r="CD135" s="1023">
        <f t="shared" si="95"/>
        <v>0</v>
      </c>
      <c r="CE135" s="1023">
        <v>0</v>
      </c>
      <c r="CF135" s="1023">
        <f t="shared" si="96"/>
        <v>0</v>
      </c>
      <c r="CG135" s="1029"/>
      <c r="CH135" s="972"/>
      <c r="CI135" s="1094">
        <v>0</v>
      </c>
      <c r="CJ135" s="1083">
        <f t="shared" si="97"/>
        <v>0</v>
      </c>
      <c r="CL135" s="976">
        <v>0</v>
      </c>
      <c r="CM135" s="976">
        <f t="shared" si="98"/>
        <v>0</v>
      </c>
    </row>
    <row r="136" spans="1:91" s="1032" customFormat="1" outlineLevel="1">
      <c r="A136" s="1091"/>
      <c r="B136" s="1015"/>
      <c r="C136" s="1078"/>
      <c r="D136" s="1096" t="s">
        <v>679</v>
      </c>
      <c r="E136" s="1085"/>
      <c r="F136" s="1023"/>
      <c r="G136" s="1023"/>
      <c r="H136" s="1023"/>
      <c r="I136" s="1023"/>
      <c r="J136" s="1019"/>
      <c r="K136" s="1020"/>
      <c r="L136" s="1021"/>
      <c r="M136" s="1022"/>
      <c r="N136" s="1023"/>
      <c r="O136" s="1024"/>
      <c r="P136" s="1024"/>
      <c r="Q136" s="1024"/>
      <c r="R136" s="1024"/>
      <c r="S136" s="1024"/>
      <c r="T136" s="1024"/>
      <c r="U136" s="1024"/>
      <c r="V136" s="1024"/>
      <c r="W136" s="1024"/>
      <c r="X136" s="1024"/>
      <c r="Y136" s="1024"/>
      <c r="Z136" s="1025">
        <f t="shared" si="87"/>
        <v>0</v>
      </c>
      <c r="AA136" s="1026"/>
      <c r="AB136" s="1027"/>
      <c r="AC136" s="1027"/>
      <c r="AD136" s="1027"/>
      <c r="AE136" s="1027"/>
      <c r="AF136" s="1027"/>
      <c r="AG136" s="1027"/>
      <c r="AH136" s="1028"/>
      <c r="AI136" s="1028"/>
      <c r="AJ136" s="1028"/>
      <c r="AK136" s="1028"/>
      <c r="AL136" s="1028"/>
      <c r="AM136" s="1025">
        <f t="shared" si="88"/>
        <v>0</v>
      </c>
      <c r="AN136" s="1024"/>
      <c r="AO136" s="1024"/>
      <c r="AP136" s="1024"/>
      <c r="AQ136" s="1024"/>
      <c r="AR136" s="1024"/>
      <c r="AS136" s="1024"/>
      <c r="AT136" s="1024"/>
      <c r="AU136" s="1024"/>
      <c r="AV136" s="1024"/>
      <c r="AW136" s="1024"/>
      <c r="AX136" s="1024">
        <f>6000*1.082</f>
        <v>6492</v>
      </c>
      <c r="AY136" s="1076">
        <f>2889*1.082</f>
        <v>3125.8980000000001</v>
      </c>
      <c r="AZ136" s="1024">
        <f t="shared" si="89"/>
        <v>9617.898000000001</v>
      </c>
      <c r="BA136" s="1024"/>
      <c r="BB136" s="1024"/>
      <c r="BC136" s="1024"/>
      <c r="BD136" s="1024"/>
      <c r="BE136" s="1024"/>
      <c r="BF136" s="1024"/>
      <c r="BG136" s="1024"/>
      <c r="BH136" s="1024"/>
      <c r="BI136" s="1024"/>
      <c r="BJ136" s="1024"/>
      <c r="BK136" s="1024"/>
      <c r="BL136" s="1076"/>
      <c r="BM136" s="1024">
        <f t="shared" si="90"/>
        <v>0</v>
      </c>
      <c r="BN136" s="1024"/>
      <c r="BO136" s="1024"/>
      <c r="BP136" s="1024"/>
      <c r="BQ136" s="1024"/>
      <c r="BR136" s="1024"/>
      <c r="BS136" s="1024"/>
      <c r="BT136" s="1024"/>
      <c r="BU136" s="1024"/>
      <c r="BV136" s="1024"/>
      <c r="BW136" s="1024"/>
      <c r="BX136" s="1024"/>
      <c r="BY136" s="1024"/>
      <c r="BZ136" s="1029">
        <f t="shared" si="91"/>
        <v>0</v>
      </c>
      <c r="CA136" s="1018">
        <f t="shared" si="92"/>
        <v>9617.898000000001</v>
      </c>
      <c r="CB136" s="1031">
        <f t="shared" si="93"/>
        <v>0</v>
      </c>
      <c r="CC136" s="1023">
        <f t="shared" si="94"/>
        <v>9617.898000000001</v>
      </c>
      <c r="CD136" s="1023">
        <f t="shared" si="95"/>
        <v>9617.898000000001</v>
      </c>
      <c r="CE136" s="1023">
        <v>9617.898000000001</v>
      </c>
      <c r="CF136" s="1023">
        <f t="shared" si="96"/>
        <v>0</v>
      </c>
      <c r="CG136" s="1029"/>
      <c r="CH136" s="972"/>
      <c r="CI136" s="1094">
        <f>6000*1.082</f>
        <v>6492</v>
      </c>
      <c r="CJ136" s="1083">
        <f t="shared" si="97"/>
        <v>-3125.898000000001</v>
      </c>
      <c r="CL136" s="976">
        <v>0</v>
      </c>
      <c r="CM136" s="976">
        <f t="shared" si="98"/>
        <v>-9617.898000000001</v>
      </c>
    </row>
    <row r="137" spans="1:91" s="1032" customFormat="1" outlineLevel="1">
      <c r="A137" s="1091"/>
      <c r="B137" s="1015"/>
      <c r="C137" s="1078"/>
      <c r="D137" s="1096" t="s">
        <v>680</v>
      </c>
      <c r="E137" s="1085"/>
      <c r="F137" s="1023"/>
      <c r="G137" s="1023"/>
      <c r="H137" s="1023"/>
      <c r="I137" s="1023"/>
      <c r="J137" s="1019"/>
      <c r="K137" s="1020"/>
      <c r="L137" s="1021"/>
      <c r="M137" s="1022"/>
      <c r="N137" s="1023"/>
      <c r="O137" s="1024"/>
      <c r="P137" s="1024"/>
      <c r="Q137" s="1024"/>
      <c r="R137" s="1024"/>
      <c r="S137" s="1024"/>
      <c r="T137" s="1024"/>
      <c r="U137" s="1024"/>
      <c r="V137" s="1024"/>
      <c r="W137" s="1024"/>
      <c r="X137" s="1024"/>
      <c r="Y137" s="1024"/>
      <c r="Z137" s="1025">
        <f t="shared" si="87"/>
        <v>0</v>
      </c>
      <c r="AA137" s="1026"/>
      <c r="AB137" s="1027"/>
      <c r="AC137" s="1027"/>
      <c r="AD137" s="1027"/>
      <c r="AE137" s="1027"/>
      <c r="AF137" s="1027"/>
      <c r="AG137" s="1027"/>
      <c r="AH137" s="1028"/>
      <c r="AI137" s="1028"/>
      <c r="AJ137" s="1028"/>
      <c r="AK137" s="1028"/>
      <c r="AL137" s="1028"/>
      <c r="AM137" s="1025">
        <f t="shared" si="88"/>
        <v>0</v>
      </c>
      <c r="AN137" s="1024"/>
      <c r="AO137" s="1024"/>
      <c r="AP137" s="1024"/>
      <c r="AQ137" s="1024"/>
      <c r="AR137" s="1024"/>
      <c r="AS137" s="1024"/>
      <c r="AT137" s="1024"/>
      <c r="AU137" s="1024"/>
      <c r="AV137" s="1024"/>
      <c r="AW137" s="1024"/>
      <c r="AX137" s="1024">
        <f>8362*1.082</f>
        <v>9047.6840000000011</v>
      </c>
      <c r="AY137" s="1076">
        <f>31*1.082</f>
        <v>33.542000000000002</v>
      </c>
      <c r="AZ137" s="1024">
        <f t="shared" si="89"/>
        <v>9081.2260000000006</v>
      </c>
      <c r="BA137" s="1024"/>
      <c r="BB137" s="1024"/>
      <c r="BC137" s="1024"/>
      <c r="BD137" s="1024"/>
      <c r="BE137" s="1024"/>
      <c r="BF137" s="1024"/>
      <c r="BG137" s="1024"/>
      <c r="BH137" s="1024"/>
      <c r="BI137" s="1024"/>
      <c r="BJ137" s="1024"/>
      <c r="BK137" s="1024"/>
      <c r="BL137" s="1076"/>
      <c r="BM137" s="1024">
        <f t="shared" si="90"/>
        <v>0</v>
      </c>
      <c r="BN137" s="1024"/>
      <c r="BO137" s="1024"/>
      <c r="BP137" s="1024"/>
      <c r="BQ137" s="1024"/>
      <c r="BR137" s="1024"/>
      <c r="BS137" s="1024"/>
      <c r="BT137" s="1024"/>
      <c r="BU137" s="1024"/>
      <c r="BV137" s="1024"/>
      <c r="BW137" s="1024"/>
      <c r="BX137" s="1024"/>
      <c r="BY137" s="1024"/>
      <c r="BZ137" s="1029">
        <f t="shared" si="91"/>
        <v>0</v>
      </c>
      <c r="CA137" s="1018">
        <f t="shared" si="92"/>
        <v>9081.2260000000006</v>
      </c>
      <c r="CB137" s="1031">
        <f t="shared" si="93"/>
        <v>0</v>
      </c>
      <c r="CC137" s="1023">
        <f t="shared" si="94"/>
        <v>9081.2260000000006</v>
      </c>
      <c r="CD137" s="1023">
        <f t="shared" si="95"/>
        <v>9081.2260000000006</v>
      </c>
      <c r="CE137" s="1023">
        <v>9081.2260000000006</v>
      </c>
      <c r="CF137" s="1023">
        <f t="shared" si="96"/>
        <v>0</v>
      </c>
      <c r="CG137" s="1029"/>
      <c r="CH137" s="972"/>
      <c r="CI137" s="1094">
        <f>8362*1.082</f>
        <v>9047.6840000000011</v>
      </c>
      <c r="CJ137" s="1083">
        <f t="shared" si="97"/>
        <v>-33.541999999999462</v>
      </c>
      <c r="CL137" s="976">
        <v>0</v>
      </c>
      <c r="CM137" s="976">
        <f t="shared" si="98"/>
        <v>-9081.2260000000006</v>
      </c>
    </row>
    <row r="138" spans="1:91" s="1032" customFormat="1" outlineLevel="1">
      <c r="A138" s="1091"/>
      <c r="B138" s="1015"/>
      <c r="C138" s="1078"/>
      <c r="D138" s="1096" t="s">
        <v>681</v>
      </c>
      <c r="E138" s="1085"/>
      <c r="F138" s="1023"/>
      <c r="G138" s="1023"/>
      <c r="H138" s="1023"/>
      <c r="I138" s="1023"/>
      <c r="J138" s="1019"/>
      <c r="K138" s="1020"/>
      <c r="L138" s="1021"/>
      <c r="M138" s="1022"/>
      <c r="N138" s="1023"/>
      <c r="O138" s="1024"/>
      <c r="P138" s="1024"/>
      <c r="Q138" s="1024"/>
      <c r="R138" s="1024"/>
      <c r="S138" s="1024"/>
      <c r="T138" s="1024"/>
      <c r="U138" s="1024"/>
      <c r="V138" s="1024"/>
      <c r="W138" s="1024"/>
      <c r="X138" s="1024"/>
      <c r="Y138" s="1024"/>
      <c r="Z138" s="1025">
        <f t="shared" si="87"/>
        <v>0</v>
      </c>
      <c r="AA138" s="1026"/>
      <c r="AB138" s="1027"/>
      <c r="AC138" s="1027"/>
      <c r="AD138" s="1027"/>
      <c r="AE138" s="1027"/>
      <c r="AF138" s="1027"/>
      <c r="AG138" s="1027"/>
      <c r="AH138" s="1028"/>
      <c r="AI138" s="1028"/>
      <c r="AJ138" s="1028"/>
      <c r="AK138" s="1028"/>
      <c r="AL138" s="1028"/>
      <c r="AM138" s="1025">
        <f t="shared" si="88"/>
        <v>0</v>
      </c>
      <c r="AN138" s="1024"/>
      <c r="AO138" s="1024"/>
      <c r="AP138" s="1024"/>
      <c r="AQ138" s="1024"/>
      <c r="AR138" s="1024"/>
      <c r="AS138" s="1024"/>
      <c r="AT138" s="1024"/>
      <c r="AU138" s="1024"/>
      <c r="AV138" s="1024"/>
      <c r="AW138" s="1024"/>
      <c r="AX138" s="1024"/>
      <c r="AY138" s="1076">
        <f>67088*1.082</f>
        <v>72589.216</v>
      </c>
      <c r="AZ138" s="1024">
        <f t="shared" si="89"/>
        <v>72589.216</v>
      </c>
      <c r="BA138" s="1024"/>
      <c r="BB138" s="1024"/>
      <c r="BC138" s="1024"/>
      <c r="BD138" s="1024"/>
      <c r="BE138" s="1024"/>
      <c r="BF138" s="1024"/>
      <c r="BG138" s="1024"/>
      <c r="BH138" s="1024"/>
      <c r="BI138" s="1024"/>
      <c r="BJ138" s="1024"/>
      <c r="BK138" s="1024"/>
      <c r="BL138" s="1076"/>
      <c r="BM138" s="1024">
        <f t="shared" si="90"/>
        <v>0</v>
      </c>
      <c r="BN138" s="1024"/>
      <c r="BO138" s="1024"/>
      <c r="BP138" s="1024"/>
      <c r="BQ138" s="1024"/>
      <c r="BR138" s="1024"/>
      <c r="BS138" s="1024"/>
      <c r="BT138" s="1024"/>
      <c r="BU138" s="1024"/>
      <c r="BV138" s="1024"/>
      <c r="BW138" s="1024"/>
      <c r="BX138" s="1024"/>
      <c r="BY138" s="1024"/>
      <c r="BZ138" s="1029">
        <f t="shared" si="91"/>
        <v>0</v>
      </c>
      <c r="CA138" s="1018">
        <f t="shared" si="92"/>
        <v>72589.216</v>
      </c>
      <c r="CB138" s="1031">
        <f t="shared" si="93"/>
        <v>0</v>
      </c>
      <c r="CC138" s="1023">
        <f t="shared" si="94"/>
        <v>72589.216</v>
      </c>
      <c r="CD138" s="1023">
        <f t="shared" si="95"/>
        <v>72589.216</v>
      </c>
      <c r="CE138" s="1023">
        <v>72589.216</v>
      </c>
      <c r="CF138" s="1023">
        <f t="shared" si="96"/>
        <v>0</v>
      </c>
      <c r="CG138" s="1029"/>
      <c r="CH138" s="972"/>
      <c r="CI138" s="1094">
        <v>0</v>
      </c>
      <c r="CJ138" s="1083">
        <f t="shared" si="97"/>
        <v>-72589.216</v>
      </c>
      <c r="CL138" s="976">
        <v>0</v>
      </c>
      <c r="CM138" s="976">
        <f t="shared" si="98"/>
        <v>-72589.216</v>
      </c>
    </row>
    <row r="139" spans="1:91" s="1032" customFormat="1" outlineLevel="1">
      <c r="A139" s="1091"/>
      <c r="B139" s="1015"/>
      <c r="C139" s="1078"/>
      <c r="D139" s="1096" t="s">
        <v>682</v>
      </c>
      <c r="E139" s="1085"/>
      <c r="F139" s="1023"/>
      <c r="G139" s="1023"/>
      <c r="H139" s="1023"/>
      <c r="I139" s="1023"/>
      <c r="J139" s="1019"/>
      <c r="K139" s="1020"/>
      <c r="L139" s="1021"/>
      <c r="M139" s="1022"/>
      <c r="N139" s="1023"/>
      <c r="O139" s="1024"/>
      <c r="P139" s="1024"/>
      <c r="Q139" s="1024"/>
      <c r="R139" s="1024"/>
      <c r="S139" s="1024"/>
      <c r="T139" s="1024"/>
      <c r="U139" s="1024"/>
      <c r="V139" s="1024"/>
      <c r="W139" s="1024"/>
      <c r="X139" s="1024"/>
      <c r="Y139" s="1024"/>
      <c r="Z139" s="1025">
        <f t="shared" si="87"/>
        <v>0</v>
      </c>
      <c r="AA139" s="1026"/>
      <c r="AB139" s="1027"/>
      <c r="AC139" s="1027"/>
      <c r="AD139" s="1027"/>
      <c r="AE139" s="1027"/>
      <c r="AF139" s="1027"/>
      <c r="AG139" s="1027"/>
      <c r="AH139" s="1028"/>
      <c r="AI139" s="1028"/>
      <c r="AJ139" s="1028"/>
      <c r="AK139" s="1028"/>
      <c r="AL139" s="1028"/>
      <c r="AM139" s="1025">
        <f t="shared" si="88"/>
        <v>0</v>
      </c>
      <c r="AN139" s="1024"/>
      <c r="AO139" s="1024"/>
      <c r="AP139" s="1024"/>
      <c r="AQ139" s="1024"/>
      <c r="AR139" s="1024"/>
      <c r="AS139" s="1024"/>
      <c r="AT139" s="1024"/>
      <c r="AU139" s="1024"/>
      <c r="AV139" s="1024"/>
      <c r="AW139" s="1024"/>
      <c r="AX139" s="1024"/>
      <c r="AY139" s="1076">
        <f>55242*1.082</f>
        <v>59771.844000000005</v>
      </c>
      <c r="AZ139" s="1024">
        <f t="shared" si="89"/>
        <v>59771.844000000005</v>
      </c>
      <c r="BA139" s="1024"/>
      <c r="BB139" s="1024"/>
      <c r="BC139" s="1024"/>
      <c r="BD139" s="1024"/>
      <c r="BE139" s="1024"/>
      <c r="BF139" s="1024"/>
      <c r="BG139" s="1024"/>
      <c r="BH139" s="1024"/>
      <c r="BI139" s="1024"/>
      <c r="BJ139" s="1024"/>
      <c r="BK139" s="1024"/>
      <c r="BL139" s="1076"/>
      <c r="BM139" s="1024">
        <f t="shared" si="90"/>
        <v>0</v>
      </c>
      <c r="BN139" s="1024"/>
      <c r="BO139" s="1024"/>
      <c r="BP139" s="1024"/>
      <c r="BQ139" s="1024"/>
      <c r="BR139" s="1024"/>
      <c r="BS139" s="1024"/>
      <c r="BT139" s="1024"/>
      <c r="BU139" s="1024"/>
      <c r="BV139" s="1024"/>
      <c r="BW139" s="1024"/>
      <c r="BX139" s="1024"/>
      <c r="BY139" s="1024"/>
      <c r="BZ139" s="1029">
        <f t="shared" si="91"/>
        <v>0</v>
      </c>
      <c r="CA139" s="1018">
        <f t="shared" si="92"/>
        <v>59771.844000000005</v>
      </c>
      <c r="CB139" s="1031">
        <f t="shared" si="93"/>
        <v>0</v>
      </c>
      <c r="CC139" s="1023">
        <f t="shared" si="94"/>
        <v>59771.844000000005</v>
      </c>
      <c r="CD139" s="1023">
        <f t="shared" si="95"/>
        <v>59771.844000000005</v>
      </c>
      <c r="CE139" s="1023">
        <v>59771.844000000005</v>
      </c>
      <c r="CF139" s="1023">
        <f t="shared" si="96"/>
        <v>0</v>
      </c>
      <c r="CG139" s="1029"/>
      <c r="CH139" s="972"/>
      <c r="CI139" s="1094">
        <v>0</v>
      </c>
      <c r="CJ139" s="1083">
        <f t="shared" si="97"/>
        <v>-59771.844000000005</v>
      </c>
      <c r="CL139" s="976">
        <v>0</v>
      </c>
      <c r="CM139" s="976">
        <f t="shared" si="98"/>
        <v>-59771.844000000005</v>
      </c>
    </row>
    <row r="140" spans="1:91" s="1032" customFormat="1" outlineLevel="1">
      <c r="A140" s="1091"/>
      <c r="B140" s="1015"/>
      <c r="C140" s="1078"/>
      <c r="D140" s="1096" t="s">
        <v>683</v>
      </c>
      <c r="E140" s="1085"/>
      <c r="F140" s="1023"/>
      <c r="G140" s="1023"/>
      <c r="H140" s="1023"/>
      <c r="I140" s="1023"/>
      <c r="J140" s="1019"/>
      <c r="K140" s="1020"/>
      <c r="L140" s="1021"/>
      <c r="M140" s="1022"/>
      <c r="N140" s="1023"/>
      <c r="O140" s="1024"/>
      <c r="P140" s="1024"/>
      <c r="Q140" s="1024"/>
      <c r="R140" s="1024"/>
      <c r="S140" s="1024"/>
      <c r="T140" s="1024"/>
      <c r="U140" s="1024"/>
      <c r="V140" s="1024"/>
      <c r="W140" s="1024"/>
      <c r="X140" s="1024"/>
      <c r="Y140" s="1024"/>
      <c r="Z140" s="1025">
        <f t="shared" si="87"/>
        <v>0</v>
      </c>
      <c r="AA140" s="1026"/>
      <c r="AB140" s="1027"/>
      <c r="AC140" s="1027"/>
      <c r="AD140" s="1027"/>
      <c r="AE140" s="1027"/>
      <c r="AF140" s="1027"/>
      <c r="AG140" s="1027"/>
      <c r="AH140" s="1028"/>
      <c r="AI140" s="1028"/>
      <c r="AJ140" s="1028"/>
      <c r="AK140" s="1028"/>
      <c r="AL140" s="1028"/>
      <c r="AM140" s="1025">
        <f t="shared" si="88"/>
        <v>0</v>
      </c>
      <c r="AN140" s="1024"/>
      <c r="AO140" s="1024"/>
      <c r="AP140" s="1024"/>
      <c r="AQ140" s="1024"/>
      <c r="AR140" s="1024"/>
      <c r="AS140" s="1024"/>
      <c r="AT140" s="1024"/>
      <c r="AU140" s="1024"/>
      <c r="AV140" s="1024"/>
      <c r="AW140" s="1024"/>
      <c r="AX140" s="1024"/>
      <c r="AY140" s="1076">
        <f>4849*1.082</f>
        <v>5246.6180000000004</v>
      </c>
      <c r="AZ140" s="1024">
        <f t="shared" si="89"/>
        <v>5246.6180000000004</v>
      </c>
      <c r="BA140" s="1024"/>
      <c r="BB140" s="1024"/>
      <c r="BC140" s="1024"/>
      <c r="BD140" s="1024"/>
      <c r="BE140" s="1024"/>
      <c r="BF140" s="1024"/>
      <c r="BG140" s="1024"/>
      <c r="BH140" s="1024"/>
      <c r="BI140" s="1024"/>
      <c r="BJ140" s="1024"/>
      <c r="BK140" s="1024"/>
      <c r="BL140" s="1076"/>
      <c r="BM140" s="1024">
        <f t="shared" si="90"/>
        <v>0</v>
      </c>
      <c r="BN140" s="1024"/>
      <c r="BO140" s="1024"/>
      <c r="BP140" s="1024"/>
      <c r="BQ140" s="1024"/>
      <c r="BR140" s="1024"/>
      <c r="BS140" s="1024"/>
      <c r="BT140" s="1024"/>
      <c r="BU140" s="1024"/>
      <c r="BV140" s="1024"/>
      <c r="BW140" s="1024"/>
      <c r="BX140" s="1024"/>
      <c r="BY140" s="1024"/>
      <c r="BZ140" s="1029">
        <f t="shared" si="91"/>
        <v>0</v>
      </c>
      <c r="CA140" s="1018">
        <f t="shared" si="92"/>
        <v>5246.6180000000004</v>
      </c>
      <c r="CB140" s="1031">
        <f t="shared" si="93"/>
        <v>0</v>
      </c>
      <c r="CC140" s="1023">
        <f t="shared" si="94"/>
        <v>5246.6180000000004</v>
      </c>
      <c r="CD140" s="1023">
        <f t="shared" si="95"/>
        <v>5246.6180000000004</v>
      </c>
      <c r="CE140" s="1023">
        <v>5246.6180000000004</v>
      </c>
      <c r="CF140" s="1023">
        <f t="shared" si="96"/>
        <v>0</v>
      </c>
      <c r="CG140" s="1029"/>
      <c r="CH140" s="972"/>
      <c r="CI140" s="1094">
        <v>0</v>
      </c>
      <c r="CJ140" s="1083">
        <f t="shared" si="97"/>
        <v>-5246.6180000000004</v>
      </c>
      <c r="CL140" s="976">
        <v>0</v>
      </c>
      <c r="CM140" s="976">
        <f t="shared" si="98"/>
        <v>-5246.6180000000004</v>
      </c>
    </row>
    <row r="141" spans="1:91" s="1032" customFormat="1" outlineLevel="1">
      <c r="A141" s="1091"/>
      <c r="B141" s="1015"/>
      <c r="C141" s="1078"/>
      <c r="D141" s="1092" t="s">
        <v>684</v>
      </c>
      <c r="E141" s="1085"/>
      <c r="F141" s="1023"/>
      <c r="G141" s="1023"/>
      <c r="H141" s="1023"/>
      <c r="I141" s="1023"/>
      <c r="J141" s="1019"/>
      <c r="K141" s="1020"/>
      <c r="L141" s="1021"/>
      <c r="M141" s="1022"/>
      <c r="N141" s="1023"/>
      <c r="O141" s="1024"/>
      <c r="P141" s="1024"/>
      <c r="Q141" s="1024"/>
      <c r="R141" s="1024"/>
      <c r="S141" s="1024"/>
      <c r="T141" s="1024"/>
      <c r="U141" s="1024"/>
      <c r="V141" s="1024"/>
      <c r="W141" s="1024"/>
      <c r="X141" s="1024"/>
      <c r="Y141" s="1024"/>
      <c r="Z141" s="1025">
        <f t="shared" si="87"/>
        <v>0</v>
      </c>
      <c r="AA141" s="1026"/>
      <c r="AB141" s="1027"/>
      <c r="AC141" s="1027"/>
      <c r="AD141" s="1027"/>
      <c r="AE141" s="1027"/>
      <c r="AF141" s="1027"/>
      <c r="AG141" s="1027"/>
      <c r="AH141" s="1028"/>
      <c r="AI141" s="1028"/>
      <c r="AJ141" s="1028"/>
      <c r="AK141" s="1028"/>
      <c r="AL141" s="1028"/>
      <c r="AM141" s="1025">
        <f t="shared" si="88"/>
        <v>0</v>
      </c>
      <c r="AN141" s="1024"/>
      <c r="AO141" s="1024"/>
      <c r="AP141" s="1024"/>
      <c r="AQ141" s="1024"/>
      <c r="AR141" s="1024"/>
      <c r="AS141" s="1024"/>
      <c r="AT141" s="1024"/>
      <c r="AU141" s="1024"/>
      <c r="AV141" s="1024"/>
      <c r="AW141" s="1024"/>
      <c r="AX141" s="1024"/>
      <c r="AY141" s="1024"/>
      <c r="AZ141" s="1024">
        <f t="shared" si="89"/>
        <v>0</v>
      </c>
      <c r="BA141" s="1024">
        <f>31269*1.082</f>
        <v>33833.058000000005</v>
      </c>
      <c r="BB141" s="1024"/>
      <c r="BC141" s="1024"/>
      <c r="BD141" s="1024"/>
      <c r="BE141" s="1024"/>
      <c r="BF141" s="1024"/>
      <c r="BG141" s="1024"/>
      <c r="BH141" s="1024"/>
      <c r="BI141" s="1024"/>
      <c r="BJ141" s="1024"/>
      <c r="BK141" s="1024"/>
      <c r="BL141" s="1076"/>
      <c r="BM141" s="1024">
        <f t="shared" si="90"/>
        <v>33833.058000000005</v>
      </c>
      <c r="BN141" s="1024"/>
      <c r="BO141" s="1024"/>
      <c r="BP141" s="1024"/>
      <c r="BQ141" s="1024"/>
      <c r="BR141" s="1024"/>
      <c r="BS141" s="1024"/>
      <c r="BT141" s="1024"/>
      <c r="BU141" s="1024"/>
      <c r="BV141" s="1024"/>
      <c r="BW141" s="1024"/>
      <c r="BX141" s="1024"/>
      <c r="BY141" s="1024"/>
      <c r="BZ141" s="1029">
        <f t="shared" si="91"/>
        <v>0</v>
      </c>
      <c r="CA141" s="1018">
        <f t="shared" si="92"/>
        <v>33833.058000000005</v>
      </c>
      <c r="CB141" s="1031">
        <f t="shared" si="93"/>
        <v>0</v>
      </c>
      <c r="CC141" s="1023">
        <f t="shared" si="94"/>
        <v>33833.058000000005</v>
      </c>
      <c r="CD141" s="1023">
        <f t="shared" si="95"/>
        <v>33833.058000000005</v>
      </c>
      <c r="CE141" s="1023">
        <v>33833.058000000005</v>
      </c>
      <c r="CF141" s="1023">
        <f t="shared" si="96"/>
        <v>0</v>
      </c>
      <c r="CG141" s="1029"/>
      <c r="CH141" s="972"/>
      <c r="CI141" s="1094"/>
      <c r="CJ141" s="1083">
        <f t="shared" si="97"/>
        <v>-33833.058000000005</v>
      </c>
      <c r="CL141" s="976">
        <v>0</v>
      </c>
      <c r="CM141" s="976">
        <f t="shared" si="98"/>
        <v>-33833.058000000005</v>
      </c>
    </row>
    <row r="142" spans="1:91" s="1032" customFormat="1" outlineLevel="1">
      <c r="A142" s="1091"/>
      <c r="B142" s="1015"/>
      <c r="C142" s="1078"/>
      <c r="D142" s="1092" t="s">
        <v>685</v>
      </c>
      <c r="E142" s="1085"/>
      <c r="F142" s="1023"/>
      <c r="G142" s="1023"/>
      <c r="H142" s="1023"/>
      <c r="I142" s="1023"/>
      <c r="J142" s="1019"/>
      <c r="K142" s="1020"/>
      <c r="L142" s="1021"/>
      <c r="M142" s="1022"/>
      <c r="N142" s="1023"/>
      <c r="O142" s="1024"/>
      <c r="P142" s="1024"/>
      <c r="Q142" s="1024"/>
      <c r="R142" s="1024"/>
      <c r="S142" s="1024"/>
      <c r="T142" s="1024"/>
      <c r="U142" s="1024"/>
      <c r="V142" s="1024"/>
      <c r="W142" s="1024"/>
      <c r="X142" s="1024"/>
      <c r="Y142" s="1024"/>
      <c r="Z142" s="1025">
        <f t="shared" si="87"/>
        <v>0</v>
      </c>
      <c r="AA142" s="1026"/>
      <c r="AB142" s="1027"/>
      <c r="AC142" s="1027"/>
      <c r="AD142" s="1027"/>
      <c r="AE142" s="1027"/>
      <c r="AF142" s="1027"/>
      <c r="AG142" s="1027"/>
      <c r="AH142" s="1028"/>
      <c r="AI142" s="1028"/>
      <c r="AJ142" s="1028"/>
      <c r="AK142" s="1028"/>
      <c r="AL142" s="1028"/>
      <c r="AM142" s="1025">
        <f t="shared" si="88"/>
        <v>0</v>
      </c>
      <c r="AN142" s="1024"/>
      <c r="AO142" s="1024"/>
      <c r="AP142" s="1024"/>
      <c r="AQ142" s="1024"/>
      <c r="AR142" s="1024"/>
      <c r="AS142" s="1024"/>
      <c r="AT142" s="1024"/>
      <c r="AU142" s="1024"/>
      <c r="AV142" s="1024"/>
      <c r="AW142" s="1024"/>
      <c r="AX142" s="1024"/>
      <c r="AY142" s="1024"/>
      <c r="AZ142" s="1024">
        <f t="shared" si="89"/>
        <v>0</v>
      </c>
      <c r="BA142" s="1024">
        <f>12500*1.082</f>
        <v>13525.000000000002</v>
      </c>
      <c r="BB142" s="1024"/>
      <c r="BC142" s="1024"/>
      <c r="BD142" s="1024"/>
      <c r="BE142" s="1024"/>
      <c r="BF142" s="1024"/>
      <c r="BG142" s="1024"/>
      <c r="BH142" s="1024"/>
      <c r="BI142" s="1024"/>
      <c r="BJ142" s="1024"/>
      <c r="BK142" s="1024"/>
      <c r="BL142" s="1076"/>
      <c r="BM142" s="1024">
        <f t="shared" si="90"/>
        <v>13525.000000000002</v>
      </c>
      <c r="BN142" s="1024"/>
      <c r="BO142" s="1024"/>
      <c r="BP142" s="1024"/>
      <c r="BQ142" s="1024"/>
      <c r="BR142" s="1024"/>
      <c r="BS142" s="1024"/>
      <c r="BT142" s="1024"/>
      <c r="BU142" s="1024"/>
      <c r="BV142" s="1024"/>
      <c r="BW142" s="1024"/>
      <c r="BX142" s="1024"/>
      <c r="BY142" s="1024"/>
      <c r="BZ142" s="1029">
        <f t="shared" si="91"/>
        <v>0</v>
      </c>
      <c r="CA142" s="1018">
        <f t="shared" si="92"/>
        <v>13525.000000000002</v>
      </c>
      <c r="CB142" s="1031">
        <f t="shared" si="93"/>
        <v>0</v>
      </c>
      <c r="CC142" s="1023">
        <f t="shared" si="94"/>
        <v>13525.000000000002</v>
      </c>
      <c r="CD142" s="1023">
        <f t="shared" si="95"/>
        <v>13525.000000000002</v>
      </c>
      <c r="CE142" s="1023">
        <v>13525.000000000002</v>
      </c>
      <c r="CF142" s="1023">
        <f t="shared" si="96"/>
        <v>0</v>
      </c>
      <c r="CG142" s="1029"/>
      <c r="CH142" s="972"/>
      <c r="CI142" s="1094"/>
      <c r="CJ142" s="1083">
        <f t="shared" si="97"/>
        <v>-13525.000000000002</v>
      </c>
      <c r="CL142" s="976">
        <v>0</v>
      </c>
      <c r="CM142" s="976">
        <f t="shared" si="98"/>
        <v>-13525.000000000002</v>
      </c>
    </row>
    <row r="143" spans="1:91" s="1032" customFormat="1" outlineLevel="1">
      <c r="A143" s="1091"/>
      <c r="B143" s="1015"/>
      <c r="C143" s="1078"/>
      <c r="D143" s="1092" t="s">
        <v>686</v>
      </c>
      <c r="E143" s="1085"/>
      <c r="F143" s="1023"/>
      <c r="G143" s="1023"/>
      <c r="H143" s="1023"/>
      <c r="I143" s="1023"/>
      <c r="J143" s="1019"/>
      <c r="K143" s="1020"/>
      <c r="L143" s="1021"/>
      <c r="M143" s="1022"/>
      <c r="N143" s="1023"/>
      <c r="O143" s="1024"/>
      <c r="P143" s="1024"/>
      <c r="Q143" s="1024"/>
      <c r="R143" s="1024"/>
      <c r="S143" s="1024"/>
      <c r="T143" s="1024"/>
      <c r="U143" s="1024"/>
      <c r="V143" s="1024"/>
      <c r="W143" s="1024"/>
      <c r="X143" s="1024"/>
      <c r="Y143" s="1024"/>
      <c r="Z143" s="1025">
        <f t="shared" si="87"/>
        <v>0</v>
      </c>
      <c r="AA143" s="1026"/>
      <c r="AB143" s="1027"/>
      <c r="AC143" s="1027"/>
      <c r="AD143" s="1027"/>
      <c r="AE143" s="1027"/>
      <c r="AF143" s="1027"/>
      <c r="AG143" s="1027"/>
      <c r="AH143" s="1028"/>
      <c r="AI143" s="1028"/>
      <c r="AJ143" s="1028"/>
      <c r="AK143" s="1028"/>
      <c r="AL143" s="1028"/>
      <c r="AM143" s="1025">
        <f t="shared" si="88"/>
        <v>0</v>
      </c>
      <c r="AN143" s="1024"/>
      <c r="AO143" s="1024"/>
      <c r="AP143" s="1024"/>
      <c r="AQ143" s="1024"/>
      <c r="AR143" s="1024"/>
      <c r="AS143" s="1024"/>
      <c r="AT143" s="1024"/>
      <c r="AU143" s="1024"/>
      <c r="AV143" s="1024"/>
      <c r="AW143" s="1024"/>
      <c r="AX143" s="1024"/>
      <c r="AY143" s="1024"/>
      <c r="AZ143" s="1024">
        <f t="shared" si="89"/>
        <v>0</v>
      </c>
      <c r="BA143" s="1024"/>
      <c r="BB143" s="1024"/>
      <c r="BC143" s="1024"/>
      <c r="BD143" s="1024"/>
      <c r="BE143" s="1024"/>
      <c r="BF143" s="1024"/>
      <c r="BG143" s="1024"/>
      <c r="BH143" s="1024"/>
      <c r="BI143" s="1024"/>
      <c r="BJ143" s="1024"/>
      <c r="BK143" s="1024"/>
      <c r="BL143" s="1076"/>
      <c r="BM143" s="1024">
        <f t="shared" si="90"/>
        <v>0</v>
      </c>
      <c r="BN143" s="1024"/>
      <c r="BO143" s="1024"/>
      <c r="BP143" s="1024"/>
      <c r="BQ143" s="1024"/>
      <c r="BR143" s="1024"/>
      <c r="BS143" s="1024"/>
      <c r="BT143" s="1024"/>
      <c r="BU143" s="1024"/>
      <c r="BV143" s="1024"/>
      <c r="BW143" s="1024"/>
      <c r="BX143" s="1024"/>
      <c r="BY143" s="1024"/>
      <c r="BZ143" s="1029">
        <f t="shared" si="91"/>
        <v>0</v>
      </c>
      <c r="CA143" s="1018">
        <f t="shared" si="92"/>
        <v>0</v>
      </c>
      <c r="CB143" s="1031">
        <f t="shared" si="93"/>
        <v>0</v>
      </c>
      <c r="CC143" s="1023">
        <f t="shared" si="94"/>
        <v>0</v>
      </c>
      <c r="CD143" s="1023">
        <f t="shared" si="95"/>
        <v>0</v>
      </c>
      <c r="CE143" s="1023">
        <v>0</v>
      </c>
      <c r="CF143" s="1023">
        <f t="shared" si="96"/>
        <v>0</v>
      </c>
      <c r="CG143" s="1029"/>
      <c r="CH143" s="972"/>
      <c r="CI143" s="1094">
        <f>-171060*1.082</f>
        <v>-185086.92</v>
      </c>
      <c r="CJ143" s="1083">
        <f t="shared" si="97"/>
        <v>-185086.92</v>
      </c>
      <c r="CL143" s="976">
        <v>0</v>
      </c>
      <c r="CM143" s="976">
        <f t="shared" si="98"/>
        <v>0</v>
      </c>
    </row>
    <row r="144" spans="1:91" s="1032" customFormat="1" outlineLevel="1">
      <c r="A144" s="1091"/>
      <c r="B144" s="1015"/>
      <c r="C144" s="1097"/>
      <c r="D144" s="1092" t="s">
        <v>687</v>
      </c>
      <c r="E144" s="1098"/>
      <c r="F144" s="1023">
        <v>0</v>
      </c>
      <c r="G144" s="1023">
        <v>0</v>
      </c>
      <c r="H144" s="1023">
        <v>0</v>
      </c>
      <c r="I144" s="1023">
        <v>0</v>
      </c>
      <c r="J144" s="1019"/>
      <c r="K144" s="1020"/>
      <c r="L144" s="1021"/>
      <c r="M144" s="1022"/>
      <c r="N144" s="1023"/>
      <c r="O144" s="1024"/>
      <c r="P144" s="1024"/>
      <c r="Q144" s="1024"/>
      <c r="R144" s="1024"/>
      <c r="S144" s="1024"/>
      <c r="T144" s="1024"/>
      <c r="U144" s="1024"/>
      <c r="V144" s="1024"/>
      <c r="W144" s="1024"/>
      <c r="X144" s="1024"/>
      <c r="Y144" s="1024"/>
      <c r="Z144" s="1025">
        <f t="shared" si="87"/>
        <v>0</v>
      </c>
      <c r="AA144" s="1026"/>
      <c r="AB144" s="1027"/>
      <c r="AC144" s="1027"/>
      <c r="AD144" s="1027"/>
      <c r="AE144" s="1027"/>
      <c r="AF144" s="1027"/>
      <c r="AG144" s="1027"/>
      <c r="AH144" s="1028"/>
      <c r="AI144" s="1028"/>
      <c r="AJ144" s="1028"/>
      <c r="AK144" s="1028"/>
      <c r="AL144" s="1028"/>
      <c r="AM144" s="1025">
        <f t="shared" si="88"/>
        <v>0</v>
      </c>
      <c r="AN144" s="1024"/>
      <c r="AO144" s="1024"/>
      <c r="AP144" s="1024"/>
      <c r="AQ144" s="1024"/>
      <c r="AR144" s="1023"/>
      <c r="AS144" s="1023"/>
      <c r="AT144" s="1023"/>
      <c r="AU144" s="1024"/>
      <c r="AV144" s="1024"/>
      <c r="AW144" s="1024"/>
      <c r="AX144" s="1024"/>
      <c r="AY144" s="1076"/>
      <c r="AZ144" s="1024">
        <f t="shared" si="89"/>
        <v>0</v>
      </c>
      <c r="BA144" s="1024"/>
      <c r="BB144" s="1024"/>
      <c r="BC144" s="1024">
        <v>0</v>
      </c>
      <c r="BD144" s="1024"/>
      <c r="BE144" s="1024">
        <f>17408*1.082</f>
        <v>18835.456000000002</v>
      </c>
      <c r="BF144" s="1024"/>
      <c r="BG144" s="1024"/>
      <c r="BH144" s="1024"/>
      <c r="BI144" s="1024"/>
      <c r="BJ144" s="1024"/>
      <c r="BK144" s="1024"/>
      <c r="BL144" s="1076"/>
      <c r="BM144" s="1024">
        <f t="shared" si="90"/>
        <v>18835.456000000002</v>
      </c>
      <c r="BN144" s="1024"/>
      <c r="BO144" s="1024"/>
      <c r="BP144" s="1024"/>
      <c r="BQ144" s="1024"/>
      <c r="BR144" s="1024"/>
      <c r="BS144" s="1024"/>
      <c r="BT144" s="1024"/>
      <c r="BU144" s="1024"/>
      <c r="BV144" s="1024"/>
      <c r="BW144" s="1024"/>
      <c r="BX144" s="1024"/>
      <c r="BY144" s="1024"/>
      <c r="BZ144" s="1029">
        <f t="shared" si="91"/>
        <v>0</v>
      </c>
      <c r="CA144" s="1018">
        <f t="shared" si="92"/>
        <v>18835.456000000002</v>
      </c>
      <c r="CB144" s="1024">
        <f t="shared" si="93"/>
        <v>0</v>
      </c>
      <c r="CC144" s="1023">
        <f t="shared" si="94"/>
        <v>18835.456000000002</v>
      </c>
      <c r="CD144" s="1023">
        <f t="shared" si="95"/>
        <v>18835.456000000002</v>
      </c>
      <c r="CE144" s="1023">
        <v>18835.456000000002</v>
      </c>
      <c r="CF144" s="1023">
        <f t="shared" si="96"/>
        <v>0</v>
      </c>
      <c r="CG144" s="1029"/>
      <c r="CH144" s="972"/>
      <c r="CI144" s="1083">
        <f>17408*1.082</f>
        <v>18835.456000000002</v>
      </c>
      <c r="CJ144" s="1083">
        <f t="shared" si="97"/>
        <v>0</v>
      </c>
      <c r="CL144" s="976">
        <v>0</v>
      </c>
      <c r="CM144" s="976">
        <f t="shared" si="98"/>
        <v>-18835.456000000002</v>
      </c>
    </row>
    <row r="145" spans="1:91" s="1032" customFormat="1" outlineLevel="1">
      <c r="A145" s="1091"/>
      <c r="B145" s="1015"/>
      <c r="C145" s="1078"/>
      <c r="D145" s="1092" t="s">
        <v>688</v>
      </c>
      <c r="E145" s="1085"/>
      <c r="F145" s="1023"/>
      <c r="G145" s="1023"/>
      <c r="H145" s="1023"/>
      <c r="I145" s="1023"/>
      <c r="J145" s="1019"/>
      <c r="K145" s="1020"/>
      <c r="L145" s="1021"/>
      <c r="M145" s="1022"/>
      <c r="N145" s="1023"/>
      <c r="O145" s="1024"/>
      <c r="P145" s="1024"/>
      <c r="Q145" s="1024"/>
      <c r="R145" s="1024"/>
      <c r="S145" s="1024"/>
      <c r="T145" s="1024"/>
      <c r="U145" s="1024"/>
      <c r="V145" s="1024"/>
      <c r="W145" s="1024"/>
      <c r="X145" s="1024"/>
      <c r="Y145" s="1024"/>
      <c r="Z145" s="1025">
        <f t="shared" si="87"/>
        <v>0</v>
      </c>
      <c r="AA145" s="1026"/>
      <c r="AB145" s="1027"/>
      <c r="AC145" s="1027"/>
      <c r="AD145" s="1027"/>
      <c r="AE145" s="1027"/>
      <c r="AF145" s="1027"/>
      <c r="AG145" s="1027"/>
      <c r="AH145" s="1028"/>
      <c r="AI145" s="1028"/>
      <c r="AJ145" s="1028"/>
      <c r="AK145" s="1028"/>
      <c r="AL145" s="1028"/>
      <c r="AM145" s="1025">
        <f t="shared" si="88"/>
        <v>0</v>
      </c>
      <c r="AN145" s="1024"/>
      <c r="AO145" s="1024"/>
      <c r="AP145" s="1024"/>
      <c r="AQ145" s="1024"/>
      <c r="AR145" s="1024"/>
      <c r="AS145" s="1024"/>
      <c r="AT145" s="1024"/>
      <c r="AU145" s="1024"/>
      <c r="AV145" s="1024"/>
      <c r="AW145" s="1024"/>
      <c r="AX145" s="1024"/>
      <c r="AY145" s="1024"/>
      <c r="AZ145" s="1024">
        <f t="shared" si="89"/>
        <v>0</v>
      </c>
      <c r="BA145" s="1024"/>
      <c r="BB145" s="1024"/>
      <c r="BC145" s="1024"/>
      <c r="BD145" s="1024"/>
      <c r="BE145" s="1024">
        <f>52829.5*1.082</f>
        <v>57161.519</v>
      </c>
      <c r="BF145" s="1024">
        <f>52829.5*1.082</f>
        <v>57161.519</v>
      </c>
      <c r="BG145" s="1024"/>
      <c r="BH145" s="1024"/>
      <c r="BI145" s="1024"/>
      <c r="BJ145" s="1024"/>
      <c r="BK145" s="1024"/>
      <c r="BL145" s="1076"/>
      <c r="BM145" s="1024">
        <f t="shared" si="90"/>
        <v>114323.038</v>
      </c>
      <c r="BN145" s="1024"/>
      <c r="BO145" s="1024"/>
      <c r="BP145" s="1024"/>
      <c r="BQ145" s="1024"/>
      <c r="BR145" s="1024"/>
      <c r="BS145" s="1024"/>
      <c r="BT145" s="1024"/>
      <c r="BU145" s="1024"/>
      <c r="BV145" s="1024"/>
      <c r="BW145" s="1024"/>
      <c r="BX145" s="1024"/>
      <c r="BY145" s="1024"/>
      <c r="BZ145" s="1029">
        <f t="shared" si="91"/>
        <v>0</v>
      </c>
      <c r="CA145" s="1018">
        <f t="shared" si="92"/>
        <v>114323.038</v>
      </c>
      <c r="CB145" s="1031">
        <f t="shared" si="93"/>
        <v>0</v>
      </c>
      <c r="CC145" s="1023">
        <f t="shared" si="94"/>
        <v>114323.038</v>
      </c>
      <c r="CD145" s="1023">
        <f t="shared" si="95"/>
        <v>114323.038</v>
      </c>
      <c r="CE145" s="1023">
        <v>114323.038</v>
      </c>
      <c r="CF145" s="1023">
        <f t="shared" si="96"/>
        <v>0</v>
      </c>
      <c r="CG145" s="1029"/>
      <c r="CH145" s="972"/>
      <c r="CI145" s="1094">
        <f>105659*1.082</f>
        <v>114323.038</v>
      </c>
      <c r="CJ145" s="1083">
        <f t="shared" si="97"/>
        <v>0</v>
      </c>
      <c r="CL145" s="976">
        <v>0</v>
      </c>
      <c r="CM145" s="976">
        <f t="shared" si="98"/>
        <v>-114323.038</v>
      </c>
    </row>
    <row r="146" spans="1:91" s="1032" customFormat="1" outlineLevel="1">
      <c r="A146" s="1091"/>
      <c r="B146" s="1015"/>
      <c r="C146" s="1097"/>
      <c r="D146" s="1095" t="s">
        <v>689</v>
      </c>
      <c r="E146" s="1085"/>
      <c r="F146" s="1023">
        <v>0</v>
      </c>
      <c r="G146" s="1023">
        <v>0</v>
      </c>
      <c r="H146" s="1023">
        <v>0</v>
      </c>
      <c r="I146" s="1023">
        <v>0</v>
      </c>
      <c r="J146" s="1019"/>
      <c r="K146" s="1020"/>
      <c r="L146" s="1021"/>
      <c r="M146" s="1022"/>
      <c r="N146" s="1023"/>
      <c r="O146" s="1024"/>
      <c r="P146" s="1024"/>
      <c r="Q146" s="1024"/>
      <c r="R146" s="1024"/>
      <c r="S146" s="1024"/>
      <c r="T146" s="1024"/>
      <c r="U146" s="1024"/>
      <c r="V146" s="1024"/>
      <c r="W146" s="1024"/>
      <c r="X146" s="1024"/>
      <c r="Y146" s="1024"/>
      <c r="Z146" s="1025">
        <f t="shared" si="87"/>
        <v>0</v>
      </c>
      <c r="AA146" s="1026"/>
      <c r="AB146" s="1027"/>
      <c r="AC146" s="1027"/>
      <c r="AD146" s="1027"/>
      <c r="AE146" s="1027"/>
      <c r="AF146" s="1027"/>
      <c r="AG146" s="1027"/>
      <c r="AH146" s="1028"/>
      <c r="AI146" s="1028"/>
      <c r="AJ146" s="1028"/>
      <c r="AK146" s="1028"/>
      <c r="AL146" s="1028"/>
      <c r="AM146" s="1025">
        <f t="shared" si="88"/>
        <v>0</v>
      </c>
      <c r="AN146" s="1024"/>
      <c r="AO146" s="1024"/>
      <c r="AP146" s="1024"/>
      <c r="AQ146" s="1024"/>
      <c r="AR146" s="1023"/>
      <c r="AS146" s="1023"/>
      <c r="AT146" s="1023"/>
      <c r="AU146" s="1024"/>
      <c r="AV146" s="1024"/>
      <c r="AW146" s="1024"/>
      <c r="AX146" s="1024"/>
      <c r="AY146" s="1076"/>
      <c r="AZ146" s="1024">
        <f t="shared" si="89"/>
        <v>0</v>
      </c>
      <c r="BA146" s="1024"/>
      <c r="BB146" s="1024"/>
      <c r="BC146" s="1024">
        <v>0</v>
      </c>
      <c r="BD146" s="1024"/>
      <c r="BE146" s="1024"/>
      <c r="BF146" s="1024"/>
      <c r="BG146" s="1024"/>
      <c r="BH146" s="1024"/>
      <c r="BI146" s="1024"/>
      <c r="BJ146" s="1024"/>
      <c r="BK146" s="1024"/>
      <c r="BL146" s="1076"/>
      <c r="BM146" s="1024">
        <f t="shared" si="90"/>
        <v>0</v>
      </c>
      <c r="BN146" s="1024"/>
      <c r="BO146" s="1024"/>
      <c r="BP146" s="1024"/>
      <c r="BQ146" s="1024"/>
      <c r="BR146" s="1024"/>
      <c r="BS146" s="1024"/>
      <c r="BT146" s="1024"/>
      <c r="BU146" s="1024"/>
      <c r="BV146" s="1024"/>
      <c r="BW146" s="1024"/>
      <c r="BX146" s="1024"/>
      <c r="BY146" s="1024"/>
      <c r="BZ146" s="1029">
        <f t="shared" si="91"/>
        <v>0</v>
      </c>
      <c r="CA146" s="1018">
        <f t="shared" si="92"/>
        <v>0</v>
      </c>
      <c r="CB146" s="1024">
        <f t="shared" si="93"/>
        <v>0</v>
      </c>
      <c r="CC146" s="1023">
        <f t="shared" si="94"/>
        <v>0</v>
      </c>
      <c r="CD146" s="1023">
        <f t="shared" si="95"/>
        <v>0</v>
      </c>
      <c r="CE146" s="1023">
        <v>0</v>
      </c>
      <c r="CF146" s="1023">
        <f t="shared" si="96"/>
        <v>0</v>
      </c>
      <c r="CG146" s="1029"/>
      <c r="CH146" s="972"/>
      <c r="CI146" s="1083">
        <v>0</v>
      </c>
      <c r="CJ146" s="1083">
        <f t="shared" si="97"/>
        <v>0</v>
      </c>
      <c r="CL146" s="976">
        <v>0</v>
      </c>
      <c r="CM146" s="976">
        <f t="shared" si="98"/>
        <v>0</v>
      </c>
    </row>
    <row r="147" spans="1:91" s="1032" customFormat="1" outlineLevel="1">
      <c r="A147" s="1091"/>
      <c r="B147" s="1015"/>
      <c r="C147" s="1078"/>
      <c r="D147" s="1456" t="s">
        <v>690</v>
      </c>
      <c r="E147" s="1457"/>
      <c r="F147" s="1023"/>
      <c r="G147" s="1023"/>
      <c r="H147" s="1023"/>
      <c r="I147" s="1023"/>
      <c r="J147" s="1019"/>
      <c r="K147" s="1020"/>
      <c r="L147" s="1021"/>
      <c r="M147" s="1022"/>
      <c r="N147" s="1023"/>
      <c r="O147" s="1024"/>
      <c r="P147" s="1024"/>
      <c r="Q147" s="1024"/>
      <c r="R147" s="1024"/>
      <c r="S147" s="1024"/>
      <c r="T147" s="1024"/>
      <c r="U147" s="1024"/>
      <c r="V147" s="1024"/>
      <c r="W147" s="1024"/>
      <c r="X147" s="1024"/>
      <c r="Y147" s="1024"/>
      <c r="Z147" s="1025">
        <f t="shared" si="87"/>
        <v>0</v>
      </c>
      <c r="AA147" s="1026"/>
      <c r="AB147" s="1027"/>
      <c r="AC147" s="1027"/>
      <c r="AD147" s="1027"/>
      <c r="AE147" s="1027"/>
      <c r="AF147" s="1027"/>
      <c r="AG147" s="1027"/>
      <c r="AH147" s="1028"/>
      <c r="AI147" s="1028"/>
      <c r="AJ147" s="1028"/>
      <c r="AK147" s="1028"/>
      <c r="AL147" s="1028"/>
      <c r="AM147" s="1025">
        <f t="shared" si="88"/>
        <v>0</v>
      </c>
      <c r="AN147" s="1024"/>
      <c r="AO147" s="1024"/>
      <c r="AP147" s="1024"/>
      <c r="AQ147" s="1024"/>
      <c r="AR147" s="1024"/>
      <c r="AS147" s="1024"/>
      <c r="AT147" s="1024"/>
      <c r="AU147" s="1024"/>
      <c r="AV147" s="1024"/>
      <c r="AW147" s="1024"/>
      <c r="AX147" s="1024"/>
      <c r="AY147" s="1024"/>
      <c r="AZ147" s="1024">
        <f t="shared" si="89"/>
        <v>0</v>
      </c>
      <c r="BA147" s="1024"/>
      <c r="BB147" s="1024"/>
      <c r="BC147" s="1024"/>
      <c r="BD147" s="1024"/>
      <c r="BE147" s="1024"/>
      <c r="BF147" s="1024"/>
      <c r="BG147" s="1024"/>
      <c r="BH147" s="1024">
        <f>3282*1.082</f>
        <v>3551.1240000000003</v>
      </c>
      <c r="BI147" s="1024"/>
      <c r="BJ147" s="1024"/>
      <c r="BK147" s="1024"/>
      <c r="BL147" s="1076"/>
      <c r="BM147" s="1024">
        <f t="shared" si="90"/>
        <v>3551.1240000000003</v>
      </c>
      <c r="BN147" s="1024"/>
      <c r="BO147" s="1024"/>
      <c r="BP147" s="1024"/>
      <c r="BQ147" s="1024"/>
      <c r="BR147" s="1024"/>
      <c r="BS147" s="1024"/>
      <c r="BT147" s="1024"/>
      <c r="BU147" s="1024"/>
      <c r="BV147" s="1024"/>
      <c r="BW147" s="1024"/>
      <c r="BX147" s="1024"/>
      <c r="BY147" s="1024"/>
      <c r="BZ147" s="1029">
        <f t="shared" si="91"/>
        <v>0</v>
      </c>
      <c r="CA147" s="1018">
        <f t="shared" si="92"/>
        <v>3551.1240000000003</v>
      </c>
      <c r="CB147" s="1031">
        <f t="shared" si="93"/>
        <v>0</v>
      </c>
      <c r="CC147" s="1023">
        <f t="shared" si="94"/>
        <v>3551.1240000000003</v>
      </c>
      <c r="CD147" s="1023">
        <f t="shared" si="95"/>
        <v>3551.1240000000003</v>
      </c>
      <c r="CE147" s="1023">
        <v>3551.1240000000003</v>
      </c>
      <c r="CF147" s="1023">
        <f t="shared" si="96"/>
        <v>0</v>
      </c>
      <c r="CG147" s="1029"/>
      <c r="CH147" s="972"/>
      <c r="CI147" s="1094">
        <v>0</v>
      </c>
      <c r="CJ147" s="1083">
        <f t="shared" si="97"/>
        <v>-3551.1240000000003</v>
      </c>
      <c r="CL147" s="976">
        <v>0</v>
      </c>
      <c r="CM147" s="976">
        <f t="shared" si="98"/>
        <v>-3551.1240000000003</v>
      </c>
    </row>
    <row r="148" spans="1:91" s="1032" customFormat="1" outlineLevel="1">
      <c r="A148" s="1091"/>
      <c r="B148" s="1015"/>
      <c r="C148" s="1078"/>
      <c r="D148" s="1096" t="s">
        <v>691</v>
      </c>
      <c r="E148" s="1099"/>
      <c r="F148" s="1023"/>
      <c r="G148" s="1023"/>
      <c r="H148" s="1023"/>
      <c r="I148" s="1023"/>
      <c r="J148" s="1019"/>
      <c r="K148" s="1020"/>
      <c r="L148" s="1021"/>
      <c r="M148" s="1022"/>
      <c r="N148" s="1023"/>
      <c r="O148" s="1024"/>
      <c r="P148" s="1024"/>
      <c r="Q148" s="1024"/>
      <c r="R148" s="1024"/>
      <c r="S148" s="1024"/>
      <c r="T148" s="1024"/>
      <c r="U148" s="1024"/>
      <c r="V148" s="1024"/>
      <c r="W148" s="1024"/>
      <c r="X148" s="1024"/>
      <c r="Y148" s="1024"/>
      <c r="Z148" s="1025">
        <f t="shared" si="87"/>
        <v>0</v>
      </c>
      <c r="AA148" s="1026"/>
      <c r="AB148" s="1027"/>
      <c r="AC148" s="1027"/>
      <c r="AD148" s="1027"/>
      <c r="AE148" s="1027"/>
      <c r="AF148" s="1027"/>
      <c r="AG148" s="1027"/>
      <c r="AH148" s="1028"/>
      <c r="AI148" s="1028"/>
      <c r="AJ148" s="1028"/>
      <c r="AK148" s="1028"/>
      <c r="AL148" s="1028"/>
      <c r="AM148" s="1025">
        <f t="shared" si="88"/>
        <v>0</v>
      </c>
      <c r="AN148" s="1024"/>
      <c r="AO148" s="1024"/>
      <c r="AP148" s="1024"/>
      <c r="AQ148" s="1024"/>
      <c r="AR148" s="1024"/>
      <c r="AS148" s="1024"/>
      <c r="AT148" s="1024"/>
      <c r="AU148" s="1024"/>
      <c r="AV148" s="1024"/>
      <c r="AW148" s="1024"/>
      <c r="AX148" s="1024"/>
      <c r="AY148" s="1024"/>
      <c r="AZ148" s="1024">
        <f t="shared" si="89"/>
        <v>0</v>
      </c>
      <c r="BA148" s="1024"/>
      <c r="BB148" s="1024"/>
      <c r="BC148" s="1024"/>
      <c r="BD148" s="1024"/>
      <c r="BE148" s="1024"/>
      <c r="BF148" s="1024"/>
      <c r="BG148" s="1024"/>
      <c r="BH148" s="1024">
        <f>4667*1.082</f>
        <v>5049.6940000000004</v>
      </c>
      <c r="BI148" s="1024"/>
      <c r="BJ148" s="1024"/>
      <c r="BK148" s="1024"/>
      <c r="BL148" s="1076"/>
      <c r="BM148" s="1024">
        <f t="shared" si="90"/>
        <v>5049.6940000000004</v>
      </c>
      <c r="BN148" s="1024"/>
      <c r="BO148" s="1024"/>
      <c r="BP148" s="1024"/>
      <c r="BQ148" s="1024"/>
      <c r="BR148" s="1024"/>
      <c r="BS148" s="1024"/>
      <c r="BT148" s="1024"/>
      <c r="BU148" s="1024"/>
      <c r="BV148" s="1024"/>
      <c r="BW148" s="1024"/>
      <c r="BX148" s="1024"/>
      <c r="BY148" s="1024"/>
      <c r="BZ148" s="1029">
        <f t="shared" si="91"/>
        <v>0</v>
      </c>
      <c r="CA148" s="1018">
        <f t="shared" si="92"/>
        <v>5049.6940000000004</v>
      </c>
      <c r="CB148" s="1031">
        <f t="shared" si="93"/>
        <v>0</v>
      </c>
      <c r="CC148" s="1023">
        <f t="shared" si="94"/>
        <v>5049.6940000000004</v>
      </c>
      <c r="CD148" s="1023">
        <f t="shared" si="95"/>
        <v>5049.6940000000004</v>
      </c>
      <c r="CE148" s="1023">
        <v>5049.6940000000004</v>
      </c>
      <c r="CF148" s="1023">
        <f t="shared" si="96"/>
        <v>0</v>
      </c>
      <c r="CG148" s="1029"/>
      <c r="CH148" s="972"/>
      <c r="CI148" s="1094">
        <f t="shared" ref="CI148:CI154" si="99">4667*1.082</f>
        <v>5049.6940000000004</v>
      </c>
      <c r="CJ148" s="1083">
        <f t="shared" si="97"/>
        <v>0</v>
      </c>
      <c r="CL148" s="976">
        <v>0</v>
      </c>
      <c r="CM148" s="976">
        <f t="shared" si="98"/>
        <v>-5049.6940000000004</v>
      </c>
    </row>
    <row r="149" spans="1:91" s="1032" customFormat="1" outlineLevel="1">
      <c r="A149" s="1091"/>
      <c r="B149" s="1015"/>
      <c r="C149" s="1078"/>
      <c r="D149" s="1092" t="s">
        <v>692</v>
      </c>
      <c r="E149" s="1099"/>
      <c r="F149" s="1023"/>
      <c r="G149" s="1023"/>
      <c r="H149" s="1023"/>
      <c r="I149" s="1023"/>
      <c r="J149" s="1019"/>
      <c r="K149" s="1020"/>
      <c r="L149" s="1021"/>
      <c r="M149" s="1022"/>
      <c r="N149" s="1023"/>
      <c r="O149" s="1024"/>
      <c r="P149" s="1024"/>
      <c r="Q149" s="1024"/>
      <c r="R149" s="1024"/>
      <c r="S149" s="1024"/>
      <c r="T149" s="1024"/>
      <c r="U149" s="1024"/>
      <c r="V149" s="1024"/>
      <c r="W149" s="1024"/>
      <c r="X149" s="1024"/>
      <c r="Y149" s="1024"/>
      <c r="Z149" s="1025">
        <f t="shared" si="87"/>
        <v>0</v>
      </c>
      <c r="AA149" s="1026"/>
      <c r="AB149" s="1027"/>
      <c r="AC149" s="1027"/>
      <c r="AD149" s="1027"/>
      <c r="AE149" s="1027"/>
      <c r="AF149" s="1027"/>
      <c r="AG149" s="1027"/>
      <c r="AH149" s="1028"/>
      <c r="AI149" s="1028"/>
      <c r="AJ149" s="1028"/>
      <c r="AK149" s="1028"/>
      <c r="AL149" s="1028"/>
      <c r="AM149" s="1025">
        <f t="shared" si="88"/>
        <v>0</v>
      </c>
      <c r="AN149" s="1024"/>
      <c r="AO149" s="1024"/>
      <c r="AP149" s="1024"/>
      <c r="AQ149" s="1024"/>
      <c r="AR149" s="1024"/>
      <c r="AS149" s="1024"/>
      <c r="AT149" s="1024"/>
      <c r="AU149" s="1024"/>
      <c r="AV149" s="1024"/>
      <c r="AW149" s="1024"/>
      <c r="AX149" s="1024"/>
      <c r="AY149" s="1024"/>
      <c r="AZ149" s="1024">
        <f t="shared" si="89"/>
        <v>0</v>
      </c>
      <c r="BA149" s="1024"/>
      <c r="BB149" s="1024"/>
      <c r="BC149" s="1024"/>
      <c r="BD149" s="1024"/>
      <c r="BE149" s="1024"/>
      <c r="BF149" s="1024"/>
      <c r="BG149" s="1024"/>
      <c r="BH149" s="1024"/>
      <c r="BI149" s="1024"/>
      <c r="BJ149" s="1024"/>
      <c r="BK149" s="1024"/>
      <c r="BL149" s="1076"/>
      <c r="BM149" s="1024">
        <f t="shared" si="90"/>
        <v>0</v>
      </c>
      <c r="BN149" s="1024"/>
      <c r="BO149" s="1024"/>
      <c r="BP149" s="1024"/>
      <c r="BQ149" s="1024"/>
      <c r="BR149" s="1024"/>
      <c r="BS149" s="1024"/>
      <c r="BT149" s="1024"/>
      <c r="BU149" s="1024"/>
      <c r="BV149" s="1024"/>
      <c r="BW149" s="1024"/>
      <c r="BX149" s="1024"/>
      <c r="BY149" s="1024"/>
      <c r="BZ149" s="1029">
        <f t="shared" si="91"/>
        <v>0</v>
      </c>
      <c r="CA149" s="1018">
        <f t="shared" si="92"/>
        <v>0</v>
      </c>
      <c r="CB149" s="1077">
        <f t="shared" si="93"/>
        <v>0</v>
      </c>
      <c r="CC149" s="1023">
        <f t="shared" si="94"/>
        <v>0</v>
      </c>
      <c r="CD149" s="1023">
        <f t="shared" si="95"/>
        <v>0</v>
      </c>
      <c r="CE149" s="1023">
        <v>0</v>
      </c>
      <c r="CF149" s="1023">
        <f t="shared" si="96"/>
        <v>0</v>
      </c>
      <c r="CG149" s="1029"/>
      <c r="CH149" s="972"/>
      <c r="CI149" s="1094">
        <f t="shared" si="99"/>
        <v>5049.6940000000004</v>
      </c>
      <c r="CJ149" s="1083">
        <f t="shared" si="97"/>
        <v>5049.6940000000004</v>
      </c>
      <c r="CL149" s="976">
        <v>0</v>
      </c>
      <c r="CM149" s="976">
        <f t="shared" si="98"/>
        <v>0</v>
      </c>
    </row>
    <row r="150" spans="1:91" s="1032" customFormat="1" outlineLevel="1">
      <c r="A150" s="1091"/>
      <c r="B150" s="1015"/>
      <c r="C150" s="1078"/>
      <c r="D150" s="1092" t="s">
        <v>693</v>
      </c>
      <c r="E150" s="1099"/>
      <c r="F150" s="1023"/>
      <c r="G150" s="1023"/>
      <c r="H150" s="1023"/>
      <c r="I150" s="1023"/>
      <c r="J150" s="1019"/>
      <c r="K150" s="1020"/>
      <c r="L150" s="1021"/>
      <c r="M150" s="1022"/>
      <c r="N150" s="1023"/>
      <c r="O150" s="1024"/>
      <c r="P150" s="1024"/>
      <c r="Q150" s="1024"/>
      <c r="R150" s="1024"/>
      <c r="S150" s="1024"/>
      <c r="T150" s="1024"/>
      <c r="U150" s="1024"/>
      <c r="V150" s="1024"/>
      <c r="W150" s="1024"/>
      <c r="X150" s="1024"/>
      <c r="Y150" s="1024"/>
      <c r="Z150" s="1025">
        <f t="shared" si="87"/>
        <v>0</v>
      </c>
      <c r="AA150" s="1026"/>
      <c r="AB150" s="1027"/>
      <c r="AC150" s="1027"/>
      <c r="AD150" s="1027"/>
      <c r="AE150" s="1027"/>
      <c r="AF150" s="1027"/>
      <c r="AG150" s="1027"/>
      <c r="AH150" s="1028"/>
      <c r="AI150" s="1028"/>
      <c r="AJ150" s="1028"/>
      <c r="AK150" s="1028"/>
      <c r="AL150" s="1028"/>
      <c r="AM150" s="1025">
        <f t="shared" si="88"/>
        <v>0</v>
      </c>
      <c r="AN150" s="1024"/>
      <c r="AO150" s="1024"/>
      <c r="AP150" s="1024"/>
      <c r="AQ150" s="1024"/>
      <c r="AR150" s="1024"/>
      <c r="AS150" s="1024"/>
      <c r="AT150" s="1024"/>
      <c r="AU150" s="1024"/>
      <c r="AV150" s="1024"/>
      <c r="AW150" s="1024"/>
      <c r="AX150" s="1024"/>
      <c r="AY150" s="1024"/>
      <c r="AZ150" s="1024">
        <f t="shared" si="89"/>
        <v>0</v>
      </c>
      <c r="BA150" s="1024"/>
      <c r="BB150" s="1024"/>
      <c r="BC150" s="1024"/>
      <c r="BD150" s="1024"/>
      <c r="BE150" s="1024"/>
      <c r="BF150" s="1024"/>
      <c r="BG150" s="1024"/>
      <c r="BH150" s="1024"/>
      <c r="BI150" s="1024"/>
      <c r="BJ150" s="1024"/>
      <c r="BK150" s="1024"/>
      <c r="BL150" s="1076"/>
      <c r="BM150" s="1024">
        <f t="shared" si="90"/>
        <v>0</v>
      </c>
      <c r="BN150" s="1024"/>
      <c r="BO150" s="1024"/>
      <c r="BP150" s="1024"/>
      <c r="BQ150" s="1024"/>
      <c r="BR150" s="1024"/>
      <c r="BS150" s="1024"/>
      <c r="BT150" s="1024"/>
      <c r="BU150" s="1024"/>
      <c r="BV150" s="1024"/>
      <c r="BW150" s="1024"/>
      <c r="BX150" s="1024"/>
      <c r="BY150" s="1024"/>
      <c r="BZ150" s="1029">
        <f t="shared" si="91"/>
        <v>0</v>
      </c>
      <c r="CA150" s="1018">
        <f t="shared" si="92"/>
        <v>0</v>
      </c>
      <c r="CB150" s="1031">
        <f t="shared" si="93"/>
        <v>0</v>
      </c>
      <c r="CC150" s="1023">
        <f t="shared" si="94"/>
        <v>0</v>
      </c>
      <c r="CD150" s="1023">
        <f t="shared" si="95"/>
        <v>0</v>
      </c>
      <c r="CE150" s="1023">
        <v>0</v>
      </c>
      <c r="CF150" s="1023">
        <f t="shared" si="96"/>
        <v>0</v>
      </c>
      <c r="CG150" s="1029"/>
      <c r="CH150" s="972"/>
      <c r="CI150" s="1094">
        <f t="shared" si="99"/>
        <v>5049.6940000000004</v>
      </c>
      <c r="CJ150" s="1083">
        <f t="shared" si="97"/>
        <v>5049.6940000000004</v>
      </c>
      <c r="CL150" s="976">
        <v>0</v>
      </c>
      <c r="CM150" s="976">
        <f t="shared" si="98"/>
        <v>0</v>
      </c>
    </row>
    <row r="151" spans="1:91" s="1032" customFormat="1" outlineLevel="1">
      <c r="A151" s="1091"/>
      <c r="B151" s="1015"/>
      <c r="C151" s="1078"/>
      <c r="D151" s="1092" t="s">
        <v>694</v>
      </c>
      <c r="E151" s="1099"/>
      <c r="F151" s="1023"/>
      <c r="G151" s="1023"/>
      <c r="H151" s="1023"/>
      <c r="I151" s="1023"/>
      <c r="J151" s="1019"/>
      <c r="K151" s="1020"/>
      <c r="L151" s="1021"/>
      <c r="M151" s="1022"/>
      <c r="N151" s="1023"/>
      <c r="O151" s="1024"/>
      <c r="P151" s="1024"/>
      <c r="Q151" s="1024"/>
      <c r="R151" s="1024"/>
      <c r="S151" s="1024"/>
      <c r="T151" s="1024"/>
      <c r="U151" s="1024"/>
      <c r="V151" s="1024"/>
      <c r="W151" s="1024"/>
      <c r="X151" s="1024"/>
      <c r="Y151" s="1024"/>
      <c r="Z151" s="1025">
        <f t="shared" si="87"/>
        <v>0</v>
      </c>
      <c r="AA151" s="1026"/>
      <c r="AB151" s="1027"/>
      <c r="AC151" s="1027"/>
      <c r="AD151" s="1027"/>
      <c r="AE151" s="1027"/>
      <c r="AF151" s="1027"/>
      <c r="AG151" s="1027"/>
      <c r="AH151" s="1028"/>
      <c r="AI151" s="1028"/>
      <c r="AJ151" s="1028"/>
      <c r="AK151" s="1028"/>
      <c r="AL151" s="1028"/>
      <c r="AM151" s="1025">
        <f t="shared" si="88"/>
        <v>0</v>
      </c>
      <c r="AN151" s="1024"/>
      <c r="AO151" s="1024"/>
      <c r="AP151" s="1024"/>
      <c r="AQ151" s="1024"/>
      <c r="AR151" s="1024"/>
      <c r="AS151" s="1024"/>
      <c r="AT151" s="1024"/>
      <c r="AU151" s="1024"/>
      <c r="AV151" s="1024"/>
      <c r="AW151" s="1024"/>
      <c r="AX151" s="1024"/>
      <c r="AY151" s="1024"/>
      <c r="AZ151" s="1024">
        <f t="shared" si="89"/>
        <v>0</v>
      </c>
      <c r="BA151" s="1024"/>
      <c r="BB151" s="1024"/>
      <c r="BC151" s="1024"/>
      <c r="BD151" s="1024"/>
      <c r="BE151" s="1024"/>
      <c r="BF151" s="1024"/>
      <c r="BG151" s="1024"/>
      <c r="BH151" s="1024"/>
      <c r="BI151" s="1024"/>
      <c r="BJ151" s="1024"/>
      <c r="BK151" s="1024"/>
      <c r="BL151" s="1076"/>
      <c r="BM151" s="1024">
        <f t="shared" si="90"/>
        <v>0</v>
      </c>
      <c r="BN151" s="1024"/>
      <c r="BO151" s="1024"/>
      <c r="BP151" s="1024"/>
      <c r="BQ151" s="1024"/>
      <c r="BR151" s="1024"/>
      <c r="BS151" s="1024"/>
      <c r="BT151" s="1024"/>
      <c r="BU151" s="1024"/>
      <c r="BV151" s="1024"/>
      <c r="BW151" s="1024"/>
      <c r="BX151" s="1024"/>
      <c r="BY151" s="1024"/>
      <c r="BZ151" s="1029">
        <f t="shared" si="91"/>
        <v>0</v>
      </c>
      <c r="CA151" s="1018">
        <f t="shared" si="92"/>
        <v>0</v>
      </c>
      <c r="CB151" s="1024"/>
      <c r="CC151" s="1023">
        <f t="shared" si="94"/>
        <v>0</v>
      </c>
      <c r="CD151" s="1023">
        <f t="shared" si="95"/>
        <v>0</v>
      </c>
      <c r="CE151" s="1023">
        <v>0</v>
      </c>
      <c r="CF151" s="1023">
        <f t="shared" si="96"/>
        <v>0</v>
      </c>
      <c r="CG151" s="1029"/>
      <c r="CH151" s="972"/>
      <c r="CI151" s="1094">
        <f t="shared" si="99"/>
        <v>5049.6940000000004</v>
      </c>
      <c r="CJ151" s="1083">
        <f t="shared" si="97"/>
        <v>5049.6940000000004</v>
      </c>
      <c r="CL151" s="976">
        <v>0</v>
      </c>
      <c r="CM151" s="976">
        <f t="shared" si="98"/>
        <v>0</v>
      </c>
    </row>
    <row r="152" spans="1:91" s="1032" customFormat="1" outlineLevel="1">
      <c r="A152" s="1091"/>
      <c r="B152" s="1015"/>
      <c r="C152" s="1078"/>
      <c r="D152" s="1092" t="s">
        <v>695</v>
      </c>
      <c r="E152" s="1099"/>
      <c r="F152" s="1023"/>
      <c r="G152" s="1023"/>
      <c r="H152" s="1023"/>
      <c r="I152" s="1023"/>
      <c r="J152" s="1019"/>
      <c r="K152" s="1020"/>
      <c r="L152" s="1021"/>
      <c r="M152" s="1022"/>
      <c r="N152" s="1023"/>
      <c r="O152" s="1024"/>
      <c r="P152" s="1024"/>
      <c r="Q152" s="1024"/>
      <c r="R152" s="1024"/>
      <c r="S152" s="1024"/>
      <c r="T152" s="1024"/>
      <c r="U152" s="1024"/>
      <c r="V152" s="1024"/>
      <c r="W152" s="1024"/>
      <c r="X152" s="1024"/>
      <c r="Y152" s="1024"/>
      <c r="Z152" s="1025">
        <f t="shared" si="87"/>
        <v>0</v>
      </c>
      <c r="AA152" s="1026"/>
      <c r="AB152" s="1027"/>
      <c r="AC152" s="1027"/>
      <c r="AD152" s="1027"/>
      <c r="AE152" s="1027"/>
      <c r="AF152" s="1027"/>
      <c r="AG152" s="1027"/>
      <c r="AH152" s="1028"/>
      <c r="AI152" s="1028"/>
      <c r="AJ152" s="1028"/>
      <c r="AK152" s="1028"/>
      <c r="AL152" s="1028"/>
      <c r="AM152" s="1025">
        <f t="shared" si="88"/>
        <v>0</v>
      </c>
      <c r="AN152" s="1024"/>
      <c r="AO152" s="1024"/>
      <c r="AP152" s="1024"/>
      <c r="AQ152" s="1024"/>
      <c r="AR152" s="1024"/>
      <c r="AS152" s="1024"/>
      <c r="AT152" s="1024"/>
      <c r="AU152" s="1024"/>
      <c r="AV152" s="1024"/>
      <c r="AW152" s="1024"/>
      <c r="AX152" s="1024"/>
      <c r="AY152" s="1024"/>
      <c r="AZ152" s="1024">
        <f t="shared" si="89"/>
        <v>0</v>
      </c>
      <c r="BA152" s="1024"/>
      <c r="BB152" s="1024"/>
      <c r="BC152" s="1024"/>
      <c r="BD152" s="1024"/>
      <c r="BE152" s="1024"/>
      <c r="BF152" s="1024"/>
      <c r="BG152" s="1024"/>
      <c r="BH152" s="1024"/>
      <c r="BI152" s="1024">
        <f>4703.4*1.082</f>
        <v>5089.0788000000002</v>
      </c>
      <c r="BJ152" s="1024">
        <f>4703.4*1.082</f>
        <v>5089.0788000000002</v>
      </c>
      <c r="BK152" s="1024">
        <f>4703.4*1.082</f>
        <v>5089.0788000000002</v>
      </c>
      <c r="BL152" s="1076">
        <v>-9889.06</v>
      </c>
      <c r="BM152" s="1024">
        <f t="shared" si="90"/>
        <v>5378.1764000000021</v>
      </c>
      <c r="BN152" s="1024"/>
      <c r="BO152" s="1024"/>
      <c r="BP152" s="1024"/>
      <c r="BQ152" s="1024"/>
      <c r="BR152" s="1024"/>
      <c r="BS152" s="1024"/>
      <c r="BT152" s="1093">
        <v>0</v>
      </c>
      <c r="BU152" s="1024"/>
      <c r="BV152" s="1024"/>
      <c r="BW152" s="1024"/>
      <c r="BX152" s="1024"/>
      <c r="BY152" s="1024"/>
      <c r="BZ152" s="1029">
        <f t="shared" si="91"/>
        <v>0</v>
      </c>
      <c r="CA152" s="1018">
        <f t="shared" si="92"/>
        <v>5378.1764000000021</v>
      </c>
      <c r="CB152" s="1093">
        <f t="shared" ref="CB152:CB157" si="100">SUMIF(($M$1:$BZ$1),"Forecast",(M152:BZ152))</f>
        <v>0</v>
      </c>
      <c r="CC152" s="1023">
        <f t="shared" si="94"/>
        <v>5378.1764000000021</v>
      </c>
      <c r="CD152" s="1023">
        <f t="shared" si="95"/>
        <v>5378.1764000000021</v>
      </c>
      <c r="CE152" s="1023">
        <v>0.17640000000210421</v>
      </c>
      <c r="CF152" s="1023">
        <f t="shared" si="96"/>
        <v>5378</v>
      </c>
      <c r="CG152" s="1029"/>
      <c r="CH152" s="972"/>
      <c r="CI152" s="1094">
        <f t="shared" si="99"/>
        <v>5049.6940000000004</v>
      </c>
      <c r="CJ152" s="1083">
        <f t="shared" si="97"/>
        <v>-328.48240000000169</v>
      </c>
      <c r="CL152" s="976">
        <v>0</v>
      </c>
      <c r="CM152" s="976">
        <f t="shared" si="98"/>
        <v>-5378.1764000000021</v>
      </c>
    </row>
    <row r="153" spans="1:91" s="1032" customFormat="1" outlineLevel="1">
      <c r="A153" s="1091"/>
      <c r="B153" s="1015"/>
      <c r="C153" s="1078"/>
      <c r="D153" s="1092" t="s">
        <v>696</v>
      </c>
      <c r="E153" s="1099"/>
      <c r="F153" s="1023"/>
      <c r="G153" s="1023"/>
      <c r="H153" s="1023"/>
      <c r="I153" s="1023"/>
      <c r="J153" s="1019"/>
      <c r="K153" s="1020"/>
      <c r="L153" s="1021"/>
      <c r="M153" s="1022"/>
      <c r="N153" s="1023"/>
      <c r="O153" s="1024"/>
      <c r="P153" s="1024"/>
      <c r="Q153" s="1024"/>
      <c r="R153" s="1024"/>
      <c r="S153" s="1024"/>
      <c r="T153" s="1024"/>
      <c r="U153" s="1024"/>
      <c r="V153" s="1024"/>
      <c r="W153" s="1024"/>
      <c r="X153" s="1024"/>
      <c r="Y153" s="1024"/>
      <c r="Z153" s="1025">
        <f t="shared" si="87"/>
        <v>0</v>
      </c>
      <c r="AA153" s="1026"/>
      <c r="AB153" s="1027"/>
      <c r="AC153" s="1027"/>
      <c r="AD153" s="1027"/>
      <c r="AE153" s="1027"/>
      <c r="AF153" s="1027"/>
      <c r="AG153" s="1027"/>
      <c r="AH153" s="1028"/>
      <c r="AI153" s="1028"/>
      <c r="AJ153" s="1028"/>
      <c r="AK153" s="1028"/>
      <c r="AL153" s="1028"/>
      <c r="AM153" s="1025">
        <f t="shared" si="88"/>
        <v>0</v>
      </c>
      <c r="AN153" s="1024"/>
      <c r="AO153" s="1024"/>
      <c r="AP153" s="1024"/>
      <c r="AQ153" s="1024"/>
      <c r="AR153" s="1024"/>
      <c r="AS153" s="1024"/>
      <c r="AT153" s="1024"/>
      <c r="AU153" s="1024"/>
      <c r="AV153" s="1024"/>
      <c r="AW153" s="1024"/>
      <c r="AX153" s="1024"/>
      <c r="AY153" s="1024"/>
      <c r="AZ153" s="1024">
        <f t="shared" si="89"/>
        <v>0</v>
      </c>
      <c r="BA153" s="1024"/>
      <c r="BB153" s="1024"/>
      <c r="BC153" s="1024"/>
      <c r="BD153" s="1024"/>
      <c r="BE153" s="1024"/>
      <c r="BF153" s="1024"/>
      <c r="BG153" s="1024"/>
      <c r="BH153" s="1024"/>
      <c r="BI153" s="1024"/>
      <c r="BJ153" s="1024"/>
      <c r="BK153" s="1024"/>
      <c r="BL153" s="1076"/>
      <c r="BM153" s="1024">
        <f t="shared" si="90"/>
        <v>0</v>
      </c>
      <c r="BN153" s="1024"/>
      <c r="BO153" s="1024">
        <f>25000*1.082+13525</f>
        <v>40575</v>
      </c>
      <c r="BP153" s="1024">
        <f>364395.31*1.082</f>
        <v>394275.72542000003</v>
      </c>
      <c r="BQ153" s="1093">
        <f>(169512.17*1.082)*(25/30)</f>
        <v>152843.47328333335</v>
      </c>
      <c r="BR153" s="1093">
        <v>0</v>
      </c>
      <c r="BS153" s="1024"/>
      <c r="BT153" s="1093">
        <v>0</v>
      </c>
      <c r="BU153" s="1024"/>
      <c r="BV153" s="1024"/>
      <c r="BW153" s="1024"/>
      <c r="BX153" s="1024"/>
      <c r="BY153" s="1024"/>
      <c r="BZ153" s="1029">
        <f t="shared" si="91"/>
        <v>587694.19870333339</v>
      </c>
      <c r="CA153" s="1018">
        <f t="shared" si="92"/>
        <v>587694.19870333339</v>
      </c>
      <c r="CB153" s="1031">
        <f t="shared" si="100"/>
        <v>0</v>
      </c>
      <c r="CC153" s="1023">
        <f t="shared" si="94"/>
        <v>587694.19870333339</v>
      </c>
      <c r="CD153" s="1023">
        <f t="shared" si="95"/>
        <v>587694.19870333339</v>
      </c>
      <c r="CE153" s="1023">
        <v>746459.08542000002</v>
      </c>
      <c r="CF153" s="1023">
        <f t="shared" si="96"/>
        <v>-158764.88671666663</v>
      </c>
      <c r="CG153" s="1029"/>
      <c r="CH153" s="972"/>
      <c r="CI153" s="1094">
        <f t="shared" si="99"/>
        <v>5049.6940000000004</v>
      </c>
      <c r="CJ153" s="1083">
        <f t="shared" si="97"/>
        <v>-582644.50470333337</v>
      </c>
      <c r="CL153" s="976">
        <v>0</v>
      </c>
      <c r="CM153" s="976">
        <f t="shared" si="98"/>
        <v>-587694.19870333339</v>
      </c>
    </row>
    <row r="154" spans="1:91" s="1120" customFormat="1" ht="40.5" customHeight="1" outlineLevel="1">
      <c r="A154" s="1100"/>
      <c r="B154" s="1101"/>
      <c r="C154" s="1102"/>
      <c r="D154" s="1458" t="s">
        <v>697</v>
      </c>
      <c r="E154" s="1459"/>
      <c r="F154" s="1103"/>
      <c r="G154" s="1103"/>
      <c r="H154" s="1103"/>
      <c r="I154" s="1103"/>
      <c r="J154" s="1104"/>
      <c r="K154" s="1105"/>
      <c r="L154" s="1106"/>
      <c r="M154" s="1107"/>
      <c r="N154" s="1103"/>
      <c r="O154" s="1108"/>
      <c r="P154" s="1108"/>
      <c r="Q154" s="1108"/>
      <c r="R154" s="1108"/>
      <c r="S154" s="1108"/>
      <c r="T154" s="1108"/>
      <c r="U154" s="1108"/>
      <c r="V154" s="1108"/>
      <c r="W154" s="1108"/>
      <c r="X154" s="1108"/>
      <c r="Y154" s="1108"/>
      <c r="Z154" s="1109">
        <f t="shared" si="87"/>
        <v>0</v>
      </c>
      <c r="AA154" s="1110"/>
      <c r="AB154" s="1111"/>
      <c r="AC154" s="1111"/>
      <c r="AD154" s="1111"/>
      <c r="AE154" s="1111"/>
      <c r="AF154" s="1111"/>
      <c r="AG154" s="1111"/>
      <c r="AH154" s="1112"/>
      <c r="AI154" s="1112"/>
      <c r="AJ154" s="1112"/>
      <c r="AK154" s="1112"/>
      <c r="AL154" s="1112"/>
      <c r="AM154" s="1109">
        <f t="shared" si="88"/>
        <v>0</v>
      </c>
      <c r="AN154" s="1108"/>
      <c r="AO154" s="1108"/>
      <c r="AP154" s="1108"/>
      <c r="AQ154" s="1108"/>
      <c r="AR154" s="1108"/>
      <c r="AS154" s="1108"/>
      <c r="AT154" s="1108"/>
      <c r="AU154" s="1108"/>
      <c r="AV154" s="1108"/>
      <c r="AW154" s="1108"/>
      <c r="AX154" s="1108"/>
      <c r="AY154" s="1108"/>
      <c r="AZ154" s="1108">
        <f t="shared" si="89"/>
        <v>0</v>
      </c>
      <c r="BA154" s="1108"/>
      <c r="BB154" s="1108"/>
      <c r="BC154" s="1108"/>
      <c r="BD154" s="1108"/>
      <c r="BE154" s="1108"/>
      <c r="BF154" s="1108"/>
      <c r="BG154" s="1108"/>
      <c r="BH154" s="1108"/>
      <c r="BI154" s="1108"/>
      <c r="BJ154" s="1108"/>
      <c r="BK154" s="1108"/>
      <c r="BL154" s="1113"/>
      <c r="BM154" s="1108">
        <f t="shared" si="90"/>
        <v>0</v>
      </c>
      <c r="BN154" s="1108"/>
      <c r="BO154" s="1108"/>
      <c r="BP154" s="1108"/>
      <c r="BQ154" s="1108"/>
      <c r="BR154" s="1093">
        <v>0</v>
      </c>
      <c r="BS154" s="1093">
        <v>0</v>
      </c>
      <c r="BT154" s="1108"/>
      <c r="BU154" s="1108"/>
      <c r="BV154" s="1108"/>
      <c r="BW154" s="1108"/>
      <c r="BX154" s="1108"/>
      <c r="BY154" s="1108"/>
      <c r="BZ154" s="1114">
        <f t="shared" si="91"/>
        <v>0</v>
      </c>
      <c r="CA154" s="1115">
        <f t="shared" si="92"/>
        <v>0</v>
      </c>
      <c r="CB154" s="1116">
        <f t="shared" si="100"/>
        <v>0</v>
      </c>
      <c r="CC154" s="1103">
        <f t="shared" si="94"/>
        <v>0</v>
      </c>
      <c r="CD154" s="1103">
        <f t="shared" si="95"/>
        <v>0</v>
      </c>
      <c r="CE154" s="1103">
        <v>476768.15200000006</v>
      </c>
      <c r="CF154" s="1103">
        <f t="shared" si="96"/>
        <v>-476768.15200000006</v>
      </c>
      <c r="CG154" s="1114"/>
      <c r="CH154" s="1117"/>
      <c r="CI154" s="1118">
        <f t="shared" si="99"/>
        <v>5049.6940000000004</v>
      </c>
      <c r="CJ154" s="1119">
        <f t="shared" si="97"/>
        <v>5049.6940000000004</v>
      </c>
      <c r="CL154" s="1121">
        <v>0</v>
      </c>
      <c r="CM154" s="1121">
        <f t="shared" si="98"/>
        <v>0</v>
      </c>
    </row>
    <row r="155" spans="1:91" s="1032" customFormat="1" outlineLevel="1">
      <c r="A155" s="1091"/>
      <c r="B155" s="1015"/>
      <c r="D155" s="1078" t="s">
        <v>698</v>
      </c>
      <c r="E155" s="1017"/>
      <c r="F155" s="1023">
        <v>500000</v>
      </c>
      <c r="G155" s="1023">
        <v>0</v>
      </c>
      <c r="H155" s="1023">
        <v>0</v>
      </c>
      <c r="I155" s="1023">
        <v>0</v>
      </c>
      <c r="J155" s="1019"/>
      <c r="K155" s="1020"/>
      <c r="L155" s="1021"/>
      <c r="M155" s="1022"/>
      <c r="N155" s="1023"/>
      <c r="O155" s="1024"/>
      <c r="P155" s="1024"/>
      <c r="Q155" s="1024"/>
      <c r="R155" s="1024"/>
      <c r="S155" s="1024"/>
      <c r="T155" s="1024"/>
      <c r="U155" s="1024"/>
      <c r="V155" s="1024"/>
      <c r="W155" s="1024"/>
      <c r="X155" s="1024"/>
      <c r="Y155" s="1024"/>
      <c r="Z155" s="1025">
        <f t="shared" si="87"/>
        <v>0</v>
      </c>
      <c r="AA155" s="1026"/>
      <c r="AB155" s="1027"/>
      <c r="AC155" s="1027"/>
      <c r="AD155" s="1027"/>
      <c r="AE155" s="1027"/>
      <c r="AF155" s="1027"/>
      <c r="AG155" s="1027"/>
      <c r="AH155" s="1028"/>
      <c r="AI155" s="1028"/>
      <c r="AJ155" s="1028"/>
      <c r="AK155" s="1028"/>
      <c r="AL155" s="1028"/>
      <c r="AM155" s="1025">
        <f t="shared" si="88"/>
        <v>0</v>
      </c>
      <c r="AN155" s="1024"/>
      <c r="AO155" s="1024"/>
      <c r="AP155" s="1024"/>
      <c r="AQ155" s="1024"/>
      <c r="AR155" s="1024"/>
      <c r="AS155" s="1024"/>
      <c r="AT155" s="1024"/>
      <c r="AU155" s="1024"/>
      <c r="AV155" s="1024"/>
      <c r="AW155" s="1024"/>
      <c r="AX155" s="1024"/>
      <c r="AY155" s="1024"/>
      <c r="AZ155" s="1024">
        <f t="shared" si="89"/>
        <v>0</v>
      </c>
      <c r="BA155" s="1024"/>
      <c r="BB155" s="1024"/>
      <c r="BC155" s="1024"/>
      <c r="BD155" s="1024"/>
      <c r="BE155" s="1024"/>
      <c r="BF155" s="1024"/>
      <c r="BG155" s="1024"/>
      <c r="BH155" s="1024"/>
      <c r="BI155" s="1024"/>
      <c r="BJ155" s="1024"/>
      <c r="BK155" s="1024"/>
      <c r="BL155" s="1024"/>
      <c r="BM155" s="1024">
        <f t="shared" si="90"/>
        <v>0</v>
      </c>
      <c r="BN155" s="1024"/>
      <c r="BO155" s="1024"/>
      <c r="BP155" s="1024"/>
      <c r="BQ155" s="1024"/>
      <c r="BR155" s="1024"/>
      <c r="BS155" s="1024"/>
      <c r="BT155" s="1024"/>
      <c r="BU155" s="1024"/>
      <c r="BV155" s="1024"/>
      <c r="BW155" s="1024"/>
      <c r="BX155" s="1024"/>
      <c r="BY155" s="1024"/>
      <c r="BZ155" s="1029">
        <f t="shared" si="91"/>
        <v>0</v>
      </c>
      <c r="CA155" s="1030">
        <f t="shared" si="92"/>
        <v>0</v>
      </c>
      <c r="CB155" s="1024">
        <f t="shared" si="100"/>
        <v>0</v>
      </c>
      <c r="CC155" s="1023">
        <f t="shared" si="94"/>
        <v>0</v>
      </c>
      <c r="CD155" s="1023">
        <f t="shared" si="95"/>
        <v>0</v>
      </c>
      <c r="CE155" s="1023">
        <v>0</v>
      </c>
      <c r="CF155" s="1023">
        <f t="shared" si="96"/>
        <v>0</v>
      </c>
      <c r="CG155" s="1029"/>
      <c r="CH155" s="972"/>
      <c r="CI155" s="1308">
        <v>0</v>
      </c>
      <c r="CJ155" s="1083">
        <f>+CC155-CI155</f>
        <v>0</v>
      </c>
      <c r="CL155" s="976">
        <v>0</v>
      </c>
      <c r="CM155" s="976">
        <f t="shared" si="98"/>
        <v>0</v>
      </c>
    </row>
    <row r="156" spans="1:91" s="1032" customFormat="1" ht="12.75" customHeight="1" outlineLevel="1">
      <c r="A156" s="1091"/>
      <c r="B156" s="1015"/>
      <c r="C156" s="1078"/>
      <c r="D156" s="1016" t="s">
        <v>699</v>
      </c>
      <c r="E156" s="1017"/>
      <c r="F156" s="1023"/>
      <c r="G156" s="1023">
        <v>0</v>
      </c>
      <c r="H156" s="1023">
        <v>0</v>
      </c>
      <c r="I156" s="1023">
        <v>0</v>
      </c>
      <c r="J156" s="1019"/>
      <c r="K156" s="1020"/>
      <c r="L156" s="1021"/>
      <c r="M156" s="1022"/>
      <c r="N156" s="1023"/>
      <c r="O156" s="1024"/>
      <c r="P156" s="1024"/>
      <c r="Q156" s="1024"/>
      <c r="R156" s="1024"/>
      <c r="S156" s="1024"/>
      <c r="T156" s="1024"/>
      <c r="U156" s="1024"/>
      <c r="V156" s="1024"/>
      <c r="W156" s="1024"/>
      <c r="X156" s="1024"/>
      <c r="Y156" s="1024"/>
      <c r="Z156" s="1025">
        <f t="shared" si="87"/>
        <v>0</v>
      </c>
      <c r="AA156" s="1026"/>
      <c r="AB156" s="1027"/>
      <c r="AC156" s="1027"/>
      <c r="AD156" s="1027"/>
      <c r="AE156" s="1027"/>
      <c r="AF156" s="1027"/>
      <c r="AG156" s="1027"/>
      <c r="AH156" s="1028"/>
      <c r="AI156" s="1028"/>
      <c r="AJ156" s="1028"/>
      <c r="AK156" s="1028"/>
      <c r="AL156" s="1028"/>
      <c r="AM156" s="1025">
        <f t="shared" si="88"/>
        <v>0</v>
      </c>
      <c r="AN156" s="1024">
        <f>-276250+276250</f>
        <v>0</v>
      </c>
      <c r="AO156" s="1024"/>
      <c r="AP156" s="1024"/>
      <c r="AQ156" s="1024"/>
      <c r="AR156" s="1024"/>
      <c r="AS156" s="1024"/>
      <c r="AT156" s="1024"/>
      <c r="AU156" s="1024"/>
      <c r="AV156" s="1024"/>
      <c r="AW156" s="1024"/>
      <c r="AX156" s="1024"/>
      <c r="AY156" s="1076"/>
      <c r="AZ156" s="1024">
        <f t="shared" si="89"/>
        <v>0</v>
      </c>
      <c r="BA156" s="1024"/>
      <c r="BB156" s="1024"/>
      <c r="BC156" s="1024"/>
      <c r="BD156" s="1024"/>
      <c r="BE156" s="1024"/>
      <c r="BF156" s="1024"/>
      <c r="BG156" s="1024"/>
      <c r="BH156" s="1024"/>
      <c r="BI156" s="1024"/>
      <c r="BJ156" s="1024"/>
      <c r="BK156" s="1024"/>
      <c r="BL156" s="1024"/>
      <c r="BM156" s="1024">
        <f t="shared" si="90"/>
        <v>0</v>
      </c>
      <c r="BN156" s="1024"/>
      <c r="BO156" s="1024"/>
      <c r="BP156" s="1024"/>
      <c r="BQ156" s="1024"/>
      <c r="BR156" s="1024"/>
      <c r="BS156" s="1024"/>
      <c r="BT156" s="1093">
        <v>0</v>
      </c>
      <c r="BU156" s="1024"/>
      <c r="BV156" s="1024"/>
      <c r="BW156" s="1024"/>
      <c r="BX156" s="1024"/>
      <c r="BY156" s="1024"/>
      <c r="BZ156" s="1029">
        <f t="shared" si="91"/>
        <v>0</v>
      </c>
      <c r="CA156" s="1030">
        <f t="shared" si="92"/>
        <v>0</v>
      </c>
      <c r="CB156" s="1024">
        <f t="shared" si="100"/>
        <v>0</v>
      </c>
      <c r="CC156" s="1023">
        <f t="shared" si="94"/>
        <v>0</v>
      </c>
      <c r="CD156" s="1023">
        <f t="shared" si="95"/>
        <v>0</v>
      </c>
      <c r="CE156" s="1023">
        <v>-35389</v>
      </c>
      <c r="CF156" s="1023">
        <f t="shared" si="96"/>
        <v>35389</v>
      </c>
      <c r="CG156" s="1029"/>
      <c r="CH156" s="972"/>
      <c r="CI156" s="1083">
        <f>715482*1.082+0.03</f>
        <v>774151.55400000012</v>
      </c>
      <c r="CJ156" s="1083">
        <f>+CI156-CC156</f>
        <v>774151.55400000012</v>
      </c>
      <c r="CL156" s="976">
        <v>0</v>
      </c>
      <c r="CM156" s="976">
        <f t="shared" si="98"/>
        <v>0</v>
      </c>
    </row>
    <row r="157" spans="1:91" s="1032" customFormat="1" outlineLevel="1">
      <c r="A157" s="1091"/>
      <c r="B157" s="1015"/>
      <c r="C157" s="1078"/>
      <c r="D157" s="1016" t="s">
        <v>700</v>
      </c>
      <c r="E157" s="1017"/>
      <c r="F157" s="1023">
        <v>1000000</v>
      </c>
      <c r="G157" s="1023">
        <v>1000000</v>
      </c>
      <c r="H157" s="1023"/>
      <c r="I157" s="1023">
        <v>1000000</v>
      </c>
      <c r="J157" s="1019"/>
      <c r="K157" s="1020"/>
      <c r="L157" s="1021"/>
      <c r="M157" s="1022"/>
      <c r="N157" s="1023"/>
      <c r="O157" s="1024"/>
      <c r="P157" s="1024"/>
      <c r="Q157" s="1024"/>
      <c r="R157" s="1024"/>
      <c r="S157" s="1024"/>
      <c r="T157" s="1024"/>
      <c r="U157" s="1024"/>
      <c r="V157" s="1024"/>
      <c r="W157" s="1024"/>
      <c r="X157" s="1024"/>
      <c r="Y157" s="1024"/>
      <c r="Z157" s="1025">
        <f t="shared" si="87"/>
        <v>0</v>
      </c>
      <c r="AA157" s="1026"/>
      <c r="AB157" s="1027"/>
      <c r="AC157" s="1027"/>
      <c r="AD157" s="1027"/>
      <c r="AE157" s="1027"/>
      <c r="AF157" s="1027"/>
      <c r="AG157" s="1027"/>
      <c r="AH157" s="1028"/>
      <c r="AI157" s="1028"/>
      <c r="AJ157" s="1028"/>
      <c r="AK157" s="1028"/>
      <c r="AL157" s="1028"/>
      <c r="AM157" s="1025">
        <f t="shared" si="88"/>
        <v>0</v>
      </c>
      <c r="AN157" s="1024"/>
      <c r="AO157" s="1024"/>
      <c r="AP157" s="1024"/>
      <c r="AQ157" s="1024"/>
      <c r="AR157" s="1024"/>
      <c r="AS157" s="1024"/>
      <c r="AT157" s="1024"/>
      <c r="AU157" s="1024"/>
      <c r="AV157" s="1024"/>
      <c r="AW157" s="1024"/>
      <c r="AX157" s="1024"/>
      <c r="AY157" s="1024"/>
      <c r="AZ157" s="1024">
        <f t="shared" si="89"/>
        <v>0</v>
      </c>
      <c r="BA157" s="1024"/>
      <c r="BB157" s="1024"/>
      <c r="BC157" s="1024"/>
      <c r="BD157" s="1024"/>
      <c r="BE157" s="1024"/>
      <c r="BF157" s="1024"/>
      <c r="BG157" s="1024"/>
      <c r="BH157" s="1024"/>
      <c r="BI157" s="1024"/>
      <c r="BJ157" s="1024"/>
      <c r="BK157" s="1024"/>
      <c r="BL157" s="1024"/>
      <c r="BM157" s="1024">
        <f t="shared" si="90"/>
        <v>0</v>
      </c>
      <c r="BN157" s="1024"/>
      <c r="BO157" s="1024"/>
      <c r="BP157" s="1024"/>
      <c r="BQ157" s="1024"/>
      <c r="BR157" s="1024"/>
      <c r="BS157" s="1093">
        <v>0</v>
      </c>
      <c r="BT157" s="1024"/>
      <c r="BU157" s="1024"/>
      <c r="BV157" s="1024"/>
      <c r="BW157" s="1024"/>
      <c r="BX157" s="1024"/>
      <c r="BY157" s="1024"/>
      <c r="BZ157" s="1029">
        <f t="shared" si="91"/>
        <v>0</v>
      </c>
      <c r="CA157" s="1030">
        <f t="shared" si="92"/>
        <v>0</v>
      </c>
      <c r="CB157" s="1031">
        <f t="shared" si="100"/>
        <v>0</v>
      </c>
      <c r="CC157" s="1023">
        <f t="shared" si="94"/>
        <v>0</v>
      </c>
      <c r="CD157" s="1023">
        <f t="shared" si="95"/>
        <v>-1000000</v>
      </c>
      <c r="CE157" s="1023">
        <v>1000000</v>
      </c>
      <c r="CF157" s="1023">
        <f t="shared" si="96"/>
        <v>-1000000</v>
      </c>
      <c r="CG157" s="1029"/>
      <c r="CH157" s="972"/>
      <c r="CI157" s="1083">
        <v>1000000</v>
      </c>
      <c r="CJ157" s="1083">
        <f>+CI157-CC157</f>
        <v>1000000</v>
      </c>
      <c r="CL157" s="976">
        <v>1000000</v>
      </c>
      <c r="CM157" s="976">
        <f t="shared" si="98"/>
        <v>1000000</v>
      </c>
    </row>
    <row r="158" spans="1:91" s="1032" customFormat="1">
      <c r="A158" s="1091"/>
      <c r="B158" s="1015"/>
      <c r="C158" s="1016" t="s">
        <v>284</v>
      </c>
      <c r="D158" s="1016"/>
      <c r="E158" s="1017"/>
      <c r="F158" s="1023">
        <f>SUBTOTAL(9,F159:F207)</f>
        <v>1300000</v>
      </c>
      <c r="G158" s="1023">
        <f>SUBTOTAL(9,G159:G207)</f>
        <v>1884033.69</v>
      </c>
      <c r="H158" s="1023">
        <f>SUBTOTAL(9,H159:H207)</f>
        <v>500000</v>
      </c>
      <c r="I158" s="1023">
        <f>SUBTOTAL(9,I159:I207)</f>
        <v>2384033.69</v>
      </c>
      <c r="J158" s="1019"/>
      <c r="K158" s="1020"/>
      <c r="L158" s="1021"/>
      <c r="M158" s="1022">
        <f t="shared" ref="M158:AR158" si="101">SUBTOTAL(9,M159:M207)</f>
        <v>0</v>
      </c>
      <c r="N158" s="1023">
        <f t="shared" si="101"/>
        <v>720.72</v>
      </c>
      <c r="O158" s="1024">
        <f t="shared" si="101"/>
        <v>0</v>
      </c>
      <c r="P158" s="1024">
        <f t="shared" si="101"/>
        <v>559.36</v>
      </c>
      <c r="Q158" s="1024">
        <f t="shared" si="101"/>
        <v>647.67999999999995</v>
      </c>
      <c r="R158" s="1024">
        <f t="shared" si="101"/>
        <v>478.72</v>
      </c>
      <c r="S158" s="1024">
        <f t="shared" si="101"/>
        <v>0</v>
      </c>
      <c r="T158" s="1024">
        <f t="shared" si="101"/>
        <v>4224</v>
      </c>
      <c r="U158" s="1024">
        <f t="shared" si="101"/>
        <v>0</v>
      </c>
      <c r="V158" s="1024">
        <f t="shared" si="101"/>
        <v>0</v>
      </c>
      <c r="W158" s="1024">
        <f t="shared" si="101"/>
        <v>0</v>
      </c>
      <c r="X158" s="1024">
        <f t="shared" si="101"/>
        <v>0</v>
      </c>
      <c r="Y158" s="1024">
        <f t="shared" si="101"/>
        <v>0</v>
      </c>
      <c r="Z158" s="1025">
        <f t="shared" si="101"/>
        <v>6630.48</v>
      </c>
      <c r="AA158" s="1026">
        <f t="shared" si="101"/>
        <v>0</v>
      </c>
      <c r="AB158" s="1027">
        <f t="shared" si="101"/>
        <v>0</v>
      </c>
      <c r="AC158" s="1027">
        <f t="shared" si="101"/>
        <v>0</v>
      </c>
      <c r="AD158" s="1027">
        <f t="shared" si="101"/>
        <v>2217.38</v>
      </c>
      <c r="AE158" s="1027">
        <f t="shared" si="101"/>
        <v>3253.13</v>
      </c>
      <c r="AF158" s="1027">
        <f t="shared" si="101"/>
        <v>4616</v>
      </c>
      <c r="AG158" s="1027">
        <f t="shared" si="101"/>
        <v>6266.43</v>
      </c>
      <c r="AH158" s="1028">
        <f t="shared" si="101"/>
        <v>9180.34</v>
      </c>
      <c r="AI158" s="1028">
        <f t="shared" si="101"/>
        <v>11829.08</v>
      </c>
      <c r="AJ158" s="1028">
        <f t="shared" si="101"/>
        <v>30688.850000000002</v>
      </c>
      <c r="AK158" s="1028">
        <f t="shared" si="101"/>
        <v>5395</v>
      </c>
      <c r="AL158" s="1028">
        <f t="shared" si="101"/>
        <v>352811.13</v>
      </c>
      <c r="AM158" s="1025">
        <f t="shared" si="101"/>
        <v>426257.33999999997</v>
      </c>
      <c r="AN158" s="1024">
        <f t="shared" si="101"/>
        <v>17498.02</v>
      </c>
      <c r="AO158" s="1024">
        <f t="shared" si="101"/>
        <v>5334</v>
      </c>
      <c r="AP158" s="1024">
        <f t="shared" si="101"/>
        <v>8313.1299999999992</v>
      </c>
      <c r="AQ158" s="1024">
        <f t="shared" si="101"/>
        <v>460</v>
      </c>
      <c r="AR158" s="1024">
        <f t="shared" si="101"/>
        <v>0</v>
      </c>
      <c r="AS158" s="1024">
        <f t="shared" ref="AS158:BX158" si="102">SUBTOTAL(9,AS159:AS207)</f>
        <v>3220</v>
      </c>
      <c r="AT158" s="1024">
        <f t="shared" si="102"/>
        <v>0</v>
      </c>
      <c r="AU158" s="1024">
        <f t="shared" si="102"/>
        <v>9079</v>
      </c>
      <c r="AV158" s="1024">
        <f t="shared" si="102"/>
        <v>17670.48</v>
      </c>
      <c r="AW158" s="1024">
        <f t="shared" si="102"/>
        <v>21531.02</v>
      </c>
      <c r="AX158" s="1024">
        <f t="shared" si="102"/>
        <v>2070</v>
      </c>
      <c r="AY158" s="1024">
        <f t="shared" si="102"/>
        <v>-6242.5800000000008</v>
      </c>
      <c r="AZ158" s="1024">
        <f t="shared" si="102"/>
        <v>78933.069999999992</v>
      </c>
      <c r="BA158" s="1024">
        <f t="shared" si="102"/>
        <v>20737.89</v>
      </c>
      <c r="BB158" s="1024">
        <f t="shared" si="102"/>
        <v>29679.61</v>
      </c>
      <c r="BC158" s="1024">
        <f t="shared" si="102"/>
        <v>29212.68</v>
      </c>
      <c r="BD158" s="1024">
        <f t="shared" si="102"/>
        <v>31238.42</v>
      </c>
      <c r="BE158" s="1024">
        <f t="shared" si="102"/>
        <v>40252.61</v>
      </c>
      <c r="BF158" s="1024">
        <f t="shared" si="102"/>
        <v>23850.089999999997</v>
      </c>
      <c r="BG158" s="1024">
        <f t="shared" si="102"/>
        <v>24375.25</v>
      </c>
      <c r="BH158" s="1024">
        <f t="shared" si="102"/>
        <v>28680.28</v>
      </c>
      <c r="BI158" s="1024">
        <f t="shared" si="102"/>
        <v>28635.41</v>
      </c>
      <c r="BJ158" s="1024">
        <f t="shared" si="102"/>
        <v>91071.96</v>
      </c>
      <c r="BK158" s="1024">
        <f t="shared" si="102"/>
        <v>166506.03</v>
      </c>
      <c r="BL158" s="1024">
        <f t="shared" si="102"/>
        <v>195502.84999999998</v>
      </c>
      <c r="BM158" s="1024">
        <f t="shared" si="102"/>
        <v>709743.07999999984</v>
      </c>
      <c r="BN158" s="1024">
        <f t="shared" si="102"/>
        <v>24341.210000000003</v>
      </c>
      <c r="BO158" s="1024">
        <f t="shared" si="102"/>
        <v>157923.65</v>
      </c>
      <c r="BP158" s="1024">
        <f t="shared" si="102"/>
        <v>156213.20000000001</v>
      </c>
      <c r="BQ158" s="1024">
        <f t="shared" si="102"/>
        <v>107352.24166666667</v>
      </c>
      <c r="BR158" s="1024">
        <f t="shared" si="102"/>
        <v>0</v>
      </c>
      <c r="BS158" s="1024">
        <f t="shared" si="102"/>
        <v>0</v>
      </c>
      <c r="BT158" s="1024">
        <f t="shared" si="102"/>
        <v>0</v>
      </c>
      <c r="BU158" s="1024">
        <f t="shared" si="102"/>
        <v>0</v>
      </c>
      <c r="BV158" s="1024">
        <f t="shared" si="102"/>
        <v>0</v>
      </c>
      <c r="BW158" s="1024">
        <f t="shared" si="102"/>
        <v>0</v>
      </c>
      <c r="BX158" s="1024">
        <f t="shared" si="102"/>
        <v>0</v>
      </c>
      <c r="BY158" s="1024">
        <f t="shared" ref="BY158:CF158" si="103">SUBTOTAL(9,BY159:BY207)</f>
        <v>0</v>
      </c>
      <c r="BZ158" s="1029">
        <f t="shared" si="103"/>
        <v>445830.3016666667</v>
      </c>
      <c r="CA158" s="1030">
        <f t="shared" si="103"/>
        <v>1667394.2716666665</v>
      </c>
      <c r="CB158" s="1031">
        <f t="shared" si="103"/>
        <v>0</v>
      </c>
      <c r="CC158" s="1023">
        <f t="shared" si="103"/>
        <v>1667394.2716666665</v>
      </c>
      <c r="CD158" s="1023">
        <f t="shared" si="103"/>
        <v>-716639.41833333333</v>
      </c>
      <c r="CE158" s="1023">
        <f t="shared" si="103"/>
        <v>2627714.8305940595</v>
      </c>
      <c r="CF158" s="1023">
        <f t="shared" si="103"/>
        <v>-960320.5589273927</v>
      </c>
      <c r="CG158" s="1029"/>
      <c r="CH158" s="972"/>
      <c r="CL158" s="1037">
        <f>SUBTOTAL(9,CL164:CL207)</f>
        <v>3135018.57</v>
      </c>
      <c r="CM158" s="976">
        <f t="shared" si="98"/>
        <v>1467624.2983333333</v>
      </c>
    </row>
    <row r="159" spans="1:91" s="1032" customFormat="1" ht="12.75" customHeight="1" outlineLevel="1">
      <c r="A159" s="996"/>
      <c r="B159" s="1015"/>
      <c r="C159" s="1016"/>
      <c r="D159" s="1016" t="s">
        <v>701</v>
      </c>
      <c r="E159" s="1017"/>
      <c r="F159" s="1023">
        <f>SUBTOTAL(9,F160:F163)</f>
        <v>0</v>
      </c>
      <c r="G159" s="1023">
        <f>SUBTOTAL(9,G160:G163)</f>
        <v>4302.1899999999996</v>
      </c>
      <c r="H159" s="1023">
        <f>SUBTOTAL(9,H160:H163)</f>
        <v>0</v>
      </c>
      <c r="I159" s="1023">
        <f>SUBTOTAL(9,I160:I163)</f>
        <v>4302.1899999999996</v>
      </c>
      <c r="J159" s="1033"/>
      <c r="K159" s="1034"/>
      <c r="L159" s="1035"/>
      <c r="M159" s="1036">
        <f t="shared" ref="M159:AR159" si="104">SUBTOTAL(9,M160:M163)</f>
        <v>0</v>
      </c>
      <c r="N159" s="1023">
        <f t="shared" si="104"/>
        <v>0</v>
      </c>
      <c r="O159" s="1024">
        <f t="shared" si="104"/>
        <v>0</v>
      </c>
      <c r="P159" s="1024">
        <f t="shared" si="104"/>
        <v>0</v>
      </c>
      <c r="Q159" s="1024">
        <f t="shared" si="104"/>
        <v>0</v>
      </c>
      <c r="R159" s="1024">
        <f t="shared" si="104"/>
        <v>0</v>
      </c>
      <c r="S159" s="1024">
        <f t="shared" si="104"/>
        <v>0</v>
      </c>
      <c r="T159" s="1024">
        <f t="shared" si="104"/>
        <v>0</v>
      </c>
      <c r="U159" s="1024">
        <f t="shared" si="104"/>
        <v>0</v>
      </c>
      <c r="V159" s="1024">
        <f t="shared" si="104"/>
        <v>0</v>
      </c>
      <c r="W159" s="1024">
        <f t="shared" si="104"/>
        <v>0</v>
      </c>
      <c r="X159" s="1024">
        <f t="shared" si="104"/>
        <v>0</v>
      </c>
      <c r="Y159" s="1024">
        <f t="shared" si="104"/>
        <v>0</v>
      </c>
      <c r="Z159" s="1025">
        <f t="shared" si="104"/>
        <v>0</v>
      </c>
      <c r="AA159" s="1026">
        <f t="shared" si="104"/>
        <v>0</v>
      </c>
      <c r="AB159" s="1027">
        <f t="shared" si="104"/>
        <v>0</v>
      </c>
      <c r="AC159" s="1027">
        <f t="shared" si="104"/>
        <v>0</v>
      </c>
      <c r="AD159" s="1027">
        <f t="shared" si="104"/>
        <v>0</v>
      </c>
      <c r="AE159" s="1027">
        <f t="shared" si="104"/>
        <v>0</v>
      </c>
      <c r="AF159" s="1027">
        <f t="shared" si="104"/>
        <v>0</v>
      </c>
      <c r="AG159" s="1027">
        <f t="shared" si="104"/>
        <v>0</v>
      </c>
      <c r="AH159" s="1028">
        <f t="shared" si="104"/>
        <v>0</v>
      </c>
      <c r="AI159" s="1028">
        <f t="shared" si="104"/>
        <v>0</v>
      </c>
      <c r="AJ159" s="1028">
        <f t="shared" si="104"/>
        <v>0</v>
      </c>
      <c r="AK159" s="1028">
        <f t="shared" si="104"/>
        <v>0</v>
      </c>
      <c r="AL159" s="1028">
        <f t="shared" si="104"/>
        <v>0</v>
      </c>
      <c r="AM159" s="1025">
        <f t="shared" si="104"/>
        <v>0</v>
      </c>
      <c r="AN159" s="1024">
        <f t="shared" si="104"/>
        <v>0</v>
      </c>
      <c r="AO159" s="1024">
        <f t="shared" si="104"/>
        <v>0</v>
      </c>
      <c r="AP159" s="1024">
        <f t="shared" si="104"/>
        <v>4302.1899999999996</v>
      </c>
      <c r="AQ159" s="1024">
        <f t="shared" si="104"/>
        <v>0</v>
      </c>
      <c r="AR159" s="1024">
        <f t="shared" si="104"/>
        <v>0</v>
      </c>
      <c r="AS159" s="1024">
        <f t="shared" ref="AS159:BX159" si="105">SUBTOTAL(9,AS160:AS163)</f>
        <v>0</v>
      </c>
      <c r="AT159" s="1024">
        <f t="shared" si="105"/>
        <v>0</v>
      </c>
      <c r="AU159" s="1024">
        <f t="shared" si="105"/>
        <v>0</v>
      </c>
      <c r="AV159" s="1024">
        <f t="shared" si="105"/>
        <v>0</v>
      </c>
      <c r="AW159" s="1024">
        <f t="shared" si="105"/>
        <v>0</v>
      </c>
      <c r="AX159" s="1024">
        <f t="shared" si="105"/>
        <v>0</v>
      </c>
      <c r="AY159" s="1024">
        <f t="shared" si="105"/>
        <v>0</v>
      </c>
      <c r="AZ159" s="1024">
        <f t="shared" si="105"/>
        <v>4302.1899999999996</v>
      </c>
      <c r="BA159" s="1024">
        <f t="shared" si="105"/>
        <v>0</v>
      </c>
      <c r="BB159" s="1024">
        <f t="shared" si="105"/>
        <v>0</v>
      </c>
      <c r="BC159" s="1024">
        <f t="shared" si="105"/>
        <v>1343.88</v>
      </c>
      <c r="BD159" s="1024">
        <f t="shared" si="105"/>
        <v>551.25</v>
      </c>
      <c r="BE159" s="1024">
        <f t="shared" si="105"/>
        <v>791.68</v>
      </c>
      <c r="BF159" s="1024">
        <f t="shared" si="105"/>
        <v>0</v>
      </c>
      <c r="BG159" s="1024">
        <f t="shared" si="105"/>
        <v>0</v>
      </c>
      <c r="BH159" s="1024">
        <f t="shared" si="105"/>
        <v>0</v>
      </c>
      <c r="BI159" s="1024">
        <f t="shared" si="105"/>
        <v>9089.39</v>
      </c>
      <c r="BJ159" s="1024">
        <f t="shared" si="105"/>
        <v>1211.6500000000001</v>
      </c>
      <c r="BK159" s="1024">
        <f t="shared" si="105"/>
        <v>0</v>
      </c>
      <c r="BL159" s="1024">
        <f t="shared" si="105"/>
        <v>25943.39</v>
      </c>
      <c r="BM159" s="1024">
        <f t="shared" si="105"/>
        <v>38931.24</v>
      </c>
      <c r="BN159" s="1024">
        <f t="shared" si="105"/>
        <v>1399.95</v>
      </c>
      <c r="BO159" s="1024">
        <f t="shared" si="105"/>
        <v>0</v>
      </c>
      <c r="BP159" s="1024">
        <f t="shared" si="105"/>
        <v>0</v>
      </c>
      <c r="BQ159" s="1024">
        <f t="shared" si="105"/>
        <v>0</v>
      </c>
      <c r="BR159" s="1024">
        <f t="shared" si="105"/>
        <v>0</v>
      </c>
      <c r="BS159" s="1024">
        <f t="shared" si="105"/>
        <v>0</v>
      </c>
      <c r="BT159" s="1024">
        <f t="shared" si="105"/>
        <v>0</v>
      </c>
      <c r="BU159" s="1024">
        <f t="shared" si="105"/>
        <v>0</v>
      </c>
      <c r="BV159" s="1024">
        <f t="shared" si="105"/>
        <v>0</v>
      </c>
      <c r="BW159" s="1024">
        <f t="shared" si="105"/>
        <v>0</v>
      </c>
      <c r="BX159" s="1024">
        <f t="shared" si="105"/>
        <v>0</v>
      </c>
      <c r="BY159" s="1024">
        <f t="shared" ref="BY159:CF159" si="106">SUBTOTAL(9,BY160:BY163)</f>
        <v>0</v>
      </c>
      <c r="BZ159" s="1029">
        <f t="shared" si="106"/>
        <v>1399.95</v>
      </c>
      <c r="CA159" s="1030">
        <f t="shared" si="106"/>
        <v>44633.380000000005</v>
      </c>
      <c r="CB159" s="1031">
        <f t="shared" si="106"/>
        <v>0</v>
      </c>
      <c r="CC159" s="1036">
        <f t="shared" si="106"/>
        <v>44633.380000000005</v>
      </c>
      <c r="CD159" s="1023">
        <f t="shared" si="106"/>
        <v>40331.19</v>
      </c>
      <c r="CE159" s="1023">
        <f t="shared" si="106"/>
        <v>44633.380000000005</v>
      </c>
      <c r="CF159" s="1023">
        <f t="shared" si="106"/>
        <v>0</v>
      </c>
      <c r="CG159" s="1029"/>
      <c r="CH159" s="1042">
        <f t="shared" ref="CH159:CH179" si="107">-CC159+K159</f>
        <v>-44633.380000000005</v>
      </c>
      <c r="CL159" s="976">
        <v>24912.86</v>
      </c>
      <c r="CM159" s="976">
        <f t="shared" si="98"/>
        <v>-19720.520000000004</v>
      </c>
    </row>
    <row r="160" spans="1:91" s="1032" customFormat="1" ht="12.75" customHeight="1" outlineLevel="1">
      <c r="A160" s="996"/>
      <c r="B160" s="1015"/>
      <c r="C160" s="1043"/>
      <c r="D160" s="1122" t="s">
        <v>702</v>
      </c>
      <c r="E160" s="1017"/>
      <c r="F160" s="1023"/>
      <c r="G160" s="1023">
        <v>4302.1899999999996</v>
      </c>
      <c r="H160" s="1023"/>
      <c r="I160" s="1023">
        <v>4302.1899999999996</v>
      </c>
      <c r="J160" s="1033" t="s">
        <v>703</v>
      </c>
      <c r="K160" s="1034">
        <v>4302.1899999999996</v>
      </c>
      <c r="L160" s="1035" t="s">
        <v>381</v>
      </c>
      <c r="M160" s="1036"/>
      <c r="N160" s="1023">
        <v>0</v>
      </c>
      <c r="O160" s="1024">
        <v>0</v>
      </c>
      <c r="P160" s="1024">
        <v>0</v>
      </c>
      <c r="Q160" s="1024">
        <v>0</v>
      </c>
      <c r="R160" s="1024">
        <v>0</v>
      </c>
      <c r="S160" s="1024">
        <v>0</v>
      </c>
      <c r="T160" s="1024">
        <v>0</v>
      </c>
      <c r="U160" s="1024">
        <v>0</v>
      </c>
      <c r="V160" s="1024">
        <v>0</v>
      </c>
      <c r="W160" s="1024">
        <v>0</v>
      </c>
      <c r="X160" s="1024">
        <v>0</v>
      </c>
      <c r="Y160" s="1024">
        <v>0</v>
      </c>
      <c r="Z160" s="1025">
        <f t="shared" ref="Z160:Z173" si="108">SUM(N160:Y160)</f>
        <v>0</v>
      </c>
      <c r="AA160" s="1026">
        <v>0</v>
      </c>
      <c r="AB160" s="1027">
        <v>0</v>
      </c>
      <c r="AC160" s="1027">
        <v>0</v>
      </c>
      <c r="AD160" s="1027">
        <v>0</v>
      </c>
      <c r="AE160" s="1027">
        <v>0</v>
      </c>
      <c r="AF160" s="1027">
        <v>0</v>
      </c>
      <c r="AG160" s="1027">
        <v>0</v>
      </c>
      <c r="AH160" s="1028">
        <v>0</v>
      </c>
      <c r="AI160" s="1028">
        <v>0</v>
      </c>
      <c r="AJ160" s="1028">
        <v>0</v>
      </c>
      <c r="AK160" s="1028">
        <v>0</v>
      </c>
      <c r="AL160" s="1028">
        <v>0</v>
      </c>
      <c r="AM160" s="1025">
        <f t="shared" ref="AM160:AM173" si="109">SUM(AA160:AL160)</f>
        <v>0</v>
      </c>
      <c r="AN160" s="1024"/>
      <c r="AO160" s="1024"/>
      <c r="AP160" s="1024">
        <v>4302.1899999999996</v>
      </c>
      <c r="AQ160" s="1024"/>
      <c r="AR160" s="1024"/>
      <c r="AS160" s="1024"/>
      <c r="AT160" s="1024"/>
      <c r="AU160" s="1024"/>
      <c r="AV160" s="1024"/>
      <c r="AW160" s="1024"/>
      <c r="AX160" s="1024"/>
      <c r="AY160" s="1024"/>
      <c r="AZ160" s="1024">
        <f t="shared" ref="AZ160:AZ173" si="110">SUM(AN160:AY160)</f>
        <v>4302.1899999999996</v>
      </c>
      <c r="BA160" s="1024"/>
      <c r="BB160" s="1024"/>
      <c r="BC160" s="1024"/>
      <c r="BD160" s="1024"/>
      <c r="BE160" s="1024"/>
      <c r="BF160" s="1024"/>
      <c r="BG160" s="1024"/>
      <c r="BH160" s="1024"/>
      <c r="BI160" s="1024"/>
      <c r="BJ160" s="1024"/>
      <c r="BK160" s="1024"/>
      <c r="BL160" s="1024"/>
      <c r="BM160" s="1024">
        <f t="shared" ref="BM160:BM173" si="111">SUM(BA160:BL160)</f>
        <v>0</v>
      </c>
      <c r="BN160" s="1024"/>
      <c r="BO160" s="1024"/>
      <c r="BP160" s="1024"/>
      <c r="BQ160" s="1024"/>
      <c r="BR160" s="1024"/>
      <c r="BS160" s="1024"/>
      <c r="BT160" s="1024"/>
      <c r="BU160" s="1024"/>
      <c r="BV160" s="1024"/>
      <c r="BW160" s="1024"/>
      <c r="BX160" s="1024"/>
      <c r="BY160" s="1024"/>
      <c r="BZ160" s="1029">
        <f t="shared" ref="BZ160:BZ173" si="112">SUM(BN160:BY160)</f>
        <v>0</v>
      </c>
      <c r="CA160" s="1030">
        <f t="shared" ref="CA160:CA173" si="113">SUMIF(($M$1:$BZ$1),"Actual",(M160:BZ160))</f>
        <v>4302.1899999999996</v>
      </c>
      <c r="CB160" s="1024">
        <f t="shared" ref="CB160:CB173" si="114">SUMIF(($M$1:$BZ$1),"Forecast",(M160:BZ160))</f>
        <v>0</v>
      </c>
      <c r="CC160" s="1036">
        <f t="shared" ref="CC160:CC173" si="115">+CA160+CB160</f>
        <v>4302.1899999999996</v>
      </c>
      <c r="CD160" s="1023">
        <f t="shared" ref="CD160:CD173" si="116">+CC160-I160</f>
        <v>0</v>
      </c>
      <c r="CE160" s="1023">
        <v>4302.1899999999996</v>
      </c>
      <c r="CF160" s="1023">
        <f t="shared" ref="CF160:CF173" si="117">+CC160-CE160</f>
        <v>0</v>
      </c>
      <c r="CG160" s="1029"/>
      <c r="CH160" s="972">
        <f t="shared" si="107"/>
        <v>0</v>
      </c>
      <c r="CL160" s="976">
        <v>4302.1899999999996</v>
      </c>
      <c r="CM160" s="976">
        <f t="shared" si="98"/>
        <v>0</v>
      </c>
    </row>
    <row r="161" spans="1:91" s="1032" customFormat="1" ht="12.75" customHeight="1" outlineLevel="1">
      <c r="A161" s="996"/>
      <c r="B161" s="1015"/>
      <c r="C161" s="1043"/>
      <c r="D161" s="1122" t="s">
        <v>702</v>
      </c>
      <c r="E161" s="1017"/>
      <c r="F161" s="1023"/>
      <c r="G161" s="1023"/>
      <c r="H161" s="1023"/>
      <c r="I161" s="1023"/>
      <c r="J161" s="1033">
        <v>4600005711</v>
      </c>
      <c r="K161" s="1034">
        <v>62000</v>
      </c>
      <c r="L161" s="1035" t="s">
        <v>310</v>
      </c>
      <c r="M161" s="1036"/>
      <c r="N161" s="1023">
        <v>0</v>
      </c>
      <c r="O161" s="1024">
        <v>0</v>
      </c>
      <c r="P161" s="1024">
        <v>0</v>
      </c>
      <c r="Q161" s="1024">
        <v>0</v>
      </c>
      <c r="R161" s="1024">
        <v>0</v>
      </c>
      <c r="S161" s="1024">
        <v>0</v>
      </c>
      <c r="T161" s="1024">
        <v>0</v>
      </c>
      <c r="U161" s="1024">
        <v>0</v>
      </c>
      <c r="V161" s="1024">
        <v>0</v>
      </c>
      <c r="W161" s="1024">
        <v>0</v>
      </c>
      <c r="X161" s="1024">
        <v>0</v>
      </c>
      <c r="Y161" s="1024">
        <v>0</v>
      </c>
      <c r="Z161" s="1025">
        <f t="shared" si="108"/>
        <v>0</v>
      </c>
      <c r="AA161" s="1026">
        <v>0</v>
      </c>
      <c r="AB161" s="1027">
        <v>0</v>
      </c>
      <c r="AC161" s="1027">
        <v>0</v>
      </c>
      <c r="AD161" s="1027">
        <v>0</v>
      </c>
      <c r="AE161" s="1027">
        <v>0</v>
      </c>
      <c r="AF161" s="1027">
        <v>0</v>
      </c>
      <c r="AG161" s="1027">
        <v>0</v>
      </c>
      <c r="AH161" s="1028">
        <v>0</v>
      </c>
      <c r="AI161" s="1028">
        <v>0</v>
      </c>
      <c r="AJ161" s="1028">
        <v>0</v>
      </c>
      <c r="AK161" s="1028">
        <v>0</v>
      </c>
      <c r="AL161" s="1028">
        <v>0</v>
      </c>
      <c r="AM161" s="1025">
        <f t="shared" si="109"/>
        <v>0</v>
      </c>
      <c r="AN161" s="1024"/>
      <c r="AO161" s="1024"/>
      <c r="AP161" s="1024"/>
      <c r="AQ161" s="1024"/>
      <c r="AR161" s="1024"/>
      <c r="AS161" s="1024"/>
      <c r="AT161" s="1024"/>
      <c r="AU161" s="1024"/>
      <c r="AV161" s="1024"/>
      <c r="AW161" s="1024"/>
      <c r="AX161" s="1024"/>
      <c r="AY161" s="1024"/>
      <c r="AZ161" s="1024">
        <f t="shared" si="110"/>
        <v>0</v>
      </c>
      <c r="BA161" s="1024"/>
      <c r="BB161" s="1024"/>
      <c r="BC161" s="1024">
        <v>1343.88</v>
      </c>
      <c r="BD161" s="1024">
        <v>551.25</v>
      </c>
      <c r="BE161" s="1024">
        <v>791.68</v>
      </c>
      <c r="BF161" s="1024"/>
      <c r="BG161" s="1024"/>
      <c r="BH161" s="1024"/>
      <c r="BI161" s="1024">
        <v>9089.39</v>
      </c>
      <c r="BJ161" s="1024">
        <v>1211.6500000000001</v>
      </c>
      <c r="BK161" s="1024"/>
      <c r="BL161" s="1024">
        <v>-4309.33</v>
      </c>
      <c r="BM161" s="1024">
        <f t="shared" si="111"/>
        <v>8678.5199999999986</v>
      </c>
      <c r="BN161" s="1024">
        <v>1399.95</v>
      </c>
      <c r="BO161" s="1024"/>
      <c r="BP161" s="1024"/>
      <c r="BQ161" s="1024"/>
      <c r="BR161" s="1024"/>
      <c r="BS161" s="1024"/>
      <c r="BT161" s="1024"/>
      <c r="BU161" s="1024"/>
      <c r="BV161" s="1024"/>
      <c r="BW161" s="1024"/>
      <c r="BX161" s="1024"/>
      <c r="BY161" s="1024"/>
      <c r="BZ161" s="1029">
        <f t="shared" si="112"/>
        <v>1399.95</v>
      </c>
      <c r="CA161" s="1030">
        <f t="shared" si="113"/>
        <v>10078.469999999999</v>
      </c>
      <c r="CB161" s="1024">
        <f t="shared" si="114"/>
        <v>0</v>
      </c>
      <c r="CC161" s="1036">
        <f t="shared" si="115"/>
        <v>10078.469999999999</v>
      </c>
      <c r="CD161" s="1023">
        <f t="shared" si="116"/>
        <v>10078.469999999999</v>
      </c>
      <c r="CE161" s="1023">
        <v>10078.469999999999</v>
      </c>
      <c r="CF161" s="1023">
        <f t="shared" si="117"/>
        <v>0</v>
      </c>
      <c r="CG161" s="1029"/>
      <c r="CH161" s="972">
        <f t="shared" si="107"/>
        <v>51921.53</v>
      </c>
      <c r="CL161" s="976">
        <v>4302.1899999999996</v>
      </c>
      <c r="CM161" s="976">
        <f t="shared" ref="CM161:CM192" si="118">+CL161-CC161</f>
        <v>-5776.28</v>
      </c>
    </row>
    <row r="162" spans="1:91" s="1032" customFormat="1" ht="12.75" customHeight="1" outlineLevel="1">
      <c r="A162" s="996"/>
      <c r="B162" s="1015"/>
      <c r="C162" s="1043"/>
      <c r="D162" s="1122" t="s">
        <v>704</v>
      </c>
      <c r="E162" s="1017"/>
      <c r="F162" s="1023"/>
      <c r="G162" s="1023"/>
      <c r="H162" s="1023"/>
      <c r="I162" s="1023"/>
      <c r="J162" s="1033"/>
      <c r="K162" s="1034"/>
      <c r="L162" s="1035"/>
      <c r="M162" s="1036"/>
      <c r="N162" s="1023">
        <v>0</v>
      </c>
      <c r="O162" s="1024">
        <v>0</v>
      </c>
      <c r="P162" s="1024">
        <v>0</v>
      </c>
      <c r="Q162" s="1024">
        <v>0</v>
      </c>
      <c r="R162" s="1024">
        <v>0</v>
      </c>
      <c r="S162" s="1024">
        <v>0</v>
      </c>
      <c r="T162" s="1024">
        <v>0</v>
      </c>
      <c r="U162" s="1024">
        <v>0</v>
      </c>
      <c r="V162" s="1024">
        <v>0</v>
      </c>
      <c r="W162" s="1024">
        <v>0</v>
      </c>
      <c r="X162" s="1024">
        <v>0</v>
      </c>
      <c r="Y162" s="1024">
        <v>0</v>
      </c>
      <c r="Z162" s="1025">
        <f t="shared" si="108"/>
        <v>0</v>
      </c>
      <c r="AA162" s="1026">
        <v>0</v>
      </c>
      <c r="AB162" s="1027">
        <v>0</v>
      </c>
      <c r="AC162" s="1027">
        <v>0</v>
      </c>
      <c r="AD162" s="1027">
        <v>0</v>
      </c>
      <c r="AE162" s="1027">
        <v>0</v>
      </c>
      <c r="AF162" s="1027">
        <v>0</v>
      </c>
      <c r="AG162" s="1027">
        <v>0</v>
      </c>
      <c r="AH162" s="1028">
        <v>0</v>
      </c>
      <c r="AI162" s="1028">
        <v>0</v>
      </c>
      <c r="AJ162" s="1028">
        <v>0</v>
      </c>
      <c r="AK162" s="1028">
        <v>0</v>
      </c>
      <c r="AL162" s="1028">
        <v>0</v>
      </c>
      <c r="AM162" s="1025">
        <f t="shared" si="109"/>
        <v>0</v>
      </c>
      <c r="AN162" s="1024"/>
      <c r="AO162" s="1024"/>
      <c r="AP162" s="1024"/>
      <c r="AQ162" s="1024"/>
      <c r="AR162" s="1024"/>
      <c r="AS162" s="1024"/>
      <c r="AT162" s="1024"/>
      <c r="AU162" s="1024"/>
      <c r="AV162" s="1024"/>
      <c r="AW162" s="1024"/>
      <c r="AX162" s="1024"/>
      <c r="AY162" s="1024"/>
      <c r="AZ162" s="1024">
        <f t="shared" si="110"/>
        <v>0</v>
      </c>
      <c r="BA162" s="1024"/>
      <c r="BB162" s="1024"/>
      <c r="BC162" s="1024"/>
      <c r="BD162" s="1024"/>
      <c r="BE162" s="1024"/>
      <c r="BF162" s="1024"/>
      <c r="BG162" s="1024"/>
      <c r="BH162" s="1024"/>
      <c r="BI162" s="1024"/>
      <c r="BJ162" s="1024"/>
      <c r="BK162" s="1024"/>
      <c r="BL162" s="1024">
        <v>30252.720000000001</v>
      </c>
      <c r="BM162" s="1024">
        <f t="shared" si="111"/>
        <v>30252.720000000001</v>
      </c>
      <c r="BN162" s="1024"/>
      <c r="BO162" s="1024"/>
      <c r="BP162" s="1024"/>
      <c r="BQ162" s="1024"/>
      <c r="BR162" s="1024"/>
      <c r="BS162" s="1024"/>
      <c r="BT162" s="1024"/>
      <c r="BU162" s="1024"/>
      <c r="BV162" s="1024"/>
      <c r="BW162" s="1024"/>
      <c r="BX162" s="1024"/>
      <c r="BY162" s="1024"/>
      <c r="BZ162" s="1029">
        <f t="shared" si="112"/>
        <v>0</v>
      </c>
      <c r="CA162" s="1030">
        <f t="shared" si="113"/>
        <v>30252.720000000001</v>
      </c>
      <c r="CB162" s="1024">
        <f t="shared" si="114"/>
        <v>0</v>
      </c>
      <c r="CC162" s="1036">
        <f t="shared" si="115"/>
        <v>30252.720000000001</v>
      </c>
      <c r="CD162" s="1023">
        <f t="shared" si="116"/>
        <v>30252.720000000001</v>
      </c>
      <c r="CE162" s="1023">
        <v>30252.720000000001</v>
      </c>
      <c r="CF162" s="1023">
        <f t="shared" si="117"/>
        <v>0</v>
      </c>
      <c r="CG162" s="1029"/>
      <c r="CH162" s="972">
        <f t="shared" si="107"/>
        <v>-30252.720000000001</v>
      </c>
      <c r="CL162" s="976">
        <v>4302.1899999999996</v>
      </c>
      <c r="CM162" s="976">
        <f t="shared" si="118"/>
        <v>-25950.530000000002</v>
      </c>
    </row>
    <row r="163" spans="1:91" s="1032" customFormat="1" ht="12.75" customHeight="1" outlineLevel="1">
      <c r="A163" s="996"/>
      <c r="B163" s="1015"/>
      <c r="C163" s="1043"/>
      <c r="D163" s="1122" t="s">
        <v>474</v>
      </c>
      <c r="E163" s="1017"/>
      <c r="F163" s="1023"/>
      <c r="G163" s="1023"/>
      <c r="H163" s="1023"/>
      <c r="I163" s="1023"/>
      <c r="J163" s="1033"/>
      <c r="K163" s="1034"/>
      <c r="L163" s="1035"/>
      <c r="M163" s="1036"/>
      <c r="N163" s="1023">
        <v>0</v>
      </c>
      <c r="O163" s="1024">
        <v>0</v>
      </c>
      <c r="P163" s="1024">
        <v>0</v>
      </c>
      <c r="Q163" s="1024">
        <v>0</v>
      </c>
      <c r="R163" s="1024">
        <v>0</v>
      </c>
      <c r="S163" s="1024">
        <v>0</v>
      </c>
      <c r="T163" s="1024">
        <v>0</v>
      </c>
      <c r="U163" s="1024">
        <v>0</v>
      </c>
      <c r="V163" s="1024">
        <v>0</v>
      </c>
      <c r="W163" s="1024">
        <v>0</v>
      </c>
      <c r="X163" s="1024">
        <v>0</v>
      </c>
      <c r="Y163" s="1024">
        <v>0</v>
      </c>
      <c r="Z163" s="1025">
        <f t="shared" si="108"/>
        <v>0</v>
      </c>
      <c r="AA163" s="1026">
        <v>0</v>
      </c>
      <c r="AB163" s="1027">
        <v>0</v>
      </c>
      <c r="AC163" s="1027">
        <v>0</v>
      </c>
      <c r="AD163" s="1027">
        <v>0</v>
      </c>
      <c r="AE163" s="1027">
        <v>0</v>
      </c>
      <c r="AF163" s="1027">
        <v>0</v>
      </c>
      <c r="AG163" s="1027">
        <v>0</v>
      </c>
      <c r="AH163" s="1028">
        <v>0</v>
      </c>
      <c r="AI163" s="1028">
        <v>0</v>
      </c>
      <c r="AJ163" s="1028">
        <v>0</v>
      </c>
      <c r="AK163" s="1028">
        <v>0</v>
      </c>
      <c r="AL163" s="1028">
        <v>0</v>
      </c>
      <c r="AM163" s="1025">
        <f t="shared" si="109"/>
        <v>0</v>
      </c>
      <c r="AN163" s="1024"/>
      <c r="AO163" s="1024"/>
      <c r="AP163" s="1024"/>
      <c r="AQ163" s="1024"/>
      <c r="AR163" s="1024"/>
      <c r="AS163" s="1024"/>
      <c r="AT163" s="1024"/>
      <c r="AU163" s="1024"/>
      <c r="AV163" s="1024"/>
      <c r="AW163" s="1024"/>
      <c r="AX163" s="1024"/>
      <c r="AY163" s="1024"/>
      <c r="AZ163" s="1024">
        <f t="shared" si="110"/>
        <v>0</v>
      </c>
      <c r="BA163" s="1024"/>
      <c r="BB163" s="1024"/>
      <c r="BC163" s="1024"/>
      <c r="BD163" s="1024"/>
      <c r="BE163" s="1024"/>
      <c r="BF163" s="1024"/>
      <c r="BG163" s="1024"/>
      <c r="BH163" s="1024"/>
      <c r="BI163" s="1024"/>
      <c r="BJ163" s="1024"/>
      <c r="BK163" s="1024"/>
      <c r="BL163" s="1024"/>
      <c r="BM163" s="1024">
        <f t="shared" si="111"/>
        <v>0</v>
      </c>
      <c r="BN163" s="1024"/>
      <c r="BO163" s="1024"/>
      <c r="BP163" s="1024"/>
      <c r="BQ163" s="1024"/>
      <c r="BR163" s="1024"/>
      <c r="BS163" s="1024"/>
      <c r="BT163" s="1024"/>
      <c r="BU163" s="1024"/>
      <c r="BV163" s="1024"/>
      <c r="BW163" s="1024"/>
      <c r="BX163" s="1024"/>
      <c r="BY163" s="1024"/>
      <c r="BZ163" s="1029">
        <f t="shared" si="112"/>
        <v>0</v>
      </c>
      <c r="CA163" s="1030">
        <f t="shared" si="113"/>
        <v>0</v>
      </c>
      <c r="CB163" s="1024">
        <f t="shared" si="114"/>
        <v>0</v>
      </c>
      <c r="CC163" s="1036">
        <f t="shared" si="115"/>
        <v>0</v>
      </c>
      <c r="CD163" s="1023">
        <f t="shared" si="116"/>
        <v>0</v>
      </c>
      <c r="CE163" s="1023">
        <v>0</v>
      </c>
      <c r="CF163" s="1023">
        <f t="shared" si="117"/>
        <v>0</v>
      </c>
      <c r="CG163" s="1029"/>
      <c r="CH163" s="972">
        <f t="shared" si="107"/>
        <v>0</v>
      </c>
      <c r="CL163" s="976">
        <v>0</v>
      </c>
      <c r="CM163" s="976">
        <f t="shared" si="118"/>
        <v>0</v>
      </c>
    </row>
    <row r="164" spans="1:91" s="1032" customFormat="1" ht="12.75" customHeight="1" outlineLevel="1">
      <c r="A164" s="996"/>
      <c r="B164" s="1015"/>
      <c r="C164" s="1016"/>
      <c r="D164" s="1016" t="s">
        <v>705</v>
      </c>
      <c r="E164" s="1017"/>
      <c r="F164" s="1023"/>
      <c r="G164" s="1023">
        <v>13742.83</v>
      </c>
      <c r="H164" s="1023"/>
      <c r="I164" s="1023">
        <v>13742.83</v>
      </c>
      <c r="J164" s="1033">
        <v>4600003202</v>
      </c>
      <c r="K164" s="1034">
        <v>2175000</v>
      </c>
      <c r="L164" s="1035" t="s">
        <v>314</v>
      </c>
      <c r="M164" s="1036"/>
      <c r="N164" s="1023">
        <v>0</v>
      </c>
      <c r="O164" s="1024">
        <v>0</v>
      </c>
      <c r="P164" s="1024">
        <v>0</v>
      </c>
      <c r="Q164" s="1024">
        <v>0</v>
      </c>
      <c r="R164" s="1024">
        <v>0</v>
      </c>
      <c r="S164" s="1024">
        <v>0</v>
      </c>
      <c r="T164" s="1024">
        <v>0</v>
      </c>
      <c r="U164" s="1024">
        <v>0</v>
      </c>
      <c r="V164" s="1024">
        <v>0</v>
      </c>
      <c r="W164" s="1024">
        <v>0</v>
      </c>
      <c r="X164" s="1024">
        <v>0</v>
      </c>
      <c r="Y164" s="1024">
        <v>0</v>
      </c>
      <c r="Z164" s="1025">
        <f t="shared" si="108"/>
        <v>0</v>
      </c>
      <c r="AA164" s="1026">
        <v>0</v>
      </c>
      <c r="AB164" s="1027">
        <v>0</v>
      </c>
      <c r="AC164" s="1027">
        <v>0</v>
      </c>
      <c r="AD164" s="1027">
        <v>0</v>
      </c>
      <c r="AE164" s="1027">
        <v>0</v>
      </c>
      <c r="AF164" s="1027">
        <v>0</v>
      </c>
      <c r="AG164" s="1027"/>
      <c r="AH164" s="1028">
        <v>0</v>
      </c>
      <c r="AI164" s="1028">
        <v>0</v>
      </c>
      <c r="AJ164" s="1028">
        <v>13742.83</v>
      </c>
      <c r="AK164" s="1028">
        <v>0</v>
      </c>
      <c r="AL164" s="1028">
        <v>0</v>
      </c>
      <c r="AM164" s="1025">
        <f t="shared" si="109"/>
        <v>13742.83</v>
      </c>
      <c r="AN164" s="1024"/>
      <c r="AO164" s="1024"/>
      <c r="AP164" s="1024"/>
      <c r="AQ164" s="1024"/>
      <c r="AR164" s="1024"/>
      <c r="AS164" s="1024"/>
      <c r="AT164" s="1024"/>
      <c r="AU164" s="1024"/>
      <c r="AV164" s="1024"/>
      <c r="AW164" s="1024"/>
      <c r="AX164" s="1024"/>
      <c r="AY164" s="1024"/>
      <c r="AZ164" s="1024">
        <f t="shared" si="110"/>
        <v>0</v>
      </c>
      <c r="BA164" s="1024"/>
      <c r="BB164" s="1024"/>
      <c r="BC164" s="1024"/>
      <c r="BD164" s="1024"/>
      <c r="BE164" s="1024"/>
      <c r="BF164" s="1024"/>
      <c r="BG164" s="1024"/>
      <c r="BH164" s="1024"/>
      <c r="BI164" s="1024"/>
      <c r="BJ164" s="1024"/>
      <c r="BK164" s="1024"/>
      <c r="BL164" s="1024"/>
      <c r="BM164" s="1024">
        <f t="shared" si="111"/>
        <v>0</v>
      </c>
      <c r="BN164" s="1024"/>
      <c r="BO164" s="1024"/>
      <c r="BP164" s="1024"/>
      <c r="BQ164" s="1024"/>
      <c r="BR164" s="1024"/>
      <c r="BS164" s="1024"/>
      <c r="BT164" s="1024"/>
      <c r="BU164" s="1024"/>
      <c r="BV164" s="1024"/>
      <c r="BW164" s="1024"/>
      <c r="BX164" s="1024"/>
      <c r="BY164" s="1024"/>
      <c r="BZ164" s="1029">
        <f t="shared" si="112"/>
        <v>0</v>
      </c>
      <c r="CA164" s="1030">
        <f t="shared" si="113"/>
        <v>13742.83</v>
      </c>
      <c r="CB164" s="1031">
        <f t="shared" si="114"/>
        <v>0</v>
      </c>
      <c r="CC164" s="1036">
        <f t="shared" si="115"/>
        <v>13742.83</v>
      </c>
      <c r="CD164" s="1023">
        <f t="shared" si="116"/>
        <v>0</v>
      </c>
      <c r="CE164" s="1023">
        <v>13742.83</v>
      </c>
      <c r="CF164" s="1023">
        <f t="shared" si="117"/>
        <v>0</v>
      </c>
      <c r="CG164" s="1029"/>
      <c r="CH164" s="972">
        <f t="shared" si="107"/>
        <v>2161257.17</v>
      </c>
      <c r="CL164" s="976">
        <v>13742.83</v>
      </c>
      <c r="CM164" s="976">
        <f t="shared" si="118"/>
        <v>0</v>
      </c>
    </row>
    <row r="165" spans="1:91" s="1032" customFormat="1" ht="12.75" customHeight="1" outlineLevel="1">
      <c r="A165" s="996"/>
      <c r="B165" s="1015"/>
      <c r="C165" s="1016"/>
      <c r="D165" s="1016" t="s">
        <v>706</v>
      </c>
      <c r="E165" s="1017"/>
      <c r="F165" s="1023"/>
      <c r="G165" s="1023">
        <v>30958.5</v>
      </c>
      <c r="H165" s="1023"/>
      <c r="I165" s="1023">
        <v>30958.5</v>
      </c>
      <c r="J165" s="1033">
        <v>6400003561</v>
      </c>
      <c r="K165" s="1034">
        <v>35800</v>
      </c>
      <c r="L165" s="1035" t="s">
        <v>326</v>
      </c>
      <c r="M165" s="1036"/>
      <c r="N165" s="1023">
        <v>0</v>
      </c>
      <c r="O165" s="1024">
        <v>0</v>
      </c>
      <c r="P165" s="1024">
        <v>0</v>
      </c>
      <c r="Q165" s="1024">
        <v>0</v>
      </c>
      <c r="R165" s="1024">
        <v>0</v>
      </c>
      <c r="S165" s="1024">
        <v>0</v>
      </c>
      <c r="T165" s="1024">
        <v>0</v>
      </c>
      <c r="U165" s="1024">
        <v>0</v>
      </c>
      <c r="V165" s="1024">
        <v>0</v>
      </c>
      <c r="W165" s="1024">
        <v>0</v>
      </c>
      <c r="X165" s="1024">
        <v>0</v>
      </c>
      <c r="Y165" s="1024">
        <v>0</v>
      </c>
      <c r="Z165" s="1025">
        <f t="shared" si="108"/>
        <v>0</v>
      </c>
      <c r="AA165" s="1026">
        <v>0</v>
      </c>
      <c r="AB165" s="1027">
        <v>0</v>
      </c>
      <c r="AC165" s="1027">
        <v>0</v>
      </c>
      <c r="AD165" s="1027">
        <v>0</v>
      </c>
      <c r="AE165" s="1027">
        <v>0</v>
      </c>
      <c r="AF165" s="1027">
        <v>0</v>
      </c>
      <c r="AG165" s="1027"/>
      <c r="AH165" s="1028">
        <v>0</v>
      </c>
      <c r="AI165" s="1028">
        <v>0</v>
      </c>
      <c r="AJ165" s="1028"/>
      <c r="AK165" s="1028">
        <v>0</v>
      </c>
      <c r="AL165" s="1028">
        <v>30958.5</v>
      </c>
      <c r="AM165" s="1025">
        <f t="shared" si="109"/>
        <v>30958.5</v>
      </c>
      <c r="AN165" s="1024"/>
      <c r="AO165" s="1024"/>
      <c r="AP165" s="1024"/>
      <c r="AQ165" s="1024"/>
      <c r="AR165" s="1024"/>
      <c r="AS165" s="1024"/>
      <c r="AT165" s="1024"/>
      <c r="AU165" s="1024"/>
      <c r="AV165" s="1024"/>
      <c r="AW165" s="1024"/>
      <c r="AX165" s="1024"/>
      <c r="AY165" s="1024"/>
      <c r="AZ165" s="1024">
        <f t="shared" si="110"/>
        <v>0</v>
      </c>
      <c r="BA165" s="1024"/>
      <c r="BB165" s="1024"/>
      <c r="BC165" s="1024"/>
      <c r="BD165" s="1024"/>
      <c r="BE165" s="1024"/>
      <c r="BF165" s="1024"/>
      <c r="BG165" s="1024"/>
      <c r="BH165" s="1024"/>
      <c r="BI165" s="1024"/>
      <c r="BJ165" s="1024"/>
      <c r="BK165" s="1024"/>
      <c r="BL165" s="1024"/>
      <c r="BM165" s="1024">
        <f t="shared" si="111"/>
        <v>0</v>
      </c>
      <c r="BN165" s="1024"/>
      <c r="BO165" s="1024"/>
      <c r="BP165" s="1024"/>
      <c r="BQ165" s="1024"/>
      <c r="BR165" s="1024"/>
      <c r="BS165" s="1024"/>
      <c r="BT165" s="1024"/>
      <c r="BU165" s="1024"/>
      <c r="BV165" s="1024"/>
      <c r="BW165" s="1024"/>
      <c r="BX165" s="1024"/>
      <c r="BY165" s="1024"/>
      <c r="BZ165" s="1029">
        <f t="shared" si="112"/>
        <v>0</v>
      </c>
      <c r="CA165" s="1030">
        <f t="shared" si="113"/>
        <v>30958.5</v>
      </c>
      <c r="CB165" s="1031">
        <f t="shared" si="114"/>
        <v>0</v>
      </c>
      <c r="CC165" s="1036">
        <f t="shared" si="115"/>
        <v>30958.5</v>
      </c>
      <c r="CD165" s="1023">
        <f t="shared" si="116"/>
        <v>0</v>
      </c>
      <c r="CE165" s="1023">
        <v>30958.5</v>
      </c>
      <c r="CF165" s="1023">
        <f t="shared" si="117"/>
        <v>0</v>
      </c>
      <c r="CG165" s="1029"/>
      <c r="CH165" s="972">
        <f t="shared" si="107"/>
        <v>4841.5</v>
      </c>
      <c r="CL165" s="976">
        <v>30958.5</v>
      </c>
      <c r="CM165" s="976">
        <f t="shared" si="118"/>
        <v>0</v>
      </c>
    </row>
    <row r="166" spans="1:91" s="1032" customFormat="1" ht="12.75" customHeight="1" outlineLevel="1">
      <c r="A166" s="996"/>
      <c r="B166" s="1015"/>
      <c r="C166" s="1016"/>
      <c r="D166" s="1016" t="s">
        <v>707</v>
      </c>
      <c r="E166" s="1017"/>
      <c r="F166" s="1023"/>
      <c r="G166" s="1023">
        <v>1511.1</v>
      </c>
      <c r="H166" s="1023"/>
      <c r="I166" s="1023">
        <v>1511.1</v>
      </c>
      <c r="J166" s="1033">
        <v>4600004186</v>
      </c>
      <c r="K166" s="1034">
        <v>100000</v>
      </c>
      <c r="L166" s="1035" t="s">
        <v>314</v>
      </c>
      <c r="M166" s="1036"/>
      <c r="N166" s="1023">
        <v>0</v>
      </c>
      <c r="O166" s="1024">
        <v>0</v>
      </c>
      <c r="P166" s="1024">
        <v>0</v>
      </c>
      <c r="Q166" s="1024">
        <v>0</v>
      </c>
      <c r="R166" s="1024">
        <v>0</v>
      </c>
      <c r="S166" s="1024">
        <v>0</v>
      </c>
      <c r="T166" s="1024">
        <v>0</v>
      </c>
      <c r="U166" s="1024">
        <v>0</v>
      </c>
      <c r="V166" s="1024">
        <v>0</v>
      </c>
      <c r="W166" s="1024">
        <v>0</v>
      </c>
      <c r="X166" s="1024">
        <v>0</v>
      </c>
      <c r="Y166" s="1024">
        <v>0</v>
      </c>
      <c r="Z166" s="1025">
        <f t="shared" si="108"/>
        <v>0</v>
      </c>
      <c r="AA166" s="1026">
        <v>0</v>
      </c>
      <c r="AB166" s="1027">
        <v>0</v>
      </c>
      <c r="AC166" s="1027">
        <v>0</v>
      </c>
      <c r="AD166" s="1027">
        <v>0</v>
      </c>
      <c r="AE166" s="1027">
        <v>0</v>
      </c>
      <c r="AF166" s="1027">
        <v>0</v>
      </c>
      <c r="AG166" s="1027">
        <v>0</v>
      </c>
      <c r="AH166" s="1028">
        <v>0</v>
      </c>
      <c r="AI166" s="1028">
        <v>0</v>
      </c>
      <c r="AJ166" s="1028">
        <v>0</v>
      </c>
      <c r="AK166" s="1028">
        <v>0</v>
      </c>
      <c r="AL166" s="1028">
        <v>0</v>
      </c>
      <c r="AM166" s="1025">
        <f t="shared" si="109"/>
        <v>0</v>
      </c>
      <c r="AN166" s="1024"/>
      <c r="AO166" s="1024"/>
      <c r="AP166" s="1024">
        <v>1511.1</v>
      </c>
      <c r="AQ166" s="1024"/>
      <c r="AR166" s="1024"/>
      <c r="AS166" s="1024"/>
      <c r="AT166" s="1024"/>
      <c r="AU166" s="1024"/>
      <c r="AV166" s="1024"/>
      <c r="AW166" s="1024"/>
      <c r="AX166" s="1024"/>
      <c r="AY166" s="1024"/>
      <c r="AZ166" s="1024">
        <f t="shared" si="110"/>
        <v>1511.1</v>
      </c>
      <c r="BA166" s="1024"/>
      <c r="BB166" s="1024"/>
      <c r="BC166" s="1024"/>
      <c r="BD166" s="1024"/>
      <c r="BE166" s="1024"/>
      <c r="BF166" s="1024"/>
      <c r="BG166" s="1024"/>
      <c r="BH166" s="1024"/>
      <c r="BI166" s="1024"/>
      <c r="BJ166" s="1024"/>
      <c r="BK166" s="1024"/>
      <c r="BL166" s="1024"/>
      <c r="BM166" s="1024">
        <f t="shared" si="111"/>
        <v>0</v>
      </c>
      <c r="BN166" s="1024"/>
      <c r="BO166" s="1024"/>
      <c r="BP166" s="1024"/>
      <c r="BQ166" s="1024"/>
      <c r="BR166" s="1024"/>
      <c r="BS166" s="1024"/>
      <c r="BT166" s="1024"/>
      <c r="BU166" s="1024"/>
      <c r="BV166" s="1024"/>
      <c r="BW166" s="1024"/>
      <c r="BX166" s="1024"/>
      <c r="BY166" s="1024"/>
      <c r="BZ166" s="1029">
        <f t="shared" si="112"/>
        <v>0</v>
      </c>
      <c r="CA166" s="1030">
        <f t="shared" si="113"/>
        <v>1511.1</v>
      </c>
      <c r="CB166" s="1031">
        <f t="shared" si="114"/>
        <v>0</v>
      </c>
      <c r="CC166" s="1036">
        <f t="shared" si="115"/>
        <v>1511.1</v>
      </c>
      <c r="CD166" s="1023">
        <f t="shared" si="116"/>
        <v>0</v>
      </c>
      <c r="CE166" s="1023">
        <v>1511.1</v>
      </c>
      <c r="CF166" s="1023">
        <f t="shared" si="117"/>
        <v>0</v>
      </c>
      <c r="CG166" s="1029"/>
      <c r="CH166" s="972">
        <f t="shared" si="107"/>
        <v>98488.9</v>
      </c>
      <c r="CL166" s="976">
        <v>1511.1</v>
      </c>
      <c r="CM166" s="976">
        <f t="shared" si="118"/>
        <v>0</v>
      </c>
    </row>
    <row r="167" spans="1:91" s="1032" customFormat="1" ht="12.75" customHeight="1" outlineLevel="1">
      <c r="A167" s="996"/>
      <c r="B167" s="1015"/>
      <c r="C167" s="1016"/>
      <c r="D167" s="1016" t="s">
        <v>708</v>
      </c>
      <c r="E167" s="1017"/>
      <c r="F167" s="1023"/>
      <c r="G167" s="1023">
        <v>0</v>
      </c>
      <c r="H167" s="1023"/>
      <c r="I167" s="1023">
        <v>0</v>
      </c>
      <c r="J167" s="1033" t="s">
        <v>709</v>
      </c>
      <c r="K167" s="1034">
        <v>5500.68</v>
      </c>
      <c r="L167" s="1035"/>
      <c r="M167" s="1036"/>
      <c r="N167" s="1023">
        <v>0</v>
      </c>
      <c r="O167" s="1024">
        <v>0</v>
      </c>
      <c r="P167" s="1024">
        <v>0</v>
      </c>
      <c r="Q167" s="1024">
        <v>0</v>
      </c>
      <c r="R167" s="1024">
        <v>0</v>
      </c>
      <c r="S167" s="1024">
        <v>0</v>
      </c>
      <c r="T167" s="1024">
        <v>0</v>
      </c>
      <c r="U167" s="1024">
        <v>0</v>
      </c>
      <c r="V167" s="1024">
        <v>0</v>
      </c>
      <c r="W167" s="1024">
        <v>0</v>
      </c>
      <c r="X167" s="1024">
        <v>0</v>
      </c>
      <c r="Y167" s="1024">
        <v>0</v>
      </c>
      <c r="Z167" s="1025">
        <f t="shared" si="108"/>
        <v>0</v>
      </c>
      <c r="AA167" s="1026">
        <v>0</v>
      </c>
      <c r="AB167" s="1027">
        <v>0</v>
      </c>
      <c r="AC167" s="1027">
        <v>0</v>
      </c>
      <c r="AD167" s="1027">
        <v>0</v>
      </c>
      <c r="AE167" s="1027">
        <v>0</v>
      </c>
      <c r="AF167" s="1027">
        <v>0</v>
      </c>
      <c r="AG167" s="1027">
        <v>0</v>
      </c>
      <c r="AH167" s="1028">
        <v>0</v>
      </c>
      <c r="AI167" s="1028">
        <v>0</v>
      </c>
      <c r="AJ167" s="1028">
        <v>0</v>
      </c>
      <c r="AK167" s="1028">
        <v>0</v>
      </c>
      <c r="AL167" s="1028">
        <v>0</v>
      </c>
      <c r="AM167" s="1025">
        <f t="shared" si="109"/>
        <v>0</v>
      </c>
      <c r="AN167" s="1024"/>
      <c r="AO167" s="1024"/>
      <c r="AP167" s="1024"/>
      <c r="AQ167" s="1024"/>
      <c r="AR167" s="1024"/>
      <c r="AS167" s="1024"/>
      <c r="AT167" s="1024"/>
      <c r="AU167" s="1024"/>
      <c r="AV167" s="1024"/>
      <c r="AW167" s="1024"/>
      <c r="AX167" s="1024"/>
      <c r="AY167" s="1024"/>
      <c r="AZ167" s="1024">
        <f t="shared" si="110"/>
        <v>0</v>
      </c>
      <c r="BA167" s="1024"/>
      <c r="BB167" s="1024"/>
      <c r="BC167" s="1024"/>
      <c r="BD167" s="1024"/>
      <c r="BE167" s="1024"/>
      <c r="BF167" s="1024"/>
      <c r="BG167" s="1024"/>
      <c r="BH167" s="1024"/>
      <c r="BI167" s="1024">
        <v>5500.68</v>
      </c>
      <c r="BJ167" s="1024"/>
      <c r="BK167" s="1024">
        <v>2730</v>
      </c>
      <c r="BL167" s="1024"/>
      <c r="BM167" s="1024">
        <f t="shared" si="111"/>
        <v>8230.68</v>
      </c>
      <c r="BN167" s="1024"/>
      <c r="BO167" s="1024"/>
      <c r="BP167" s="1024"/>
      <c r="BQ167" s="1024"/>
      <c r="BR167" s="1093">
        <v>0</v>
      </c>
      <c r="BS167" s="1024"/>
      <c r="BT167" s="1024"/>
      <c r="BU167" s="1024"/>
      <c r="BV167" s="1024"/>
      <c r="BW167" s="1024"/>
      <c r="BX167" s="1024"/>
      <c r="BY167" s="1024"/>
      <c r="BZ167" s="1029">
        <f t="shared" si="112"/>
        <v>0</v>
      </c>
      <c r="CA167" s="1030">
        <f t="shared" si="113"/>
        <v>8230.68</v>
      </c>
      <c r="CB167" s="1031">
        <f t="shared" si="114"/>
        <v>0</v>
      </c>
      <c r="CC167" s="1036">
        <f t="shared" si="115"/>
        <v>8230.68</v>
      </c>
      <c r="CD167" s="1023">
        <f t="shared" si="116"/>
        <v>8230.68</v>
      </c>
      <c r="CE167" s="1023">
        <v>8230.68</v>
      </c>
      <c r="CF167" s="1023">
        <f t="shared" si="117"/>
        <v>0</v>
      </c>
      <c r="CG167" s="1029"/>
      <c r="CH167" s="972">
        <f t="shared" si="107"/>
        <v>-2730</v>
      </c>
      <c r="CL167" s="976">
        <v>0</v>
      </c>
      <c r="CM167" s="976">
        <f t="shared" si="118"/>
        <v>-8230.68</v>
      </c>
    </row>
    <row r="168" spans="1:91" s="1032" customFormat="1" ht="12.75" customHeight="1" outlineLevel="1">
      <c r="A168" s="996"/>
      <c r="B168" s="1015"/>
      <c r="C168" s="1016"/>
      <c r="D168" s="1016" t="s">
        <v>710</v>
      </c>
      <c r="E168" s="1017"/>
      <c r="F168" s="1023"/>
      <c r="G168" s="1023">
        <v>50000</v>
      </c>
      <c r="H168" s="1023"/>
      <c r="I168" s="1023">
        <v>50000</v>
      </c>
      <c r="J168" s="1033"/>
      <c r="K168" s="1034">
        <v>50000</v>
      </c>
      <c r="L168" s="1035" t="s">
        <v>711</v>
      </c>
      <c r="M168" s="1036"/>
      <c r="N168" s="1023">
        <v>0</v>
      </c>
      <c r="O168" s="1024"/>
      <c r="P168" s="1024">
        <v>0</v>
      </c>
      <c r="Q168" s="1024">
        <v>0</v>
      </c>
      <c r="R168" s="1024">
        <v>0</v>
      </c>
      <c r="S168" s="1024">
        <v>0</v>
      </c>
      <c r="T168" s="1024">
        <v>0</v>
      </c>
      <c r="U168" s="1024">
        <v>0</v>
      </c>
      <c r="V168" s="1024">
        <v>0</v>
      </c>
      <c r="W168" s="1024">
        <v>0</v>
      </c>
      <c r="X168" s="1024">
        <v>0</v>
      </c>
      <c r="Y168" s="1024">
        <v>0</v>
      </c>
      <c r="Z168" s="1025">
        <f t="shared" si="108"/>
        <v>0</v>
      </c>
      <c r="AA168" s="1026">
        <v>0</v>
      </c>
      <c r="AB168" s="1027">
        <v>0</v>
      </c>
      <c r="AC168" s="1027">
        <v>0</v>
      </c>
      <c r="AD168" s="1027">
        <v>0</v>
      </c>
      <c r="AE168" s="1027">
        <v>0</v>
      </c>
      <c r="AF168" s="1027">
        <v>0</v>
      </c>
      <c r="AG168" s="1027">
        <v>0</v>
      </c>
      <c r="AH168" s="1028">
        <v>0</v>
      </c>
      <c r="AI168" s="1028">
        <v>0</v>
      </c>
      <c r="AJ168" s="1028">
        <v>0</v>
      </c>
      <c r="AK168" s="1028">
        <v>0</v>
      </c>
      <c r="AL168" s="1028">
        <v>50000</v>
      </c>
      <c r="AM168" s="1025">
        <f t="shared" si="109"/>
        <v>50000</v>
      </c>
      <c r="AN168" s="1024"/>
      <c r="AO168" s="1024"/>
      <c r="AP168" s="1024"/>
      <c r="AQ168" s="1024"/>
      <c r="AR168" s="1024"/>
      <c r="AS168" s="1024"/>
      <c r="AT168" s="1024"/>
      <c r="AU168" s="1024"/>
      <c r="AV168" s="1024"/>
      <c r="AW168" s="1024"/>
      <c r="AX168" s="1024"/>
      <c r="AY168" s="1024"/>
      <c r="AZ168" s="1024">
        <f t="shared" si="110"/>
        <v>0</v>
      </c>
      <c r="BA168" s="1024"/>
      <c r="BB168" s="1024"/>
      <c r="BC168" s="1024"/>
      <c r="BD168" s="1024"/>
      <c r="BE168" s="1024"/>
      <c r="BF168" s="1024"/>
      <c r="BG168" s="1024"/>
      <c r="BH168" s="1024"/>
      <c r="BI168" s="1024"/>
      <c r="BJ168" s="1024"/>
      <c r="BK168" s="1024"/>
      <c r="BL168" s="1024"/>
      <c r="BM168" s="1024">
        <f t="shared" si="111"/>
        <v>0</v>
      </c>
      <c r="BN168" s="1024"/>
      <c r="BO168" s="1024"/>
      <c r="BP168" s="1024"/>
      <c r="BQ168" s="1024"/>
      <c r="BR168" s="1024"/>
      <c r="BS168" s="1024"/>
      <c r="BT168" s="1024"/>
      <c r="BU168" s="1024"/>
      <c r="BV168" s="1024"/>
      <c r="BW168" s="1024"/>
      <c r="BX168" s="1024"/>
      <c r="BY168" s="1024"/>
      <c r="BZ168" s="1029">
        <f t="shared" si="112"/>
        <v>0</v>
      </c>
      <c r="CA168" s="1030">
        <f t="shared" si="113"/>
        <v>50000</v>
      </c>
      <c r="CB168" s="1031">
        <f t="shared" si="114"/>
        <v>0</v>
      </c>
      <c r="CC168" s="1036">
        <f t="shared" si="115"/>
        <v>50000</v>
      </c>
      <c r="CD168" s="1023">
        <f t="shared" si="116"/>
        <v>0</v>
      </c>
      <c r="CE168" s="1023">
        <v>50000</v>
      </c>
      <c r="CF168" s="1023">
        <f t="shared" si="117"/>
        <v>0</v>
      </c>
      <c r="CG168" s="1029"/>
      <c r="CH168" s="972">
        <f t="shared" si="107"/>
        <v>0</v>
      </c>
      <c r="CL168" s="976">
        <v>50000</v>
      </c>
      <c r="CM168" s="976">
        <f t="shared" si="118"/>
        <v>0</v>
      </c>
    </row>
    <row r="169" spans="1:91" s="1032" customFormat="1" ht="12.75" customHeight="1" outlineLevel="1">
      <c r="A169" s="996"/>
      <c r="B169" s="1015"/>
      <c r="C169" s="1016"/>
      <c r="D169" s="1016" t="s">
        <v>712</v>
      </c>
      <c r="E169" s="1017"/>
      <c r="F169" s="1023"/>
      <c r="G169" s="1023"/>
      <c r="H169" s="1023"/>
      <c r="I169" s="1023"/>
      <c r="J169" s="1033"/>
      <c r="K169" s="1034"/>
      <c r="L169" s="1035"/>
      <c r="M169" s="1036"/>
      <c r="N169" s="1023">
        <v>0</v>
      </c>
      <c r="O169" s="1024"/>
      <c r="P169" s="1024">
        <v>0</v>
      </c>
      <c r="Q169" s="1024">
        <v>0</v>
      </c>
      <c r="R169" s="1024">
        <v>0</v>
      </c>
      <c r="S169" s="1024">
        <v>0</v>
      </c>
      <c r="T169" s="1024">
        <v>0</v>
      </c>
      <c r="U169" s="1024">
        <v>0</v>
      </c>
      <c r="V169" s="1024">
        <v>0</v>
      </c>
      <c r="W169" s="1024">
        <v>0</v>
      </c>
      <c r="X169" s="1024">
        <v>0</v>
      </c>
      <c r="Y169" s="1024">
        <v>0</v>
      </c>
      <c r="Z169" s="1025">
        <f t="shared" si="108"/>
        <v>0</v>
      </c>
      <c r="AA169" s="1026">
        <v>0</v>
      </c>
      <c r="AB169" s="1027">
        <v>0</v>
      </c>
      <c r="AC169" s="1027">
        <v>0</v>
      </c>
      <c r="AD169" s="1027">
        <v>0</v>
      </c>
      <c r="AE169" s="1027">
        <v>0</v>
      </c>
      <c r="AF169" s="1027">
        <v>0</v>
      </c>
      <c r="AG169" s="1027">
        <v>0</v>
      </c>
      <c r="AH169" s="1028">
        <v>0</v>
      </c>
      <c r="AI169" s="1028">
        <v>0</v>
      </c>
      <c r="AJ169" s="1028">
        <v>0</v>
      </c>
      <c r="AK169" s="1028">
        <v>0</v>
      </c>
      <c r="AL169" s="1028"/>
      <c r="AM169" s="1025">
        <f t="shared" si="109"/>
        <v>0</v>
      </c>
      <c r="AN169" s="1024"/>
      <c r="AO169" s="1024"/>
      <c r="AP169" s="1024"/>
      <c r="AQ169" s="1024"/>
      <c r="AR169" s="1024"/>
      <c r="AS169" s="1024"/>
      <c r="AT169" s="1024"/>
      <c r="AU169" s="1024"/>
      <c r="AV169" s="1024"/>
      <c r="AW169" s="1024"/>
      <c r="AX169" s="1024"/>
      <c r="AY169" s="1024"/>
      <c r="AZ169" s="1024">
        <f t="shared" si="110"/>
        <v>0</v>
      </c>
      <c r="BA169" s="1024"/>
      <c r="BB169" s="1024"/>
      <c r="BC169" s="1024"/>
      <c r="BD169" s="1024"/>
      <c r="BE169" s="1024"/>
      <c r="BF169" s="1024"/>
      <c r="BG169" s="1024"/>
      <c r="BH169" s="1024"/>
      <c r="BI169" s="1024"/>
      <c r="BJ169" s="1024"/>
      <c r="BK169" s="1024"/>
      <c r="BL169" s="1024"/>
      <c r="BM169" s="1024">
        <f t="shared" si="111"/>
        <v>0</v>
      </c>
      <c r="BN169" s="1024"/>
      <c r="BO169" s="1024"/>
      <c r="BP169" s="1024">
        <v>2865.86</v>
      </c>
      <c r="BQ169" s="1024"/>
      <c r="BR169" s="1024"/>
      <c r="BS169" s="1024"/>
      <c r="BT169" s="1024"/>
      <c r="BU169" s="1024"/>
      <c r="BV169" s="1024"/>
      <c r="BW169" s="1024"/>
      <c r="BX169" s="1024"/>
      <c r="BY169" s="1024"/>
      <c r="BZ169" s="1029">
        <f t="shared" si="112"/>
        <v>2865.86</v>
      </c>
      <c r="CA169" s="1030">
        <f t="shared" si="113"/>
        <v>2865.86</v>
      </c>
      <c r="CB169" s="1031">
        <f t="shared" si="114"/>
        <v>0</v>
      </c>
      <c r="CC169" s="1036">
        <f t="shared" si="115"/>
        <v>2865.86</v>
      </c>
      <c r="CD169" s="1023">
        <f t="shared" si="116"/>
        <v>2865.86</v>
      </c>
      <c r="CE169" s="1023">
        <v>2865.86</v>
      </c>
      <c r="CF169" s="1023">
        <f t="shared" si="117"/>
        <v>0</v>
      </c>
      <c r="CG169" s="1029"/>
      <c r="CH169" s="972">
        <f t="shared" si="107"/>
        <v>-2865.86</v>
      </c>
      <c r="CL169" s="976">
        <v>0</v>
      </c>
      <c r="CM169" s="976">
        <f t="shared" si="118"/>
        <v>-2865.86</v>
      </c>
    </row>
    <row r="170" spans="1:91" s="1032" customFormat="1" ht="12.75" customHeight="1" outlineLevel="1">
      <c r="A170" s="996"/>
      <c r="B170" s="1015"/>
      <c r="C170" s="1016"/>
      <c r="D170" s="1016" t="s">
        <v>713</v>
      </c>
      <c r="E170" s="1017"/>
      <c r="F170" s="1023"/>
      <c r="G170" s="1023">
        <v>0</v>
      </c>
      <c r="H170" s="1023"/>
      <c r="I170" s="1023">
        <v>0</v>
      </c>
      <c r="J170" s="1033">
        <v>6400002835</v>
      </c>
      <c r="K170" s="1034">
        <v>1000000</v>
      </c>
      <c r="L170" s="1035"/>
      <c r="M170" s="1036"/>
      <c r="N170" s="1023">
        <v>0</v>
      </c>
      <c r="O170" s="1024"/>
      <c r="P170" s="1024">
        <v>0</v>
      </c>
      <c r="Q170" s="1024">
        <v>0</v>
      </c>
      <c r="R170" s="1024">
        <v>0</v>
      </c>
      <c r="S170" s="1024">
        <v>0</v>
      </c>
      <c r="T170" s="1024">
        <v>0</v>
      </c>
      <c r="U170" s="1024">
        <v>0</v>
      </c>
      <c r="V170" s="1024">
        <v>0</v>
      </c>
      <c r="W170" s="1024">
        <v>0</v>
      </c>
      <c r="X170" s="1024">
        <v>0</v>
      </c>
      <c r="Y170" s="1024">
        <v>0</v>
      </c>
      <c r="Z170" s="1025">
        <f t="shared" si="108"/>
        <v>0</v>
      </c>
      <c r="AA170" s="1026">
        <v>0</v>
      </c>
      <c r="AB170" s="1027">
        <v>0</v>
      </c>
      <c r="AC170" s="1027">
        <v>0</v>
      </c>
      <c r="AD170" s="1027">
        <v>0</v>
      </c>
      <c r="AE170" s="1027">
        <v>0</v>
      </c>
      <c r="AF170" s="1027">
        <v>0</v>
      </c>
      <c r="AG170" s="1027">
        <v>0</v>
      </c>
      <c r="AH170" s="1028">
        <v>0</v>
      </c>
      <c r="AI170" s="1028">
        <v>0</v>
      </c>
      <c r="AJ170" s="1028">
        <v>0</v>
      </c>
      <c r="AK170" s="1028">
        <v>0</v>
      </c>
      <c r="AL170" s="1028"/>
      <c r="AM170" s="1025">
        <f t="shared" si="109"/>
        <v>0</v>
      </c>
      <c r="AN170" s="1024"/>
      <c r="AO170" s="1024"/>
      <c r="AP170" s="1024"/>
      <c r="AQ170" s="1024"/>
      <c r="AR170" s="1024"/>
      <c r="AS170" s="1024"/>
      <c r="AT170" s="1024"/>
      <c r="AU170" s="1024"/>
      <c r="AV170" s="1024"/>
      <c r="AW170" s="1024"/>
      <c r="AX170" s="1024"/>
      <c r="AY170" s="1024"/>
      <c r="AZ170" s="1024">
        <f t="shared" si="110"/>
        <v>0</v>
      </c>
      <c r="BA170" s="1024"/>
      <c r="BB170" s="1024"/>
      <c r="BC170" s="1024"/>
      <c r="BD170" s="1024"/>
      <c r="BE170" s="1024"/>
      <c r="BF170" s="1024"/>
      <c r="BG170" s="1024"/>
      <c r="BH170" s="1024"/>
      <c r="BI170" s="1024">
        <v>832.2</v>
      </c>
      <c r="BJ170" s="1024"/>
      <c r="BK170" s="1024"/>
      <c r="BL170" s="1024"/>
      <c r="BM170" s="1024">
        <f t="shared" si="111"/>
        <v>832.2</v>
      </c>
      <c r="BN170" s="1024"/>
      <c r="BO170" s="1024"/>
      <c r="BP170" s="1024">
        <v>9422.48</v>
      </c>
      <c r="BQ170" s="1024"/>
      <c r="BR170" s="1024"/>
      <c r="BS170" s="1024"/>
      <c r="BT170" s="1024"/>
      <c r="BU170" s="1024"/>
      <c r="BV170" s="1024"/>
      <c r="BW170" s="1024"/>
      <c r="BX170" s="1024"/>
      <c r="BY170" s="1024"/>
      <c r="BZ170" s="1029">
        <f t="shared" si="112"/>
        <v>9422.48</v>
      </c>
      <c r="CA170" s="1030">
        <f t="shared" si="113"/>
        <v>10254.68</v>
      </c>
      <c r="CB170" s="1031">
        <f t="shared" si="114"/>
        <v>0</v>
      </c>
      <c r="CC170" s="1036">
        <f t="shared" si="115"/>
        <v>10254.68</v>
      </c>
      <c r="CD170" s="1023">
        <f t="shared" si="116"/>
        <v>10254.68</v>
      </c>
      <c r="CE170" s="1023">
        <v>10254.68</v>
      </c>
      <c r="CF170" s="1023">
        <f t="shared" si="117"/>
        <v>0</v>
      </c>
      <c r="CG170" s="1029"/>
      <c r="CH170" s="972">
        <f t="shared" si="107"/>
        <v>989745.32</v>
      </c>
      <c r="CL170" s="976">
        <v>0</v>
      </c>
      <c r="CM170" s="976">
        <f t="shared" si="118"/>
        <v>-10254.68</v>
      </c>
    </row>
    <row r="171" spans="1:91" s="1032" customFormat="1" ht="12.75" customHeight="1" outlineLevel="1">
      <c r="A171" s="996"/>
      <c r="B171" s="1015"/>
      <c r="C171" s="1016"/>
      <c r="D171" s="1016" t="s">
        <v>714</v>
      </c>
      <c r="E171" s="1017"/>
      <c r="F171" s="1023"/>
      <c r="G171" s="1023">
        <v>25956.720000000001</v>
      </c>
      <c r="H171" s="1023"/>
      <c r="I171" s="1023">
        <v>25956.720000000001</v>
      </c>
      <c r="J171" s="1033">
        <v>4600005348</v>
      </c>
      <c r="K171" s="1034">
        <v>923286</v>
      </c>
      <c r="L171" s="1035" t="s">
        <v>314</v>
      </c>
      <c r="M171" s="1036"/>
      <c r="N171" s="1023">
        <v>0</v>
      </c>
      <c r="O171" s="1024">
        <v>0</v>
      </c>
      <c r="P171" s="1024">
        <v>0</v>
      </c>
      <c r="Q171" s="1024">
        <v>0</v>
      </c>
      <c r="R171" s="1024">
        <v>0</v>
      </c>
      <c r="S171" s="1024">
        <v>0</v>
      </c>
      <c r="T171" s="1024">
        <v>0</v>
      </c>
      <c r="U171" s="1024">
        <v>0</v>
      </c>
      <c r="V171" s="1024">
        <v>0</v>
      </c>
      <c r="W171" s="1024">
        <v>0</v>
      </c>
      <c r="X171" s="1024">
        <v>0</v>
      </c>
      <c r="Y171" s="1024">
        <v>0</v>
      </c>
      <c r="Z171" s="1025">
        <f t="shared" si="108"/>
        <v>0</v>
      </c>
      <c r="AA171" s="1026">
        <v>0</v>
      </c>
      <c r="AB171" s="1027">
        <v>0</v>
      </c>
      <c r="AC171" s="1027">
        <v>0</v>
      </c>
      <c r="AD171" s="1027">
        <v>0</v>
      </c>
      <c r="AE171" s="1027">
        <v>0</v>
      </c>
      <c r="AF171" s="1027">
        <v>0</v>
      </c>
      <c r="AG171" s="1027">
        <v>0</v>
      </c>
      <c r="AH171" s="1028">
        <v>4680</v>
      </c>
      <c r="AI171" s="1028">
        <v>2520</v>
      </c>
      <c r="AJ171" s="1028">
        <v>6240</v>
      </c>
      <c r="AK171" s="1028">
        <v>1200</v>
      </c>
      <c r="AL171" s="1028">
        <v>10560</v>
      </c>
      <c r="AM171" s="1025">
        <f t="shared" si="109"/>
        <v>25200</v>
      </c>
      <c r="AN171" s="1024"/>
      <c r="AO171" s="1024"/>
      <c r="AP171" s="1024"/>
      <c r="AQ171" s="1024"/>
      <c r="AR171" s="1024"/>
      <c r="AS171" s="1024"/>
      <c r="AT171" s="1024"/>
      <c r="AU171" s="1024"/>
      <c r="AV171" s="1024">
        <v>504.48</v>
      </c>
      <c r="AW171" s="1024">
        <v>252.24</v>
      </c>
      <c r="AX171" s="1024"/>
      <c r="AY171" s="1024"/>
      <c r="AZ171" s="1024">
        <f t="shared" si="110"/>
        <v>756.72</v>
      </c>
      <c r="BA171" s="1024">
        <v>3279.12</v>
      </c>
      <c r="BB171" s="1024"/>
      <c r="BC171" s="1024"/>
      <c r="BD171" s="1024"/>
      <c r="BE171" s="1024"/>
      <c r="BF171" s="1024"/>
      <c r="BG171" s="1024">
        <v>679.7</v>
      </c>
      <c r="BH171" s="1024"/>
      <c r="BI171" s="1024"/>
      <c r="BJ171" s="1024"/>
      <c r="BK171" s="1024"/>
      <c r="BL171" s="1024"/>
      <c r="BM171" s="1024">
        <f t="shared" si="111"/>
        <v>3958.8199999999997</v>
      </c>
      <c r="BN171" s="1024"/>
      <c r="BO171" s="1024"/>
      <c r="BP171" s="1024"/>
      <c r="BQ171" s="1024"/>
      <c r="BR171" s="1024"/>
      <c r="BS171" s="1024"/>
      <c r="BT171" s="1024"/>
      <c r="BU171" s="1024"/>
      <c r="BV171" s="1024"/>
      <c r="BW171" s="1024"/>
      <c r="BX171" s="1024"/>
      <c r="BY171" s="1024"/>
      <c r="BZ171" s="1029">
        <f t="shared" si="112"/>
        <v>0</v>
      </c>
      <c r="CA171" s="1030">
        <f t="shared" si="113"/>
        <v>29915.54</v>
      </c>
      <c r="CB171" s="1031">
        <f t="shared" si="114"/>
        <v>0</v>
      </c>
      <c r="CC171" s="1036">
        <f t="shared" si="115"/>
        <v>29915.54</v>
      </c>
      <c r="CD171" s="1023">
        <f t="shared" si="116"/>
        <v>3958.8199999999997</v>
      </c>
      <c r="CE171" s="1023">
        <v>29915.54</v>
      </c>
      <c r="CF171" s="1023">
        <f t="shared" si="117"/>
        <v>0</v>
      </c>
      <c r="CG171" s="1029"/>
      <c r="CH171" s="1042">
        <f t="shared" si="107"/>
        <v>893370.46</v>
      </c>
      <c r="CL171" s="976">
        <v>25200</v>
      </c>
      <c r="CM171" s="976">
        <f t="shared" si="118"/>
        <v>-4715.5400000000009</v>
      </c>
    </row>
    <row r="172" spans="1:91" s="1032" customFormat="1" ht="12.75" customHeight="1" outlineLevel="1">
      <c r="A172" s="996"/>
      <c r="B172" s="1015"/>
      <c r="C172" s="1016"/>
      <c r="D172" s="1016" t="s">
        <v>617</v>
      </c>
      <c r="E172" s="1017"/>
      <c r="F172" s="1023"/>
      <c r="G172" s="1023">
        <v>435.9</v>
      </c>
      <c r="H172" s="1023"/>
      <c r="I172" s="1023">
        <v>435.9</v>
      </c>
      <c r="J172" s="1033">
        <v>4600001697</v>
      </c>
      <c r="K172" s="1034">
        <v>1287500</v>
      </c>
      <c r="L172" s="1035" t="s">
        <v>314</v>
      </c>
      <c r="M172" s="1036"/>
      <c r="N172" s="1023">
        <v>0</v>
      </c>
      <c r="O172" s="1024">
        <v>0</v>
      </c>
      <c r="P172" s="1024">
        <v>0</v>
      </c>
      <c r="Q172" s="1024">
        <v>0</v>
      </c>
      <c r="R172" s="1024">
        <v>0</v>
      </c>
      <c r="S172" s="1024">
        <v>0</v>
      </c>
      <c r="T172" s="1024">
        <v>0</v>
      </c>
      <c r="U172" s="1024">
        <v>0</v>
      </c>
      <c r="V172" s="1024">
        <v>0</v>
      </c>
      <c r="W172" s="1024"/>
      <c r="X172" s="1024">
        <v>0</v>
      </c>
      <c r="Y172" s="1024">
        <v>0</v>
      </c>
      <c r="Z172" s="1025">
        <f t="shared" si="108"/>
        <v>0</v>
      </c>
      <c r="AA172" s="1026">
        <v>0</v>
      </c>
      <c r="AB172" s="1027">
        <v>0</v>
      </c>
      <c r="AC172" s="1027">
        <v>0</v>
      </c>
      <c r="AD172" s="1027">
        <v>0</v>
      </c>
      <c r="AE172" s="1027">
        <v>0</v>
      </c>
      <c r="AF172" s="1027">
        <v>90</v>
      </c>
      <c r="AG172" s="1027">
        <f>266.4-90</f>
        <v>176.39999999999998</v>
      </c>
      <c r="AH172" s="1028">
        <v>0</v>
      </c>
      <c r="AI172" s="1028">
        <v>0</v>
      </c>
      <c r="AJ172" s="1028">
        <v>0</v>
      </c>
      <c r="AK172" s="1028">
        <v>0</v>
      </c>
      <c r="AL172" s="1028">
        <v>0</v>
      </c>
      <c r="AM172" s="1025">
        <f t="shared" si="109"/>
        <v>266.39999999999998</v>
      </c>
      <c r="AN172" s="1024"/>
      <c r="AO172" s="1024"/>
      <c r="AP172" s="1024"/>
      <c r="AQ172" s="1024"/>
      <c r="AR172" s="1024"/>
      <c r="AS172" s="1024"/>
      <c r="AT172" s="1024"/>
      <c r="AU172" s="1024">
        <v>169.5</v>
      </c>
      <c r="AV172" s="1024"/>
      <c r="AW172" s="1024"/>
      <c r="AX172" s="1024"/>
      <c r="AY172" s="1024"/>
      <c r="AZ172" s="1024">
        <f t="shared" si="110"/>
        <v>169.5</v>
      </c>
      <c r="BA172" s="1024"/>
      <c r="BB172" s="1024"/>
      <c r="BC172" s="1024"/>
      <c r="BD172" s="1024"/>
      <c r="BE172" s="1024"/>
      <c r="BF172" s="1024"/>
      <c r="BG172" s="1024"/>
      <c r="BH172" s="1024"/>
      <c r="BI172" s="1024"/>
      <c r="BJ172" s="1024"/>
      <c r="BK172" s="1024"/>
      <c r="BL172" s="1024"/>
      <c r="BM172" s="1024">
        <f t="shared" si="111"/>
        <v>0</v>
      </c>
      <c r="BN172" s="1024"/>
      <c r="BO172" s="1024"/>
      <c r="BP172" s="1024"/>
      <c r="BQ172" s="1024"/>
      <c r="BR172" s="1024"/>
      <c r="BS172" s="1024"/>
      <c r="BT172" s="1024"/>
      <c r="BU172" s="1024"/>
      <c r="BV172" s="1024"/>
      <c r="BW172" s="1024"/>
      <c r="BX172" s="1024"/>
      <c r="BY172" s="1024"/>
      <c r="BZ172" s="1029">
        <f t="shared" si="112"/>
        <v>0</v>
      </c>
      <c r="CA172" s="1030">
        <f t="shared" si="113"/>
        <v>435.9</v>
      </c>
      <c r="CB172" s="1031">
        <f t="shared" si="114"/>
        <v>0</v>
      </c>
      <c r="CC172" s="1036">
        <f t="shared" si="115"/>
        <v>435.9</v>
      </c>
      <c r="CD172" s="1023">
        <f t="shared" si="116"/>
        <v>0</v>
      </c>
      <c r="CE172" s="1023">
        <v>435.9</v>
      </c>
      <c r="CF172" s="1023">
        <f t="shared" si="117"/>
        <v>0</v>
      </c>
      <c r="CG172" s="1029"/>
      <c r="CH172" s="1042">
        <f t="shared" si="107"/>
        <v>1287064.1000000001</v>
      </c>
      <c r="CL172" s="976">
        <v>266.39999999999998</v>
      </c>
      <c r="CM172" s="976">
        <f t="shared" si="118"/>
        <v>-169.5</v>
      </c>
    </row>
    <row r="173" spans="1:91" s="1032" customFormat="1" ht="12.75" customHeight="1" outlineLevel="1">
      <c r="A173" s="996"/>
      <c r="B173" s="1015"/>
      <c r="C173" s="1016"/>
      <c r="D173" s="1016" t="s">
        <v>715</v>
      </c>
      <c r="E173" s="1017"/>
      <c r="F173" s="1023"/>
      <c r="G173" s="1023">
        <v>24912.86</v>
      </c>
      <c r="H173" s="1023"/>
      <c r="I173" s="1023">
        <v>24912.86</v>
      </c>
      <c r="J173" s="1033">
        <v>4600002211</v>
      </c>
      <c r="K173" s="1034">
        <v>4650000</v>
      </c>
      <c r="L173" s="1035" t="s">
        <v>326</v>
      </c>
      <c r="M173" s="1036"/>
      <c r="N173" s="1023"/>
      <c r="O173" s="1024"/>
      <c r="P173" s="1024"/>
      <c r="Q173" s="1024"/>
      <c r="R173" s="1024"/>
      <c r="S173" s="1024"/>
      <c r="T173" s="1024"/>
      <c r="U173" s="1024"/>
      <c r="V173" s="1024"/>
      <c r="W173" s="1024"/>
      <c r="X173" s="1024"/>
      <c r="Y173" s="1024"/>
      <c r="Z173" s="1025">
        <f t="shared" si="108"/>
        <v>0</v>
      </c>
      <c r="AA173" s="1026">
        <v>0</v>
      </c>
      <c r="AB173" s="1027">
        <v>0</v>
      </c>
      <c r="AC173" s="1027">
        <v>0</v>
      </c>
      <c r="AD173" s="1027">
        <v>0</v>
      </c>
      <c r="AE173" s="1027">
        <f>1324.68+220.78+1711.05</f>
        <v>3256.51</v>
      </c>
      <c r="AF173" s="1027">
        <f>1821.44+1435.07+1269.49</f>
        <v>4526</v>
      </c>
      <c r="AG173" s="1027">
        <f>331.17+2649.36+165.59+165.59+938.32</f>
        <v>4250.0300000000007</v>
      </c>
      <c r="AH173" s="1028">
        <f>1435.07+883.12+441.56+165.59</f>
        <v>2925.34</v>
      </c>
      <c r="AI173" s="1028">
        <v>441.57</v>
      </c>
      <c r="AJ173" s="1028">
        <v>8406.02</v>
      </c>
      <c r="AK173" s="1028">
        <v>0</v>
      </c>
      <c r="AL173" s="1028">
        <v>0</v>
      </c>
      <c r="AM173" s="1025">
        <f t="shared" si="109"/>
        <v>23805.47</v>
      </c>
      <c r="AN173" s="1024">
        <v>1107.3900000000001</v>
      </c>
      <c r="AO173" s="1024"/>
      <c r="AP173" s="1024"/>
      <c r="AQ173" s="1024"/>
      <c r="AR173" s="1024"/>
      <c r="AS173" s="1024"/>
      <c r="AT173" s="1024"/>
      <c r="AU173" s="1024"/>
      <c r="AV173" s="1024"/>
      <c r="AW173" s="1024"/>
      <c r="AX173" s="1024"/>
      <c r="AY173" s="1024"/>
      <c r="AZ173" s="1024">
        <f t="shared" si="110"/>
        <v>1107.3900000000001</v>
      </c>
      <c r="BA173" s="1024">
        <f>468.84+910.32</f>
        <v>1379.16</v>
      </c>
      <c r="BB173" s="1024"/>
      <c r="BC173" s="1024"/>
      <c r="BD173" s="1024"/>
      <c r="BE173" s="1024"/>
      <c r="BF173" s="1024"/>
      <c r="BG173" s="1024"/>
      <c r="BH173" s="1024"/>
      <c r="BI173" s="1024"/>
      <c r="BJ173" s="1024"/>
      <c r="BK173" s="1024"/>
      <c r="BL173" s="1024"/>
      <c r="BM173" s="1024">
        <f t="shared" si="111"/>
        <v>1379.16</v>
      </c>
      <c r="BN173" s="1024"/>
      <c r="BO173" s="1024">
        <v>2907.09</v>
      </c>
      <c r="BP173" s="1024">
        <f>1479.4+3580.7</f>
        <v>5060.1000000000004</v>
      </c>
      <c r="BQ173" s="1093">
        <f>(1427.69+1904.64)*(25/30)</f>
        <v>2776.9416666666666</v>
      </c>
      <c r="BR173" s="1093">
        <v>0</v>
      </c>
      <c r="BS173" s="1024"/>
      <c r="BT173" s="1024"/>
      <c r="BU173" s="1024"/>
      <c r="BV173" s="1024"/>
      <c r="BW173" s="1024"/>
      <c r="BX173" s="1024"/>
      <c r="BY173" s="1024"/>
      <c r="BZ173" s="1029">
        <f t="shared" si="112"/>
        <v>10744.131666666668</v>
      </c>
      <c r="CA173" s="1030">
        <f t="shared" si="113"/>
        <v>37036.151666666665</v>
      </c>
      <c r="CB173" s="1031">
        <f t="shared" si="114"/>
        <v>0</v>
      </c>
      <c r="CC173" s="1036">
        <f t="shared" si="115"/>
        <v>37036.151666666665</v>
      </c>
      <c r="CD173" s="1023">
        <f t="shared" si="116"/>
        <v>12123.291666666664</v>
      </c>
      <c r="CE173" s="1023">
        <v>37591.54</v>
      </c>
      <c r="CF173" s="1023">
        <f t="shared" si="117"/>
        <v>-555.38833333333605</v>
      </c>
      <c r="CG173" s="1029"/>
      <c r="CH173" s="1042">
        <f t="shared" si="107"/>
        <v>4612963.8483333336</v>
      </c>
      <c r="CL173" s="976">
        <v>24912.86</v>
      </c>
      <c r="CM173" s="976">
        <f t="shared" si="118"/>
        <v>-12123.291666666664</v>
      </c>
    </row>
    <row r="174" spans="1:91" s="1032" customFormat="1" ht="12.75" customHeight="1" outlineLevel="1">
      <c r="A174" s="996"/>
      <c r="B174" s="1015"/>
      <c r="C174" s="1016"/>
      <c r="D174" s="1016" t="s">
        <v>716</v>
      </c>
      <c r="E174" s="1017"/>
      <c r="F174" s="1023"/>
      <c r="G174" s="1023">
        <f>SUBTOTAL(9,G175)</f>
        <v>0</v>
      </c>
      <c r="H174" s="1023">
        <f>SUBTOTAL(9,H175)</f>
        <v>0</v>
      </c>
      <c r="I174" s="1023">
        <f>SUBTOTAL(9,I175)</f>
        <v>0</v>
      </c>
      <c r="J174" s="1033"/>
      <c r="K174" s="1034"/>
      <c r="L174" s="1035"/>
      <c r="M174" s="1036">
        <f t="shared" ref="M174:AR174" si="119">SUBTOTAL(9,M175)</f>
        <v>0</v>
      </c>
      <c r="N174" s="1023">
        <f t="shared" si="119"/>
        <v>0</v>
      </c>
      <c r="O174" s="1024">
        <f t="shared" si="119"/>
        <v>0</v>
      </c>
      <c r="P174" s="1024">
        <f t="shared" si="119"/>
        <v>0</v>
      </c>
      <c r="Q174" s="1024">
        <f t="shared" si="119"/>
        <v>0</v>
      </c>
      <c r="R174" s="1024">
        <f t="shared" si="119"/>
        <v>0</v>
      </c>
      <c r="S174" s="1024">
        <f t="shared" si="119"/>
        <v>0</v>
      </c>
      <c r="T174" s="1024">
        <f t="shared" si="119"/>
        <v>0</v>
      </c>
      <c r="U174" s="1024">
        <f t="shared" si="119"/>
        <v>0</v>
      </c>
      <c r="V174" s="1024">
        <f t="shared" si="119"/>
        <v>0</v>
      </c>
      <c r="W174" s="1024">
        <f t="shared" si="119"/>
        <v>0</v>
      </c>
      <c r="X174" s="1024">
        <f t="shared" si="119"/>
        <v>0</v>
      </c>
      <c r="Y174" s="1024">
        <f t="shared" si="119"/>
        <v>0</v>
      </c>
      <c r="Z174" s="1025">
        <f t="shared" si="119"/>
        <v>0</v>
      </c>
      <c r="AA174" s="1026">
        <f t="shared" si="119"/>
        <v>0</v>
      </c>
      <c r="AB174" s="1027">
        <f t="shared" si="119"/>
        <v>0</v>
      </c>
      <c r="AC174" s="1027">
        <f t="shared" si="119"/>
        <v>0</v>
      </c>
      <c r="AD174" s="1027">
        <f t="shared" si="119"/>
        <v>0</v>
      </c>
      <c r="AE174" s="1027">
        <f t="shared" si="119"/>
        <v>0</v>
      </c>
      <c r="AF174" s="1027">
        <f t="shared" si="119"/>
        <v>0</v>
      </c>
      <c r="AG174" s="1027">
        <f t="shared" si="119"/>
        <v>0</v>
      </c>
      <c r="AH174" s="1028">
        <f t="shared" si="119"/>
        <v>0</v>
      </c>
      <c r="AI174" s="1028">
        <f t="shared" si="119"/>
        <v>0</v>
      </c>
      <c r="AJ174" s="1028">
        <f t="shared" si="119"/>
        <v>0</v>
      </c>
      <c r="AK174" s="1028">
        <f t="shared" si="119"/>
        <v>0</v>
      </c>
      <c r="AL174" s="1028">
        <f t="shared" si="119"/>
        <v>0</v>
      </c>
      <c r="AM174" s="1025">
        <f t="shared" si="119"/>
        <v>0</v>
      </c>
      <c r="AN174" s="1024">
        <f t="shared" si="119"/>
        <v>0</v>
      </c>
      <c r="AO174" s="1024">
        <f t="shared" si="119"/>
        <v>0</v>
      </c>
      <c r="AP174" s="1024">
        <f t="shared" si="119"/>
        <v>0</v>
      </c>
      <c r="AQ174" s="1024">
        <f t="shared" si="119"/>
        <v>0</v>
      </c>
      <c r="AR174" s="1024">
        <f t="shared" si="119"/>
        <v>0</v>
      </c>
      <c r="AS174" s="1024">
        <f t="shared" ref="AS174:BX174" si="120">SUBTOTAL(9,AS175)</f>
        <v>0</v>
      </c>
      <c r="AT174" s="1024">
        <f t="shared" si="120"/>
        <v>0</v>
      </c>
      <c r="AU174" s="1024">
        <f t="shared" si="120"/>
        <v>0</v>
      </c>
      <c r="AV174" s="1024">
        <f t="shared" si="120"/>
        <v>0</v>
      </c>
      <c r="AW174" s="1024">
        <f t="shared" si="120"/>
        <v>0</v>
      </c>
      <c r="AX174" s="1024">
        <f t="shared" si="120"/>
        <v>0</v>
      </c>
      <c r="AY174" s="1024">
        <f t="shared" si="120"/>
        <v>0</v>
      </c>
      <c r="AZ174" s="1024">
        <f t="shared" si="120"/>
        <v>0</v>
      </c>
      <c r="BA174" s="1024">
        <f t="shared" si="120"/>
        <v>0</v>
      </c>
      <c r="BB174" s="1024">
        <f t="shared" si="120"/>
        <v>0</v>
      </c>
      <c r="BC174" s="1024">
        <f t="shared" si="120"/>
        <v>0</v>
      </c>
      <c r="BD174" s="1024">
        <f t="shared" si="120"/>
        <v>0</v>
      </c>
      <c r="BE174" s="1024">
        <f t="shared" si="120"/>
        <v>0</v>
      </c>
      <c r="BF174" s="1024">
        <f t="shared" si="120"/>
        <v>0</v>
      </c>
      <c r="BG174" s="1024">
        <f t="shared" si="120"/>
        <v>0</v>
      </c>
      <c r="BH174" s="1024">
        <f t="shared" si="120"/>
        <v>0</v>
      </c>
      <c r="BI174" s="1024">
        <f t="shared" si="120"/>
        <v>0</v>
      </c>
      <c r="BJ174" s="1024">
        <f t="shared" si="120"/>
        <v>0</v>
      </c>
      <c r="BK174" s="1024">
        <f t="shared" si="120"/>
        <v>0</v>
      </c>
      <c r="BL174" s="1024">
        <f t="shared" si="120"/>
        <v>0</v>
      </c>
      <c r="BM174" s="1024">
        <f t="shared" si="120"/>
        <v>0</v>
      </c>
      <c r="BN174" s="1024">
        <f t="shared" si="120"/>
        <v>0</v>
      </c>
      <c r="BO174" s="1024">
        <f t="shared" si="120"/>
        <v>0</v>
      </c>
      <c r="BP174" s="1024">
        <f t="shared" si="120"/>
        <v>0</v>
      </c>
      <c r="BQ174" s="1024">
        <f t="shared" si="120"/>
        <v>0</v>
      </c>
      <c r="BR174" s="1024">
        <f t="shared" si="120"/>
        <v>0</v>
      </c>
      <c r="BS174" s="1024">
        <f t="shared" si="120"/>
        <v>0</v>
      </c>
      <c r="BT174" s="1024">
        <f t="shared" si="120"/>
        <v>0</v>
      </c>
      <c r="BU174" s="1024">
        <f t="shared" si="120"/>
        <v>0</v>
      </c>
      <c r="BV174" s="1024">
        <f t="shared" si="120"/>
        <v>0</v>
      </c>
      <c r="BW174" s="1024">
        <f t="shared" si="120"/>
        <v>0</v>
      </c>
      <c r="BX174" s="1024">
        <f t="shared" si="120"/>
        <v>0</v>
      </c>
      <c r="BY174" s="1024">
        <f t="shared" ref="BY174:CF174" si="121">SUBTOTAL(9,BY175)</f>
        <v>0</v>
      </c>
      <c r="BZ174" s="1029">
        <f t="shared" si="121"/>
        <v>0</v>
      </c>
      <c r="CA174" s="1030">
        <f t="shared" si="121"/>
        <v>0</v>
      </c>
      <c r="CB174" s="1031">
        <f t="shared" si="121"/>
        <v>0</v>
      </c>
      <c r="CC174" s="1036">
        <f t="shared" si="121"/>
        <v>0</v>
      </c>
      <c r="CD174" s="1023">
        <f t="shared" si="121"/>
        <v>0</v>
      </c>
      <c r="CE174" s="1023">
        <f t="shared" si="121"/>
        <v>300000</v>
      </c>
      <c r="CF174" s="1023">
        <f t="shared" si="121"/>
        <v>-300000</v>
      </c>
      <c r="CG174" s="1029"/>
      <c r="CH174" s="1042">
        <f t="shared" si="107"/>
        <v>0</v>
      </c>
      <c r="CL174" s="976">
        <v>24912.86</v>
      </c>
      <c r="CM174" s="976">
        <f t="shared" si="118"/>
        <v>24912.86</v>
      </c>
    </row>
    <row r="175" spans="1:91" s="1032" customFormat="1" ht="12.75" customHeight="1" outlineLevel="2">
      <c r="A175" s="996"/>
      <c r="B175" s="1015"/>
      <c r="C175" s="1016"/>
      <c r="D175" s="1078" t="s">
        <v>474</v>
      </c>
      <c r="E175" s="1017"/>
      <c r="F175" s="1023"/>
      <c r="G175" s="1023"/>
      <c r="H175" s="1023"/>
      <c r="I175" s="1023"/>
      <c r="J175" s="1033"/>
      <c r="K175" s="1034"/>
      <c r="L175" s="1035"/>
      <c r="M175" s="1036"/>
      <c r="N175" s="1023"/>
      <c r="O175" s="1024"/>
      <c r="P175" s="1024"/>
      <c r="Q175" s="1024"/>
      <c r="R175" s="1024"/>
      <c r="S175" s="1024"/>
      <c r="T175" s="1024"/>
      <c r="U175" s="1024"/>
      <c r="V175" s="1024"/>
      <c r="W175" s="1024"/>
      <c r="X175" s="1024"/>
      <c r="Y175" s="1024"/>
      <c r="Z175" s="1025">
        <f>SUM(N175:Y175)</f>
        <v>0</v>
      </c>
      <c r="AA175" s="1026">
        <v>0</v>
      </c>
      <c r="AB175" s="1027">
        <v>0</v>
      </c>
      <c r="AC175" s="1027">
        <v>0</v>
      </c>
      <c r="AD175" s="1027">
        <v>0</v>
      </c>
      <c r="AE175" s="1027"/>
      <c r="AF175" s="1027"/>
      <c r="AG175" s="1027"/>
      <c r="AH175" s="1028"/>
      <c r="AI175" s="1028"/>
      <c r="AJ175" s="1028"/>
      <c r="AK175" s="1028">
        <v>0</v>
      </c>
      <c r="AL175" s="1028">
        <v>0</v>
      </c>
      <c r="AM175" s="1025">
        <f>SUM(AA175:AL175)</f>
        <v>0</v>
      </c>
      <c r="AN175" s="1024"/>
      <c r="AO175" s="1024"/>
      <c r="AP175" s="1024"/>
      <c r="AQ175" s="1024"/>
      <c r="AR175" s="1024"/>
      <c r="AS175" s="1024"/>
      <c r="AT175" s="1024"/>
      <c r="AU175" s="1024"/>
      <c r="AV175" s="1024"/>
      <c r="AW175" s="1024"/>
      <c r="AX175" s="1024"/>
      <c r="AY175" s="1024"/>
      <c r="AZ175" s="1024">
        <f>SUM(AN175:AY175)</f>
        <v>0</v>
      </c>
      <c r="BA175" s="1024"/>
      <c r="BB175" s="1024"/>
      <c r="BC175" s="1024"/>
      <c r="BD175" s="1024"/>
      <c r="BE175" s="1024"/>
      <c r="BF175" s="1024"/>
      <c r="BG175" s="1024"/>
      <c r="BH175" s="1024"/>
      <c r="BI175" s="1024"/>
      <c r="BJ175" s="1024"/>
      <c r="BK175" s="1024"/>
      <c r="BL175" s="1024"/>
      <c r="BM175" s="1024">
        <f>SUM(BA175:BL175)</f>
        <v>0</v>
      </c>
      <c r="BN175" s="1024"/>
      <c r="BO175" s="1024"/>
      <c r="BP175" s="1024"/>
      <c r="BQ175" s="1024"/>
      <c r="BR175" s="1024"/>
      <c r="BS175" s="1093">
        <v>0</v>
      </c>
      <c r="BT175" s="1093">
        <v>0</v>
      </c>
      <c r="BU175" s="1024"/>
      <c r="BV175" s="1024"/>
      <c r="BW175" s="1024"/>
      <c r="BX175" s="1024"/>
      <c r="BY175" s="1024"/>
      <c r="BZ175" s="1029">
        <f>SUM(BN175:BY175)</f>
        <v>0</v>
      </c>
      <c r="CA175" s="1030">
        <f>SUMIF(($M$1:$BZ$1),"Actual",(M175:BZ175))</f>
        <v>0</v>
      </c>
      <c r="CB175" s="1031">
        <f>SUMIF(($M$1:$BZ$1),"Forecast",(M175:BZ175))</f>
        <v>0</v>
      </c>
      <c r="CC175" s="1036">
        <f>+CA175+CB175</f>
        <v>0</v>
      </c>
      <c r="CD175" s="1023">
        <f>+CC175-I175</f>
        <v>0</v>
      </c>
      <c r="CE175" s="1023">
        <v>300000</v>
      </c>
      <c r="CF175" s="1023">
        <f>+CC175-CE175</f>
        <v>-300000</v>
      </c>
      <c r="CG175" s="1029"/>
      <c r="CH175" s="1042">
        <f t="shared" si="107"/>
        <v>0</v>
      </c>
      <c r="CL175" s="976">
        <v>24912.86</v>
      </c>
      <c r="CM175" s="976">
        <f t="shared" si="118"/>
        <v>24912.86</v>
      </c>
    </row>
    <row r="176" spans="1:91" s="1032" customFormat="1" ht="12.75" customHeight="1" outlineLevel="1">
      <c r="A176" s="996"/>
      <c r="B176" s="1015"/>
      <c r="C176" s="1016"/>
      <c r="D176" s="1016" t="s">
        <v>717</v>
      </c>
      <c r="E176" s="1017"/>
      <c r="F176" s="1023"/>
      <c r="G176" s="1023">
        <f>SUBTOTAL(9,G177:G183)</f>
        <v>0</v>
      </c>
      <c r="H176" s="1023">
        <f>SUBTOTAL(9,H177:H183)</f>
        <v>500000</v>
      </c>
      <c r="I176" s="1023">
        <f>SUBTOTAL(9,I177:I183)</f>
        <v>500000</v>
      </c>
      <c r="J176" s="1033"/>
      <c r="K176" s="1034"/>
      <c r="L176" s="1035"/>
      <c r="M176" s="1036">
        <f t="shared" ref="M176:AR176" si="122">SUBTOTAL(9,M177:M183)</f>
        <v>0</v>
      </c>
      <c r="N176" s="1023">
        <f t="shared" si="122"/>
        <v>0</v>
      </c>
      <c r="O176" s="1024">
        <f t="shared" si="122"/>
        <v>0</v>
      </c>
      <c r="P176" s="1024">
        <f t="shared" si="122"/>
        <v>0</v>
      </c>
      <c r="Q176" s="1024">
        <f t="shared" si="122"/>
        <v>0</v>
      </c>
      <c r="R176" s="1024">
        <f t="shared" si="122"/>
        <v>0</v>
      </c>
      <c r="S176" s="1024">
        <f t="shared" si="122"/>
        <v>0</v>
      </c>
      <c r="T176" s="1024">
        <f t="shared" si="122"/>
        <v>0</v>
      </c>
      <c r="U176" s="1024">
        <f t="shared" si="122"/>
        <v>0</v>
      </c>
      <c r="V176" s="1024">
        <f t="shared" si="122"/>
        <v>0</v>
      </c>
      <c r="W176" s="1024">
        <f t="shared" si="122"/>
        <v>0</v>
      </c>
      <c r="X176" s="1024">
        <f t="shared" si="122"/>
        <v>0</v>
      </c>
      <c r="Y176" s="1024">
        <f t="shared" si="122"/>
        <v>0</v>
      </c>
      <c r="Z176" s="1025">
        <f t="shared" si="122"/>
        <v>0</v>
      </c>
      <c r="AA176" s="1026">
        <f t="shared" si="122"/>
        <v>0</v>
      </c>
      <c r="AB176" s="1027">
        <f t="shared" si="122"/>
        <v>0</v>
      </c>
      <c r="AC176" s="1027">
        <f t="shared" si="122"/>
        <v>0</v>
      </c>
      <c r="AD176" s="1027">
        <f t="shared" si="122"/>
        <v>0</v>
      </c>
      <c r="AE176" s="1027">
        <f t="shared" si="122"/>
        <v>0</v>
      </c>
      <c r="AF176" s="1027">
        <f t="shared" si="122"/>
        <v>0</v>
      </c>
      <c r="AG176" s="1027">
        <f t="shared" si="122"/>
        <v>1840</v>
      </c>
      <c r="AH176" s="1028">
        <f t="shared" si="122"/>
        <v>0</v>
      </c>
      <c r="AI176" s="1028">
        <f t="shared" si="122"/>
        <v>4485</v>
      </c>
      <c r="AJ176" s="1028">
        <f t="shared" si="122"/>
        <v>2300</v>
      </c>
      <c r="AK176" s="1028">
        <f t="shared" si="122"/>
        <v>3220</v>
      </c>
      <c r="AL176" s="1028">
        <f t="shared" si="122"/>
        <v>3463</v>
      </c>
      <c r="AM176" s="1025">
        <f t="shared" si="122"/>
        <v>15308</v>
      </c>
      <c r="AN176" s="1024">
        <f t="shared" si="122"/>
        <v>0</v>
      </c>
      <c r="AO176" s="1024">
        <f t="shared" si="122"/>
        <v>1150</v>
      </c>
      <c r="AP176" s="1024">
        <f t="shared" si="122"/>
        <v>460</v>
      </c>
      <c r="AQ176" s="1024">
        <f t="shared" si="122"/>
        <v>460</v>
      </c>
      <c r="AR176" s="1024">
        <f t="shared" si="122"/>
        <v>0</v>
      </c>
      <c r="AS176" s="1024">
        <f t="shared" ref="AS176:BX176" si="123">SUBTOTAL(9,AS177:AS183)</f>
        <v>3220</v>
      </c>
      <c r="AT176" s="1024">
        <f t="shared" si="123"/>
        <v>0</v>
      </c>
      <c r="AU176" s="1024">
        <f t="shared" si="123"/>
        <v>2530</v>
      </c>
      <c r="AV176" s="1024">
        <f t="shared" si="123"/>
        <v>2300</v>
      </c>
      <c r="AW176" s="1024">
        <f t="shared" si="123"/>
        <v>1526.53</v>
      </c>
      <c r="AX176" s="1024">
        <f t="shared" si="123"/>
        <v>2070</v>
      </c>
      <c r="AY176" s="1024">
        <f t="shared" si="123"/>
        <v>2134.56</v>
      </c>
      <c r="AZ176" s="1024">
        <f t="shared" si="123"/>
        <v>15851.09</v>
      </c>
      <c r="BA176" s="1024">
        <f t="shared" si="123"/>
        <v>1150</v>
      </c>
      <c r="BB176" s="1024">
        <f t="shared" si="123"/>
        <v>0</v>
      </c>
      <c r="BC176" s="1024">
        <f t="shared" si="123"/>
        <v>6327.88</v>
      </c>
      <c r="BD176" s="1024">
        <f t="shared" si="123"/>
        <v>0</v>
      </c>
      <c r="BE176" s="1024">
        <f t="shared" si="123"/>
        <v>1890</v>
      </c>
      <c r="BF176" s="1024">
        <f t="shared" si="123"/>
        <v>3949.31</v>
      </c>
      <c r="BG176" s="1024">
        <f t="shared" si="123"/>
        <v>2530</v>
      </c>
      <c r="BH176" s="1024">
        <f t="shared" si="123"/>
        <v>2310</v>
      </c>
      <c r="BI176" s="1024">
        <f t="shared" si="123"/>
        <v>230</v>
      </c>
      <c r="BJ176" s="1024">
        <f t="shared" si="123"/>
        <v>1965</v>
      </c>
      <c r="BK176" s="1024">
        <f t="shared" si="123"/>
        <v>43564.36</v>
      </c>
      <c r="BL176" s="1024">
        <f t="shared" si="123"/>
        <v>49168.1</v>
      </c>
      <c r="BM176" s="1024">
        <f t="shared" si="123"/>
        <v>113084.65</v>
      </c>
      <c r="BN176" s="1024">
        <f t="shared" si="123"/>
        <v>9970.36</v>
      </c>
      <c r="BO176" s="1024">
        <f t="shared" si="123"/>
        <v>5018.75</v>
      </c>
      <c r="BP176" s="1024">
        <f t="shared" si="123"/>
        <v>49089.98</v>
      </c>
      <c r="BQ176" s="1024">
        <f t="shared" si="123"/>
        <v>862.5</v>
      </c>
      <c r="BR176" s="1024">
        <f t="shared" si="123"/>
        <v>0</v>
      </c>
      <c r="BS176" s="1024">
        <f t="shared" si="123"/>
        <v>0</v>
      </c>
      <c r="BT176" s="1024">
        <f t="shared" si="123"/>
        <v>0</v>
      </c>
      <c r="BU176" s="1024">
        <f t="shared" si="123"/>
        <v>0</v>
      </c>
      <c r="BV176" s="1024">
        <f t="shared" si="123"/>
        <v>0</v>
      </c>
      <c r="BW176" s="1024">
        <f t="shared" si="123"/>
        <v>0</v>
      </c>
      <c r="BX176" s="1024">
        <f t="shared" si="123"/>
        <v>0</v>
      </c>
      <c r="BY176" s="1024">
        <f t="shared" ref="BY176:CF176" si="124">SUBTOTAL(9,BY177:BY183)</f>
        <v>0</v>
      </c>
      <c r="BZ176" s="1029">
        <f t="shared" si="124"/>
        <v>64941.590000000004</v>
      </c>
      <c r="CA176" s="1030">
        <f t="shared" si="124"/>
        <v>209185.33000000002</v>
      </c>
      <c r="CB176" s="1031">
        <f t="shared" si="124"/>
        <v>0</v>
      </c>
      <c r="CC176" s="1036">
        <f t="shared" si="124"/>
        <v>209185.33000000002</v>
      </c>
      <c r="CD176" s="1023">
        <f t="shared" si="124"/>
        <v>-290814.67</v>
      </c>
      <c r="CE176" s="1023">
        <f t="shared" si="124"/>
        <v>317912.83</v>
      </c>
      <c r="CF176" s="1023">
        <f t="shared" si="124"/>
        <v>-108727.5</v>
      </c>
      <c r="CG176" s="1029"/>
      <c r="CH176" s="1042">
        <f t="shared" si="107"/>
        <v>-209185.33000000002</v>
      </c>
      <c r="CL176" s="976">
        <v>24912.86</v>
      </c>
      <c r="CM176" s="976">
        <f t="shared" si="118"/>
        <v>-184272.47000000003</v>
      </c>
    </row>
    <row r="177" spans="1:91" s="1032" customFormat="1" ht="12.75" customHeight="1" outlineLevel="1">
      <c r="A177" s="996"/>
      <c r="B177" s="1015"/>
      <c r="C177" s="1043"/>
      <c r="D177" s="1078" t="s">
        <v>718</v>
      </c>
      <c r="E177" s="1017"/>
      <c r="F177" s="1023"/>
      <c r="G177" s="1023"/>
      <c r="H177" s="1023"/>
      <c r="I177" s="1023"/>
      <c r="J177" s="1033">
        <v>4600004941</v>
      </c>
      <c r="K177" s="1034">
        <v>1034770</v>
      </c>
      <c r="L177" s="1035" t="s">
        <v>314</v>
      </c>
      <c r="M177" s="1036"/>
      <c r="N177" s="1023">
        <v>0</v>
      </c>
      <c r="O177" s="1024">
        <v>0</v>
      </c>
      <c r="P177" s="1024">
        <v>0</v>
      </c>
      <c r="Q177" s="1024">
        <v>0</v>
      </c>
      <c r="R177" s="1024">
        <v>0</v>
      </c>
      <c r="S177" s="1024">
        <v>0</v>
      </c>
      <c r="T177" s="1024">
        <v>0</v>
      </c>
      <c r="U177" s="1024">
        <v>0</v>
      </c>
      <c r="V177" s="1024">
        <v>0</v>
      </c>
      <c r="W177" s="1024">
        <v>0</v>
      </c>
      <c r="X177" s="1024">
        <v>0</v>
      </c>
      <c r="Y177" s="1024">
        <v>0</v>
      </c>
      <c r="Z177" s="1025">
        <f t="shared" ref="Z177:Z190" si="125">SUM(N177:Y177)</f>
        <v>0</v>
      </c>
      <c r="AA177" s="1026">
        <v>0</v>
      </c>
      <c r="AB177" s="1027">
        <v>0</v>
      </c>
      <c r="AC177" s="1027">
        <v>0</v>
      </c>
      <c r="AD177" s="1027">
        <v>0</v>
      </c>
      <c r="AE177" s="1027">
        <v>0</v>
      </c>
      <c r="AF177" s="1027">
        <v>0</v>
      </c>
      <c r="AG177" s="1027">
        <v>1840</v>
      </c>
      <c r="AH177" s="1028" t="s">
        <v>719</v>
      </c>
      <c r="AI177" s="1028">
        <v>4485</v>
      </c>
      <c r="AJ177" s="1028">
        <v>2300</v>
      </c>
      <c r="AK177" s="1028">
        <v>3220</v>
      </c>
      <c r="AL177" s="1028">
        <v>3463</v>
      </c>
      <c r="AM177" s="1025">
        <f t="shared" ref="AM177:AM190" si="126">SUM(AA177:AL177)</f>
        <v>15308</v>
      </c>
      <c r="AN177" s="1024"/>
      <c r="AO177" s="1024">
        <v>1150</v>
      </c>
      <c r="AP177" s="1024">
        <v>460</v>
      </c>
      <c r="AQ177" s="1024">
        <v>460</v>
      </c>
      <c r="AR177" s="1024"/>
      <c r="AS177" s="1024">
        <v>3220</v>
      </c>
      <c r="AT177" s="1024"/>
      <c r="AU177" s="1024">
        <v>2530</v>
      </c>
      <c r="AV177" s="1024">
        <v>2300</v>
      </c>
      <c r="AW177" s="1024">
        <v>1526.53</v>
      </c>
      <c r="AX177" s="1024">
        <v>2070</v>
      </c>
      <c r="AY177" s="1024">
        <v>2134.56</v>
      </c>
      <c r="AZ177" s="1024">
        <f t="shared" ref="AZ177:AZ190" si="127">SUM(AN177:AY177)</f>
        <v>15851.09</v>
      </c>
      <c r="BA177" s="1024">
        <v>1150</v>
      </c>
      <c r="BB177" s="1024"/>
      <c r="BC177" s="1024">
        <v>6327.88</v>
      </c>
      <c r="BD177" s="1024"/>
      <c r="BE177" s="1024">
        <v>1890</v>
      </c>
      <c r="BF177" s="1024">
        <v>3949.31</v>
      </c>
      <c r="BG177" s="1024">
        <v>2530</v>
      </c>
      <c r="BH177" s="1024">
        <v>2310</v>
      </c>
      <c r="BI177" s="1024">
        <v>230</v>
      </c>
      <c r="BJ177" s="1024">
        <v>1965</v>
      </c>
      <c r="BK177" s="1024">
        <v>2645</v>
      </c>
      <c r="BL177" s="1024">
        <v>5682.36</v>
      </c>
      <c r="BM177" s="1024">
        <f t="shared" ref="BM177:BM190" si="128">SUM(BA177:BL177)</f>
        <v>28679.550000000003</v>
      </c>
      <c r="BN177" s="1024"/>
      <c r="BO177" s="1024">
        <v>4898.75</v>
      </c>
      <c r="BP177" s="1024">
        <v>10942.37</v>
      </c>
      <c r="BQ177" s="1093">
        <f>1035*(25/30)</f>
        <v>862.5</v>
      </c>
      <c r="BR177" s="1093">
        <v>0</v>
      </c>
      <c r="BS177" s="1024"/>
      <c r="BT177" s="1024"/>
      <c r="BU177" s="1024"/>
      <c r="BV177" s="1024"/>
      <c r="BW177" s="1024"/>
      <c r="BX177" s="1024"/>
      <c r="BY177" s="1024"/>
      <c r="BZ177" s="1029">
        <f t="shared" ref="BZ177:BZ190" si="129">SUM(BN177:BY177)</f>
        <v>16703.620000000003</v>
      </c>
      <c r="CA177" s="1030">
        <f t="shared" ref="CA177:CA190" si="130">SUMIF(($M$1:$BZ$1),"Actual",(M177:BZ177))</f>
        <v>76542.259999999995</v>
      </c>
      <c r="CB177" s="1024">
        <f t="shared" ref="CB177:CB190" si="131">SUMIF(($M$1:$BZ$1),"Forecast",(M177:BZ177))</f>
        <v>0</v>
      </c>
      <c r="CC177" s="1036">
        <f t="shared" ref="CC177:CC190" si="132">+CA177+CB177</f>
        <v>76542.259999999995</v>
      </c>
      <c r="CD177" s="1023">
        <f t="shared" ref="CD177:CD190" si="133">+CC177-I177</f>
        <v>76542.259999999995</v>
      </c>
      <c r="CE177" s="1023">
        <v>76714.759999999995</v>
      </c>
      <c r="CF177" s="1023">
        <f t="shared" ref="CF177:CF190" si="134">+CC177-CE177</f>
        <v>-172.5</v>
      </c>
      <c r="CG177" s="1029"/>
      <c r="CH177" s="1042">
        <f t="shared" si="107"/>
        <v>958227.74</v>
      </c>
      <c r="CL177" s="976">
        <v>17378</v>
      </c>
      <c r="CM177" s="976">
        <f t="shared" si="118"/>
        <v>-59164.259999999995</v>
      </c>
    </row>
    <row r="178" spans="1:91" s="1032" customFormat="1" ht="12.75" customHeight="1" outlineLevel="1">
      <c r="A178" s="996"/>
      <c r="B178" s="1015"/>
      <c r="C178" s="1016"/>
      <c r="D178" s="1078" t="s">
        <v>720</v>
      </c>
      <c r="E178" s="1017"/>
      <c r="F178" s="1023"/>
      <c r="G178" s="1023"/>
      <c r="H178" s="1023"/>
      <c r="I178" s="1023"/>
      <c r="J178" s="1033"/>
      <c r="K178" s="1034"/>
      <c r="L178" s="1035"/>
      <c r="M178" s="1036"/>
      <c r="N178" s="1023"/>
      <c r="O178" s="1024"/>
      <c r="P178" s="1024"/>
      <c r="Q178" s="1024"/>
      <c r="R178" s="1024"/>
      <c r="S178" s="1024"/>
      <c r="T178" s="1024"/>
      <c r="U178" s="1024"/>
      <c r="V178" s="1024"/>
      <c r="W178" s="1024"/>
      <c r="X178" s="1024"/>
      <c r="Y178" s="1024"/>
      <c r="Z178" s="1025">
        <f t="shared" si="125"/>
        <v>0</v>
      </c>
      <c r="AA178" s="1026">
        <v>0</v>
      </c>
      <c r="AB178" s="1027">
        <v>0</v>
      </c>
      <c r="AC178" s="1027">
        <v>0</v>
      </c>
      <c r="AD178" s="1027">
        <v>0</v>
      </c>
      <c r="AE178" s="1027"/>
      <c r="AF178" s="1027"/>
      <c r="AG178" s="1027"/>
      <c r="AH178" s="1028"/>
      <c r="AI178" s="1028"/>
      <c r="AJ178" s="1028"/>
      <c r="AK178" s="1028">
        <v>0</v>
      </c>
      <c r="AL178" s="1028">
        <v>0</v>
      </c>
      <c r="AM178" s="1025">
        <f t="shared" si="126"/>
        <v>0</v>
      </c>
      <c r="AN178" s="1024"/>
      <c r="AO178" s="1024"/>
      <c r="AP178" s="1024"/>
      <c r="AQ178" s="1024"/>
      <c r="AR178" s="1024"/>
      <c r="AS178" s="1024"/>
      <c r="AT178" s="1024"/>
      <c r="AU178" s="1024"/>
      <c r="AV178" s="1024"/>
      <c r="AW178" s="1024"/>
      <c r="AX178" s="1024"/>
      <c r="AY178" s="1024"/>
      <c r="AZ178" s="1024">
        <f t="shared" si="127"/>
        <v>0</v>
      </c>
      <c r="BA178" s="1024"/>
      <c r="BB178" s="1024"/>
      <c r="BC178" s="1024"/>
      <c r="BD178" s="1024"/>
      <c r="BE178" s="1024"/>
      <c r="BF178" s="1024"/>
      <c r="BG178" s="1024"/>
      <c r="BH178" s="1024"/>
      <c r="BI178" s="1024"/>
      <c r="BJ178" s="1024"/>
      <c r="BK178" s="1024">
        <v>21394.66</v>
      </c>
      <c r="BL178" s="1024"/>
      <c r="BM178" s="1024">
        <f t="shared" si="128"/>
        <v>21394.66</v>
      </c>
      <c r="BN178" s="1024"/>
      <c r="BO178" s="1024"/>
      <c r="BP178" s="1024"/>
      <c r="BQ178" s="1024"/>
      <c r="BR178" s="1024"/>
      <c r="BS178" s="1024"/>
      <c r="BT178" s="1024"/>
      <c r="BU178" s="1024"/>
      <c r="BV178" s="1024"/>
      <c r="BW178" s="1024"/>
      <c r="BX178" s="1024"/>
      <c r="BY178" s="1024"/>
      <c r="BZ178" s="1029">
        <f t="shared" si="129"/>
        <v>0</v>
      </c>
      <c r="CA178" s="1030">
        <f t="shared" si="130"/>
        <v>21394.66</v>
      </c>
      <c r="CB178" s="1031">
        <f t="shared" si="131"/>
        <v>0</v>
      </c>
      <c r="CC178" s="1036">
        <f t="shared" si="132"/>
        <v>21394.66</v>
      </c>
      <c r="CD178" s="1023">
        <f t="shared" si="133"/>
        <v>21394.66</v>
      </c>
      <c r="CE178" s="1023">
        <v>21394.66</v>
      </c>
      <c r="CF178" s="1023">
        <f t="shared" si="134"/>
        <v>0</v>
      </c>
      <c r="CG178" s="1029"/>
      <c r="CH178" s="1042">
        <f t="shared" si="107"/>
        <v>-21394.66</v>
      </c>
      <c r="CL178" s="976">
        <v>24912.86</v>
      </c>
      <c r="CM178" s="976">
        <f t="shared" si="118"/>
        <v>3518.2000000000007</v>
      </c>
    </row>
    <row r="179" spans="1:91" s="1032" customFormat="1" ht="12.75" customHeight="1" outlineLevel="1">
      <c r="A179" s="996"/>
      <c r="B179" s="1015"/>
      <c r="C179" s="1016"/>
      <c r="D179" s="1078" t="s">
        <v>721</v>
      </c>
      <c r="E179" s="1017"/>
      <c r="F179" s="1023"/>
      <c r="G179" s="1023"/>
      <c r="H179" s="1023"/>
      <c r="I179" s="1023"/>
      <c r="J179" s="1033"/>
      <c r="K179" s="1034"/>
      <c r="L179" s="1035"/>
      <c r="M179" s="1036"/>
      <c r="N179" s="1023"/>
      <c r="O179" s="1024"/>
      <c r="P179" s="1024"/>
      <c r="Q179" s="1024"/>
      <c r="R179" s="1024"/>
      <c r="S179" s="1024"/>
      <c r="T179" s="1024"/>
      <c r="U179" s="1024"/>
      <c r="V179" s="1024"/>
      <c r="W179" s="1024"/>
      <c r="X179" s="1024"/>
      <c r="Y179" s="1024"/>
      <c r="Z179" s="1025">
        <f t="shared" si="125"/>
        <v>0</v>
      </c>
      <c r="AA179" s="1026">
        <v>0</v>
      </c>
      <c r="AB179" s="1027">
        <v>0</v>
      </c>
      <c r="AC179" s="1027">
        <v>0</v>
      </c>
      <c r="AD179" s="1027">
        <v>0</v>
      </c>
      <c r="AE179" s="1027"/>
      <c r="AF179" s="1027"/>
      <c r="AG179" s="1027"/>
      <c r="AH179" s="1028"/>
      <c r="AI179" s="1028"/>
      <c r="AJ179" s="1028"/>
      <c r="AK179" s="1028">
        <v>0</v>
      </c>
      <c r="AL179" s="1028">
        <v>0</v>
      </c>
      <c r="AM179" s="1025">
        <f t="shared" si="126"/>
        <v>0</v>
      </c>
      <c r="AN179" s="1024"/>
      <c r="AO179" s="1024"/>
      <c r="AP179" s="1024"/>
      <c r="AQ179" s="1024"/>
      <c r="AR179" s="1024"/>
      <c r="AS179" s="1024"/>
      <c r="AT179" s="1024"/>
      <c r="AU179" s="1024"/>
      <c r="AV179" s="1024"/>
      <c r="AW179" s="1024"/>
      <c r="AX179" s="1024"/>
      <c r="AY179" s="1024"/>
      <c r="AZ179" s="1024">
        <f t="shared" si="127"/>
        <v>0</v>
      </c>
      <c r="BA179" s="1024"/>
      <c r="BB179" s="1024"/>
      <c r="BC179" s="1024"/>
      <c r="BD179" s="1024"/>
      <c r="BE179" s="1024"/>
      <c r="BF179" s="1024"/>
      <c r="BG179" s="1024"/>
      <c r="BH179" s="1024"/>
      <c r="BI179" s="1024"/>
      <c r="BJ179" s="1024"/>
      <c r="BK179" s="1024">
        <v>19524.7</v>
      </c>
      <c r="BL179" s="1024"/>
      <c r="BM179" s="1024">
        <f t="shared" si="128"/>
        <v>19524.7</v>
      </c>
      <c r="BN179" s="1024">
        <v>9970.36</v>
      </c>
      <c r="BO179" s="1024"/>
      <c r="BP179" s="1024"/>
      <c r="BQ179" s="1024"/>
      <c r="BR179" s="1024"/>
      <c r="BS179" s="1024"/>
      <c r="BT179" s="1024"/>
      <c r="BU179" s="1024"/>
      <c r="BV179" s="1024"/>
      <c r="BW179" s="1024"/>
      <c r="BX179" s="1024"/>
      <c r="BY179" s="1024"/>
      <c r="BZ179" s="1029">
        <f t="shared" si="129"/>
        <v>9970.36</v>
      </c>
      <c r="CA179" s="1030">
        <f t="shared" si="130"/>
        <v>29495.06</v>
      </c>
      <c r="CB179" s="1031">
        <f t="shared" si="131"/>
        <v>0</v>
      </c>
      <c r="CC179" s="1036">
        <f t="shared" si="132"/>
        <v>29495.06</v>
      </c>
      <c r="CD179" s="1023">
        <f t="shared" si="133"/>
        <v>29495.06</v>
      </c>
      <c r="CE179" s="1023">
        <v>29495.06</v>
      </c>
      <c r="CF179" s="1023">
        <f t="shared" si="134"/>
        <v>0</v>
      </c>
      <c r="CG179" s="1029"/>
      <c r="CH179" s="1042">
        <f t="shared" si="107"/>
        <v>-29495.06</v>
      </c>
      <c r="CL179" s="976">
        <v>24912.86</v>
      </c>
      <c r="CM179" s="976">
        <f t="shared" si="118"/>
        <v>-4582.2000000000007</v>
      </c>
    </row>
    <row r="180" spans="1:91" s="1032" customFormat="1" ht="12.75" customHeight="1">
      <c r="A180" s="1091"/>
      <c r="B180" s="1015"/>
      <c r="C180" s="1016"/>
      <c r="D180" s="1078" t="s">
        <v>722</v>
      </c>
      <c r="E180" s="1017"/>
      <c r="F180" s="1023"/>
      <c r="G180" s="1023"/>
      <c r="H180" s="1023"/>
      <c r="I180" s="1023"/>
      <c r="J180" s="1019"/>
      <c r="K180" s="1020"/>
      <c r="L180" s="1021"/>
      <c r="M180" s="1022"/>
      <c r="N180" s="1023"/>
      <c r="O180" s="1024"/>
      <c r="P180" s="1024"/>
      <c r="Q180" s="1024"/>
      <c r="R180" s="1024"/>
      <c r="S180" s="1024"/>
      <c r="T180" s="1024"/>
      <c r="U180" s="1024"/>
      <c r="V180" s="1024"/>
      <c r="W180" s="1024"/>
      <c r="X180" s="1024"/>
      <c r="Y180" s="1024"/>
      <c r="Z180" s="1025">
        <f t="shared" si="125"/>
        <v>0</v>
      </c>
      <c r="AA180" s="1026"/>
      <c r="AB180" s="1027"/>
      <c r="AC180" s="1027"/>
      <c r="AD180" s="1027"/>
      <c r="AE180" s="1027"/>
      <c r="AF180" s="1027"/>
      <c r="AG180" s="1027"/>
      <c r="AH180" s="1028"/>
      <c r="AI180" s="1028"/>
      <c r="AJ180" s="1028"/>
      <c r="AK180" s="1028"/>
      <c r="AL180" s="1028"/>
      <c r="AM180" s="1025">
        <f t="shared" si="126"/>
        <v>0</v>
      </c>
      <c r="AN180" s="1024"/>
      <c r="AO180" s="1024"/>
      <c r="AP180" s="1024"/>
      <c r="AQ180" s="1024"/>
      <c r="AR180" s="1024"/>
      <c r="AS180" s="1024"/>
      <c r="AT180" s="1024"/>
      <c r="AU180" s="1024"/>
      <c r="AV180" s="1024"/>
      <c r="AW180" s="1024"/>
      <c r="AX180" s="1024"/>
      <c r="AY180" s="1024"/>
      <c r="AZ180" s="1024">
        <f t="shared" si="127"/>
        <v>0</v>
      </c>
      <c r="BA180" s="1024"/>
      <c r="BB180" s="1024"/>
      <c r="BC180" s="1024"/>
      <c r="BD180" s="1024"/>
      <c r="BE180" s="1024"/>
      <c r="BF180" s="1024"/>
      <c r="BG180" s="1024"/>
      <c r="BH180" s="1024"/>
      <c r="BI180" s="1024"/>
      <c r="BJ180" s="1024"/>
      <c r="BK180" s="1024"/>
      <c r="BL180" s="1024">
        <v>43485.74</v>
      </c>
      <c r="BM180" s="1024">
        <f t="shared" si="128"/>
        <v>43485.74</v>
      </c>
      <c r="BN180" s="1024"/>
      <c r="BO180" s="1024"/>
      <c r="BP180" s="1024">
        <f>4600.1+1012.88</f>
        <v>5612.9800000000005</v>
      </c>
      <c r="BQ180" s="1024"/>
      <c r="BR180" s="1024"/>
      <c r="BS180" s="1024"/>
      <c r="BT180" s="1024"/>
      <c r="BU180" s="1024"/>
      <c r="BV180" s="1024"/>
      <c r="BW180" s="1024"/>
      <c r="BX180" s="1024"/>
      <c r="BY180" s="1024"/>
      <c r="BZ180" s="1029">
        <f t="shared" si="129"/>
        <v>5612.9800000000005</v>
      </c>
      <c r="CA180" s="1030">
        <f t="shared" si="130"/>
        <v>49098.720000000001</v>
      </c>
      <c r="CB180" s="1024">
        <f t="shared" si="131"/>
        <v>0</v>
      </c>
      <c r="CC180" s="1023">
        <f t="shared" si="132"/>
        <v>49098.720000000001</v>
      </c>
      <c r="CD180" s="1023">
        <f t="shared" si="133"/>
        <v>49098.720000000001</v>
      </c>
      <c r="CE180" s="1023">
        <v>49098.720000000001</v>
      </c>
      <c r="CF180" s="1023">
        <f t="shared" si="134"/>
        <v>0</v>
      </c>
      <c r="CG180" s="1029"/>
      <c r="CH180" s="972"/>
      <c r="CI180" s="1032">
        <f>700000*1.082</f>
        <v>757400</v>
      </c>
      <c r="CJ180" s="1032">
        <f>+CI180-CC180</f>
        <v>708301.28</v>
      </c>
      <c r="CL180" s="976">
        <v>754600</v>
      </c>
      <c r="CM180" s="976">
        <f t="shared" si="118"/>
        <v>705501.28</v>
      </c>
    </row>
    <row r="181" spans="1:91" s="1032" customFormat="1" ht="12.75" customHeight="1">
      <c r="A181" s="1091"/>
      <c r="B181" s="1015"/>
      <c r="C181" s="1016"/>
      <c r="D181" s="1078" t="s">
        <v>723</v>
      </c>
      <c r="E181" s="1017"/>
      <c r="F181" s="1023"/>
      <c r="G181" s="1023"/>
      <c r="H181" s="1023"/>
      <c r="I181" s="1023"/>
      <c r="J181" s="1019"/>
      <c r="K181" s="1020"/>
      <c r="L181" s="1021"/>
      <c r="M181" s="1022"/>
      <c r="N181" s="1023"/>
      <c r="O181" s="1024"/>
      <c r="P181" s="1024"/>
      <c r="Q181" s="1024"/>
      <c r="R181" s="1024"/>
      <c r="S181" s="1024"/>
      <c r="T181" s="1024"/>
      <c r="U181" s="1024"/>
      <c r="V181" s="1024"/>
      <c r="W181" s="1024"/>
      <c r="X181" s="1024"/>
      <c r="Y181" s="1024"/>
      <c r="Z181" s="1025">
        <f t="shared" si="125"/>
        <v>0</v>
      </c>
      <c r="AA181" s="1026"/>
      <c r="AB181" s="1027"/>
      <c r="AC181" s="1027"/>
      <c r="AD181" s="1027"/>
      <c r="AE181" s="1027"/>
      <c r="AF181" s="1027"/>
      <c r="AG181" s="1027"/>
      <c r="AH181" s="1028"/>
      <c r="AI181" s="1028"/>
      <c r="AJ181" s="1028"/>
      <c r="AK181" s="1028"/>
      <c r="AL181" s="1028"/>
      <c r="AM181" s="1025">
        <f t="shared" si="126"/>
        <v>0</v>
      </c>
      <c r="AN181" s="1024"/>
      <c r="AO181" s="1024"/>
      <c r="AP181" s="1024"/>
      <c r="AQ181" s="1024"/>
      <c r="AR181" s="1024"/>
      <c r="AS181" s="1024"/>
      <c r="AT181" s="1024"/>
      <c r="AU181" s="1024"/>
      <c r="AV181" s="1024"/>
      <c r="AW181" s="1024"/>
      <c r="AX181" s="1024"/>
      <c r="AY181" s="1024"/>
      <c r="AZ181" s="1024">
        <f t="shared" si="127"/>
        <v>0</v>
      </c>
      <c r="BA181" s="1024"/>
      <c r="BB181" s="1024"/>
      <c r="BC181" s="1024"/>
      <c r="BD181" s="1024"/>
      <c r="BE181" s="1024"/>
      <c r="BF181" s="1024"/>
      <c r="BG181" s="1024"/>
      <c r="BH181" s="1024"/>
      <c r="BI181" s="1024"/>
      <c r="BJ181" s="1024"/>
      <c r="BK181" s="1024"/>
      <c r="BL181" s="1024"/>
      <c r="BM181" s="1024">
        <f t="shared" si="128"/>
        <v>0</v>
      </c>
      <c r="BN181" s="1024"/>
      <c r="BO181" s="1024">
        <v>120</v>
      </c>
      <c r="BP181" s="1024">
        <v>60</v>
      </c>
      <c r="BQ181" s="1024"/>
      <c r="BR181" s="1024"/>
      <c r="BS181" s="1024"/>
      <c r="BT181" s="1024"/>
      <c r="BU181" s="1024"/>
      <c r="BV181" s="1024"/>
      <c r="BW181" s="1024"/>
      <c r="BX181" s="1024"/>
      <c r="BY181" s="1024"/>
      <c r="BZ181" s="1029">
        <f t="shared" si="129"/>
        <v>180</v>
      </c>
      <c r="CA181" s="1030">
        <f t="shared" si="130"/>
        <v>180</v>
      </c>
      <c r="CB181" s="1024">
        <f t="shared" si="131"/>
        <v>0</v>
      </c>
      <c r="CC181" s="1023">
        <f t="shared" si="132"/>
        <v>180</v>
      </c>
      <c r="CD181" s="1023">
        <f t="shared" si="133"/>
        <v>180</v>
      </c>
      <c r="CE181" s="1023">
        <v>180</v>
      </c>
      <c r="CF181" s="1023">
        <f t="shared" si="134"/>
        <v>0</v>
      </c>
      <c r="CG181" s="1029"/>
      <c r="CH181" s="972"/>
      <c r="CI181" s="1032">
        <v>0</v>
      </c>
      <c r="CJ181" s="1032">
        <f>+CI181-CC181</f>
        <v>-180</v>
      </c>
      <c r="CL181" s="976">
        <v>0</v>
      </c>
      <c r="CM181" s="976">
        <f t="shared" si="118"/>
        <v>-180</v>
      </c>
    </row>
    <row r="182" spans="1:91" s="1032" customFormat="1" ht="12.75" customHeight="1">
      <c r="A182" s="1091"/>
      <c r="B182" s="1015"/>
      <c r="C182" s="1016"/>
      <c r="D182" s="1078" t="s">
        <v>724</v>
      </c>
      <c r="E182" s="1017"/>
      <c r="F182" s="1023"/>
      <c r="G182" s="1023"/>
      <c r="H182" s="1023"/>
      <c r="I182" s="1023"/>
      <c r="J182" s="1019"/>
      <c r="K182" s="1020"/>
      <c r="L182" s="1021"/>
      <c r="M182" s="1022"/>
      <c r="N182" s="1023"/>
      <c r="O182" s="1024"/>
      <c r="P182" s="1024"/>
      <c r="Q182" s="1024"/>
      <c r="R182" s="1024"/>
      <c r="S182" s="1024"/>
      <c r="T182" s="1024"/>
      <c r="U182" s="1024"/>
      <c r="V182" s="1024"/>
      <c r="W182" s="1024"/>
      <c r="X182" s="1024"/>
      <c r="Y182" s="1024"/>
      <c r="Z182" s="1025">
        <f t="shared" si="125"/>
        <v>0</v>
      </c>
      <c r="AA182" s="1026"/>
      <c r="AB182" s="1027"/>
      <c r="AC182" s="1027"/>
      <c r="AD182" s="1027"/>
      <c r="AE182" s="1027"/>
      <c r="AF182" s="1027"/>
      <c r="AG182" s="1027"/>
      <c r="AH182" s="1028"/>
      <c r="AI182" s="1028"/>
      <c r="AJ182" s="1028"/>
      <c r="AK182" s="1028"/>
      <c r="AL182" s="1028"/>
      <c r="AM182" s="1025">
        <f t="shared" si="126"/>
        <v>0</v>
      </c>
      <c r="AN182" s="1024"/>
      <c r="AO182" s="1024"/>
      <c r="AP182" s="1024"/>
      <c r="AQ182" s="1024"/>
      <c r="AR182" s="1024"/>
      <c r="AS182" s="1024"/>
      <c r="AT182" s="1024"/>
      <c r="AU182" s="1024"/>
      <c r="AV182" s="1024"/>
      <c r="AW182" s="1024"/>
      <c r="AX182" s="1024"/>
      <c r="AY182" s="1024"/>
      <c r="AZ182" s="1024">
        <f t="shared" si="127"/>
        <v>0</v>
      </c>
      <c r="BA182" s="1024"/>
      <c r="BB182" s="1024"/>
      <c r="BC182" s="1024"/>
      <c r="BD182" s="1024"/>
      <c r="BE182" s="1024"/>
      <c r="BF182" s="1024"/>
      <c r="BG182" s="1024"/>
      <c r="BH182" s="1024"/>
      <c r="BI182" s="1024"/>
      <c r="BJ182" s="1024"/>
      <c r="BK182" s="1024"/>
      <c r="BL182" s="1024"/>
      <c r="BM182" s="1024">
        <f t="shared" si="128"/>
        <v>0</v>
      </c>
      <c r="BN182" s="1024"/>
      <c r="BO182" s="1024"/>
      <c r="BP182" s="1024">
        <v>32474.63</v>
      </c>
      <c r="BQ182" s="1024"/>
      <c r="BR182" s="1024"/>
      <c r="BS182" s="1024"/>
      <c r="BT182" s="1024"/>
      <c r="BU182" s="1024"/>
      <c r="BV182" s="1024"/>
      <c r="BW182" s="1024"/>
      <c r="BX182" s="1024"/>
      <c r="BY182" s="1024"/>
      <c r="BZ182" s="1029">
        <f t="shared" si="129"/>
        <v>32474.63</v>
      </c>
      <c r="CA182" s="1030">
        <f t="shared" si="130"/>
        <v>32474.63</v>
      </c>
      <c r="CB182" s="1024">
        <f t="shared" si="131"/>
        <v>0</v>
      </c>
      <c r="CC182" s="1023">
        <f t="shared" si="132"/>
        <v>32474.63</v>
      </c>
      <c r="CD182" s="1023">
        <f t="shared" si="133"/>
        <v>32474.63</v>
      </c>
      <c r="CE182" s="1023">
        <v>32474.63</v>
      </c>
      <c r="CF182" s="1023">
        <f t="shared" si="134"/>
        <v>0</v>
      </c>
      <c r="CG182" s="1029"/>
      <c r="CH182" s="972"/>
      <c r="CI182" s="1032">
        <v>0</v>
      </c>
      <c r="CJ182" s="1032">
        <f>+CI182-CC182</f>
        <v>-32474.63</v>
      </c>
      <c r="CL182" s="976">
        <v>0</v>
      </c>
      <c r="CM182" s="976">
        <f t="shared" si="118"/>
        <v>-32474.63</v>
      </c>
    </row>
    <row r="183" spans="1:91" s="1032" customFormat="1" ht="12.75" customHeight="1" outlineLevel="2">
      <c r="A183" s="996"/>
      <c r="B183" s="1015"/>
      <c r="C183" s="1016"/>
      <c r="D183" s="1078" t="s">
        <v>474</v>
      </c>
      <c r="E183" s="1017"/>
      <c r="F183" s="1023"/>
      <c r="G183" s="1023"/>
      <c r="H183" s="1023">
        <v>500000</v>
      </c>
      <c r="I183" s="1023">
        <f>+H183</f>
        <v>500000</v>
      </c>
      <c r="J183" s="1033"/>
      <c r="K183" s="1034"/>
      <c r="L183" s="1035"/>
      <c r="M183" s="1036"/>
      <c r="N183" s="1023"/>
      <c r="O183" s="1024"/>
      <c r="P183" s="1024"/>
      <c r="Q183" s="1024"/>
      <c r="R183" s="1024"/>
      <c r="S183" s="1024"/>
      <c r="T183" s="1024"/>
      <c r="U183" s="1024"/>
      <c r="V183" s="1024"/>
      <c r="W183" s="1024"/>
      <c r="X183" s="1024"/>
      <c r="Y183" s="1024"/>
      <c r="Z183" s="1025">
        <f t="shared" si="125"/>
        <v>0</v>
      </c>
      <c r="AA183" s="1026">
        <v>0</v>
      </c>
      <c r="AB183" s="1027">
        <v>0</v>
      </c>
      <c r="AC183" s="1027">
        <v>0</v>
      </c>
      <c r="AD183" s="1027">
        <v>0</v>
      </c>
      <c r="AE183" s="1027"/>
      <c r="AF183" s="1027"/>
      <c r="AG183" s="1027"/>
      <c r="AH183" s="1028"/>
      <c r="AI183" s="1028"/>
      <c r="AJ183" s="1028"/>
      <c r="AK183" s="1028">
        <v>0</v>
      </c>
      <c r="AL183" s="1028">
        <v>0</v>
      </c>
      <c r="AM183" s="1025">
        <f t="shared" si="126"/>
        <v>0</v>
      </c>
      <c r="AN183" s="1024"/>
      <c r="AO183" s="1024"/>
      <c r="AP183" s="1024"/>
      <c r="AQ183" s="1024"/>
      <c r="AR183" s="1024"/>
      <c r="AS183" s="1024"/>
      <c r="AT183" s="1024"/>
      <c r="AU183" s="1024"/>
      <c r="AV183" s="1024"/>
      <c r="AW183" s="1024"/>
      <c r="AX183" s="1024"/>
      <c r="AY183" s="1024"/>
      <c r="AZ183" s="1024">
        <f t="shared" si="127"/>
        <v>0</v>
      </c>
      <c r="BA183" s="1024"/>
      <c r="BB183" s="1024"/>
      <c r="BC183" s="1024"/>
      <c r="BD183" s="1024"/>
      <c r="BE183" s="1024"/>
      <c r="BF183" s="1024"/>
      <c r="BG183" s="1024"/>
      <c r="BH183" s="1024"/>
      <c r="BI183" s="1024"/>
      <c r="BJ183" s="1024"/>
      <c r="BK183" s="1024"/>
      <c r="BL183" s="1024"/>
      <c r="BM183" s="1024">
        <f t="shared" si="128"/>
        <v>0</v>
      </c>
      <c r="BN183" s="1024"/>
      <c r="BO183" s="1024"/>
      <c r="BP183" s="1024"/>
      <c r="BQ183" s="1024"/>
      <c r="BR183" s="1024"/>
      <c r="BS183" s="1093">
        <v>0</v>
      </c>
      <c r="BT183" s="1024"/>
      <c r="BU183" s="1024"/>
      <c r="BV183" s="1024"/>
      <c r="BW183" s="1024"/>
      <c r="BX183" s="1024"/>
      <c r="BY183" s="1024"/>
      <c r="BZ183" s="1029">
        <f t="shared" si="129"/>
        <v>0</v>
      </c>
      <c r="CA183" s="1030">
        <f t="shared" si="130"/>
        <v>0</v>
      </c>
      <c r="CB183" s="1031">
        <f t="shared" si="131"/>
        <v>0</v>
      </c>
      <c r="CC183" s="1036">
        <f t="shared" si="132"/>
        <v>0</v>
      </c>
      <c r="CD183" s="1023">
        <f t="shared" si="133"/>
        <v>-500000</v>
      </c>
      <c r="CE183" s="1023">
        <v>108555</v>
      </c>
      <c r="CF183" s="1023">
        <f t="shared" si="134"/>
        <v>-108555</v>
      </c>
      <c r="CG183" s="1029"/>
      <c r="CH183" s="1042">
        <f t="shared" ref="CH183:CH190" si="135">-CC183+K183</f>
        <v>0</v>
      </c>
      <c r="CL183" s="976">
        <v>24912.86</v>
      </c>
      <c r="CM183" s="976">
        <f t="shared" si="118"/>
        <v>24912.86</v>
      </c>
    </row>
    <row r="184" spans="1:91" s="1032" customFormat="1" ht="12.75" customHeight="1" outlineLevel="1">
      <c r="A184" s="996"/>
      <c r="B184" s="1015"/>
      <c r="C184" s="1016"/>
      <c r="D184" s="1016" t="s">
        <v>725</v>
      </c>
      <c r="E184" s="1017"/>
      <c r="F184" s="1023"/>
      <c r="G184" s="1023"/>
      <c r="H184" s="1023"/>
      <c r="I184" s="1023"/>
      <c r="J184" s="1033"/>
      <c r="K184" s="1034"/>
      <c r="L184" s="1035"/>
      <c r="M184" s="1036"/>
      <c r="N184" s="1023">
        <v>0</v>
      </c>
      <c r="O184" s="1024">
        <v>0</v>
      </c>
      <c r="P184" s="1024">
        <v>0</v>
      </c>
      <c r="Q184" s="1024">
        <v>0</v>
      </c>
      <c r="R184" s="1024">
        <v>0</v>
      </c>
      <c r="S184" s="1024">
        <v>0</v>
      </c>
      <c r="T184" s="1024">
        <v>0</v>
      </c>
      <c r="U184" s="1024">
        <v>0</v>
      </c>
      <c r="V184" s="1024">
        <v>0</v>
      </c>
      <c r="W184" s="1024">
        <v>0</v>
      </c>
      <c r="X184" s="1024">
        <v>0</v>
      </c>
      <c r="Y184" s="1024">
        <v>0</v>
      </c>
      <c r="Z184" s="1025">
        <f t="shared" si="125"/>
        <v>0</v>
      </c>
      <c r="AA184" s="1026">
        <v>0</v>
      </c>
      <c r="AB184" s="1027">
        <v>0</v>
      </c>
      <c r="AC184" s="1027">
        <v>0</v>
      </c>
      <c r="AD184" s="1027">
        <v>0</v>
      </c>
      <c r="AE184" s="1027">
        <v>0</v>
      </c>
      <c r="AF184" s="1027">
        <v>0</v>
      </c>
      <c r="AG184" s="1027">
        <v>0</v>
      </c>
      <c r="AH184" s="1028"/>
      <c r="AI184" s="1028"/>
      <c r="AJ184" s="1028"/>
      <c r="AK184" s="1028"/>
      <c r="AL184" s="1028"/>
      <c r="AM184" s="1025">
        <f t="shared" si="126"/>
        <v>0</v>
      </c>
      <c r="AN184" s="1024"/>
      <c r="AO184" s="1024"/>
      <c r="AP184" s="1024"/>
      <c r="AQ184" s="1024"/>
      <c r="AR184" s="1024"/>
      <c r="AS184" s="1024"/>
      <c r="AT184" s="1024"/>
      <c r="AU184" s="1024"/>
      <c r="AV184" s="1024"/>
      <c r="AW184" s="1024"/>
      <c r="AX184" s="1024"/>
      <c r="AY184" s="1024"/>
      <c r="AZ184" s="1024">
        <f t="shared" si="127"/>
        <v>0</v>
      </c>
      <c r="BA184" s="1024"/>
      <c r="BB184" s="1024"/>
      <c r="BC184" s="1024"/>
      <c r="BD184" s="1024"/>
      <c r="BE184" s="1024"/>
      <c r="BF184" s="1024"/>
      <c r="BG184" s="1024"/>
      <c r="BH184" s="1024"/>
      <c r="BI184" s="1024"/>
      <c r="BJ184" s="1024"/>
      <c r="BK184" s="1024">
        <v>24817</v>
      </c>
      <c r="BL184" s="1024">
        <v>38957.300000000003</v>
      </c>
      <c r="BM184" s="1024">
        <f t="shared" si="128"/>
        <v>63774.3</v>
      </c>
      <c r="BN184" s="1024"/>
      <c r="BO184" s="1024"/>
      <c r="BP184" s="1024"/>
      <c r="BQ184" s="1024"/>
      <c r="BR184" s="1024"/>
      <c r="BS184" s="1024"/>
      <c r="BT184" s="1024"/>
      <c r="BU184" s="1024"/>
      <c r="BV184" s="1024"/>
      <c r="BW184" s="1024"/>
      <c r="BX184" s="1024"/>
      <c r="BY184" s="1024"/>
      <c r="BZ184" s="1029">
        <f t="shared" si="129"/>
        <v>0</v>
      </c>
      <c r="CA184" s="1030">
        <f t="shared" si="130"/>
        <v>63774.3</v>
      </c>
      <c r="CB184" s="1031">
        <f t="shared" si="131"/>
        <v>0</v>
      </c>
      <c r="CC184" s="1036">
        <f t="shared" si="132"/>
        <v>63774.3</v>
      </c>
      <c r="CD184" s="1023">
        <f t="shared" si="133"/>
        <v>63774.3</v>
      </c>
      <c r="CE184" s="1023">
        <v>63774.3</v>
      </c>
      <c r="CF184" s="1023">
        <f t="shared" si="134"/>
        <v>0</v>
      </c>
      <c r="CG184" s="1029"/>
      <c r="CH184" s="1042">
        <f t="shared" si="135"/>
        <v>-63774.3</v>
      </c>
      <c r="CL184" s="976">
        <v>3940</v>
      </c>
      <c r="CM184" s="976">
        <f t="shared" si="118"/>
        <v>-59834.3</v>
      </c>
    </row>
    <row r="185" spans="1:91" s="1032" customFormat="1" ht="12.75" customHeight="1" outlineLevel="1">
      <c r="A185" s="996"/>
      <c r="B185" s="1015"/>
      <c r="C185" s="1016"/>
      <c r="D185" s="1016" t="s">
        <v>726</v>
      </c>
      <c r="E185" s="1017"/>
      <c r="F185" s="1023"/>
      <c r="G185" s="1023">
        <v>3940</v>
      </c>
      <c r="H185" s="1023"/>
      <c r="I185" s="1023">
        <v>3940</v>
      </c>
      <c r="J185" s="1033">
        <v>4600003281</v>
      </c>
      <c r="K185" s="1034">
        <v>1420000</v>
      </c>
      <c r="L185" s="1035" t="s">
        <v>326</v>
      </c>
      <c r="M185" s="1036"/>
      <c r="N185" s="1023">
        <v>0</v>
      </c>
      <c r="O185" s="1024">
        <v>0</v>
      </c>
      <c r="P185" s="1024">
        <v>0</v>
      </c>
      <c r="Q185" s="1024">
        <v>0</v>
      </c>
      <c r="R185" s="1024">
        <v>0</v>
      </c>
      <c r="S185" s="1024">
        <v>0</v>
      </c>
      <c r="T185" s="1024">
        <v>0</v>
      </c>
      <c r="U185" s="1024">
        <v>0</v>
      </c>
      <c r="V185" s="1024">
        <v>0</v>
      </c>
      <c r="W185" s="1024">
        <v>0</v>
      </c>
      <c r="X185" s="1024">
        <v>0</v>
      </c>
      <c r="Y185" s="1024">
        <v>0</v>
      </c>
      <c r="Z185" s="1025">
        <f t="shared" si="125"/>
        <v>0</v>
      </c>
      <c r="AA185" s="1026">
        <v>0</v>
      </c>
      <c r="AB185" s="1027">
        <v>0</v>
      </c>
      <c r="AC185" s="1027">
        <v>0</v>
      </c>
      <c r="AD185" s="1027">
        <v>0</v>
      </c>
      <c r="AE185" s="1027">
        <v>0</v>
      </c>
      <c r="AF185" s="1027">
        <v>0</v>
      </c>
      <c r="AG185" s="1027">
        <v>0</v>
      </c>
      <c r="AH185" s="1028">
        <v>1575</v>
      </c>
      <c r="AI185" s="1028">
        <v>130</v>
      </c>
      <c r="AJ185" s="1028">
        <v>0</v>
      </c>
      <c r="AK185" s="1028">
        <v>975</v>
      </c>
      <c r="AL185" s="1028">
        <v>0</v>
      </c>
      <c r="AM185" s="1025">
        <f t="shared" si="126"/>
        <v>2680</v>
      </c>
      <c r="AN185" s="1024"/>
      <c r="AO185" s="1024">
        <v>1260</v>
      </c>
      <c r="AP185" s="1024"/>
      <c r="AQ185" s="1024"/>
      <c r="AR185" s="1024"/>
      <c r="AS185" s="1024"/>
      <c r="AT185" s="1024"/>
      <c r="AU185" s="1024"/>
      <c r="AV185" s="1024"/>
      <c r="AW185" s="1024"/>
      <c r="AX185" s="1024"/>
      <c r="AY185" s="1024">
        <f>160+90</f>
        <v>250</v>
      </c>
      <c r="AZ185" s="1024">
        <f t="shared" si="127"/>
        <v>1510</v>
      </c>
      <c r="BA185" s="1024"/>
      <c r="BB185" s="1024"/>
      <c r="BC185" s="1024"/>
      <c r="BD185" s="1024"/>
      <c r="BE185" s="1024"/>
      <c r="BF185" s="1024"/>
      <c r="BG185" s="1024"/>
      <c r="BH185" s="1024"/>
      <c r="BI185" s="1024"/>
      <c r="BJ185" s="1024"/>
      <c r="BK185" s="1024"/>
      <c r="BL185" s="1024"/>
      <c r="BM185" s="1024">
        <f t="shared" si="128"/>
        <v>0</v>
      </c>
      <c r="BN185" s="1024"/>
      <c r="BO185" s="1024"/>
      <c r="BP185" s="1024"/>
      <c r="BQ185" s="1093">
        <f>60*(25/30)</f>
        <v>50</v>
      </c>
      <c r="BR185" s="1024"/>
      <c r="BS185" s="1024"/>
      <c r="BT185" s="1024"/>
      <c r="BU185" s="1024"/>
      <c r="BV185" s="1024"/>
      <c r="BW185" s="1024"/>
      <c r="BX185" s="1024"/>
      <c r="BY185" s="1024"/>
      <c r="BZ185" s="1029">
        <f t="shared" si="129"/>
        <v>50</v>
      </c>
      <c r="CA185" s="1030">
        <f t="shared" si="130"/>
        <v>4240</v>
      </c>
      <c r="CB185" s="1031">
        <f t="shared" si="131"/>
        <v>0</v>
      </c>
      <c r="CC185" s="1036">
        <f t="shared" si="132"/>
        <v>4240</v>
      </c>
      <c r="CD185" s="1023">
        <f t="shared" si="133"/>
        <v>300</v>
      </c>
      <c r="CE185" s="1023">
        <v>4250</v>
      </c>
      <c r="CF185" s="1023">
        <f t="shared" si="134"/>
        <v>-10</v>
      </c>
      <c r="CG185" s="1029"/>
      <c r="CH185" s="1042">
        <f t="shared" si="135"/>
        <v>1415760</v>
      </c>
      <c r="CL185" s="976">
        <v>3940</v>
      </c>
      <c r="CM185" s="976">
        <f t="shared" si="118"/>
        <v>-300</v>
      </c>
    </row>
    <row r="186" spans="1:91" s="1032" customFormat="1" ht="12.75" customHeight="1" outlineLevel="1">
      <c r="A186" s="996"/>
      <c r="B186" s="1015"/>
      <c r="C186" s="1016"/>
      <c r="D186" s="1016" t="s">
        <v>727</v>
      </c>
      <c r="E186" s="1017"/>
      <c r="F186" s="1023"/>
      <c r="G186" s="1023">
        <v>247855.78</v>
      </c>
      <c r="H186" s="1023"/>
      <c r="I186" s="1023">
        <v>247855.78</v>
      </c>
      <c r="J186" s="1033">
        <v>4600001197</v>
      </c>
      <c r="K186" s="1034">
        <v>10325000</v>
      </c>
      <c r="L186" s="1035" t="s">
        <v>314</v>
      </c>
      <c r="M186" s="1036"/>
      <c r="N186" s="1023">
        <v>0</v>
      </c>
      <c r="O186" s="1024">
        <v>0</v>
      </c>
      <c r="P186" s="1024">
        <v>0</v>
      </c>
      <c r="Q186" s="1024">
        <v>0</v>
      </c>
      <c r="R186" s="1024">
        <v>0</v>
      </c>
      <c r="S186" s="1024">
        <v>0</v>
      </c>
      <c r="T186" s="1024">
        <v>0</v>
      </c>
      <c r="U186" s="1024"/>
      <c r="V186" s="1024"/>
      <c r="W186" s="1024">
        <v>0</v>
      </c>
      <c r="X186" s="1024">
        <v>0</v>
      </c>
      <c r="Y186" s="1024">
        <v>0</v>
      </c>
      <c r="Z186" s="1025">
        <f t="shared" si="125"/>
        <v>0</v>
      </c>
      <c r="AA186" s="1026">
        <v>0</v>
      </c>
      <c r="AB186" s="1027">
        <v>0</v>
      </c>
      <c r="AC186" s="1027">
        <v>0</v>
      </c>
      <c r="AD186" s="1027"/>
      <c r="AE186" s="1027"/>
      <c r="AF186" s="1027">
        <v>0</v>
      </c>
      <c r="AG186" s="1027">
        <v>0</v>
      </c>
      <c r="AH186" s="1028"/>
      <c r="AI186" s="1028">
        <v>0</v>
      </c>
      <c r="AJ186" s="1028">
        <v>0</v>
      </c>
      <c r="AK186" s="1028">
        <v>0</v>
      </c>
      <c r="AL186" s="1028">
        <v>247855.78</v>
      </c>
      <c r="AM186" s="1025">
        <f t="shared" si="126"/>
        <v>247855.78</v>
      </c>
      <c r="AN186" s="1024"/>
      <c r="AO186" s="1024"/>
      <c r="AP186" s="1024"/>
      <c r="AQ186" s="1024"/>
      <c r="AR186" s="1024"/>
      <c r="AS186" s="1024"/>
      <c r="AT186" s="1024"/>
      <c r="AU186" s="1024"/>
      <c r="AV186" s="1024"/>
      <c r="AW186" s="1024"/>
      <c r="AX186" s="1024"/>
      <c r="AY186" s="1024"/>
      <c r="AZ186" s="1024">
        <f t="shared" si="127"/>
        <v>0</v>
      </c>
      <c r="BA186" s="1024"/>
      <c r="BB186" s="1024"/>
      <c r="BC186" s="1024"/>
      <c r="BD186" s="1024"/>
      <c r="BE186" s="1024"/>
      <c r="BF186" s="1024"/>
      <c r="BG186" s="1024"/>
      <c r="BH186" s="1024"/>
      <c r="BI186" s="1024"/>
      <c r="BJ186" s="1024"/>
      <c r="BK186" s="1024"/>
      <c r="BL186" s="1024"/>
      <c r="BM186" s="1024">
        <f t="shared" si="128"/>
        <v>0</v>
      </c>
      <c r="BN186" s="1024"/>
      <c r="BO186" s="1024"/>
      <c r="BP186" s="1024"/>
      <c r="BQ186" s="1024"/>
      <c r="BR186" s="1024"/>
      <c r="BS186" s="1024"/>
      <c r="BT186" s="1024"/>
      <c r="BU186" s="1024"/>
      <c r="BV186" s="1024"/>
      <c r="BW186" s="1024"/>
      <c r="BX186" s="1024"/>
      <c r="BY186" s="1024"/>
      <c r="BZ186" s="1029">
        <f t="shared" si="129"/>
        <v>0</v>
      </c>
      <c r="CA186" s="1030">
        <f t="shared" si="130"/>
        <v>247855.78</v>
      </c>
      <c r="CB186" s="1031">
        <f t="shared" si="131"/>
        <v>0</v>
      </c>
      <c r="CC186" s="1036">
        <f t="shared" si="132"/>
        <v>247855.78</v>
      </c>
      <c r="CD186" s="1023">
        <f t="shared" si="133"/>
        <v>0</v>
      </c>
      <c r="CE186" s="1023">
        <v>247855.78</v>
      </c>
      <c r="CF186" s="1023">
        <f t="shared" si="134"/>
        <v>0</v>
      </c>
      <c r="CG186" s="1029"/>
      <c r="CH186" s="972">
        <f t="shared" si="135"/>
        <v>10077144.220000001</v>
      </c>
      <c r="CL186" s="976">
        <v>247855.78</v>
      </c>
      <c r="CM186" s="976">
        <f t="shared" si="118"/>
        <v>0</v>
      </c>
    </row>
    <row r="187" spans="1:91" s="1032" customFormat="1" ht="12.75" customHeight="1" outlineLevel="1">
      <c r="A187" s="996"/>
      <c r="B187" s="1015"/>
      <c r="C187" s="1016"/>
      <c r="D187" s="1016" t="s">
        <v>728</v>
      </c>
      <c r="E187" s="1017"/>
      <c r="F187" s="1023"/>
      <c r="G187" s="1023">
        <v>6197.42</v>
      </c>
      <c r="H187" s="1023"/>
      <c r="I187" s="1023">
        <v>6197.42</v>
      </c>
      <c r="J187" s="1033">
        <v>4600005302</v>
      </c>
      <c r="K187" s="1034">
        <v>655812</v>
      </c>
      <c r="L187" s="1035" t="s">
        <v>314</v>
      </c>
      <c r="M187" s="1036"/>
      <c r="N187" s="1023">
        <v>0</v>
      </c>
      <c r="O187" s="1024">
        <v>0</v>
      </c>
      <c r="P187" s="1024">
        <v>0</v>
      </c>
      <c r="Q187" s="1024">
        <v>0</v>
      </c>
      <c r="R187" s="1024">
        <v>0</v>
      </c>
      <c r="S187" s="1024">
        <v>0</v>
      </c>
      <c r="T187" s="1024">
        <v>0</v>
      </c>
      <c r="U187" s="1024"/>
      <c r="V187" s="1024"/>
      <c r="W187" s="1024">
        <v>0</v>
      </c>
      <c r="X187" s="1024">
        <v>0</v>
      </c>
      <c r="Y187" s="1024">
        <v>0</v>
      </c>
      <c r="Z187" s="1025">
        <f t="shared" si="125"/>
        <v>0</v>
      </c>
      <c r="AA187" s="1026">
        <v>0</v>
      </c>
      <c r="AB187" s="1027">
        <v>0</v>
      </c>
      <c r="AC187" s="1027">
        <v>0</v>
      </c>
      <c r="AD187" s="1027"/>
      <c r="AE187" s="1027"/>
      <c r="AF187" s="1027">
        <v>0</v>
      </c>
      <c r="AG187" s="1027">
        <v>0</v>
      </c>
      <c r="AH187" s="1028"/>
      <c r="AI187" s="1028">
        <v>0</v>
      </c>
      <c r="AJ187" s="1028">
        <v>0</v>
      </c>
      <c r="AK187" s="1028">
        <v>0</v>
      </c>
      <c r="AL187" s="1028">
        <v>6197.42</v>
      </c>
      <c r="AM187" s="1025">
        <f t="shared" si="126"/>
        <v>6197.42</v>
      </c>
      <c r="AN187" s="1024"/>
      <c r="AO187" s="1024"/>
      <c r="AP187" s="1024"/>
      <c r="AQ187" s="1024"/>
      <c r="AR187" s="1024"/>
      <c r="AS187" s="1024"/>
      <c r="AT187" s="1024"/>
      <c r="AU187" s="1024"/>
      <c r="AV187" s="1024"/>
      <c r="AW187" s="1024"/>
      <c r="AX187" s="1024"/>
      <c r="AY187" s="1024"/>
      <c r="AZ187" s="1024">
        <f t="shared" si="127"/>
        <v>0</v>
      </c>
      <c r="BA187" s="1024"/>
      <c r="BB187" s="1024"/>
      <c r="BC187" s="1024"/>
      <c r="BD187" s="1024"/>
      <c r="BE187" s="1024"/>
      <c r="BF187" s="1024"/>
      <c r="BG187" s="1024"/>
      <c r="BH187" s="1024"/>
      <c r="BI187" s="1024"/>
      <c r="BJ187" s="1024"/>
      <c r="BK187" s="1024"/>
      <c r="BL187" s="1024"/>
      <c r="BM187" s="1024">
        <f t="shared" si="128"/>
        <v>0</v>
      </c>
      <c r="BN187" s="1024"/>
      <c r="BO187" s="1024"/>
      <c r="BP187" s="1024"/>
      <c r="BQ187" s="1024"/>
      <c r="BR187" s="1024"/>
      <c r="BS187" s="1024"/>
      <c r="BT187" s="1024"/>
      <c r="BU187" s="1024"/>
      <c r="BV187" s="1024"/>
      <c r="BW187" s="1024"/>
      <c r="BX187" s="1024"/>
      <c r="BY187" s="1024"/>
      <c r="BZ187" s="1029">
        <f t="shared" si="129"/>
        <v>0</v>
      </c>
      <c r="CA187" s="1030">
        <f t="shared" si="130"/>
        <v>6197.42</v>
      </c>
      <c r="CB187" s="1031">
        <f t="shared" si="131"/>
        <v>0</v>
      </c>
      <c r="CC187" s="1036">
        <f t="shared" si="132"/>
        <v>6197.42</v>
      </c>
      <c r="CD187" s="1023">
        <f t="shared" si="133"/>
        <v>0</v>
      </c>
      <c r="CE187" s="1023">
        <v>6197.42</v>
      </c>
      <c r="CF187" s="1023">
        <f t="shared" si="134"/>
        <v>0</v>
      </c>
      <c r="CG187" s="1029"/>
      <c r="CH187" s="972">
        <f t="shared" si="135"/>
        <v>649614.57999999996</v>
      </c>
      <c r="CL187" s="976">
        <v>6197.42</v>
      </c>
      <c r="CM187" s="976">
        <f t="shared" si="118"/>
        <v>0</v>
      </c>
    </row>
    <row r="188" spans="1:91" s="1032" customFormat="1" ht="12.75" customHeight="1" outlineLevel="1">
      <c r="A188" s="996"/>
      <c r="B188" s="1015"/>
      <c r="C188" s="1016"/>
      <c r="D188" s="1016" t="s">
        <v>729</v>
      </c>
      <c r="E188" s="1017"/>
      <c r="F188" s="1023"/>
      <c r="G188" s="1023"/>
      <c r="H188" s="1023"/>
      <c r="I188" s="1023"/>
      <c r="J188" s="1033"/>
      <c r="K188" s="1034"/>
      <c r="L188" s="1035"/>
      <c r="M188" s="1036"/>
      <c r="N188" s="1023">
        <v>0</v>
      </c>
      <c r="O188" s="1024">
        <v>0</v>
      </c>
      <c r="P188" s="1024">
        <v>0</v>
      </c>
      <c r="Q188" s="1024">
        <v>0</v>
      </c>
      <c r="R188" s="1024">
        <v>0</v>
      </c>
      <c r="S188" s="1024">
        <v>0</v>
      </c>
      <c r="T188" s="1024">
        <v>0</v>
      </c>
      <c r="U188" s="1024"/>
      <c r="V188" s="1024"/>
      <c r="W188" s="1024">
        <v>0</v>
      </c>
      <c r="X188" s="1024">
        <v>0</v>
      </c>
      <c r="Y188" s="1024">
        <v>0</v>
      </c>
      <c r="Z188" s="1025">
        <f t="shared" si="125"/>
        <v>0</v>
      </c>
      <c r="AA188" s="1026">
        <v>0</v>
      </c>
      <c r="AB188" s="1027">
        <v>0</v>
      </c>
      <c r="AC188" s="1027">
        <v>0</v>
      </c>
      <c r="AD188" s="1027"/>
      <c r="AE188" s="1027"/>
      <c r="AF188" s="1027">
        <v>0</v>
      </c>
      <c r="AG188" s="1027">
        <v>0</v>
      </c>
      <c r="AH188" s="1028"/>
      <c r="AI188" s="1028">
        <v>0</v>
      </c>
      <c r="AJ188" s="1028">
        <v>0</v>
      </c>
      <c r="AK188" s="1028">
        <v>0</v>
      </c>
      <c r="AL188" s="1028"/>
      <c r="AM188" s="1025">
        <f t="shared" si="126"/>
        <v>0</v>
      </c>
      <c r="AN188" s="1024"/>
      <c r="AO188" s="1024"/>
      <c r="AP188" s="1024"/>
      <c r="AQ188" s="1024"/>
      <c r="AR188" s="1024"/>
      <c r="AS188" s="1024"/>
      <c r="AT188" s="1024"/>
      <c r="AU188" s="1024"/>
      <c r="AV188" s="1024"/>
      <c r="AW188" s="1024"/>
      <c r="AX188" s="1024"/>
      <c r="AY188" s="1024"/>
      <c r="AZ188" s="1024">
        <f t="shared" si="127"/>
        <v>0</v>
      </c>
      <c r="BA188" s="1024"/>
      <c r="BB188" s="1024"/>
      <c r="BC188" s="1024"/>
      <c r="BD188" s="1024"/>
      <c r="BE188" s="1024"/>
      <c r="BF188" s="1024"/>
      <c r="BG188" s="1024"/>
      <c r="BH188" s="1024"/>
      <c r="BI188" s="1024"/>
      <c r="BJ188" s="1024"/>
      <c r="BK188" s="1024">
        <v>7500</v>
      </c>
      <c r="BL188" s="1024"/>
      <c r="BM188" s="1024">
        <f t="shared" si="128"/>
        <v>7500</v>
      </c>
      <c r="BN188" s="1024"/>
      <c r="BO188" s="1024"/>
      <c r="BP188" s="1024"/>
      <c r="BQ188" s="1024"/>
      <c r="BR188" s="1024"/>
      <c r="BS188" s="1024"/>
      <c r="BT188" s="1024"/>
      <c r="BU188" s="1024"/>
      <c r="BV188" s="1024"/>
      <c r="BW188" s="1024"/>
      <c r="BX188" s="1024"/>
      <c r="BY188" s="1024"/>
      <c r="BZ188" s="1029">
        <f t="shared" si="129"/>
        <v>0</v>
      </c>
      <c r="CA188" s="1030">
        <f t="shared" si="130"/>
        <v>7500</v>
      </c>
      <c r="CB188" s="1031">
        <f t="shared" si="131"/>
        <v>0</v>
      </c>
      <c r="CC188" s="1036">
        <f t="shared" si="132"/>
        <v>7500</v>
      </c>
      <c r="CD188" s="1023">
        <f t="shared" si="133"/>
        <v>7500</v>
      </c>
      <c r="CE188" s="1023">
        <v>7500</v>
      </c>
      <c r="CF188" s="1023">
        <f t="shared" si="134"/>
        <v>0</v>
      </c>
      <c r="CG188" s="1029"/>
      <c r="CH188" s="972">
        <f t="shared" si="135"/>
        <v>-7500</v>
      </c>
      <c r="CL188" s="976">
        <v>0</v>
      </c>
      <c r="CM188" s="976">
        <f t="shared" si="118"/>
        <v>-7500</v>
      </c>
    </row>
    <row r="189" spans="1:91" s="1032" customFormat="1" ht="12.75" customHeight="1" outlineLevel="1">
      <c r="A189" s="996"/>
      <c r="B189" s="1015"/>
      <c r="C189" s="1016"/>
      <c r="D189" s="1016" t="s">
        <v>730</v>
      </c>
      <c r="E189" s="1017"/>
      <c r="F189" s="1023"/>
      <c r="G189" s="1023">
        <v>14715.2</v>
      </c>
      <c r="H189" s="1023"/>
      <c r="I189" s="1023">
        <v>14715.2</v>
      </c>
      <c r="J189" s="1033">
        <v>4600002102</v>
      </c>
      <c r="K189" s="1034">
        <v>65000000</v>
      </c>
      <c r="L189" s="1035" t="s">
        <v>314</v>
      </c>
      <c r="M189" s="1036"/>
      <c r="N189" s="1023">
        <v>0</v>
      </c>
      <c r="O189" s="1024">
        <v>0</v>
      </c>
      <c r="P189" s="1024">
        <v>0</v>
      </c>
      <c r="Q189" s="1024">
        <v>0</v>
      </c>
      <c r="R189" s="1024">
        <v>0</v>
      </c>
      <c r="S189" s="1024">
        <v>0</v>
      </c>
      <c r="T189" s="1024">
        <v>0</v>
      </c>
      <c r="U189" s="1024">
        <v>0</v>
      </c>
      <c r="V189" s="1024">
        <v>0</v>
      </c>
      <c r="W189" s="1024">
        <v>0</v>
      </c>
      <c r="X189" s="1024">
        <v>0</v>
      </c>
      <c r="Y189" s="1024">
        <v>0</v>
      </c>
      <c r="Z189" s="1025">
        <f t="shared" si="125"/>
        <v>0</v>
      </c>
      <c r="AA189" s="1026">
        <v>0</v>
      </c>
      <c r="AB189" s="1027">
        <v>0</v>
      </c>
      <c r="AC189" s="1027">
        <v>0</v>
      </c>
      <c r="AD189" s="1027">
        <v>0</v>
      </c>
      <c r="AE189" s="1027">
        <v>0</v>
      </c>
      <c r="AF189" s="1027"/>
      <c r="AG189" s="1027">
        <v>0</v>
      </c>
      <c r="AH189" s="1028">
        <v>0</v>
      </c>
      <c r="AI189" s="1028">
        <v>0</v>
      </c>
      <c r="AJ189" s="1028">
        <v>0</v>
      </c>
      <c r="AK189" s="1028">
        <v>0</v>
      </c>
      <c r="AL189" s="1028">
        <v>0</v>
      </c>
      <c r="AM189" s="1025">
        <f t="shared" si="126"/>
        <v>0</v>
      </c>
      <c r="AN189" s="1024">
        <v>14715.2</v>
      </c>
      <c r="AO189" s="1024"/>
      <c r="AP189" s="1024"/>
      <c r="AQ189" s="1024"/>
      <c r="AR189" s="1024"/>
      <c r="AS189" s="1024"/>
      <c r="AT189" s="1024"/>
      <c r="AU189" s="1024"/>
      <c r="AV189" s="1024"/>
      <c r="AW189" s="1024"/>
      <c r="AX189" s="1024"/>
      <c r="AY189" s="1024"/>
      <c r="AZ189" s="1024">
        <f t="shared" si="127"/>
        <v>14715.2</v>
      </c>
      <c r="BA189" s="1024"/>
      <c r="BB189" s="1024"/>
      <c r="BC189" s="1024"/>
      <c r="BD189" s="1024"/>
      <c r="BE189" s="1024"/>
      <c r="BF189" s="1024"/>
      <c r="BG189" s="1024"/>
      <c r="BH189" s="1024"/>
      <c r="BI189" s="1024"/>
      <c r="BJ189" s="1024">
        <v>2825.29</v>
      </c>
      <c r="BK189" s="1024">
        <f>-2825.29+3081.24</f>
        <v>255.94999999999982</v>
      </c>
      <c r="BL189" s="1024">
        <f>3099.86-3081.24</f>
        <v>18.620000000000346</v>
      </c>
      <c r="BM189" s="1024">
        <f t="shared" si="128"/>
        <v>3099.86</v>
      </c>
      <c r="BN189" s="1024"/>
      <c r="BO189" s="1024"/>
      <c r="BP189" s="1024"/>
      <c r="BQ189" s="1024"/>
      <c r="BR189" s="1093">
        <v>0</v>
      </c>
      <c r="BS189" s="1024"/>
      <c r="BT189" s="1024"/>
      <c r="BU189" s="1024"/>
      <c r="BV189" s="1024"/>
      <c r="BW189" s="1024"/>
      <c r="BX189" s="1024"/>
      <c r="BY189" s="1024"/>
      <c r="BZ189" s="1029">
        <f t="shared" si="129"/>
        <v>0</v>
      </c>
      <c r="CA189" s="1030">
        <f t="shared" si="130"/>
        <v>17815.060000000001</v>
      </c>
      <c r="CB189" s="1024">
        <f t="shared" si="131"/>
        <v>0</v>
      </c>
      <c r="CC189" s="1036">
        <f t="shared" si="132"/>
        <v>17815.060000000001</v>
      </c>
      <c r="CD189" s="1023">
        <f t="shared" si="133"/>
        <v>3099.8600000000006</v>
      </c>
      <c r="CE189" s="1023">
        <v>17815.060000000001</v>
      </c>
      <c r="CF189" s="1023">
        <f t="shared" si="134"/>
        <v>0</v>
      </c>
      <c r="CG189" s="1029"/>
      <c r="CH189" s="972">
        <f t="shared" si="135"/>
        <v>64982184.939999998</v>
      </c>
      <c r="CL189" s="976">
        <v>14715.2</v>
      </c>
      <c r="CM189" s="976">
        <f t="shared" si="118"/>
        <v>-3099.8600000000006</v>
      </c>
    </row>
    <row r="190" spans="1:91" s="1032" customFormat="1" ht="12.75" customHeight="1" outlineLevel="1">
      <c r="A190" s="996" t="s">
        <v>731</v>
      </c>
      <c r="B190" s="1015"/>
      <c r="C190" s="1016"/>
      <c r="D190" s="1016" t="s">
        <v>732</v>
      </c>
      <c r="E190" s="1017"/>
      <c r="F190" s="1023"/>
      <c r="G190" s="1023"/>
      <c r="H190" s="1023"/>
      <c r="I190" s="1023"/>
      <c r="J190" s="1033">
        <v>4600005796</v>
      </c>
      <c r="K190" s="1034">
        <v>25000</v>
      </c>
      <c r="L190" s="1035" t="s">
        <v>310</v>
      </c>
      <c r="M190" s="1036"/>
      <c r="N190" s="1023">
        <v>0</v>
      </c>
      <c r="O190" s="1024">
        <v>0</v>
      </c>
      <c r="P190" s="1024">
        <v>0</v>
      </c>
      <c r="Q190" s="1024">
        <v>0</v>
      </c>
      <c r="R190" s="1024">
        <v>0</v>
      </c>
      <c r="S190" s="1024">
        <v>0</v>
      </c>
      <c r="T190" s="1024">
        <v>0</v>
      </c>
      <c r="U190" s="1024">
        <v>0</v>
      </c>
      <c r="V190" s="1024">
        <v>0</v>
      </c>
      <c r="W190" s="1024">
        <v>0</v>
      </c>
      <c r="X190" s="1024">
        <v>0</v>
      </c>
      <c r="Y190" s="1024">
        <v>0</v>
      </c>
      <c r="Z190" s="1025">
        <f t="shared" si="125"/>
        <v>0</v>
      </c>
      <c r="AA190" s="1026">
        <v>0</v>
      </c>
      <c r="AB190" s="1027">
        <v>0</v>
      </c>
      <c r="AC190" s="1027">
        <v>0</v>
      </c>
      <c r="AD190" s="1027">
        <v>0</v>
      </c>
      <c r="AE190" s="1027">
        <v>0</v>
      </c>
      <c r="AF190" s="1027"/>
      <c r="AG190" s="1027">
        <v>0</v>
      </c>
      <c r="AH190" s="1028">
        <v>0</v>
      </c>
      <c r="AI190" s="1028">
        <v>0</v>
      </c>
      <c r="AJ190" s="1028">
        <v>0</v>
      </c>
      <c r="AK190" s="1028">
        <v>0</v>
      </c>
      <c r="AL190" s="1028">
        <v>0</v>
      </c>
      <c r="AM190" s="1025">
        <f t="shared" si="126"/>
        <v>0</v>
      </c>
      <c r="AN190" s="1024"/>
      <c r="AO190" s="1024"/>
      <c r="AP190" s="1024"/>
      <c r="AQ190" s="1024"/>
      <c r="AR190" s="1024"/>
      <c r="AS190" s="1024"/>
      <c r="AT190" s="1024"/>
      <c r="AU190" s="1024"/>
      <c r="AV190" s="1024"/>
      <c r="AW190" s="1024"/>
      <c r="AX190" s="1024"/>
      <c r="AY190" s="1024"/>
      <c r="AZ190" s="1024">
        <f t="shared" si="127"/>
        <v>0</v>
      </c>
      <c r="BA190" s="1024"/>
      <c r="BB190" s="1024">
        <v>1397.74</v>
      </c>
      <c r="BC190" s="1024">
        <v>1057.74</v>
      </c>
      <c r="BD190" s="1024"/>
      <c r="BE190" s="1024">
        <v>3796.44</v>
      </c>
      <c r="BF190" s="1024">
        <v>7562.36</v>
      </c>
      <c r="BG190" s="1024">
        <v>359.43</v>
      </c>
      <c r="BH190" s="1024"/>
      <c r="BI190" s="1024"/>
      <c r="BJ190" s="1024">
        <v>717.74</v>
      </c>
      <c r="BK190" s="1024"/>
      <c r="BL190" s="1076">
        <v>5741.92</v>
      </c>
      <c r="BM190" s="1024">
        <f t="shared" si="128"/>
        <v>20633.37</v>
      </c>
      <c r="BN190" s="1024"/>
      <c r="BO190" s="1024">
        <f>4581.42+3670.84</f>
        <v>8252.26</v>
      </c>
      <c r="BP190" s="1024"/>
      <c r="BQ190" s="1093">
        <f>3995.3*(25/30)</f>
        <v>3329.416666666667</v>
      </c>
      <c r="BR190" s="1024"/>
      <c r="BS190" s="1093">
        <v>0</v>
      </c>
      <c r="BT190" s="1024"/>
      <c r="BU190" s="1024"/>
      <c r="BV190" s="1024"/>
      <c r="BW190" s="1024"/>
      <c r="BX190" s="1024"/>
      <c r="BY190" s="1024"/>
      <c r="BZ190" s="1029">
        <f t="shared" si="129"/>
        <v>11581.676666666666</v>
      </c>
      <c r="CA190" s="1030">
        <f t="shared" si="130"/>
        <v>32215.046666666665</v>
      </c>
      <c r="CB190" s="1024">
        <f t="shared" si="131"/>
        <v>0</v>
      </c>
      <c r="CC190" s="1036">
        <f t="shared" si="132"/>
        <v>32215.046666666665</v>
      </c>
      <c r="CD190" s="1023">
        <f t="shared" si="133"/>
        <v>32215.046666666665</v>
      </c>
      <c r="CE190" s="1023">
        <v>32999.289999999994</v>
      </c>
      <c r="CF190" s="1023">
        <f t="shared" si="134"/>
        <v>-784.24333333332834</v>
      </c>
      <c r="CG190" s="1029"/>
      <c r="CH190" s="972">
        <f t="shared" si="135"/>
        <v>-7215.0466666666653</v>
      </c>
      <c r="CL190" s="976">
        <v>14715.2</v>
      </c>
      <c r="CM190" s="976">
        <f t="shared" si="118"/>
        <v>-17499.846666666665</v>
      </c>
    </row>
    <row r="191" spans="1:91" s="1032" customFormat="1" outlineLevel="1">
      <c r="A191" s="1091"/>
      <c r="B191" s="1015"/>
      <c r="C191" s="1016"/>
      <c r="D191" s="1016" t="s">
        <v>733</v>
      </c>
      <c r="E191" s="1017"/>
      <c r="F191" s="1023">
        <f>SUBTOTAL(9,F192:F199)</f>
        <v>0</v>
      </c>
      <c r="G191" s="1023">
        <f>SUBTOTAL(9,G192:G199)</f>
        <v>142081.76999999999</v>
      </c>
      <c r="H191" s="1023">
        <f>SUBTOTAL(9,H192:H199)</f>
        <v>0</v>
      </c>
      <c r="I191" s="1023">
        <f>SUBTOTAL(9,I192:I199)</f>
        <v>142081.76999999999</v>
      </c>
      <c r="J191" s="1019"/>
      <c r="K191" s="1020"/>
      <c r="L191" s="1021"/>
      <c r="M191" s="1022">
        <f t="shared" ref="M191:AR191" si="136">SUBTOTAL(9,M192:M199)</f>
        <v>0</v>
      </c>
      <c r="N191" s="1023">
        <f t="shared" si="136"/>
        <v>0</v>
      </c>
      <c r="O191" s="1024">
        <f t="shared" si="136"/>
        <v>0</v>
      </c>
      <c r="P191" s="1024">
        <f t="shared" si="136"/>
        <v>0</v>
      </c>
      <c r="Q191" s="1024">
        <f t="shared" si="136"/>
        <v>0</v>
      </c>
      <c r="R191" s="1024">
        <f t="shared" si="136"/>
        <v>0</v>
      </c>
      <c r="S191" s="1024">
        <f t="shared" si="136"/>
        <v>0</v>
      </c>
      <c r="T191" s="1024">
        <f t="shared" si="136"/>
        <v>0</v>
      </c>
      <c r="U191" s="1024">
        <f t="shared" si="136"/>
        <v>0</v>
      </c>
      <c r="V191" s="1024">
        <f t="shared" si="136"/>
        <v>0</v>
      </c>
      <c r="W191" s="1024">
        <f t="shared" si="136"/>
        <v>0</v>
      </c>
      <c r="X191" s="1024">
        <f t="shared" si="136"/>
        <v>0</v>
      </c>
      <c r="Y191" s="1024">
        <f t="shared" si="136"/>
        <v>0</v>
      </c>
      <c r="Z191" s="1025">
        <f t="shared" si="136"/>
        <v>0</v>
      </c>
      <c r="AA191" s="1026">
        <f t="shared" si="136"/>
        <v>0</v>
      </c>
      <c r="AB191" s="1027">
        <f t="shared" si="136"/>
        <v>0</v>
      </c>
      <c r="AC191" s="1027">
        <f t="shared" si="136"/>
        <v>0</v>
      </c>
      <c r="AD191" s="1027">
        <f t="shared" si="136"/>
        <v>0</v>
      </c>
      <c r="AE191" s="1027">
        <f t="shared" si="136"/>
        <v>0</v>
      </c>
      <c r="AF191" s="1027">
        <f t="shared" si="136"/>
        <v>0</v>
      </c>
      <c r="AG191" s="1027">
        <f t="shared" si="136"/>
        <v>0</v>
      </c>
      <c r="AH191" s="1028">
        <f t="shared" si="136"/>
        <v>0</v>
      </c>
      <c r="AI191" s="1028">
        <f t="shared" si="136"/>
        <v>0</v>
      </c>
      <c r="AJ191" s="1028">
        <f t="shared" si="136"/>
        <v>0</v>
      </c>
      <c r="AK191" s="1028">
        <f t="shared" si="136"/>
        <v>0</v>
      </c>
      <c r="AL191" s="1028">
        <f t="shared" si="136"/>
        <v>0</v>
      </c>
      <c r="AM191" s="1025">
        <f t="shared" si="136"/>
        <v>0</v>
      </c>
      <c r="AN191" s="1024">
        <f t="shared" si="136"/>
        <v>1675.43</v>
      </c>
      <c r="AO191" s="1024">
        <f t="shared" si="136"/>
        <v>2924</v>
      </c>
      <c r="AP191" s="1024">
        <f t="shared" si="136"/>
        <v>1489.8400000000001</v>
      </c>
      <c r="AQ191" s="1024">
        <f t="shared" si="136"/>
        <v>0</v>
      </c>
      <c r="AR191" s="1024">
        <f t="shared" si="136"/>
        <v>0</v>
      </c>
      <c r="AS191" s="1024">
        <f t="shared" ref="AS191:BX191" si="137">SUBTOTAL(9,AS192:AS199)</f>
        <v>0</v>
      </c>
      <c r="AT191" s="1024">
        <f t="shared" si="137"/>
        <v>0</v>
      </c>
      <c r="AU191" s="1024">
        <f t="shared" si="137"/>
        <v>6379.5</v>
      </c>
      <c r="AV191" s="1024">
        <f t="shared" si="137"/>
        <v>14866</v>
      </c>
      <c r="AW191" s="1024">
        <f t="shared" si="137"/>
        <v>19752.25</v>
      </c>
      <c r="AX191" s="1024">
        <f t="shared" si="137"/>
        <v>0</v>
      </c>
      <c r="AY191" s="1024">
        <f t="shared" si="137"/>
        <v>-9613</v>
      </c>
      <c r="AZ191" s="1024">
        <f t="shared" si="137"/>
        <v>37474.020000000004</v>
      </c>
      <c r="BA191" s="1024">
        <f t="shared" si="137"/>
        <v>14944.91</v>
      </c>
      <c r="BB191" s="1024">
        <f t="shared" si="137"/>
        <v>26047.23</v>
      </c>
      <c r="BC191" s="1024">
        <f t="shared" si="137"/>
        <v>7999</v>
      </c>
      <c r="BD191" s="1024">
        <f t="shared" si="137"/>
        <v>23257.18</v>
      </c>
      <c r="BE191" s="1024">
        <f t="shared" si="137"/>
        <v>30646.5</v>
      </c>
      <c r="BF191" s="1024">
        <f t="shared" si="137"/>
        <v>8180</v>
      </c>
      <c r="BG191" s="1024">
        <f t="shared" si="137"/>
        <v>9449.5</v>
      </c>
      <c r="BH191" s="1024">
        <f t="shared" si="137"/>
        <v>10757.25</v>
      </c>
      <c r="BI191" s="1024">
        <f t="shared" si="137"/>
        <v>10140</v>
      </c>
      <c r="BJ191" s="1024">
        <f t="shared" si="137"/>
        <v>10966.5</v>
      </c>
      <c r="BK191" s="1024">
        <f t="shared" si="137"/>
        <v>0</v>
      </c>
      <c r="BL191" s="1024">
        <f t="shared" si="137"/>
        <v>16155</v>
      </c>
      <c r="BM191" s="1024">
        <f t="shared" si="137"/>
        <v>168543.07</v>
      </c>
      <c r="BN191" s="1024">
        <f t="shared" si="137"/>
        <v>0</v>
      </c>
      <c r="BO191" s="1024">
        <f t="shared" si="137"/>
        <v>17165</v>
      </c>
      <c r="BP191" s="1024">
        <f t="shared" si="137"/>
        <v>0</v>
      </c>
      <c r="BQ191" s="1024">
        <f t="shared" si="137"/>
        <v>10570</v>
      </c>
      <c r="BR191" s="1024">
        <f t="shared" si="137"/>
        <v>0</v>
      </c>
      <c r="BS191" s="1024">
        <f t="shared" si="137"/>
        <v>0</v>
      </c>
      <c r="BT191" s="1024">
        <f t="shared" si="137"/>
        <v>0</v>
      </c>
      <c r="BU191" s="1024">
        <f t="shared" si="137"/>
        <v>0</v>
      </c>
      <c r="BV191" s="1024">
        <f t="shared" si="137"/>
        <v>0</v>
      </c>
      <c r="BW191" s="1024">
        <f t="shared" si="137"/>
        <v>0</v>
      </c>
      <c r="BX191" s="1024">
        <f t="shared" si="137"/>
        <v>0</v>
      </c>
      <c r="BY191" s="1024">
        <f t="shared" ref="BY191:CF191" si="138">SUBTOTAL(9,BY192:BY199)</f>
        <v>0</v>
      </c>
      <c r="BZ191" s="1029">
        <f t="shared" si="138"/>
        <v>27735</v>
      </c>
      <c r="CA191" s="1030">
        <f t="shared" si="138"/>
        <v>233752.09</v>
      </c>
      <c r="CB191" s="1024">
        <f t="shared" si="138"/>
        <v>0</v>
      </c>
      <c r="CC191" s="1023">
        <f t="shared" si="138"/>
        <v>233752.09</v>
      </c>
      <c r="CD191" s="1023">
        <f t="shared" si="138"/>
        <v>91670.32</v>
      </c>
      <c r="CE191" s="1023">
        <f t="shared" si="138"/>
        <v>256017.09</v>
      </c>
      <c r="CF191" s="1023">
        <f t="shared" si="138"/>
        <v>-22265</v>
      </c>
      <c r="CG191" s="1029"/>
      <c r="CH191" s="972"/>
      <c r="CL191" s="1037">
        <f>SUBTOTAL(9,CL192:CL198)</f>
        <v>444923.74</v>
      </c>
      <c r="CM191" s="976">
        <f t="shared" si="118"/>
        <v>211171.65</v>
      </c>
    </row>
    <row r="192" spans="1:91" s="1032" customFormat="1" ht="12.75" customHeight="1" outlineLevel="1">
      <c r="A192" s="996"/>
      <c r="B192" s="1015"/>
      <c r="C192" s="1078"/>
      <c r="D192" s="1078" t="s">
        <v>734</v>
      </c>
      <c r="E192" s="1017"/>
      <c r="F192" s="1023"/>
      <c r="G192" s="1023">
        <v>51675.43</v>
      </c>
      <c r="H192" s="1023"/>
      <c r="I192" s="1023">
        <v>51675.43</v>
      </c>
      <c r="J192" s="1033" t="s">
        <v>735</v>
      </c>
      <c r="K192" s="1034">
        <v>1675.43</v>
      </c>
      <c r="L192" s="1035" t="s">
        <v>381</v>
      </c>
      <c r="M192" s="1036"/>
      <c r="N192" s="1023"/>
      <c r="O192" s="1024"/>
      <c r="P192" s="1024"/>
      <c r="Q192" s="1024"/>
      <c r="R192" s="1024"/>
      <c r="S192" s="1024"/>
      <c r="T192" s="1024"/>
      <c r="U192" s="1024"/>
      <c r="V192" s="1024"/>
      <c r="W192" s="1024"/>
      <c r="X192" s="1024"/>
      <c r="Y192" s="1024">
        <v>0</v>
      </c>
      <c r="Z192" s="1025">
        <f>SUM(N192:Y192)</f>
        <v>0</v>
      </c>
      <c r="AA192" s="1026"/>
      <c r="AB192" s="1027">
        <v>0</v>
      </c>
      <c r="AC192" s="1027">
        <v>0</v>
      </c>
      <c r="AD192" s="1027">
        <v>0</v>
      </c>
      <c r="AE192" s="1027">
        <v>0</v>
      </c>
      <c r="AF192" s="1027">
        <v>0</v>
      </c>
      <c r="AG192" s="1027"/>
      <c r="AH192" s="1028"/>
      <c r="AI192" s="1028"/>
      <c r="AJ192" s="1028"/>
      <c r="AK192" s="1028"/>
      <c r="AL192" s="1028"/>
      <c r="AM192" s="1025">
        <f>SUM(AA192:AL192)</f>
        <v>0</v>
      </c>
      <c r="AN192" s="1024">
        <v>1675.43</v>
      </c>
      <c r="AO192" s="1024"/>
      <c r="AP192" s="1024"/>
      <c r="AQ192" s="1024"/>
      <c r="AR192" s="1024"/>
      <c r="AS192" s="1024"/>
      <c r="AT192" s="1024"/>
      <c r="AU192" s="1024"/>
      <c r="AV192" s="1024"/>
      <c r="AW192" s="1024"/>
      <c r="AX192" s="1024"/>
      <c r="AY192" s="1076"/>
      <c r="AZ192" s="1024">
        <f>SUM(AN192:AY192)</f>
        <v>1675.43</v>
      </c>
      <c r="BA192" s="1024"/>
      <c r="BB192" s="1024"/>
      <c r="BC192" s="1024"/>
      <c r="BD192" s="1024"/>
      <c r="BE192" s="1024"/>
      <c r="BF192" s="1024"/>
      <c r="BG192" s="1024"/>
      <c r="BH192" s="1024"/>
      <c r="BI192" s="1024"/>
      <c r="BJ192" s="1024"/>
      <c r="BK192" s="1024"/>
      <c r="BL192" s="1024"/>
      <c r="BM192" s="1024">
        <f>SUM(BA192:BL192)</f>
        <v>0</v>
      </c>
      <c r="BN192" s="1024"/>
      <c r="BO192" s="1024"/>
      <c r="BP192" s="1024"/>
      <c r="BQ192" s="1024"/>
      <c r="BR192" s="1024"/>
      <c r="BS192" s="1024"/>
      <c r="BT192" s="1024"/>
      <c r="BU192" s="1024"/>
      <c r="BV192" s="1024"/>
      <c r="BW192" s="1024"/>
      <c r="BX192" s="1024"/>
      <c r="BY192" s="1024"/>
      <c r="BZ192" s="1029">
        <f>SUM(BN192:BY192)</f>
        <v>0</v>
      </c>
      <c r="CA192" s="1030">
        <f>SUMIF(($M$1:$BZ$1),"Actual",(M192:BZ192))</f>
        <v>1675.43</v>
      </c>
      <c r="CB192" s="1024">
        <f>SUMIF(($M$1:$BZ$1),"Forecast",(M192:BZ192))</f>
        <v>0</v>
      </c>
      <c r="CC192" s="1036">
        <f>+CA192+CB192</f>
        <v>1675.43</v>
      </c>
      <c r="CD192" s="1023">
        <f>+CC192-I192</f>
        <v>-50000</v>
      </c>
      <c r="CE192" s="1023">
        <v>1675.43</v>
      </c>
      <c r="CF192" s="1023">
        <f>+CC192-CE192</f>
        <v>0</v>
      </c>
      <c r="CG192" s="1029"/>
      <c r="CH192" s="972">
        <f t="shared" ref="CH192:CH199" si="139">-CC192+K192</f>
        <v>0</v>
      </c>
      <c r="CL192" s="976">
        <v>349586.43</v>
      </c>
      <c r="CM192" s="976">
        <f t="shared" si="118"/>
        <v>347911</v>
      </c>
    </row>
    <row r="193" spans="1:91" s="1032" customFormat="1" ht="12.75" customHeight="1" outlineLevel="1">
      <c r="A193" s="996"/>
      <c r="B193" s="1015"/>
      <c r="C193" s="1078"/>
      <c r="D193" s="1078" t="s">
        <v>734</v>
      </c>
      <c r="E193" s="1017"/>
      <c r="F193" s="1023"/>
      <c r="G193" s="1023">
        <v>923</v>
      </c>
      <c r="H193" s="1023"/>
      <c r="I193" s="1023">
        <v>923</v>
      </c>
      <c r="J193" s="1033" t="s">
        <v>736</v>
      </c>
      <c r="K193" s="1034">
        <v>923</v>
      </c>
      <c r="L193" s="1035" t="s">
        <v>381</v>
      </c>
      <c r="M193" s="1036"/>
      <c r="N193" s="1023"/>
      <c r="O193" s="1024"/>
      <c r="P193" s="1024"/>
      <c r="Q193" s="1024"/>
      <c r="R193" s="1024"/>
      <c r="S193" s="1024"/>
      <c r="T193" s="1024"/>
      <c r="U193" s="1024"/>
      <c r="V193" s="1024"/>
      <c r="W193" s="1024"/>
      <c r="X193" s="1024"/>
      <c r="Y193" s="1024">
        <v>0</v>
      </c>
      <c r="Z193" s="1025">
        <f>SUM(N193:Y193)</f>
        <v>0</v>
      </c>
      <c r="AA193" s="1026"/>
      <c r="AB193" s="1027">
        <v>0</v>
      </c>
      <c r="AC193" s="1027">
        <v>0</v>
      </c>
      <c r="AD193" s="1027">
        <v>0</v>
      </c>
      <c r="AE193" s="1027">
        <v>0</v>
      </c>
      <c r="AF193" s="1027">
        <v>0</v>
      </c>
      <c r="AG193" s="1027"/>
      <c r="AH193" s="1028"/>
      <c r="AI193" s="1028"/>
      <c r="AJ193" s="1028"/>
      <c r="AK193" s="1028"/>
      <c r="AL193" s="1028"/>
      <c r="AM193" s="1025">
        <f>SUM(AA193:AL193)</f>
        <v>0</v>
      </c>
      <c r="AN193" s="1024"/>
      <c r="AO193" s="1024"/>
      <c r="AP193" s="1024">
        <v>923</v>
      </c>
      <c r="AQ193" s="1024"/>
      <c r="AR193" s="1024"/>
      <c r="AS193" s="1024"/>
      <c r="AT193" s="1024"/>
      <c r="AU193" s="1024"/>
      <c r="AV193" s="1024"/>
      <c r="AW193" s="1024"/>
      <c r="AX193" s="1024"/>
      <c r="AY193" s="1024"/>
      <c r="AZ193" s="1024">
        <f>SUM(AN193:AY193)</f>
        <v>923</v>
      </c>
      <c r="BA193" s="1024"/>
      <c r="BB193" s="1024"/>
      <c r="BC193" s="1024"/>
      <c r="BD193" s="1024"/>
      <c r="BE193" s="1024"/>
      <c r="BF193" s="1024"/>
      <c r="BG193" s="1024"/>
      <c r="BH193" s="1024"/>
      <c r="BI193" s="1024"/>
      <c r="BJ193" s="1024"/>
      <c r="BK193" s="1024"/>
      <c r="BL193" s="1024"/>
      <c r="BM193" s="1024">
        <f>SUM(BA193:BL193)</f>
        <v>0</v>
      </c>
      <c r="BN193" s="1024"/>
      <c r="BO193" s="1024"/>
      <c r="BP193" s="1024"/>
      <c r="BQ193" s="1024"/>
      <c r="BR193" s="1024"/>
      <c r="BS193" s="1024"/>
      <c r="BT193" s="1024"/>
      <c r="BU193" s="1024"/>
      <c r="BV193" s="1024"/>
      <c r="BW193" s="1024"/>
      <c r="BX193" s="1024"/>
      <c r="BY193" s="1024"/>
      <c r="BZ193" s="1029">
        <f>SUM(BN193:BY193)</f>
        <v>0</v>
      </c>
      <c r="CA193" s="1030">
        <f>SUMIF(($M$1:$BZ$1),"Actual",(M193:BZ193))</f>
        <v>923</v>
      </c>
      <c r="CB193" s="1024">
        <f>SUMIF(($M$1:$BZ$1),"Forecast",(M193:BZ193))</f>
        <v>0</v>
      </c>
      <c r="CC193" s="1036">
        <f>+CA193+CB193</f>
        <v>923</v>
      </c>
      <c r="CD193" s="1023">
        <f>+CC193-I193</f>
        <v>0</v>
      </c>
      <c r="CE193" s="1023">
        <v>923</v>
      </c>
      <c r="CF193" s="1023">
        <f>+CC193-CE193</f>
        <v>0</v>
      </c>
      <c r="CG193" s="1029"/>
      <c r="CH193" s="972">
        <f t="shared" si="139"/>
        <v>0</v>
      </c>
      <c r="CL193" s="976">
        <v>923</v>
      </c>
      <c r="CM193" s="976">
        <f t="shared" ref="CM193:CM197" si="140">+CL193-CC193</f>
        <v>0</v>
      </c>
    </row>
    <row r="194" spans="1:91" s="1032" customFormat="1" ht="12.75" customHeight="1" outlineLevel="1">
      <c r="A194" s="996"/>
      <c r="B194" s="1015"/>
      <c r="C194" s="1078"/>
      <c r="D194" s="1078" t="s">
        <v>734</v>
      </c>
      <c r="E194" s="1017"/>
      <c r="F194" s="1023"/>
      <c r="G194" s="1023"/>
      <c r="H194" s="1023"/>
      <c r="I194" s="1023"/>
      <c r="J194" s="1123"/>
      <c r="K194" s="1124"/>
      <c r="L194" s="1125"/>
      <c r="M194" s="1036"/>
      <c r="N194" s="1023"/>
      <c r="O194" s="1024"/>
      <c r="P194" s="1024"/>
      <c r="Q194" s="1024"/>
      <c r="R194" s="1024"/>
      <c r="S194" s="1024"/>
      <c r="T194" s="1024"/>
      <c r="U194" s="1024"/>
      <c r="V194" s="1024"/>
      <c r="W194" s="1024"/>
      <c r="X194" s="1024"/>
      <c r="Y194" s="1024">
        <v>0</v>
      </c>
      <c r="Z194" s="1025">
        <f>SUM(N194:Y194)</f>
        <v>0</v>
      </c>
      <c r="AA194" s="1026"/>
      <c r="AB194" s="1027">
        <v>0</v>
      </c>
      <c r="AC194" s="1027">
        <v>0</v>
      </c>
      <c r="AD194" s="1027">
        <v>0</v>
      </c>
      <c r="AE194" s="1027">
        <v>0</v>
      </c>
      <c r="AF194" s="1027">
        <v>0</v>
      </c>
      <c r="AG194" s="1027"/>
      <c r="AH194" s="1028"/>
      <c r="AI194" s="1028"/>
      <c r="AJ194" s="1028"/>
      <c r="AK194" s="1028"/>
      <c r="AL194" s="1028"/>
      <c r="AM194" s="1025">
        <f>SUM(AA194:AL194)</f>
        <v>0</v>
      </c>
      <c r="AN194" s="1024"/>
      <c r="AO194" s="1024"/>
      <c r="AP194" s="1024"/>
      <c r="AQ194" s="1024"/>
      <c r="AR194" s="1024"/>
      <c r="AS194" s="1024"/>
      <c r="AT194" s="1024"/>
      <c r="AU194" s="1024"/>
      <c r="AV194" s="1024"/>
      <c r="AW194" s="1024"/>
      <c r="AX194" s="1024"/>
      <c r="AY194" s="1024"/>
      <c r="AZ194" s="1024">
        <f>SUM(AN194:AY194)</f>
        <v>0</v>
      </c>
      <c r="BA194" s="1024"/>
      <c r="BB194" s="1024"/>
      <c r="BC194" s="1024"/>
      <c r="BD194" s="1024"/>
      <c r="BE194" s="1024"/>
      <c r="BF194" s="1024"/>
      <c r="BG194" s="1024"/>
      <c r="BH194" s="1024"/>
      <c r="BI194" s="1024"/>
      <c r="BJ194" s="1024"/>
      <c r="BK194" s="1024"/>
      <c r="BL194" s="1024"/>
      <c r="BM194" s="1024">
        <f>SUM(BA194:BL194)</f>
        <v>0</v>
      </c>
      <c r="BN194" s="1024"/>
      <c r="BO194" s="1024"/>
      <c r="BP194" s="1024"/>
      <c r="BQ194" s="1024"/>
      <c r="BR194" s="1024"/>
      <c r="BS194" s="1024"/>
      <c r="BT194" s="1024"/>
      <c r="BU194" s="1024"/>
      <c r="BV194" s="1024"/>
      <c r="BW194" s="1024"/>
      <c r="BX194" s="1024"/>
      <c r="BY194" s="1024"/>
      <c r="BZ194" s="1029">
        <f>SUM(BN194:BY194)</f>
        <v>0</v>
      </c>
      <c r="CA194" s="1030">
        <f>SUMIF(($M$1:$BZ$1),"Actual",(M194:BZ194))</f>
        <v>0</v>
      </c>
      <c r="CB194" s="1024">
        <f>SUMIF(($M$1:$BZ$1),"Forecast",(M194:BZ194))</f>
        <v>0</v>
      </c>
      <c r="CC194" s="1036">
        <f>+CA194+CB194</f>
        <v>0</v>
      </c>
      <c r="CD194" s="1023">
        <f>+CC194-I194</f>
        <v>0</v>
      </c>
      <c r="CE194" s="1023">
        <v>0</v>
      </c>
      <c r="CF194" s="1023">
        <f>+CC194-CE194</f>
        <v>0</v>
      </c>
      <c r="CG194" s="1029"/>
      <c r="CH194" s="972">
        <f t="shared" si="139"/>
        <v>0</v>
      </c>
      <c r="CL194" s="976">
        <v>923</v>
      </c>
      <c r="CM194" s="976">
        <f t="shared" si="140"/>
        <v>923</v>
      </c>
    </row>
    <row r="195" spans="1:91" s="1032" customFormat="1" ht="12.75" customHeight="1" outlineLevel="1">
      <c r="A195" s="996"/>
      <c r="B195" s="1015"/>
      <c r="C195" s="1078"/>
      <c r="D195" s="1078" t="s">
        <v>737</v>
      </c>
      <c r="E195" s="1017"/>
      <c r="F195" s="1023"/>
      <c r="G195" s="1023">
        <v>566.84</v>
      </c>
      <c r="H195" s="1023"/>
      <c r="I195" s="1023">
        <v>566.84</v>
      </c>
      <c r="J195" s="1033">
        <v>4600003511</v>
      </c>
      <c r="K195" s="1034">
        <v>295000</v>
      </c>
      <c r="L195" s="1035" t="s">
        <v>314</v>
      </c>
      <c r="M195" s="1036"/>
      <c r="N195" s="1023">
        <v>0</v>
      </c>
      <c r="O195" s="1024">
        <v>0</v>
      </c>
      <c r="P195" s="1024">
        <v>0</v>
      </c>
      <c r="Q195" s="1024">
        <v>0</v>
      </c>
      <c r="R195" s="1024">
        <v>0</v>
      </c>
      <c r="S195" s="1024">
        <v>0</v>
      </c>
      <c r="T195" s="1024">
        <v>0</v>
      </c>
      <c r="U195" s="1024">
        <v>0</v>
      </c>
      <c r="V195" s="1024">
        <v>0</v>
      </c>
      <c r="W195" s="1024">
        <v>0</v>
      </c>
      <c r="X195" s="1024">
        <v>0</v>
      </c>
      <c r="Y195" s="1024">
        <v>0</v>
      </c>
      <c r="Z195" s="1025">
        <f>SUM(N195:Y195)</f>
        <v>0</v>
      </c>
      <c r="AA195" s="1026">
        <v>0</v>
      </c>
      <c r="AB195" s="1027">
        <v>0</v>
      </c>
      <c r="AC195" s="1027">
        <v>0</v>
      </c>
      <c r="AD195" s="1027">
        <v>0</v>
      </c>
      <c r="AE195" s="1027">
        <v>0</v>
      </c>
      <c r="AF195" s="1027">
        <v>0</v>
      </c>
      <c r="AG195" s="1027">
        <v>0</v>
      </c>
      <c r="AH195" s="1028">
        <v>0</v>
      </c>
      <c r="AI195" s="1028">
        <v>0</v>
      </c>
      <c r="AJ195" s="1028">
        <v>0</v>
      </c>
      <c r="AK195" s="1028">
        <v>0</v>
      </c>
      <c r="AL195" s="1028">
        <v>0</v>
      </c>
      <c r="AM195" s="1025">
        <f>SUM(AA195:AL195)</f>
        <v>0</v>
      </c>
      <c r="AN195" s="1024"/>
      <c r="AO195" s="1024"/>
      <c r="AP195" s="1024">
        <v>566.84</v>
      </c>
      <c r="AQ195" s="1024"/>
      <c r="AR195" s="1024"/>
      <c r="AS195" s="1024"/>
      <c r="AT195" s="1024"/>
      <c r="AU195" s="1024"/>
      <c r="AV195" s="1024"/>
      <c r="AW195" s="1024"/>
      <c r="AX195" s="1024"/>
      <c r="AY195" s="1024"/>
      <c r="AZ195" s="1024">
        <f>SUM(AN195:AY195)</f>
        <v>566.84</v>
      </c>
      <c r="BA195" s="1024"/>
      <c r="BB195" s="1024"/>
      <c r="BC195" s="1024"/>
      <c r="BD195" s="1024"/>
      <c r="BE195" s="1024"/>
      <c r="BF195" s="1024"/>
      <c r="BG195" s="1024"/>
      <c r="BH195" s="1024"/>
      <c r="BI195" s="1024"/>
      <c r="BJ195" s="1024"/>
      <c r="BK195" s="1024"/>
      <c r="BL195" s="1024"/>
      <c r="BM195" s="1024">
        <f>SUM(BA195:BL195)</f>
        <v>0</v>
      </c>
      <c r="BN195" s="1024"/>
      <c r="BO195" s="1024"/>
      <c r="BP195" s="1024"/>
      <c r="BQ195" s="1024"/>
      <c r="BR195" s="1024"/>
      <c r="BS195" s="1024"/>
      <c r="BT195" s="1024"/>
      <c r="BU195" s="1024"/>
      <c r="BV195" s="1024"/>
      <c r="BW195" s="1024"/>
      <c r="BX195" s="1024"/>
      <c r="BY195" s="1024"/>
      <c r="BZ195" s="1029">
        <f>SUM(BN195:BY195)</f>
        <v>0</v>
      </c>
      <c r="CA195" s="1030">
        <f>SUMIF(($M$1:$BZ$1),"Actual",(M195:BZ195))</f>
        <v>566.84</v>
      </c>
      <c r="CB195" s="1024">
        <f>SUMIF(($M$1:$BZ$1),"Forecast",(M195:BZ195))</f>
        <v>0</v>
      </c>
      <c r="CC195" s="1036">
        <f>+CA195+CB195</f>
        <v>566.84</v>
      </c>
      <c r="CD195" s="1023">
        <f>+CC195-I195</f>
        <v>0</v>
      </c>
      <c r="CE195" s="1023">
        <v>566.84</v>
      </c>
      <c r="CF195" s="1023">
        <f>+CC195-CE195</f>
        <v>0</v>
      </c>
      <c r="CG195" s="1029"/>
      <c r="CH195" s="972">
        <f t="shared" si="139"/>
        <v>294433.15999999997</v>
      </c>
      <c r="CL195" s="976">
        <v>566.84</v>
      </c>
      <c r="CM195" s="976">
        <f t="shared" si="140"/>
        <v>0</v>
      </c>
    </row>
    <row r="196" spans="1:91" s="1032" customFormat="1" ht="12.75" customHeight="1" outlineLevel="1">
      <c r="A196" s="996"/>
      <c r="B196" s="1015"/>
      <c r="C196" s="1078"/>
      <c r="D196" s="1078" t="s">
        <v>738</v>
      </c>
      <c r="E196" s="1017"/>
      <c r="F196" s="1023"/>
      <c r="G196" s="1023">
        <v>2924</v>
      </c>
      <c r="H196" s="1023"/>
      <c r="I196" s="1023">
        <v>2924</v>
      </c>
      <c r="J196" s="1033">
        <v>6400002926</v>
      </c>
      <c r="K196" s="1034">
        <v>5000</v>
      </c>
      <c r="L196" s="1035" t="s">
        <v>326</v>
      </c>
      <c r="M196" s="1036"/>
      <c r="N196" s="1023">
        <v>0</v>
      </c>
      <c r="O196" s="1024">
        <v>0</v>
      </c>
      <c r="P196" s="1024">
        <v>0</v>
      </c>
      <c r="Q196" s="1024">
        <v>0</v>
      </c>
      <c r="R196" s="1024">
        <v>0</v>
      </c>
      <c r="S196" s="1024">
        <v>0</v>
      </c>
      <c r="T196" s="1024">
        <v>0</v>
      </c>
      <c r="U196" s="1024">
        <v>0</v>
      </c>
      <c r="V196" s="1024">
        <v>0</v>
      </c>
      <c r="W196" s="1024">
        <v>0</v>
      </c>
      <c r="X196" s="1024">
        <v>0</v>
      </c>
      <c r="Y196" s="1024">
        <v>0</v>
      </c>
      <c r="Z196" s="1025">
        <f>SUM(N196:Y196)</f>
        <v>0</v>
      </c>
      <c r="AA196" s="1026">
        <v>0</v>
      </c>
      <c r="AB196" s="1027">
        <v>0</v>
      </c>
      <c r="AC196" s="1027">
        <v>0</v>
      </c>
      <c r="AD196" s="1027">
        <v>0</v>
      </c>
      <c r="AE196" s="1027">
        <v>0</v>
      </c>
      <c r="AF196" s="1027">
        <v>0</v>
      </c>
      <c r="AG196" s="1027">
        <v>0</v>
      </c>
      <c r="AH196" s="1028">
        <v>0</v>
      </c>
      <c r="AI196" s="1028">
        <v>0</v>
      </c>
      <c r="AJ196" s="1028">
        <v>0</v>
      </c>
      <c r="AK196" s="1028">
        <v>0</v>
      </c>
      <c r="AL196" s="1028">
        <v>0</v>
      </c>
      <c r="AM196" s="1025">
        <f>SUM(AA196:AL196)</f>
        <v>0</v>
      </c>
      <c r="AN196" s="1024"/>
      <c r="AO196" s="1024">
        <v>2924</v>
      </c>
      <c r="AP196" s="1024"/>
      <c r="AQ196" s="1024"/>
      <c r="AR196" s="1024"/>
      <c r="AS196" s="1024"/>
      <c r="AT196" s="1024"/>
      <c r="AU196" s="1024"/>
      <c r="AV196" s="1024"/>
      <c r="AW196" s="1024"/>
      <c r="AX196" s="1024"/>
      <c r="AY196" s="1024"/>
      <c r="AZ196" s="1024">
        <f>SUM(AN196:AY196)</f>
        <v>2924</v>
      </c>
      <c r="BA196" s="1024"/>
      <c r="BB196" s="1024"/>
      <c r="BC196" s="1024"/>
      <c r="BD196" s="1024"/>
      <c r="BE196" s="1024"/>
      <c r="BF196" s="1024"/>
      <c r="BG196" s="1024"/>
      <c r="BH196" s="1024"/>
      <c r="BI196" s="1024"/>
      <c r="BJ196" s="1024"/>
      <c r="BK196" s="1024"/>
      <c r="BL196" s="1024"/>
      <c r="BM196" s="1024">
        <f>SUM(BA196:BL196)</f>
        <v>0</v>
      </c>
      <c r="BN196" s="1024"/>
      <c r="BO196" s="1024"/>
      <c r="BP196" s="1024"/>
      <c r="BQ196" s="1024"/>
      <c r="BR196" s="1024"/>
      <c r="BS196" s="1024"/>
      <c r="BT196" s="1024"/>
      <c r="BU196" s="1024"/>
      <c r="BV196" s="1024"/>
      <c r="BW196" s="1024"/>
      <c r="BX196" s="1024"/>
      <c r="BY196" s="1024"/>
      <c r="BZ196" s="1029">
        <f>SUM(BN196:BY196)</f>
        <v>0</v>
      </c>
      <c r="CA196" s="1030">
        <f>SUMIF(($M$1:$BZ$1),"Actual",(M196:BZ196))</f>
        <v>2924</v>
      </c>
      <c r="CB196" s="1024">
        <f>SUMIF(($M$1:$BZ$1),"Forecast",(M196:BZ196))</f>
        <v>0</v>
      </c>
      <c r="CC196" s="1036">
        <f>+CA196+CB196</f>
        <v>2924</v>
      </c>
      <c r="CD196" s="1023">
        <f>+CC196-I196</f>
        <v>0</v>
      </c>
      <c r="CE196" s="1023">
        <v>2924</v>
      </c>
      <c r="CF196" s="1023">
        <f>+CC196-CE196</f>
        <v>0</v>
      </c>
      <c r="CG196" s="1029"/>
      <c r="CH196" s="972">
        <f t="shared" si="139"/>
        <v>2076</v>
      </c>
      <c r="CL196" s="976">
        <v>2924</v>
      </c>
      <c r="CM196" s="976">
        <f t="shared" si="140"/>
        <v>0</v>
      </c>
    </row>
    <row r="197" spans="1:91" s="1032" customFormat="1" ht="12.75" customHeight="1" outlineLevel="1">
      <c r="A197" s="996"/>
      <c r="B197" s="1015"/>
      <c r="C197" s="1078"/>
      <c r="D197" s="1126" t="s">
        <v>738</v>
      </c>
      <c r="E197" s="1127"/>
      <c r="F197" s="1128"/>
      <c r="G197" s="1128">
        <f>SUBTOTAL(9,G198:G199)</f>
        <v>85992.5</v>
      </c>
      <c r="H197" s="1128">
        <f>SUBTOTAL(9,H198:H199)</f>
        <v>0</v>
      </c>
      <c r="I197" s="1128">
        <f>SUBTOTAL(9,I198:I199)</f>
        <v>85992.5</v>
      </c>
      <c r="J197" s="1129">
        <v>6400004008</v>
      </c>
      <c r="K197" s="1130">
        <f>SUBTOTAL(9,K198:K199)</f>
        <v>215000</v>
      </c>
      <c r="L197" s="1131" t="s">
        <v>310</v>
      </c>
      <c r="M197" s="1132">
        <f t="shared" ref="M197:AR197" si="141">SUBTOTAL(9,M198:M199)</f>
        <v>0</v>
      </c>
      <c r="N197" s="1128">
        <f t="shared" si="141"/>
        <v>0</v>
      </c>
      <c r="O197" s="1133">
        <f t="shared" si="141"/>
        <v>0</v>
      </c>
      <c r="P197" s="1133">
        <f t="shared" si="141"/>
        <v>0</v>
      </c>
      <c r="Q197" s="1133">
        <f t="shared" si="141"/>
        <v>0</v>
      </c>
      <c r="R197" s="1133">
        <f t="shared" si="141"/>
        <v>0</v>
      </c>
      <c r="S197" s="1133">
        <f t="shared" si="141"/>
        <v>0</v>
      </c>
      <c r="T197" s="1133">
        <f t="shared" si="141"/>
        <v>0</v>
      </c>
      <c r="U197" s="1133">
        <f t="shared" si="141"/>
        <v>0</v>
      </c>
      <c r="V197" s="1133">
        <f t="shared" si="141"/>
        <v>0</v>
      </c>
      <c r="W197" s="1133">
        <f t="shared" si="141"/>
        <v>0</v>
      </c>
      <c r="X197" s="1133">
        <f t="shared" si="141"/>
        <v>0</v>
      </c>
      <c r="Y197" s="1133">
        <f t="shared" si="141"/>
        <v>0</v>
      </c>
      <c r="Z197" s="1134">
        <f t="shared" si="141"/>
        <v>0</v>
      </c>
      <c r="AA197" s="1135">
        <f t="shared" si="141"/>
        <v>0</v>
      </c>
      <c r="AB197" s="1136">
        <f t="shared" si="141"/>
        <v>0</v>
      </c>
      <c r="AC197" s="1136">
        <f t="shared" si="141"/>
        <v>0</v>
      </c>
      <c r="AD197" s="1136">
        <f t="shared" si="141"/>
        <v>0</v>
      </c>
      <c r="AE197" s="1136">
        <f t="shared" si="141"/>
        <v>0</v>
      </c>
      <c r="AF197" s="1136">
        <f t="shared" si="141"/>
        <v>0</v>
      </c>
      <c r="AG197" s="1136">
        <f t="shared" si="141"/>
        <v>0</v>
      </c>
      <c r="AH197" s="1137">
        <f t="shared" si="141"/>
        <v>0</v>
      </c>
      <c r="AI197" s="1137">
        <f t="shared" si="141"/>
        <v>0</v>
      </c>
      <c r="AJ197" s="1137">
        <f t="shared" si="141"/>
        <v>0</v>
      </c>
      <c r="AK197" s="1137">
        <f t="shared" si="141"/>
        <v>0</v>
      </c>
      <c r="AL197" s="1137">
        <f t="shared" si="141"/>
        <v>0</v>
      </c>
      <c r="AM197" s="1134">
        <f t="shared" si="141"/>
        <v>0</v>
      </c>
      <c r="AN197" s="1133">
        <f t="shared" si="141"/>
        <v>0</v>
      </c>
      <c r="AO197" s="1133">
        <f t="shared" si="141"/>
        <v>0</v>
      </c>
      <c r="AP197" s="1133">
        <f t="shared" si="141"/>
        <v>0</v>
      </c>
      <c r="AQ197" s="1133">
        <f t="shared" si="141"/>
        <v>0</v>
      </c>
      <c r="AR197" s="1133">
        <f t="shared" si="141"/>
        <v>0</v>
      </c>
      <c r="AS197" s="1133">
        <f t="shared" ref="AS197:BX197" si="142">SUBTOTAL(9,AS198:AS199)</f>
        <v>0</v>
      </c>
      <c r="AT197" s="1133">
        <f t="shared" si="142"/>
        <v>0</v>
      </c>
      <c r="AU197" s="1133">
        <f t="shared" si="142"/>
        <v>6379.5</v>
      </c>
      <c r="AV197" s="1133">
        <f t="shared" si="142"/>
        <v>14866</v>
      </c>
      <c r="AW197" s="1133">
        <f t="shared" si="142"/>
        <v>19752.25</v>
      </c>
      <c r="AX197" s="1133">
        <f t="shared" si="142"/>
        <v>0</v>
      </c>
      <c r="AY197" s="1138">
        <f t="shared" si="142"/>
        <v>-9613</v>
      </c>
      <c r="AZ197" s="1133">
        <f t="shared" si="142"/>
        <v>31384.75</v>
      </c>
      <c r="BA197" s="1133">
        <f t="shared" si="142"/>
        <v>14944.91</v>
      </c>
      <c r="BB197" s="1133">
        <f t="shared" si="142"/>
        <v>26047.23</v>
      </c>
      <c r="BC197" s="1133">
        <f t="shared" si="142"/>
        <v>7999</v>
      </c>
      <c r="BD197" s="1133">
        <f t="shared" si="142"/>
        <v>23257.18</v>
      </c>
      <c r="BE197" s="1133">
        <f t="shared" si="142"/>
        <v>30646.5</v>
      </c>
      <c r="BF197" s="1133">
        <f t="shared" si="142"/>
        <v>8180</v>
      </c>
      <c r="BG197" s="1133">
        <f t="shared" si="142"/>
        <v>9449.5</v>
      </c>
      <c r="BH197" s="1133">
        <f t="shared" si="142"/>
        <v>10757.25</v>
      </c>
      <c r="BI197" s="1133">
        <f t="shared" si="142"/>
        <v>10140</v>
      </c>
      <c r="BJ197" s="1133">
        <f t="shared" si="142"/>
        <v>10966.5</v>
      </c>
      <c r="BK197" s="1133">
        <f t="shared" si="142"/>
        <v>0</v>
      </c>
      <c r="BL197" s="1133">
        <f t="shared" si="142"/>
        <v>16155</v>
      </c>
      <c r="BM197" s="1133">
        <f t="shared" si="142"/>
        <v>168543.07</v>
      </c>
      <c r="BN197" s="1133">
        <f t="shared" si="142"/>
        <v>0</v>
      </c>
      <c r="BO197" s="1133">
        <f t="shared" si="142"/>
        <v>17165</v>
      </c>
      <c r="BP197" s="1133">
        <f t="shared" si="142"/>
        <v>0</v>
      </c>
      <c r="BQ197" s="1133">
        <f t="shared" si="142"/>
        <v>10570</v>
      </c>
      <c r="BR197" s="1133">
        <f t="shared" si="142"/>
        <v>0</v>
      </c>
      <c r="BS197" s="1133">
        <f t="shared" si="142"/>
        <v>0</v>
      </c>
      <c r="BT197" s="1133">
        <f t="shared" si="142"/>
        <v>0</v>
      </c>
      <c r="BU197" s="1133">
        <f t="shared" si="142"/>
        <v>0</v>
      </c>
      <c r="BV197" s="1133">
        <f t="shared" si="142"/>
        <v>0</v>
      </c>
      <c r="BW197" s="1133">
        <f t="shared" si="142"/>
        <v>0</v>
      </c>
      <c r="BX197" s="1133">
        <f t="shared" si="142"/>
        <v>0</v>
      </c>
      <c r="BY197" s="1133">
        <f t="shared" ref="BY197:CF197" si="143">SUBTOTAL(9,BY198:BY199)</f>
        <v>0</v>
      </c>
      <c r="BZ197" s="1139">
        <f t="shared" si="143"/>
        <v>27735</v>
      </c>
      <c r="CA197" s="1140">
        <f t="shared" si="143"/>
        <v>227662.82</v>
      </c>
      <c r="CB197" s="1133">
        <f t="shared" si="143"/>
        <v>0</v>
      </c>
      <c r="CC197" s="1132">
        <f t="shared" si="143"/>
        <v>227662.82</v>
      </c>
      <c r="CD197" s="1128">
        <f t="shared" si="143"/>
        <v>141670.32</v>
      </c>
      <c r="CE197" s="1128">
        <f t="shared" si="143"/>
        <v>249927.82</v>
      </c>
      <c r="CF197" s="1128">
        <f t="shared" si="143"/>
        <v>-22265</v>
      </c>
      <c r="CG197" s="1029"/>
      <c r="CH197" s="972">
        <f t="shared" si="139"/>
        <v>-12662.820000000007</v>
      </c>
      <c r="CI197" s="1032">
        <v>90000</v>
      </c>
      <c r="CJ197" s="1032">
        <f>+CI197-CC197</f>
        <v>-137662.82</v>
      </c>
      <c r="CL197" s="976">
        <v>90000.47</v>
      </c>
      <c r="CM197" s="976">
        <f t="shared" si="140"/>
        <v>-137662.35</v>
      </c>
    </row>
    <row r="198" spans="1:91" s="1032" customFormat="1" ht="12.75" customHeight="1" outlineLevel="1">
      <c r="A198" s="996"/>
      <c r="B198" s="1015"/>
      <c r="C198" s="1078"/>
      <c r="D198" s="1141" t="s">
        <v>739</v>
      </c>
      <c r="E198" s="1017"/>
      <c r="F198" s="1023"/>
      <c r="G198" s="1023">
        <v>85992.5</v>
      </c>
      <c r="H198" s="1023"/>
      <c r="I198" s="1023">
        <v>85992.5</v>
      </c>
      <c r="J198" s="1033"/>
      <c r="K198" s="1034">
        <v>215000</v>
      </c>
      <c r="L198" s="1035"/>
      <c r="M198" s="1036"/>
      <c r="N198" s="1023">
        <v>0</v>
      </c>
      <c r="O198" s="1024">
        <v>0</v>
      </c>
      <c r="P198" s="1024">
        <v>0</v>
      </c>
      <c r="Q198" s="1024">
        <v>0</v>
      </c>
      <c r="R198" s="1024">
        <v>0</v>
      </c>
      <c r="S198" s="1024">
        <v>0</v>
      </c>
      <c r="T198" s="1024">
        <v>0</v>
      </c>
      <c r="U198" s="1024">
        <v>0</v>
      </c>
      <c r="V198" s="1024">
        <v>0</v>
      </c>
      <c r="W198" s="1024">
        <v>0</v>
      </c>
      <c r="X198" s="1024">
        <v>0</v>
      </c>
      <c r="Y198" s="1024">
        <v>0</v>
      </c>
      <c r="Z198" s="1025">
        <f t="shared" ref="Z198:Z207" si="144">SUM(N198:Y198)</f>
        <v>0</v>
      </c>
      <c r="AA198" s="1026">
        <v>0</v>
      </c>
      <c r="AB198" s="1027">
        <v>0</v>
      </c>
      <c r="AC198" s="1027">
        <v>0</v>
      </c>
      <c r="AD198" s="1027">
        <v>0</v>
      </c>
      <c r="AE198" s="1027">
        <v>0</v>
      </c>
      <c r="AF198" s="1027">
        <v>0</v>
      </c>
      <c r="AG198" s="1027">
        <v>0</v>
      </c>
      <c r="AH198" s="1028">
        <v>0</v>
      </c>
      <c r="AI198" s="1028">
        <v>0</v>
      </c>
      <c r="AJ198" s="1028">
        <v>0</v>
      </c>
      <c r="AK198" s="1028">
        <v>0</v>
      </c>
      <c r="AL198" s="1028">
        <v>0</v>
      </c>
      <c r="AM198" s="1025">
        <f t="shared" ref="AM198:AM207" si="145">SUM(AA198:AL198)</f>
        <v>0</v>
      </c>
      <c r="AN198" s="1024"/>
      <c r="AO198" s="1024"/>
      <c r="AP198" s="1024"/>
      <c r="AQ198" s="1024"/>
      <c r="AR198" s="1024"/>
      <c r="AS198" s="1024"/>
      <c r="AT198" s="1024">
        <v>0</v>
      </c>
      <c r="AU198" s="1024">
        <v>6379.5</v>
      </c>
      <c r="AV198" s="1024">
        <v>14866</v>
      </c>
      <c r="AW198" s="1024">
        <f>9613+10139.25</f>
        <v>19752.25</v>
      </c>
      <c r="AX198" s="1024"/>
      <c r="AY198" s="1076">
        <v>-9613</v>
      </c>
      <c r="AZ198" s="1024">
        <f t="shared" ref="AZ198:AZ207" si="146">SUM(AN198:AY198)</f>
        <v>31384.75</v>
      </c>
      <c r="BA198" s="1024">
        <v>14944.91</v>
      </c>
      <c r="BB198" s="1024">
        <v>26047.23</v>
      </c>
      <c r="BC198" s="1024">
        <v>7999</v>
      </c>
      <c r="BD198" s="1024">
        <f>23257.18-BD199</f>
        <v>22817.18</v>
      </c>
      <c r="BE198" s="1024">
        <f>30646.5-BE199</f>
        <v>30399.5</v>
      </c>
      <c r="BF198" s="1024">
        <v>8180</v>
      </c>
      <c r="BG198" s="1024">
        <v>9449.5</v>
      </c>
      <c r="BH198" s="1024">
        <v>10757.25</v>
      </c>
      <c r="BI198" s="1024">
        <v>10140</v>
      </c>
      <c r="BJ198" s="1024">
        <v>10966.5</v>
      </c>
      <c r="BK198" s="1024"/>
      <c r="BL198" s="1076">
        <v>16155</v>
      </c>
      <c r="BM198" s="1024">
        <f t="shared" ref="BM198:BM207" si="147">SUM(BA198:BL198)</f>
        <v>167856.07</v>
      </c>
      <c r="BN198" s="1024"/>
      <c r="BO198" s="1024">
        <f>7516+9649</f>
        <v>17165</v>
      </c>
      <c r="BP198" s="1024"/>
      <c r="BQ198" s="1093">
        <f>12684*(25/30)</f>
        <v>10570</v>
      </c>
      <c r="BR198" s="1093">
        <v>0</v>
      </c>
      <c r="BS198" s="1093">
        <v>0</v>
      </c>
      <c r="BT198" s="1093">
        <v>0</v>
      </c>
      <c r="BU198" s="1024"/>
      <c r="BV198" s="1024"/>
      <c r="BW198" s="1024"/>
      <c r="BX198" s="1024"/>
      <c r="BY198" s="1024"/>
      <c r="BZ198" s="1029">
        <f t="shared" ref="BZ198:BZ207" si="148">SUM(BN198:BY198)</f>
        <v>27735</v>
      </c>
      <c r="CA198" s="1030">
        <f t="shared" ref="CA198:CA207" si="149">SUMIF(($M$1:$BZ$1),"Actual",(M198:BZ198))</f>
        <v>226975.82</v>
      </c>
      <c r="CB198" s="1024">
        <f t="shared" ref="CB198:CB207" si="150">SUMIF(($M$1:$BZ$1),"Forecast",(M198:BZ198))</f>
        <v>0</v>
      </c>
      <c r="CC198" s="1036">
        <f t="shared" ref="CC198:CC207" si="151">+CA198+CB198</f>
        <v>226975.82</v>
      </c>
      <c r="CD198" s="1023">
        <f t="shared" ref="CD198:CD207" si="152">+CC198-I198</f>
        <v>140983.32</v>
      </c>
      <c r="CE198" s="1023">
        <v>249240.82</v>
      </c>
      <c r="CF198" s="1023">
        <f t="shared" ref="CF198:CF207" si="153">+CC198-CE198</f>
        <v>-22265</v>
      </c>
      <c r="CG198" s="1029"/>
      <c r="CH198" s="972">
        <f t="shared" si="139"/>
        <v>-11975.820000000007</v>
      </c>
      <c r="CL198" s="976"/>
      <c r="CM198" s="976"/>
    </row>
    <row r="199" spans="1:91" s="1032" customFormat="1" ht="12.75" customHeight="1" outlineLevel="1">
      <c r="A199" s="996"/>
      <c r="B199" s="1015"/>
      <c r="C199" s="1016"/>
      <c r="D199" s="1141" t="s">
        <v>740</v>
      </c>
      <c r="E199" s="1017"/>
      <c r="F199" s="1023"/>
      <c r="G199" s="1023"/>
      <c r="H199" s="1023"/>
      <c r="I199" s="1023"/>
      <c r="J199" s="1033"/>
      <c r="K199" s="1034"/>
      <c r="L199" s="1035"/>
      <c r="M199" s="1036"/>
      <c r="N199" s="1023"/>
      <c r="O199" s="1024">
        <v>0</v>
      </c>
      <c r="P199" s="1024"/>
      <c r="Q199" s="1024"/>
      <c r="R199" s="1024"/>
      <c r="S199" s="1024"/>
      <c r="T199" s="1024"/>
      <c r="U199" s="1024"/>
      <c r="V199" s="1024"/>
      <c r="W199" s="1024"/>
      <c r="X199" s="1024"/>
      <c r="Y199" s="1024"/>
      <c r="Z199" s="1025">
        <f t="shared" si="144"/>
        <v>0</v>
      </c>
      <c r="AA199" s="1026">
        <v>0</v>
      </c>
      <c r="AB199" s="1027">
        <v>0</v>
      </c>
      <c r="AC199" s="1027">
        <v>0</v>
      </c>
      <c r="AD199" s="1027">
        <v>0</v>
      </c>
      <c r="AE199" s="1027">
        <v>0</v>
      </c>
      <c r="AF199" s="1027">
        <v>0</v>
      </c>
      <c r="AG199" s="1027">
        <v>0</v>
      </c>
      <c r="AH199" s="1028">
        <v>0</v>
      </c>
      <c r="AI199" s="1028">
        <v>0</v>
      </c>
      <c r="AJ199" s="1028">
        <v>0</v>
      </c>
      <c r="AK199" s="1028">
        <v>0</v>
      </c>
      <c r="AL199" s="1028">
        <v>0</v>
      </c>
      <c r="AM199" s="1025">
        <f t="shared" si="145"/>
        <v>0</v>
      </c>
      <c r="AN199" s="1024"/>
      <c r="AO199" s="1024"/>
      <c r="AP199" s="1024"/>
      <c r="AQ199" s="1024"/>
      <c r="AR199" s="1024"/>
      <c r="AS199" s="1024"/>
      <c r="AT199" s="1024"/>
      <c r="AU199" s="1024"/>
      <c r="AV199" s="1024"/>
      <c r="AW199" s="1024"/>
      <c r="AX199" s="1024"/>
      <c r="AY199" s="1024"/>
      <c r="AZ199" s="1024">
        <f t="shared" si="146"/>
        <v>0</v>
      </c>
      <c r="BA199" s="1024"/>
      <c r="BB199" s="1024"/>
      <c r="BC199" s="1024"/>
      <c r="BD199" s="1024">
        <v>440</v>
      </c>
      <c r="BE199" s="1024">
        <f>55+192</f>
        <v>247</v>
      </c>
      <c r="BF199" s="1024"/>
      <c r="BG199" s="1024"/>
      <c r="BH199" s="1024"/>
      <c r="BI199" s="1024"/>
      <c r="BJ199" s="1024"/>
      <c r="BK199" s="1024"/>
      <c r="BL199" s="1024"/>
      <c r="BM199" s="1024">
        <f t="shared" si="147"/>
        <v>687</v>
      </c>
      <c r="BN199" s="1024"/>
      <c r="BO199" s="1024"/>
      <c r="BP199" s="1024"/>
      <c r="BQ199" s="1024"/>
      <c r="BR199" s="1024"/>
      <c r="BS199" s="1024"/>
      <c r="BT199" s="1024"/>
      <c r="BU199" s="1024"/>
      <c r="BV199" s="1024"/>
      <c r="BW199" s="1024"/>
      <c r="BX199" s="1024"/>
      <c r="BY199" s="1024"/>
      <c r="BZ199" s="1029">
        <f t="shared" si="148"/>
        <v>0</v>
      </c>
      <c r="CA199" s="1030">
        <f t="shared" si="149"/>
        <v>687</v>
      </c>
      <c r="CB199" s="1031">
        <f t="shared" si="150"/>
        <v>0</v>
      </c>
      <c r="CC199" s="1036">
        <f t="shared" si="151"/>
        <v>687</v>
      </c>
      <c r="CD199" s="1023">
        <f t="shared" si="152"/>
        <v>687</v>
      </c>
      <c r="CE199" s="1023">
        <v>687</v>
      </c>
      <c r="CF199" s="1023">
        <f t="shared" si="153"/>
        <v>0</v>
      </c>
      <c r="CG199" s="1029"/>
      <c r="CH199" s="1042">
        <f t="shared" si="139"/>
        <v>-687</v>
      </c>
      <c r="CL199" s="976">
        <v>6630.48</v>
      </c>
      <c r="CM199" s="976">
        <f t="shared" ref="CM199:CM208" si="154">+CL199-CC199</f>
        <v>5943.48</v>
      </c>
    </row>
    <row r="200" spans="1:91" s="1032" customFormat="1" outlineLevel="1">
      <c r="A200" s="1091"/>
      <c r="B200" s="1015"/>
      <c r="C200" s="1016"/>
      <c r="D200" s="1142" t="s">
        <v>741</v>
      </c>
      <c r="E200" s="1017"/>
      <c r="F200" s="1023">
        <v>1300000</v>
      </c>
      <c r="G200" s="1023">
        <v>1300000</v>
      </c>
      <c r="H200" s="1023"/>
      <c r="I200" s="1023">
        <v>1300000</v>
      </c>
      <c r="J200" s="1019"/>
      <c r="K200" s="1020">
        <v>1300000</v>
      </c>
      <c r="L200" s="1021"/>
      <c r="M200" s="1022"/>
      <c r="N200" s="1023"/>
      <c r="O200" s="1024"/>
      <c r="P200" s="1024"/>
      <c r="Q200" s="1024"/>
      <c r="R200" s="1024"/>
      <c r="S200" s="1024"/>
      <c r="T200" s="1024"/>
      <c r="U200" s="1024"/>
      <c r="V200" s="1024"/>
      <c r="W200" s="1024"/>
      <c r="X200" s="1024"/>
      <c r="Y200" s="1024"/>
      <c r="Z200" s="1025">
        <f t="shared" si="144"/>
        <v>0</v>
      </c>
      <c r="AA200" s="1026"/>
      <c r="AB200" s="1027"/>
      <c r="AC200" s="1027"/>
      <c r="AD200" s="1027"/>
      <c r="AE200" s="1027"/>
      <c r="AF200" s="1027"/>
      <c r="AG200" s="1027"/>
      <c r="AH200" s="1028"/>
      <c r="AI200" s="1028"/>
      <c r="AJ200" s="1028"/>
      <c r="AK200" s="1028"/>
      <c r="AL200" s="1028"/>
      <c r="AM200" s="1025">
        <f t="shared" si="145"/>
        <v>0</v>
      </c>
      <c r="AN200" s="1024"/>
      <c r="AO200" s="1024"/>
      <c r="AP200" s="1024"/>
      <c r="AQ200" s="1024"/>
      <c r="AR200" s="1024"/>
      <c r="AS200" s="1024"/>
      <c r="AT200" s="1024"/>
      <c r="AU200" s="1024"/>
      <c r="AV200" s="1024"/>
      <c r="AW200" s="1024"/>
      <c r="AX200" s="1024"/>
      <c r="AY200" s="1024"/>
      <c r="AZ200" s="1024">
        <f t="shared" si="146"/>
        <v>0</v>
      </c>
      <c r="BA200" s="1024"/>
      <c r="BB200" s="1024"/>
      <c r="BC200" s="1024"/>
      <c r="BD200" s="1024"/>
      <c r="BE200" s="1024"/>
      <c r="BF200" s="1024"/>
      <c r="BG200" s="1024"/>
      <c r="BH200" s="1024"/>
      <c r="BI200" s="1024"/>
      <c r="BJ200" s="1024"/>
      <c r="BK200" s="1024"/>
      <c r="BL200" s="1024">
        <v>5378.18</v>
      </c>
      <c r="BM200" s="1024">
        <f t="shared" si="147"/>
        <v>5378.18</v>
      </c>
      <c r="BN200" s="1024"/>
      <c r="BO200" s="1024"/>
      <c r="BP200" s="1024"/>
      <c r="BQ200" s="1024"/>
      <c r="BR200" s="1024"/>
      <c r="BS200" s="1093">
        <v>0</v>
      </c>
      <c r="BT200" s="1024"/>
      <c r="BU200" s="1024"/>
      <c r="BV200" s="1024"/>
      <c r="BW200" s="1024"/>
      <c r="BX200" s="1024"/>
      <c r="BY200" s="1024"/>
      <c r="BZ200" s="1029">
        <f t="shared" si="148"/>
        <v>0</v>
      </c>
      <c r="CA200" s="1030">
        <f t="shared" si="149"/>
        <v>5378.18</v>
      </c>
      <c r="CB200" s="1093">
        <f t="shared" si="150"/>
        <v>0</v>
      </c>
      <c r="CC200" s="1023">
        <f t="shared" si="151"/>
        <v>5378.18</v>
      </c>
      <c r="CD200" s="1023">
        <f t="shared" si="152"/>
        <v>-1294621.82</v>
      </c>
      <c r="CE200" s="1023">
        <v>468105.93059405946</v>
      </c>
      <c r="CF200" s="1023">
        <f t="shared" si="153"/>
        <v>-462727.75059405947</v>
      </c>
      <c r="CG200" s="1029"/>
      <c r="CH200" s="972"/>
      <c r="CL200" s="976">
        <v>1300000</v>
      </c>
      <c r="CM200" s="976">
        <f t="shared" si="154"/>
        <v>1294621.82</v>
      </c>
    </row>
    <row r="201" spans="1:91" s="1032" customFormat="1" ht="12.75" customHeight="1" outlineLevel="1">
      <c r="A201" s="996"/>
      <c r="B201" s="1015"/>
      <c r="C201" s="1016"/>
      <c r="D201" s="1143" t="s">
        <v>742</v>
      </c>
      <c r="E201" s="1017"/>
      <c r="F201" s="1023"/>
      <c r="G201" s="1023"/>
      <c r="H201" s="1023"/>
      <c r="I201" s="1023"/>
      <c r="J201" s="1033"/>
      <c r="K201" s="1034">
        <v>1300000</v>
      </c>
      <c r="L201" s="1035"/>
      <c r="M201" s="1036"/>
      <c r="N201" s="1023">
        <v>0</v>
      </c>
      <c r="O201" s="1024">
        <v>0</v>
      </c>
      <c r="P201" s="1024">
        <v>0</v>
      </c>
      <c r="Q201" s="1024">
        <v>0</v>
      </c>
      <c r="R201" s="1024">
        <v>0</v>
      </c>
      <c r="S201" s="1024">
        <v>0</v>
      </c>
      <c r="T201" s="1024">
        <v>0</v>
      </c>
      <c r="U201" s="1024">
        <v>0</v>
      </c>
      <c r="V201" s="1024">
        <v>0</v>
      </c>
      <c r="W201" s="1024">
        <v>0</v>
      </c>
      <c r="X201" s="1024">
        <v>0</v>
      </c>
      <c r="Y201" s="1024">
        <v>0</v>
      </c>
      <c r="Z201" s="1025">
        <f t="shared" si="144"/>
        <v>0</v>
      </c>
      <c r="AA201" s="1026">
        <v>0</v>
      </c>
      <c r="AB201" s="1027">
        <v>0</v>
      </c>
      <c r="AC201" s="1027">
        <v>0</v>
      </c>
      <c r="AD201" s="1027">
        <v>0</v>
      </c>
      <c r="AE201" s="1027">
        <v>0</v>
      </c>
      <c r="AF201" s="1027">
        <v>0</v>
      </c>
      <c r="AG201" s="1027">
        <v>0</v>
      </c>
      <c r="AH201" s="1028">
        <v>0</v>
      </c>
      <c r="AI201" s="1028">
        <v>0</v>
      </c>
      <c r="AJ201" s="1028">
        <v>0</v>
      </c>
      <c r="AK201" s="1028">
        <v>0</v>
      </c>
      <c r="AL201" s="1028">
        <v>0</v>
      </c>
      <c r="AM201" s="1025">
        <f t="shared" si="145"/>
        <v>0</v>
      </c>
      <c r="AN201" s="1024"/>
      <c r="AO201" s="1024"/>
      <c r="AP201" s="1024"/>
      <c r="AQ201" s="1024"/>
      <c r="AR201" s="1024"/>
      <c r="AS201" s="1024"/>
      <c r="AT201" s="1024"/>
      <c r="AU201" s="1024"/>
      <c r="AV201" s="1024"/>
      <c r="AW201" s="1024"/>
      <c r="AX201" s="1024"/>
      <c r="AY201" s="1024"/>
      <c r="AZ201" s="1024">
        <f t="shared" si="146"/>
        <v>0</v>
      </c>
      <c r="BA201" s="1024"/>
      <c r="BB201" s="1024">
        <f>2241.91-7.27</f>
        <v>2234.64</v>
      </c>
      <c r="BC201" s="1024">
        <f>12540.27-56.09</f>
        <v>12484.18</v>
      </c>
      <c r="BD201" s="1024">
        <f>7006.67-117.18</f>
        <v>6889.49</v>
      </c>
      <c r="BE201" s="1024">
        <f>3278.61-150.62</f>
        <v>3127.9900000000002</v>
      </c>
      <c r="BF201" s="1024">
        <f>4332.72-174.3</f>
        <v>4158.42</v>
      </c>
      <c r="BG201" s="1024">
        <f>11581.38-224.76</f>
        <v>11356.619999999999</v>
      </c>
      <c r="BH201" s="1024">
        <f>15925.42-312.39</f>
        <v>15613.03</v>
      </c>
      <c r="BI201" s="1024">
        <f>2709.67-366.53</f>
        <v>2343.1400000000003</v>
      </c>
      <c r="BJ201" s="1024">
        <f>4701.68-364</f>
        <v>4337.68</v>
      </c>
      <c r="BK201" s="1024">
        <f>85505.65-561.93</f>
        <v>84943.72</v>
      </c>
      <c r="BL201" s="1024">
        <f>1591.5-786.28</f>
        <v>805.22</v>
      </c>
      <c r="BM201" s="1024">
        <f t="shared" si="147"/>
        <v>148294.13</v>
      </c>
      <c r="BN201" s="1024">
        <f>13915.53-944.63</f>
        <v>12970.900000000001</v>
      </c>
      <c r="BO201" s="1024">
        <f>96630.18-1309.19</f>
        <v>95320.989999999991</v>
      </c>
      <c r="BP201" s="1024">
        <f>91682.97-1908.19</f>
        <v>89774.78</v>
      </c>
      <c r="BQ201" s="1093">
        <f>(41666.34-2314.48)*(25/30)</f>
        <v>32793.21666666666</v>
      </c>
      <c r="BR201" s="1093">
        <v>0</v>
      </c>
      <c r="BS201" s="1024"/>
      <c r="BT201" s="1024"/>
      <c r="BU201" s="1024"/>
      <c r="BV201" s="1024"/>
      <c r="BW201" s="1024"/>
      <c r="BX201" s="1024"/>
      <c r="BY201" s="1024"/>
      <c r="BZ201" s="1029">
        <f t="shared" si="148"/>
        <v>230859.88666666666</v>
      </c>
      <c r="CA201" s="1030">
        <f t="shared" si="149"/>
        <v>379154.01666666666</v>
      </c>
      <c r="CB201" s="1024">
        <f t="shared" si="150"/>
        <v>0</v>
      </c>
      <c r="CC201" s="1036">
        <f t="shared" si="151"/>
        <v>379154.01666666666</v>
      </c>
      <c r="CD201" s="1023">
        <f t="shared" si="152"/>
        <v>379154.01666666666</v>
      </c>
      <c r="CE201" s="1023">
        <v>385712.66</v>
      </c>
      <c r="CF201" s="1023">
        <f t="shared" si="153"/>
        <v>-6558.6433333333116</v>
      </c>
      <c r="CG201" s="1029"/>
      <c r="CH201" s="972">
        <f t="shared" ref="CH201:CH207" si="155">-CC201+K201</f>
        <v>920845.9833333334</v>
      </c>
      <c r="CL201" s="976">
        <v>0</v>
      </c>
      <c r="CM201" s="976">
        <f t="shared" si="154"/>
        <v>-379154.01666666666</v>
      </c>
    </row>
    <row r="202" spans="1:91" s="1032" customFormat="1" ht="12.75" customHeight="1" outlineLevel="1">
      <c r="A202" s="996"/>
      <c r="B202" s="1015"/>
      <c r="C202" s="1016"/>
      <c r="D202" s="1016" t="s">
        <v>365</v>
      </c>
      <c r="E202" s="1017"/>
      <c r="F202" s="1023"/>
      <c r="G202" s="1023">
        <v>550</v>
      </c>
      <c r="H202" s="1023"/>
      <c r="I202" s="1023">
        <v>550</v>
      </c>
      <c r="J202" s="1033"/>
      <c r="K202" s="1034">
        <v>2000</v>
      </c>
      <c r="L202" s="1035" t="s">
        <v>381</v>
      </c>
      <c r="M202" s="1036"/>
      <c r="N202" s="1023">
        <v>0</v>
      </c>
      <c r="O202" s="1024">
        <v>0</v>
      </c>
      <c r="P202" s="1024">
        <v>0</v>
      </c>
      <c r="Q202" s="1024">
        <v>0</v>
      </c>
      <c r="R202" s="1024">
        <v>0</v>
      </c>
      <c r="S202" s="1024">
        <v>0</v>
      </c>
      <c r="T202" s="1024">
        <v>0</v>
      </c>
      <c r="U202" s="1024">
        <v>0</v>
      </c>
      <c r="V202" s="1024">
        <v>0</v>
      </c>
      <c r="W202" s="1024">
        <v>0</v>
      </c>
      <c r="X202" s="1024">
        <v>0</v>
      </c>
      <c r="Y202" s="1024">
        <v>0</v>
      </c>
      <c r="Z202" s="1025">
        <f t="shared" si="144"/>
        <v>0</v>
      </c>
      <c r="AA202" s="1026">
        <v>0</v>
      </c>
      <c r="AB202" s="1027">
        <v>0</v>
      </c>
      <c r="AC202" s="1027">
        <v>0</v>
      </c>
      <c r="AD202" s="1027">
        <v>0</v>
      </c>
      <c r="AE202" s="1027">
        <v>0</v>
      </c>
      <c r="AF202" s="1027">
        <v>0</v>
      </c>
      <c r="AG202" s="1027">
        <v>0</v>
      </c>
      <c r="AH202" s="1028">
        <v>0</v>
      </c>
      <c r="AI202" s="1028">
        <v>0</v>
      </c>
      <c r="AJ202" s="1028">
        <v>0</v>
      </c>
      <c r="AK202" s="1028">
        <v>0</v>
      </c>
      <c r="AL202" s="1028">
        <v>0</v>
      </c>
      <c r="AM202" s="1025">
        <f t="shared" si="145"/>
        <v>0</v>
      </c>
      <c r="AN202" s="1024"/>
      <c r="AO202" s="1024"/>
      <c r="AP202" s="1024">
        <v>550</v>
      </c>
      <c r="AQ202" s="1024"/>
      <c r="AR202" s="1024"/>
      <c r="AS202" s="1024"/>
      <c r="AT202" s="1024"/>
      <c r="AU202" s="1024"/>
      <c r="AV202" s="1024"/>
      <c r="AW202" s="1024"/>
      <c r="AX202" s="1024"/>
      <c r="AY202" s="1024"/>
      <c r="AZ202" s="1024">
        <f t="shared" si="146"/>
        <v>550</v>
      </c>
      <c r="BA202" s="1024"/>
      <c r="BB202" s="1024"/>
      <c r="BC202" s="1024"/>
      <c r="BD202" s="1024">
        <v>540.5</v>
      </c>
      <c r="BE202" s="1024"/>
      <c r="BF202" s="1024"/>
      <c r="BG202" s="1024"/>
      <c r="BH202" s="1024"/>
      <c r="BI202" s="1024">
        <v>500</v>
      </c>
      <c r="BJ202" s="1024"/>
      <c r="BK202" s="1024"/>
      <c r="BL202" s="1024"/>
      <c r="BM202" s="1024">
        <f t="shared" si="147"/>
        <v>1040.5</v>
      </c>
      <c r="BN202" s="1024"/>
      <c r="BO202" s="1024"/>
      <c r="BP202" s="1024"/>
      <c r="BQ202" s="1024"/>
      <c r="BR202" s="1024"/>
      <c r="BS202" s="1024"/>
      <c r="BT202" s="1024"/>
      <c r="BU202" s="1024"/>
      <c r="BV202" s="1024"/>
      <c r="BW202" s="1024"/>
      <c r="BX202" s="1024"/>
      <c r="BY202" s="1024"/>
      <c r="BZ202" s="1029">
        <f t="shared" si="148"/>
        <v>0</v>
      </c>
      <c r="CA202" s="1030">
        <f t="shared" si="149"/>
        <v>1590.5</v>
      </c>
      <c r="CB202" s="1024">
        <f t="shared" si="150"/>
        <v>0</v>
      </c>
      <c r="CC202" s="1036">
        <f t="shared" si="151"/>
        <v>1590.5</v>
      </c>
      <c r="CD202" s="1023">
        <f t="shared" si="152"/>
        <v>1040.5</v>
      </c>
      <c r="CE202" s="1023">
        <v>1590.5</v>
      </c>
      <c r="CF202" s="1023">
        <f t="shared" si="153"/>
        <v>0</v>
      </c>
      <c r="CG202" s="1029"/>
      <c r="CH202" s="972">
        <f t="shared" si="155"/>
        <v>409.5</v>
      </c>
      <c r="CL202" s="976">
        <v>550</v>
      </c>
      <c r="CM202" s="976">
        <f t="shared" si="154"/>
        <v>-1040.5</v>
      </c>
    </row>
    <row r="203" spans="1:91" s="1032" customFormat="1" ht="12.75" customHeight="1" outlineLevel="1">
      <c r="A203" s="996"/>
      <c r="B203" s="1015"/>
      <c r="C203" s="1016"/>
      <c r="D203" s="1016" t="s">
        <v>743</v>
      </c>
      <c r="E203" s="1017"/>
      <c r="F203" s="1023"/>
      <c r="G203" s="1023"/>
      <c r="H203" s="1023"/>
      <c r="I203" s="1023"/>
      <c r="J203" s="1033">
        <v>4600006282</v>
      </c>
      <c r="K203" s="1034">
        <v>300000</v>
      </c>
      <c r="L203" s="1035" t="s">
        <v>310</v>
      </c>
      <c r="M203" s="1036"/>
      <c r="N203" s="1023">
        <v>0</v>
      </c>
      <c r="O203" s="1024">
        <v>0</v>
      </c>
      <c r="P203" s="1024">
        <v>0</v>
      </c>
      <c r="Q203" s="1024">
        <v>0</v>
      </c>
      <c r="R203" s="1024">
        <v>0</v>
      </c>
      <c r="S203" s="1024">
        <v>0</v>
      </c>
      <c r="T203" s="1024">
        <v>0</v>
      </c>
      <c r="U203" s="1024">
        <v>0</v>
      </c>
      <c r="V203" s="1024">
        <v>0</v>
      </c>
      <c r="W203" s="1024">
        <v>0</v>
      </c>
      <c r="X203" s="1024">
        <v>0</v>
      </c>
      <c r="Y203" s="1024">
        <v>0</v>
      </c>
      <c r="Z203" s="1025">
        <f t="shared" si="144"/>
        <v>0</v>
      </c>
      <c r="AA203" s="1026">
        <v>0</v>
      </c>
      <c r="AB203" s="1027">
        <v>0</v>
      </c>
      <c r="AC203" s="1027">
        <v>0</v>
      </c>
      <c r="AD203" s="1027">
        <v>0</v>
      </c>
      <c r="AE203" s="1027">
        <v>0</v>
      </c>
      <c r="AF203" s="1027">
        <v>0</v>
      </c>
      <c r="AG203" s="1027">
        <v>0</v>
      </c>
      <c r="AH203" s="1028">
        <v>0</v>
      </c>
      <c r="AI203" s="1028">
        <v>0</v>
      </c>
      <c r="AJ203" s="1028">
        <v>0</v>
      </c>
      <c r="AK203" s="1028">
        <v>0</v>
      </c>
      <c r="AL203" s="1028">
        <v>0</v>
      </c>
      <c r="AM203" s="1025">
        <f t="shared" si="145"/>
        <v>0</v>
      </c>
      <c r="AN203" s="1024"/>
      <c r="AO203" s="1024"/>
      <c r="AP203" s="1024"/>
      <c r="AQ203" s="1024"/>
      <c r="AR203" s="1024"/>
      <c r="AS203" s="1024"/>
      <c r="AT203" s="1024"/>
      <c r="AU203" s="1024"/>
      <c r="AV203" s="1024"/>
      <c r="AW203" s="1024"/>
      <c r="AX203" s="1024"/>
      <c r="AY203" s="1024"/>
      <c r="AZ203" s="1024">
        <f t="shared" si="146"/>
        <v>0</v>
      </c>
      <c r="BA203" s="1024"/>
      <c r="BB203" s="1024"/>
      <c r="BC203" s="1024"/>
      <c r="BD203" s="1024"/>
      <c r="BE203" s="1024"/>
      <c r="BF203" s="1024"/>
      <c r="BG203" s="1024"/>
      <c r="BH203" s="1024"/>
      <c r="BI203" s="1024"/>
      <c r="BJ203" s="1024">
        <v>69048.100000000006</v>
      </c>
      <c r="BK203" s="1024">
        <v>2695</v>
      </c>
      <c r="BL203" s="1024">
        <v>53335.12</v>
      </c>
      <c r="BM203" s="1024">
        <f t="shared" si="147"/>
        <v>125078.22</v>
      </c>
      <c r="BN203" s="1024"/>
      <c r="BO203" s="1024">
        <v>29259.56</v>
      </c>
      <c r="BP203" s="1024"/>
      <c r="BQ203" s="1093">
        <f>+(68364.2)*(25/30)</f>
        <v>56970.166666666664</v>
      </c>
      <c r="BR203" s="1024"/>
      <c r="BS203" s="1093">
        <v>0</v>
      </c>
      <c r="BT203" s="1093">
        <v>0</v>
      </c>
      <c r="BU203" s="1024"/>
      <c r="BV203" s="1024"/>
      <c r="BW203" s="1024"/>
      <c r="BX203" s="1024"/>
      <c r="BY203" s="1024"/>
      <c r="BZ203" s="1029">
        <f t="shared" si="148"/>
        <v>86229.726666666669</v>
      </c>
      <c r="CA203" s="1030">
        <f t="shared" si="149"/>
        <v>211307.94666666666</v>
      </c>
      <c r="CB203" s="1024">
        <f t="shared" si="150"/>
        <v>0</v>
      </c>
      <c r="CC203" s="1036">
        <f t="shared" si="151"/>
        <v>211307.94666666666</v>
      </c>
      <c r="CD203" s="1023">
        <f t="shared" si="152"/>
        <v>211307.94666666666</v>
      </c>
      <c r="CE203" s="1023">
        <v>269999.98</v>
      </c>
      <c r="CF203" s="1023">
        <f t="shared" si="153"/>
        <v>-58692.033333333326</v>
      </c>
      <c r="CG203" s="1029"/>
      <c r="CH203" s="972">
        <f t="shared" si="155"/>
        <v>88692.053333333344</v>
      </c>
      <c r="CL203" s="976">
        <v>0</v>
      </c>
      <c r="CM203" s="976">
        <f t="shared" si="154"/>
        <v>-211307.94666666666</v>
      </c>
    </row>
    <row r="204" spans="1:91" s="1032" customFormat="1" ht="12.75" customHeight="1" outlineLevel="1">
      <c r="A204" s="996"/>
      <c r="B204" s="1015"/>
      <c r="C204" s="1016"/>
      <c r="D204" s="1016" t="s">
        <v>744</v>
      </c>
      <c r="E204" s="1017"/>
      <c r="F204" s="1023"/>
      <c r="G204" s="1023">
        <v>2214</v>
      </c>
      <c r="H204" s="1023"/>
      <c r="I204" s="1023">
        <v>2214</v>
      </c>
      <c r="J204" s="1033">
        <v>4600005305</v>
      </c>
      <c r="K204" s="1034">
        <v>2167397</v>
      </c>
      <c r="L204" s="1035" t="s">
        <v>314</v>
      </c>
      <c r="M204" s="1036"/>
      <c r="N204" s="1023"/>
      <c r="O204" s="1024"/>
      <c r="P204" s="1024"/>
      <c r="Q204" s="1024"/>
      <c r="R204" s="1024"/>
      <c r="S204" s="1024"/>
      <c r="T204" s="1024"/>
      <c r="U204" s="1024"/>
      <c r="V204" s="1024"/>
      <c r="W204" s="1024"/>
      <c r="X204" s="1024"/>
      <c r="Y204" s="1024"/>
      <c r="Z204" s="1025">
        <f t="shared" si="144"/>
        <v>0</v>
      </c>
      <c r="AA204" s="1026">
        <v>0</v>
      </c>
      <c r="AB204" s="1027">
        <v>0</v>
      </c>
      <c r="AC204" s="1027">
        <v>0</v>
      </c>
      <c r="AD204" s="1027">
        <v>2217.38</v>
      </c>
      <c r="AE204" s="1027">
        <v>-3.38</v>
      </c>
      <c r="AF204" s="1027">
        <v>0</v>
      </c>
      <c r="AG204" s="1027">
        <v>0</v>
      </c>
      <c r="AH204" s="1028">
        <v>0</v>
      </c>
      <c r="AI204" s="1028">
        <v>0</v>
      </c>
      <c r="AJ204" s="1028">
        <v>0</v>
      </c>
      <c r="AK204" s="1028">
        <v>0</v>
      </c>
      <c r="AL204" s="1028">
        <v>0</v>
      </c>
      <c r="AM204" s="1025">
        <f t="shared" si="145"/>
        <v>2214</v>
      </c>
      <c r="AN204" s="1024"/>
      <c r="AO204" s="1024"/>
      <c r="AP204" s="1024"/>
      <c r="AQ204" s="1024"/>
      <c r="AR204" s="1024"/>
      <c r="AS204" s="1024"/>
      <c r="AT204" s="1024"/>
      <c r="AU204" s="1024"/>
      <c r="AV204" s="1024"/>
      <c r="AW204" s="1024"/>
      <c r="AX204" s="1024"/>
      <c r="AY204" s="1024"/>
      <c r="AZ204" s="1024">
        <f t="shared" si="146"/>
        <v>0</v>
      </c>
      <c r="BA204" s="1024"/>
      <c r="BB204" s="1024"/>
      <c r="BC204" s="1024"/>
      <c r="BD204" s="1024"/>
      <c r="BE204" s="1024"/>
      <c r="BF204" s="1024"/>
      <c r="BG204" s="1024"/>
      <c r="BH204" s="1024"/>
      <c r="BI204" s="1024"/>
      <c r="BJ204" s="1024"/>
      <c r="BK204" s="1024"/>
      <c r="BL204" s="1024"/>
      <c r="BM204" s="1024">
        <f t="shared" si="147"/>
        <v>0</v>
      </c>
      <c r="BN204" s="1024"/>
      <c r="BO204" s="1024"/>
      <c r="BP204" s="1024"/>
      <c r="BQ204" s="1024"/>
      <c r="BR204" s="1024"/>
      <c r="BS204" s="1024"/>
      <c r="BT204" s="1024"/>
      <c r="BU204" s="1024"/>
      <c r="BV204" s="1024"/>
      <c r="BW204" s="1024"/>
      <c r="BX204" s="1024"/>
      <c r="BY204" s="1024"/>
      <c r="BZ204" s="1029">
        <f t="shared" si="148"/>
        <v>0</v>
      </c>
      <c r="CA204" s="1030">
        <f t="shared" si="149"/>
        <v>2214</v>
      </c>
      <c r="CB204" s="1031">
        <f t="shared" si="150"/>
        <v>0</v>
      </c>
      <c r="CC204" s="1036">
        <f t="shared" si="151"/>
        <v>2214</v>
      </c>
      <c r="CD204" s="1023">
        <f t="shared" si="152"/>
        <v>0</v>
      </c>
      <c r="CE204" s="1023">
        <v>2214</v>
      </c>
      <c r="CF204" s="1023">
        <f t="shared" si="153"/>
        <v>0</v>
      </c>
      <c r="CG204" s="1029"/>
      <c r="CH204" s="1042">
        <f t="shared" si="155"/>
        <v>2165183</v>
      </c>
      <c r="CL204" s="976">
        <v>2214</v>
      </c>
      <c r="CM204" s="976">
        <f t="shared" si="154"/>
        <v>0</v>
      </c>
    </row>
    <row r="205" spans="1:91" s="1032" customFormat="1" ht="12.75" customHeight="1" outlineLevel="1">
      <c r="A205" s="996"/>
      <c r="B205" s="1015"/>
      <c r="C205" s="1016"/>
      <c r="D205" s="1016" t="s">
        <v>623</v>
      </c>
      <c r="E205" s="1017"/>
      <c r="F205" s="1023"/>
      <c r="G205" s="1023">
        <v>6630.48</v>
      </c>
      <c r="H205" s="1023"/>
      <c r="I205" s="1023">
        <v>6630.48</v>
      </c>
      <c r="J205" s="1033">
        <v>4600003776</v>
      </c>
      <c r="K205" s="1034">
        <v>1370000</v>
      </c>
      <c r="L205" s="1035" t="s">
        <v>314</v>
      </c>
      <c r="M205" s="1036"/>
      <c r="N205" s="1023">
        <v>720.72</v>
      </c>
      <c r="O205" s="1024">
        <v>0</v>
      </c>
      <c r="P205" s="1024">
        <v>559.36</v>
      </c>
      <c r="Q205" s="1024">
        <v>647.67999999999995</v>
      </c>
      <c r="R205" s="1024">
        <v>478.72</v>
      </c>
      <c r="S205" s="1024">
        <v>0</v>
      </c>
      <c r="T205" s="1024">
        <v>4224</v>
      </c>
      <c r="U205" s="1024">
        <v>0</v>
      </c>
      <c r="V205" s="1024">
        <v>0</v>
      </c>
      <c r="W205" s="1024">
        <v>0</v>
      </c>
      <c r="X205" s="1024">
        <v>0</v>
      </c>
      <c r="Y205" s="1024">
        <v>0</v>
      </c>
      <c r="Z205" s="1025">
        <f t="shared" si="144"/>
        <v>6630.48</v>
      </c>
      <c r="AA205" s="1026">
        <v>0</v>
      </c>
      <c r="AB205" s="1027">
        <v>0</v>
      </c>
      <c r="AC205" s="1027">
        <v>0</v>
      </c>
      <c r="AD205" s="1027">
        <v>0</v>
      </c>
      <c r="AE205" s="1027">
        <v>0</v>
      </c>
      <c r="AF205" s="1027">
        <v>0</v>
      </c>
      <c r="AG205" s="1027">
        <v>0</v>
      </c>
      <c r="AH205" s="1028">
        <v>0</v>
      </c>
      <c r="AI205" s="1028">
        <v>0</v>
      </c>
      <c r="AJ205" s="1028">
        <v>0</v>
      </c>
      <c r="AK205" s="1028">
        <v>0</v>
      </c>
      <c r="AL205" s="1028">
        <v>0</v>
      </c>
      <c r="AM205" s="1025">
        <f t="shared" si="145"/>
        <v>0</v>
      </c>
      <c r="AN205" s="1024"/>
      <c r="AO205" s="1024"/>
      <c r="AP205" s="1024"/>
      <c r="AQ205" s="1024"/>
      <c r="AR205" s="1024"/>
      <c r="AS205" s="1024"/>
      <c r="AT205" s="1024"/>
      <c r="AU205" s="1024"/>
      <c r="AV205" s="1024"/>
      <c r="AW205" s="1024"/>
      <c r="AX205" s="1024"/>
      <c r="AY205" s="1024"/>
      <c r="AZ205" s="1024">
        <f t="shared" si="146"/>
        <v>0</v>
      </c>
      <c r="BA205" s="1024"/>
      <c r="BB205" s="1024"/>
      <c r="BC205" s="1024"/>
      <c r="BD205" s="1024"/>
      <c r="BE205" s="1024"/>
      <c r="BF205" s="1024"/>
      <c r="BG205" s="1024"/>
      <c r="BH205" s="1024"/>
      <c r="BI205" s="1024"/>
      <c r="BJ205" s="1024"/>
      <c r="BK205" s="1024"/>
      <c r="BL205" s="1024"/>
      <c r="BM205" s="1024">
        <f t="shared" si="147"/>
        <v>0</v>
      </c>
      <c r="BN205" s="1024"/>
      <c r="BO205" s="1024"/>
      <c r="BP205" s="1024"/>
      <c r="BQ205" s="1024"/>
      <c r="BR205" s="1024"/>
      <c r="BS205" s="1024"/>
      <c r="BT205" s="1024"/>
      <c r="BU205" s="1024"/>
      <c r="BV205" s="1024"/>
      <c r="BW205" s="1024"/>
      <c r="BX205" s="1024"/>
      <c r="BY205" s="1024"/>
      <c r="BZ205" s="1029">
        <f t="shared" si="148"/>
        <v>0</v>
      </c>
      <c r="CA205" s="1030">
        <f t="shared" si="149"/>
        <v>6630.48</v>
      </c>
      <c r="CB205" s="1031">
        <f t="shared" si="150"/>
        <v>0</v>
      </c>
      <c r="CC205" s="1036">
        <f t="shared" si="151"/>
        <v>6630.48</v>
      </c>
      <c r="CD205" s="1023">
        <f t="shared" si="152"/>
        <v>0</v>
      </c>
      <c r="CE205" s="1023">
        <v>6630.48</v>
      </c>
      <c r="CF205" s="1023">
        <f t="shared" si="153"/>
        <v>0</v>
      </c>
      <c r="CG205" s="1029"/>
      <c r="CH205" s="1042">
        <f t="shared" si="155"/>
        <v>1363369.52</v>
      </c>
      <c r="CL205" s="976">
        <v>6630.48</v>
      </c>
      <c r="CM205" s="976">
        <f t="shared" si="154"/>
        <v>0</v>
      </c>
    </row>
    <row r="206" spans="1:91" s="1032" customFormat="1" ht="12.75" customHeight="1" outlineLevel="1">
      <c r="A206" s="996"/>
      <c r="B206" s="1015"/>
      <c r="C206" s="1016"/>
      <c r="D206" s="1016" t="s">
        <v>745</v>
      </c>
      <c r="E206" s="1017"/>
      <c r="F206" s="1023"/>
      <c r="G206" s="1023"/>
      <c r="H206" s="1023"/>
      <c r="I206" s="1023"/>
      <c r="J206" s="1033">
        <v>4600001411</v>
      </c>
      <c r="K206" s="1034">
        <v>1195825</v>
      </c>
      <c r="L206" s="1035" t="s">
        <v>310</v>
      </c>
      <c r="M206" s="1036"/>
      <c r="N206" s="1023"/>
      <c r="O206" s="1024"/>
      <c r="P206" s="1024"/>
      <c r="Q206" s="1024"/>
      <c r="R206" s="1024"/>
      <c r="S206" s="1024"/>
      <c r="T206" s="1024"/>
      <c r="U206" s="1024"/>
      <c r="V206" s="1024">
        <v>0</v>
      </c>
      <c r="W206" s="1024">
        <v>0</v>
      </c>
      <c r="X206" s="1024">
        <v>0</v>
      </c>
      <c r="Y206" s="1024">
        <v>0</v>
      </c>
      <c r="Z206" s="1025">
        <f t="shared" si="144"/>
        <v>0</v>
      </c>
      <c r="AA206" s="1026">
        <v>0</v>
      </c>
      <c r="AB206" s="1027">
        <v>0</v>
      </c>
      <c r="AC206" s="1027">
        <v>0</v>
      </c>
      <c r="AD206" s="1027">
        <v>0</v>
      </c>
      <c r="AE206" s="1027">
        <v>0</v>
      </c>
      <c r="AF206" s="1027">
        <v>0</v>
      </c>
      <c r="AG206" s="1027">
        <v>0</v>
      </c>
      <c r="AH206" s="1028">
        <v>0</v>
      </c>
      <c r="AI206" s="1028">
        <v>0</v>
      </c>
      <c r="AJ206" s="1028">
        <v>0</v>
      </c>
      <c r="AK206" s="1028">
        <v>0</v>
      </c>
      <c r="AL206" s="1028">
        <v>0</v>
      </c>
      <c r="AM206" s="1025">
        <f t="shared" si="145"/>
        <v>0</v>
      </c>
      <c r="AN206" s="1024"/>
      <c r="AO206" s="1024"/>
      <c r="AP206" s="1024"/>
      <c r="AQ206" s="1024"/>
      <c r="AR206" s="1024"/>
      <c r="AS206" s="1024"/>
      <c r="AT206" s="1024"/>
      <c r="AU206" s="1024"/>
      <c r="AV206" s="1024"/>
      <c r="AW206" s="1024"/>
      <c r="AX206" s="1024"/>
      <c r="AY206" s="1024">
        <v>985.86</v>
      </c>
      <c r="AZ206" s="1024">
        <f t="shared" si="146"/>
        <v>985.86</v>
      </c>
      <c r="BA206" s="1024">
        <v>-15.3</v>
      </c>
      <c r="BB206" s="1024"/>
      <c r="BC206" s="1024"/>
      <c r="BD206" s="1024"/>
      <c r="BE206" s="1024"/>
      <c r="BF206" s="1024"/>
      <c r="BG206" s="1024"/>
      <c r="BH206" s="1024"/>
      <c r="BI206" s="1024"/>
      <c r="BJ206" s="1024"/>
      <c r="BK206" s="1024"/>
      <c r="BL206" s="1024"/>
      <c r="BM206" s="1024">
        <f t="shared" si="147"/>
        <v>-15.3</v>
      </c>
      <c r="BN206" s="1024"/>
      <c r="BO206" s="1024"/>
      <c r="BP206" s="1024"/>
      <c r="BQ206" s="1024"/>
      <c r="BR206" s="1024"/>
      <c r="BS206" s="1024"/>
      <c r="BT206" s="1024"/>
      <c r="BU206" s="1024"/>
      <c r="BV206" s="1024"/>
      <c r="BW206" s="1024"/>
      <c r="BX206" s="1024"/>
      <c r="BY206" s="1024"/>
      <c r="BZ206" s="1029">
        <f t="shared" si="148"/>
        <v>0</v>
      </c>
      <c r="CA206" s="1030">
        <f t="shared" si="149"/>
        <v>970.56000000000006</v>
      </c>
      <c r="CB206" s="1031">
        <f t="shared" si="150"/>
        <v>0</v>
      </c>
      <c r="CC206" s="1036">
        <f t="shared" si="151"/>
        <v>970.56000000000006</v>
      </c>
      <c r="CD206" s="1023">
        <f t="shared" si="152"/>
        <v>970.56000000000006</v>
      </c>
      <c r="CE206" s="1023">
        <v>970.56</v>
      </c>
      <c r="CF206" s="1023">
        <f t="shared" si="153"/>
        <v>0</v>
      </c>
      <c r="CG206" s="1029"/>
      <c r="CH206" s="1042">
        <f t="shared" si="155"/>
        <v>1194854.44</v>
      </c>
      <c r="CL206" s="976">
        <v>6630.48</v>
      </c>
      <c r="CM206" s="976">
        <f t="shared" si="154"/>
        <v>5659.9199999999992</v>
      </c>
    </row>
    <row r="207" spans="1:91" s="1032" customFormat="1" ht="12.75" customHeight="1" outlineLevel="1">
      <c r="A207" s="996"/>
      <c r="B207" s="1015"/>
      <c r="C207" s="1016"/>
      <c r="D207" s="1016" t="s">
        <v>746</v>
      </c>
      <c r="E207" s="1017"/>
      <c r="F207" s="1023"/>
      <c r="G207" s="1023">
        <v>8028.94</v>
      </c>
      <c r="H207" s="1023"/>
      <c r="I207" s="1023">
        <v>8028.94</v>
      </c>
      <c r="J207" s="1033">
        <v>6400003383</v>
      </c>
      <c r="K207" s="1034">
        <v>20000</v>
      </c>
      <c r="L207" s="1035" t="s">
        <v>326</v>
      </c>
      <c r="M207" s="1036"/>
      <c r="N207" s="1023">
        <v>0</v>
      </c>
      <c r="O207" s="1024">
        <v>0</v>
      </c>
      <c r="P207" s="1024"/>
      <c r="Q207" s="1024">
        <v>0</v>
      </c>
      <c r="R207" s="1024">
        <v>0</v>
      </c>
      <c r="S207" s="1024">
        <v>0</v>
      </c>
      <c r="T207" s="1024">
        <v>0</v>
      </c>
      <c r="U207" s="1024">
        <v>0</v>
      </c>
      <c r="V207" s="1024">
        <v>0</v>
      </c>
      <c r="W207" s="1024">
        <v>0</v>
      </c>
      <c r="X207" s="1024">
        <v>0</v>
      </c>
      <c r="Y207" s="1024">
        <v>0</v>
      </c>
      <c r="Z207" s="1025">
        <f t="shared" si="144"/>
        <v>0</v>
      </c>
      <c r="AA207" s="1026">
        <v>0</v>
      </c>
      <c r="AB207" s="1027">
        <v>0</v>
      </c>
      <c r="AC207" s="1027">
        <v>0</v>
      </c>
      <c r="AD207" s="1027">
        <v>0</v>
      </c>
      <c r="AE207" s="1027">
        <v>0</v>
      </c>
      <c r="AF207" s="1027">
        <v>0</v>
      </c>
      <c r="AG207" s="1027">
        <v>0</v>
      </c>
      <c r="AH207" s="1028">
        <v>0</v>
      </c>
      <c r="AI207" s="1028">
        <v>4252.51</v>
      </c>
      <c r="AJ207" s="1028">
        <v>0</v>
      </c>
      <c r="AK207" s="1028">
        <v>0</v>
      </c>
      <c r="AL207" s="1028">
        <v>3776.43</v>
      </c>
      <c r="AM207" s="1025">
        <f t="shared" si="145"/>
        <v>8028.9400000000005</v>
      </c>
      <c r="AN207" s="1024"/>
      <c r="AO207" s="1024"/>
      <c r="AP207" s="1024"/>
      <c r="AQ207" s="1024"/>
      <c r="AR207" s="1024"/>
      <c r="AS207" s="1024"/>
      <c r="AT207" s="1024"/>
      <c r="AU207" s="1024"/>
      <c r="AV207" s="1024"/>
      <c r="AW207" s="1024"/>
      <c r="AX207" s="1024"/>
      <c r="AY207" s="1024"/>
      <c r="AZ207" s="1024">
        <f t="shared" si="146"/>
        <v>0</v>
      </c>
      <c r="BA207" s="1024"/>
      <c r="BB207" s="1024"/>
      <c r="BC207" s="1024"/>
      <c r="BD207" s="1024"/>
      <c r="BE207" s="1024"/>
      <c r="BF207" s="1024"/>
      <c r="BG207" s="1024"/>
      <c r="BH207" s="1024"/>
      <c r="BI207" s="1024"/>
      <c r="BJ207" s="1024"/>
      <c r="BK207" s="1024"/>
      <c r="BL207" s="1024"/>
      <c r="BM207" s="1024">
        <f t="shared" si="147"/>
        <v>0</v>
      </c>
      <c r="BN207" s="1024"/>
      <c r="BO207" s="1024"/>
      <c r="BP207" s="1024"/>
      <c r="BQ207" s="1024"/>
      <c r="BR207" s="1024"/>
      <c r="BS207" s="1024"/>
      <c r="BT207" s="1024"/>
      <c r="BU207" s="1024"/>
      <c r="BV207" s="1024"/>
      <c r="BW207" s="1024"/>
      <c r="BX207" s="1024"/>
      <c r="BY207" s="1024"/>
      <c r="BZ207" s="1029">
        <f t="shared" si="148"/>
        <v>0</v>
      </c>
      <c r="CA207" s="1030">
        <f t="shared" si="149"/>
        <v>8028.9400000000005</v>
      </c>
      <c r="CB207" s="1031">
        <f t="shared" si="150"/>
        <v>0</v>
      </c>
      <c r="CC207" s="1036">
        <f t="shared" si="151"/>
        <v>8028.9400000000005</v>
      </c>
      <c r="CD207" s="1023">
        <f t="shared" si="152"/>
        <v>0</v>
      </c>
      <c r="CE207" s="1023">
        <v>8028.94</v>
      </c>
      <c r="CF207" s="1023">
        <f t="shared" si="153"/>
        <v>0</v>
      </c>
      <c r="CG207" s="1029"/>
      <c r="CH207" s="972">
        <f t="shared" si="155"/>
        <v>11971.06</v>
      </c>
      <c r="CL207" s="976">
        <v>8028.94</v>
      </c>
      <c r="CM207" s="976">
        <f t="shared" si="154"/>
        <v>0</v>
      </c>
    </row>
    <row r="208" spans="1:91" s="1064" customFormat="1">
      <c r="A208" s="1087"/>
      <c r="B208" s="1046" t="s">
        <v>747</v>
      </c>
      <c r="C208" s="1047"/>
      <c r="D208" s="1047"/>
      <c r="E208" s="1048"/>
      <c r="F208" s="1054">
        <f>SUBTOTAL(9,F127:F207)</f>
        <v>49088377</v>
      </c>
      <c r="G208" s="1054">
        <f>SUBTOTAL(9,G127:G207)</f>
        <v>49873528.183021702</v>
      </c>
      <c r="H208" s="1054">
        <f>SUBTOTAL(9,H127:H207)</f>
        <v>2500000</v>
      </c>
      <c r="I208" s="1054">
        <f>SUBTOTAL(9,I127:I207)</f>
        <v>52373528.183021724</v>
      </c>
      <c r="J208" s="1050"/>
      <c r="K208" s="1051"/>
      <c r="L208" s="1052"/>
      <c r="M208" s="1053">
        <f t="shared" ref="M208:AR208" si="156">SUBTOTAL(9,M127:M207)</f>
        <v>0</v>
      </c>
      <c r="N208" s="1054">
        <f t="shared" si="156"/>
        <v>720.72</v>
      </c>
      <c r="O208" s="1055">
        <f t="shared" si="156"/>
        <v>0</v>
      </c>
      <c r="P208" s="1055">
        <f t="shared" si="156"/>
        <v>559.36</v>
      </c>
      <c r="Q208" s="1055">
        <f t="shared" si="156"/>
        <v>647.67999999999995</v>
      </c>
      <c r="R208" s="1055">
        <f t="shared" si="156"/>
        <v>478.72</v>
      </c>
      <c r="S208" s="1055">
        <f t="shared" si="156"/>
        <v>0</v>
      </c>
      <c r="T208" s="1055">
        <f t="shared" si="156"/>
        <v>4224</v>
      </c>
      <c r="U208" s="1055">
        <f t="shared" si="156"/>
        <v>0</v>
      </c>
      <c r="V208" s="1055">
        <f t="shared" si="156"/>
        <v>0</v>
      </c>
      <c r="W208" s="1055">
        <f t="shared" si="156"/>
        <v>0</v>
      </c>
      <c r="X208" s="1055">
        <f t="shared" si="156"/>
        <v>0</v>
      </c>
      <c r="Y208" s="1055">
        <f t="shared" si="156"/>
        <v>0</v>
      </c>
      <c r="Z208" s="1056">
        <f t="shared" si="156"/>
        <v>6630.48</v>
      </c>
      <c r="AA208" s="1057">
        <f t="shared" si="156"/>
        <v>0</v>
      </c>
      <c r="AB208" s="1058">
        <f t="shared" si="156"/>
        <v>0</v>
      </c>
      <c r="AC208" s="1058">
        <f t="shared" si="156"/>
        <v>0</v>
      </c>
      <c r="AD208" s="1058">
        <f t="shared" si="156"/>
        <v>2217.38</v>
      </c>
      <c r="AE208" s="1058">
        <f t="shared" si="156"/>
        <v>3253.13</v>
      </c>
      <c r="AF208" s="1058">
        <f t="shared" si="156"/>
        <v>4616</v>
      </c>
      <c r="AG208" s="1058">
        <f t="shared" si="156"/>
        <v>6266.43</v>
      </c>
      <c r="AH208" s="1059">
        <f t="shared" si="156"/>
        <v>9180.34</v>
      </c>
      <c r="AI208" s="1059">
        <f t="shared" si="156"/>
        <v>11829.08</v>
      </c>
      <c r="AJ208" s="1059">
        <f t="shared" si="156"/>
        <v>30688.850000000002</v>
      </c>
      <c r="AK208" s="1059">
        <f t="shared" si="156"/>
        <v>5395</v>
      </c>
      <c r="AL208" s="1059">
        <f t="shared" si="156"/>
        <v>1989985.54</v>
      </c>
      <c r="AM208" s="1056">
        <f t="shared" si="156"/>
        <v>2063431.75</v>
      </c>
      <c r="AN208" s="1055">
        <f t="shared" si="156"/>
        <v>21800.21</v>
      </c>
      <c r="AO208" s="1055">
        <f t="shared" si="156"/>
        <v>4883505.4800000004</v>
      </c>
      <c r="AP208" s="1055">
        <f t="shared" si="156"/>
        <v>3665386.33</v>
      </c>
      <c r="AQ208" s="1055">
        <f t="shared" si="156"/>
        <v>2811568.57</v>
      </c>
      <c r="AR208" s="1055">
        <f t="shared" si="156"/>
        <v>1789404.35</v>
      </c>
      <c r="AS208" s="1055">
        <f t="shared" ref="AS208:BX208" si="157">SUBTOTAL(9,AS127:AS207)</f>
        <v>1003220.31</v>
      </c>
      <c r="AT208" s="1055">
        <f t="shared" si="157"/>
        <v>1400000</v>
      </c>
      <c r="AU208" s="1055">
        <f t="shared" si="157"/>
        <v>50480.584000000119</v>
      </c>
      <c r="AV208" s="1055">
        <f t="shared" si="157"/>
        <v>563281.87000000011</v>
      </c>
      <c r="AW208" s="1055">
        <f t="shared" si="157"/>
        <v>832026.23400000005</v>
      </c>
      <c r="AX208" s="1055">
        <f t="shared" si="157"/>
        <v>745529.03</v>
      </c>
      <c r="AY208" s="1055">
        <f t="shared" si="157"/>
        <v>4091954.5999999996</v>
      </c>
      <c r="AZ208" s="1055">
        <f t="shared" si="157"/>
        <v>21858157.568</v>
      </c>
      <c r="BA208" s="1055">
        <f t="shared" si="157"/>
        <v>2018183.0126</v>
      </c>
      <c r="BB208" s="1055">
        <f t="shared" si="157"/>
        <v>2243897.4718000004</v>
      </c>
      <c r="BC208" s="1055">
        <f t="shared" si="157"/>
        <v>2106687.3374399999</v>
      </c>
      <c r="BD208" s="1055">
        <f t="shared" si="157"/>
        <v>3761030.8152600005</v>
      </c>
      <c r="BE208" s="1055">
        <f t="shared" si="157"/>
        <v>928115.30526000028</v>
      </c>
      <c r="BF208" s="1055">
        <f t="shared" si="157"/>
        <v>1301194.18576</v>
      </c>
      <c r="BG208" s="1055">
        <f t="shared" si="157"/>
        <v>1129747.5397000001</v>
      </c>
      <c r="BH208" s="1055">
        <f t="shared" si="157"/>
        <v>486529.3982</v>
      </c>
      <c r="BI208" s="1055">
        <f t="shared" si="157"/>
        <v>1367625.3833799998</v>
      </c>
      <c r="BJ208" s="1055">
        <f t="shared" si="157"/>
        <v>414013.80288000032</v>
      </c>
      <c r="BK208" s="1055">
        <f t="shared" si="157"/>
        <v>1321960.4709999997</v>
      </c>
      <c r="BL208" s="1055">
        <f t="shared" si="157"/>
        <v>529587.75676000013</v>
      </c>
      <c r="BM208" s="1055">
        <f t="shared" si="157"/>
        <v>17608572.480039991</v>
      </c>
      <c r="BN208" s="1055">
        <f t="shared" si="157"/>
        <v>4046285.3798599998</v>
      </c>
      <c r="BO208" s="1055">
        <f t="shared" si="157"/>
        <v>592884.46684000059</v>
      </c>
      <c r="BP208" s="1055">
        <f t="shared" si="157"/>
        <v>1392180.1954600001</v>
      </c>
      <c r="BQ208" s="1055">
        <f t="shared" si="157"/>
        <v>1300615.6862666665</v>
      </c>
      <c r="BR208" s="1055">
        <f t="shared" si="157"/>
        <v>0</v>
      </c>
      <c r="BS208" s="1055">
        <f t="shared" si="157"/>
        <v>0</v>
      </c>
      <c r="BT208" s="1055">
        <f t="shared" si="157"/>
        <v>0</v>
      </c>
      <c r="BU208" s="1055">
        <f t="shared" si="157"/>
        <v>0</v>
      </c>
      <c r="BV208" s="1055">
        <f t="shared" si="157"/>
        <v>0</v>
      </c>
      <c r="BW208" s="1055">
        <f t="shared" si="157"/>
        <v>0</v>
      </c>
      <c r="BX208" s="1055">
        <f t="shared" si="157"/>
        <v>0</v>
      </c>
      <c r="BY208" s="1055">
        <f t="shared" ref="BY208:CF208" si="158">SUBTOTAL(9,BY127:BY207)</f>
        <v>0</v>
      </c>
      <c r="BZ208" s="1060">
        <f t="shared" si="158"/>
        <v>7331965.7284266688</v>
      </c>
      <c r="CA208" s="1061">
        <f t="shared" si="158"/>
        <v>48868758.006466657</v>
      </c>
      <c r="CB208" s="1062">
        <f t="shared" si="158"/>
        <v>0</v>
      </c>
      <c r="CC208" s="1054">
        <f t="shared" si="158"/>
        <v>48868758.006466657</v>
      </c>
      <c r="CD208" s="1054">
        <f t="shared" si="158"/>
        <v>-3504770.1765550599</v>
      </c>
      <c r="CE208" s="1054">
        <f t="shared" si="158"/>
        <v>53250601.483076781</v>
      </c>
      <c r="CF208" s="1054">
        <f t="shared" si="158"/>
        <v>-4381843.4766101353</v>
      </c>
      <c r="CG208" s="1060"/>
      <c r="CH208" s="1063"/>
      <c r="CL208" s="1066">
        <f>SUBTOTAL(9,CL127:CL207)</f>
        <v>51407838.060703978</v>
      </c>
      <c r="CM208" s="1066">
        <f t="shared" si="154"/>
        <v>2539080.054237321</v>
      </c>
    </row>
    <row r="209" spans="1:91" s="1032" customFormat="1" ht="9" customHeight="1">
      <c r="A209" s="1091"/>
      <c r="B209" s="1015"/>
      <c r="C209" s="1016"/>
      <c r="D209" s="1016"/>
      <c r="E209" s="1017"/>
      <c r="F209" s="1023"/>
      <c r="G209" s="1023"/>
      <c r="H209" s="1023"/>
      <c r="I209" s="1023"/>
      <c r="J209" s="1019"/>
      <c r="K209" s="1020"/>
      <c r="L209" s="1021"/>
      <c r="M209" s="1022"/>
      <c r="N209" s="1023"/>
      <c r="O209" s="1024"/>
      <c r="P209" s="1024"/>
      <c r="Q209" s="1024"/>
      <c r="R209" s="1024"/>
      <c r="S209" s="1024"/>
      <c r="T209" s="1024"/>
      <c r="U209" s="1024"/>
      <c r="V209" s="1024"/>
      <c r="W209" s="1024"/>
      <c r="X209" s="1024"/>
      <c r="Y209" s="1024"/>
      <c r="Z209" s="1025">
        <f>SUM(N209:Y209)</f>
        <v>0</v>
      </c>
      <c r="AA209" s="1026"/>
      <c r="AB209" s="1027"/>
      <c r="AC209" s="1027"/>
      <c r="AD209" s="1027"/>
      <c r="AE209" s="1027"/>
      <c r="AF209" s="1027"/>
      <c r="AG209" s="1027"/>
      <c r="AH209" s="1028"/>
      <c r="AI209" s="1028"/>
      <c r="AJ209" s="1028"/>
      <c r="AK209" s="1028"/>
      <c r="AL209" s="1028"/>
      <c r="AM209" s="1025">
        <f>SUM(AA209:AL209)</f>
        <v>0</v>
      </c>
      <c r="AN209" s="1024"/>
      <c r="AO209" s="1024"/>
      <c r="AP209" s="1024"/>
      <c r="AQ209" s="1024"/>
      <c r="AR209" s="1024"/>
      <c r="AS209" s="1024"/>
      <c r="AT209" s="1024"/>
      <c r="AU209" s="1024"/>
      <c r="AV209" s="1024"/>
      <c r="AW209" s="1024"/>
      <c r="AX209" s="1024"/>
      <c r="AY209" s="1024"/>
      <c r="AZ209" s="1024">
        <f>SUM(AN209:AY209)</f>
        <v>0</v>
      </c>
      <c r="BA209" s="1024"/>
      <c r="BB209" s="1024"/>
      <c r="BC209" s="1024"/>
      <c r="BD209" s="1024"/>
      <c r="BE209" s="1024"/>
      <c r="BF209" s="1024"/>
      <c r="BG209" s="1024"/>
      <c r="BH209" s="1024"/>
      <c r="BI209" s="1024"/>
      <c r="BJ209" s="1024"/>
      <c r="BK209" s="1024"/>
      <c r="BL209" s="1024"/>
      <c r="BM209" s="1024">
        <f>SUM(BA209:BL209)</f>
        <v>0</v>
      </c>
      <c r="BN209" s="1024"/>
      <c r="BO209" s="1024"/>
      <c r="BP209" s="1024"/>
      <c r="BQ209" s="1024"/>
      <c r="BR209" s="1024"/>
      <c r="BS209" s="1024"/>
      <c r="BT209" s="1024"/>
      <c r="BU209" s="1024"/>
      <c r="BV209" s="1024"/>
      <c r="BW209" s="1024"/>
      <c r="BX209" s="1024"/>
      <c r="BY209" s="1024"/>
      <c r="BZ209" s="1029">
        <f>SUM(BN209:BY209)</f>
        <v>0</v>
      </c>
      <c r="CA209" s="1030">
        <f>SUMIF(($M$1:$BZ$1),"Actual",(M209:BZ209))</f>
        <v>0</v>
      </c>
      <c r="CB209" s="1031">
        <f>+CC209-CA209</f>
        <v>0</v>
      </c>
      <c r="CC209" s="1023">
        <f>+M209+Z209+AM209+AZ209+BM209+BZ209</f>
        <v>0</v>
      </c>
      <c r="CD209" s="1023">
        <f>+CC209-I209</f>
        <v>0</v>
      </c>
      <c r="CE209" s="1023">
        <f>+O209+AB209+AO209+BB209+BO209+CB209</f>
        <v>0</v>
      </c>
      <c r="CF209" s="1023">
        <f>+P209+AC209+AP209+BC209+BP209+CC209</f>
        <v>0</v>
      </c>
      <c r="CG209" s="1029"/>
      <c r="CH209" s="972"/>
      <c r="CL209" s="976"/>
      <c r="CM209" s="976"/>
    </row>
    <row r="210" spans="1:91" s="1073" customFormat="1">
      <c r="A210" s="1091"/>
      <c r="B210" s="997" t="s">
        <v>748</v>
      </c>
      <c r="C210" s="1067"/>
      <c r="D210" s="1067"/>
      <c r="E210" s="1068"/>
      <c r="F210" s="1003"/>
      <c r="G210" s="1003"/>
      <c r="H210" s="1003"/>
      <c r="I210" s="1003"/>
      <c r="J210" s="1070"/>
      <c r="K210" s="1071"/>
      <c r="L210" s="1072"/>
      <c r="M210" s="1002"/>
      <c r="N210" s="1003"/>
      <c r="O210" s="1004"/>
      <c r="P210" s="1004"/>
      <c r="Q210" s="1004"/>
      <c r="R210" s="1004"/>
      <c r="S210" s="1004"/>
      <c r="T210" s="1004"/>
      <c r="U210" s="1004"/>
      <c r="V210" s="1004"/>
      <c r="W210" s="1004"/>
      <c r="X210" s="1004"/>
      <c r="Y210" s="1004"/>
      <c r="Z210" s="1005"/>
      <c r="AA210" s="1006"/>
      <c r="AB210" s="1007"/>
      <c r="AC210" s="1007"/>
      <c r="AD210" s="1007"/>
      <c r="AE210" s="1007"/>
      <c r="AF210" s="1007"/>
      <c r="AG210" s="1007"/>
      <c r="AH210" s="1008"/>
      <c r="AI210" s="1008"/>
      <c r="AJ210" s="1008"/>
      <c r="AK210" s="1008"/>
      <c r="AL210" s="1008"/>
      <c r="AM210" s="1005"/>
      <c r="AN210" s="1004"/>
      <c r="AO210" s="1004"/>
      <c r="AP210" s="1004"/>
      <c r="AQ210" s="1004"/>
      <c r="AR210" s="1004"/>
      <c r="AS210" s="1004"/>
      <c r="AT210" s="1004"/>
      <c r="AU210" s="1004"/>
      <c r="AV210" s="1004"/>
      <c r="AW210" s="1004"/>
      <c r="AX210" s="1004"/>
      <c r="AY210" s="1004"/>
      <c r="AZ210" s="1004"/>
      <c r="BA210" s="1004"/>
      <c r="BB210" s="1004"/>
      <c r="BC210" s="1004"/>
      <c r="BD210" s="1004"/>
      <c r="BE210" s="1004"/>
      <c r="BF210" s="1004"/>
      <c r="BG210" s="1004"/>
      <c r="BH210" s="1004"/>
      <c r="BI210" s="1004"/>
      <c r="BJ210" s="1004"/>
      <c r="BK210" s="1004"/>
      <c r="BL210" s="1004"/>
      <c r="BM210" s="1004"/>
      <c r="BN210" s="1004"/>
      <c r="BO210" s="1004"/>
      <c r="BP210" s="1004"/>
      <c r="BQ210" s="1004"/>
      <c r="BR210" s="1004"/>
      <c r="BS210" s="1004"/>
      <c r="BT210" s="1004"/>
      <c r="BU210" s="1004"/>
      <c r="BV210" s="1004"/>
      <c r="BW210" s="1004"/>
      <c r="BX210" s="1004"/>
      <c r="BY210" s="1004"/>
      <c r="BZ210" s="1009"/>
      <c r="CA210" s="1010"/>
      <c r="CB210" s="1011"/>
      <c r="CC210" s="1003"/>
      <c r="CD210" s="1003"/>
      <c r="CE210" s="1003"/>
      <c r="CF210" s="1003"/>
      <c r="CG210" s="1009"/>
      <c r="CH210" s="1012"/>
      <c r="CJ210" s="1074"/>
      <c r="CL210" s="1082"/>
      <c r="CM210" s="976"/>
    </row>
    <row r="211" spans="1:91" s="1032" customFormat="1" ht="9" customHeight="1">
      <c r="A211" s="996"/>
      <c r="B211" s="1015"/>
      <c r="C211" s="1016"/>
      <c r="D211" s="1016"/>
      <c r="E211" s="1017"/>
      <c r="F211" s="1023"/>
      <c r="G211" s="1023"/>
      <c r="H211" s="1023"/>
      <c r="I211" s="1023"/>
      <c r="J211" s="1019"/>
      <c r="K211" s="1020"/>
      <c r="L211" s="1021"/>
      <c r="M211" s="1022"/>
      <c r="N211" s="1023"/>
      <c r="O211" s="1024"/>
      <c r="P211" s="1024"/>
      <c r="Q211" s="1024"/>
      <c r="R211" s="1024"/>
      <c r="S211" s="1024"/>
      <c r="T211" s="1024"/>
      <c r="U211" s="1024"/>
      <c r="V211" s="1024"/>
      <c r="W211" s="1024"/>
      <c r="X211" s="1024"/>
      <c r="Y211" s="1024"/>
      <c r="Z211" s="1025">
        <f>SUM(N211:Y211)</f>
        <v>0</v>
      </c>
      <c r="AA211" s="1026"/>
      <c r="AB211" s="1027"/>
      <c r="AC211" s="1027"/>
      <c r="AD211" s="1027"/>
      <c r="AE211" s="1027"/>
      <c r="AF211" s="1027"/>
      <c r="AG211" s="1027"/>
      <c r="AH211" s="1028"/>
      <c r="AI211" s="1028"/>
      <c r="AJ211" s="1028"/>
      <c r="AK211" s="1028"/>
      <c r="AL211" s="1028"/>
      <c r="AM211" s="1025">
        <f>SUM(AA211:AL211)</f>
        <v>0</v>
      </c>
      <c r="AN211" s="1024"/>
      <c r="AO211" s="1024"/>
      <c r="AP211" s="1024"/>
      <c r="AQ211" s="1024"/>
      <c r="AR211" s="1024"/>
      <c r="AS211" s="1024"/>
      <c r="AT211" s="1024"/>
      <c r="AU211" s="1024"/>
      <c r="AV211" s="1024"/>
      <c r="AW211" s="1024"/>
      <c r="AX211" s="1024"/>
      <c r="AY211" s="1024"/>
      <c r="AZ211" s="1024">
        <f>SUM(AN211:AY211)</f>
        <v>0</v>
      </c>
      <c r="BA211" s="1024"/>
      <c r="BB211" s="1024"/>
      <c r="BC211" s="1024"/>
      <c r="BD211" s="1024"/>
      <c r="BE211" s="1024"/>
      <c r="BF211" s="1024"/>
      <c r="BG211" s="1024"/>
      <c r="BH211" s="1024"/>
      <c r="BI211" s="1024"/>
      <c r="BJ211" s="1024"/>
      <c r="BK211" s="1024"/>
      <c r="BL211" s="1024"/>
      <c r="BM211" s="1024">
        <f>SUM(BA211:BL211)</f>
        <v>0</v>
      </c>
      <c r="BN211" s="1024"/>
      <c r="BO211" s="1024"/>
      <c r="BP211" s="1024"/>
      <c r="BQ211" s="1024"/>
      <c r="BR211" s="1024"/>
      <c r="BS211" s="1024"/>
      <c r="BT211" s="1024"/>
      <c r="BU211" s="1024"/>
      <c r="BV211" s="1024"/>
      <c r="BW211" s="1024"/>
      <c r="BX211" s="1024"/>
      <c r="BY211" s="1024"/>
      <c r="BZ211" s="1029">
        <f>SUM(BN211:BY211)</f>
        <v>0</v>
      </c>
      <c r="CA211" s="1030">
        <f>SUMIF(($M$1:$BZ$1),"Actual",(M211:BZ211))</f>
        <v>0</v>
      </c>
      <c r="CB211" s="1031"/>
      <c r="CC211" s="1023">
        <f>+M211+Z211+AM211+AZ211+BM211+BZ211</f>
        <v>0</v>
      </c>
      <c r="CD211" s="1023">
        <f>+CC211-I211</f>
        <v>0</v>
      </c>
      <c r="CE211" s="1023">
        <f>+O211+AB211+AO211+BB211+BO211+CB211</f>
        <v>0</v>
      </c>
      <c r="CF211" s="1023">
        <f>+P211+AC211+AP211+BC211+BP211+CC211</f>
        <v>0</v>
      </c>
      <c r="CG211" s="1029"/>
      <c r="CH211" s="972"/>
      <c r="CL211" s="976"/>
      <c r="CM211" s="976"/>
    </row>
    <row r="212" spans="1:91" s="1032" customFormat="1" ht="12.75" customHeight="1">
      <c r="A212" s="1091"/>
      <c r="B212" s="1015"/>
      <c r="C212" s="1016" t="s">
        <v>749</v>
      </c>
      <c r="D212" s="1016"/>
      <c r="E212" s="1017"/>
      <c r="F212" s="1023">
        <f>SUBTOTAL(9,F213:F220)</f>
        <v>11319000</v>
      </c>
      <c r="G212" s="1023">
        <f>SUBTOTAL(9,G213:G220)</f>
        <v>11685600.203540001</v>
      </c>
      <c r="H212" s="1023">
        <f>SUBTOTAL(9,H213:H220)</f>
        <v>0</v>
      </c>
      <c r="I212" s="1023">
        <f>SUBTOTAL(9,I213:I220)</f>
        <v>11685600.203540001</v>
      </c>
      <c r="J212" s="1019"/>
      <c r="K212" s="1020"/>
      <c r="L212" s="1021"/>
      <c r="M212" s="1022">
        <f t="shared" ref="M212:AR212" si="159">SUBTOTAL(9,M213:M220)</f>
        <v>0</v>
      </c>
      <c r="N212" s="1023">
        <f t="shared" si="159"/>
        <v>0</v>
      </c>
      <c r="O212" s="1024">
        <f t="shared" si="159"/>
        <v>0</v>
      </c>
      <c r="P212" s="1024">
        <f t="shared" si="159"/>
        <v>0</v>
      </c>
      <c r="Q212" s="1024">
        <f t="shared" si="159"/>
        <v>0</v>
      </c>
      <c r="R212" s="1024">
        <f t="shared" si="159"/>
        <v>0</v>
      </c>
      <c r="S212" s="1024">
        <f t="shared" si="159"/>
        <v>0</v>
      </c>
      <c r="T212" s="1024">
        <f t="shared" si="159"/>
        <v>0</v>
      </c>
      <c r="U212" s="1024">
        <f t="shared" si="159"/>
        <v>0</v>
      </c>
      <c r="V212" s="1024">
        <f t="shared" si="159"/>
        <v>0</v>
      </c>
      <c r="W212" s="1024">
        <f t="shared" si="159"/>
        <v>0</v>
      </c>
      <c r="X212" s="1024">
        <f t="shared" si="159"/>
        <v>0</v>
      </c>
      <c r="Y212" s="1024">
        <f t="shared" si="159"/>
        <v>0</v>
      </c>
      <c r="Z212" s="1025">
        <f t="shared" si="159"/>
        <v>0</v>
      </c>
      <c r="AA212" s="1026">
        <f t="shared" si="159"/>
        <v>0</v>
      </c>
      <c r="AB212" s="1027">
        <f t="shared" si="159"/>
        <v>0</v>
      </c>
      <c r="AC212" s="1027">
        <f t="shared" si="159"/>
        <v>0</v>
      </c>
      <c r="AD212" s="1027">
        <f t="shared" si="159"/>
        <v>0</v>
      </c>
      <c r="AE212" s="1027">
        <f t="shared" si="159"/>
        <v>0</v>
      </c>
      <c r="AF212" s="1027">
        <f t="shared" si="159"/>
        <v>0</v>
      </c>
      <c r="AG212" s="1027">
        <f t="shared" si="159"/>
        <v>0</v>
      </c>
      <c r="AH212" s="1028">
        <f t="shared" si="159"/>
        <v>0</v>
      </c>
      <c r="AI212" s="1028">
        <f t="shared" si="159"/>
        <v>0</v>
      </c>
      <c r="AJ212" s="1028">
        <f t="shared" si="159"/>
        <v>0</v>
      </c>
      <c r="AK212" s="1028">
        <f t="shared" si="159"/>
        <v>0</v>
      </c>
      <c r="AL212" s="1028">
        <f t="shared" si="159"/>
        <v>550000</v>
      </c>
      <c r="AM212" s="1025">
        <f t="shared" si="159"/>
        <v>550000</v>
      </c>
      <c r="AN212" s="1024">
        <f t="shared" si="159"/>
        <v>0</v>
      </c>
      <c r="AO212" s="1024">
        <f t="shared" si="159"/>
        <v>-276250</v>
      </c>
      <c r="AP212" s="1024">
        <f t="shared" si="159"/>
        <v>3014404.94</v>
      </c>
      <c r="AQ212" s="1024">
        <f t="shared" si="159"/>
        <v>0</v>
      </c>
      <c r="AR212" s="1024">
        <f t="shared" si="159"/>
        <v>-6439.5300000000279</v>
      </c>
      <c r="AS212" s="1024">
        <f t="shared" ref="AS212:BX212" si="160">SUBTOTAL(9,AS213:AS220)</f>
        <v>526757.46</v>
      </c>
      <c r="AT212" s="1024">
        <f t="shared" si="160"/>
        <v>-0.16000000014901161</v>
      </c>
      <c r="AU212" s="1024">
        <f t="shared" si="160"/>
        <v>23749.879999999888</v>
      </c>
      <c r="AV212" s="1024">
        <f t="shared" si="160"/>
        <v>0</v>
      </c>
      <c r="AW212" s="1024">
        <f t="shared" si="160"/>
        <v>544067.47</v>
      </c>
      <c r="AX212" s="1024">
        <f t="shared" si="160"/>
        <v>577805.73</v>
      </c>
      <c r="AY212" s="1024">
        <f t="shared" si="160"/>
        <v>577844</v>
      </c>
      <c r="AZ212" s="1024">
        <f t="shared" si="160"/>
        <v>4981939.79</v>
      </c>
      <c r="BA212" s="1024">
        <f t="shared" si="160"/>
        <v>34181.080000000053</v>
      </c>
      <c r="BB212" s="1024">
        <f t="shared" si="160"/>
        <v>0</v>
      </c>
      <c r="BC212" s="1024">
        <f t="shared" si="160"/>
        <v>627303.06000000006</v>
      </c>
      <c r="BD212" s="1024">
        <f t="shared" si="160"/>
        <v>51872.06</v>
      </c>
      <c r="BE212" s="1024">
        <f t="shared" si="160"/>
        <v>1632202.4100000001</v>
      </c>
      <c r="BF212" s="1024">
        <f t="shared" si="160"/>
        <v>1695627.3736000003</v>
      </c>
      <c r="BG212" s="1024">
        <f t="shared" si="160"/>
        <v>0</v>
      </c>
      <c r="BH212" s="1024">
        <f t="shared" si="160"/>
        <v>49353.67</v>
      </c>
      <c r="BI212" s="1024">
        <f t="shared" si="160"/>
        <v>160745.28</v>
      </c>
      <c r="BJ212" s="1024">
        <f t="shared" si="160"/>
        <v>31336.560000000001</v>
      </c>
      <c r="BK212" s="1024">
        <f t="shared" si="160"/>
        <v>0</v>
      </c>
      <c r="BL212" s="1024">
        <f t="shared" si="160"/>
        <v>121545.35</v>
      </c>
      <c r="BM212" s="1024">
        <f t="shared" si="160"/>
        <v>4404166.8436000003</v>
      </c>
      <c r="BN212" s="1024">
        <f t="shared" si="160"/>
        <v>1594066.31</v>
      </c>
      <c r="BO212" s="1024">
        <f t="shared" si="160"/>
        <v>0</v>
      </c>
      <c r="BP212" s="1024">
        <f t="shared" si="160"/>
        <v>88656.57</v>
      </c>
      <c r="BQ212" s="1024">
        <f t="shared" si="160"/>
        <v>69546.883333333331</v>
      </c>
      <c r="BR212" s="1024">
        <f t="shared" si="160"/>
        <v>0</v>
      </c>
      <c r="BS212" s="1024">
        <f t="shared" si="160"/>
        <v>0</v>
      </c>
      <c r="BT212" s="1024">
        <f t="shared" si="160"/>
        <v>0</v>
      </c>
      <c r="BU212" s="1024">
        <f t="shared" si="160"/>
        <v>0</v>
      </c>
      <c r="BV212" s="1024">
        <f t="shared" si="160"/>
        <v>0</v>
      </c>
      <c r="BW212" s="1024">
        <f t="shared" si="160"/>
        <v>0</v>
      </c>
      <c r="BX212" s="1024">
        <f t="shared" si="160"/>
        <v>0</v>
      </c>
      <c r="BY212" s="1024">
        <f t="shared" ref="BY212:CF212" si="161">SUBTOTAL(9,BY213:BY220)</f>
        <v>0</v>
      </c>
      <c r="BZ212" s="1029">
        <f t="shared" si="161"/>
        <v>1752269.7633333334</v>
      </c>
      <c r="CA212" s="1030">
        <f t="shared" si="161"/>
        <v>11688376.396933332</v>
      </c>
      <c r="CB212" s="1031">
        <f t="shared" si="161"/>
        <v>0</v>
      </c>
      <c r="CC212" s="1036">
        <f t="shared" si="161"/>
        <v>11688376.396933332</v>
      </c>
      <c r="CD212" s="1023">
        <f t="shared" si="161"/>
        <v>2776.1933933335822</v>
      </c>
      <c r="CE212" s="1023">
        <f t="shared" si="161"/>
        <v>11732343.516300002</v>
      </c>
      <c r="CF212" s="1023">
        <f t="shared" si="161"/>
        <v>-43967.119366667466</v>
      </c>
      <c r="CG212" s="1029"/>
      <c r="CH212" s="972"/>
      <c r="CI212" s="1083">
        <f>SUBTOTAL(9,CI213:CI220)</f>
        <v>11775897.128160004</v>
      </c>
      <c r="CJ212" s="1083">
        <f t="shared" ref="CJ212:CJ220" si="162">+CI212-CC212</f>
        <v>87520.731226671487</v>
      </c>
      <c r="CL212" s="976">
        <f>SUBTOTAL(9,CL213:CL220)</f>
        <v>11685600.460000001</v>
      </c>
      <c r="CM212" s="976">
        <f>SUBTOTAL(9,CM213:CM220)</f>
        <v>-2775.9369333324721</v>
      </c>
    </row>
    <row r="213" spans="1:91" s="1032" customFormat="1" ht="12.75" customHeight="1" outlineLevel="1">
      <c r="A213" s="1091"/>
      <c r="B213" s="1015"/>
      <c r="C213" s="1078" t="s">
        <v>750</v>
      </c>
      <c r="D213" s="1016"/>
      <c r="E213" s="1017"/>
      <c r="F213" s="1023">
        <v>11319000</v>
      </c>
      <c r="G213" s="1023">
        <v>10881348.76</v>
      </c>
      <c r="H213" s="1023"/>
      <c r="I213" s="1023">
        <v>10881348.76</v>
      </c>
      <c r="J213" s="1019">
        <v>6400003746</v>
      </c>
      <c r="K213" s="1020">
        <f>10056700*1.082</f>
        <v>10881349.4</v>
      </c>
      <c r="L213" s="1021"/>
      <c r="M213" s="1022"/>
      <c r="N213" s="1023"/>
      <c r="O213" s="1024"/>
      <c r="P213" s="1024"/>
      <c r="Q213" s="1024"/>
      <c r="R213" s="1024"/>
      <c r="S213" s="1024"/>
      <c r="T213" s="1024"/>
      <c r="U213" s="1024"/>
      <c r="V213" s="1024"/>
      <c r="W213" s="1024"/>
      <c r="X213" s="1024"/>
      <c r="Y213" s="1024"/>
      <c r="Z213" s="1025">
        <f t="shared" ref="Z213:Z220" si="163">SUM(N213:Y213)</f>
        <v>0</v>
      </c>
      <c r="AA213" s="1026"/>
      <c r="AB213" s="1027"/>
      <c r="AC213" s="1027"/>
      <c r="AD213" s="1027"/>
      <c r="AE213" s="1027"/>
      <c r="AF213" s="1027"/>
      <c r="AG213" s="1027"/>
      <c r="AH213" s="1028"/>
      <c r="AI213" s="1028"/>
      <c r="AJ213" s="1028"/>
      <c r="AK213" s="1028"/>
      <c r="AL213" s="1028">
        <f>273750+276250</f>
        <v>550000</v>
      </c>
      <c r="AM213" s="1025">
        <f t="shared" ref="AM213:AM220" si="164">SUM(AA213:AL213)</f>
        <v>550000</v>
      </c>
      <c r="AN213" s="1024">
        <f t="shared" ref="AN213:AN220" si="165">-276250+276250</f>
        <v>0</v>
      </c>
      <c r="AO213" s="1024">
        <v>-276250</v>
      </c>
      <c r="AP213" s="1024">
        <f>838134.94+2176270</f>
        <v>3014404.94</v>
      </c>
      <c r="AQ213" s="1024">
        <f>-2176270+2176270</f>
        <v>0</v>
      </c>
      <c r="AR213" s="1024">
        <f>535952.47-2176270+1633878</f>
        <v>-6439.5300000000279</v>
      </c>
      <c r="AS213" s="1024">
        <f>549611.46-1633878+1611024</f>
        <v>526757.46</v>
      </c>
      <c r="AT213" s="1024">
        <f>-549611.16-1611024+2160635</f>
        <v>-0.16000000014901161</v>
      </c>
      <c r="AU213" s="1024">
        <f>2184384.88-2160635</f>
        <v>23749.879999999888</v>
      </c>
      <c r="AV213" s="1024"/>
      <c r="AW213" s="1024">
        <v>544067.47</v>
      </c>
      <c r="AX213" s="1024">
        <f>577805.73-AX220</f>
        <v>551273.43999999994</v>
      </c>
      <c r="AY213" s="1024">
        <f>-6536+584380</f>
        <v>577844</v>
      </c>
      <c r="AZ213" s="1024">
        <f t="shared" ref="AZ213:AZ220" si="166">SUM(AN213:AY213)</f>
        <v>4955407.5</v>
      </c>
      <c r="BA213" s="1024">
        <f>584379.68-584380</f>
        <v>-0.31999999994877726</v>
      </c>
      <c r="BB213" s="1024"/>
      <c r="BC213" s="1024">
        <v>544067</v>
      </c>
      <c r="BD213" s="1024"/>
      <c r="BE213" s="1024">
        <f>(1508505)*1.082</f>
        <v>1632202.4100000001</v>
      </c>
      <c r="BF213" s="1024">
        <f>1508505*1.082</f>
        <v>1632202.4100000001</v>
      </c>
      <c r="BG213" s="1024"/>
      <c r="BH213" s="1024"/>
      <c r="BI213" s="1024"/>
      <c r="BJ213" s="1024"/>
      <c r="BK213" s="1024"/>
      <c r="BL213" s="1024"/>
      <c r="BM213" s="1024">
        <f t="shared" ref="BM213:BM220" si="167">SUM(BA213:BL213)</f>
        <v>3808471.5000000005</v>
      </c>
      <c r="BN213" s="1024"/>
      <c r="BO213" s="1024"/>
      <c r="BP213" s="1024"/>
      <c r="BQ213" s="1024"/>
      <c r="BR213" s="1093">
        <v>0</v>
      </c>
      <c r="BS213" s="1093">
        <v>0</v>
      </c>
      <c r="BT213" s="1024"/>
      <c r="BU213" s="1024"/>
      <c r="BV213" s="1024"/>
      <c r="BW213" s="1024"/>
      <c r="BX213" s="1024"/>
      <c r="BY213" s="1024"/>
      <c r="BZ213" s="1029">
        <f t="shared" ref="BZ213:BZ220" si="168">SUM(BN213:BY213)</f>
        <v>0</v>
      </c>
      <c r="CA213" s="1030">
        <f t="shared" ref="CA213:CA220" si="169">SUMIF(($M$1:$BZ$1),"Actual",(M213:BZ213))</f>
        <v>9313879</v>
      </c>
      <c r="CB213" s="1031">
        <f t="shared" ref="CB213:CB220" si="170">SUMIF(($M$1:$BZ$1),"Forecast",(M213:BZ213))</f>
        <v>0</v>
      </c>
      <c r="CC213" s="1023">
        <f t="shared" ref="CC213:CC220" si="171">+CA213+CB213</f>
        <v>9313879</v>
      </c>
      <c r="CD213" s="1023">
        <f t="shared" ref="CD213:CD220" si="172">+CC213-I213</f>
        <v>-1567469.7599999998</v>
      </c>
      <c r="CE213" s="1023">
        <v>10855878.210000001</v>
      </c>
      <c r="CF213" s="1023">
        <f t="shared" ref="CF213:CF220" si="173">+CC213-CE213</f>
        <v>-1541999.2100000009</v>
      </c>
      <c r="CG213" s="1029"/>
      <c r="CH213" s="972"/>
      <c r="CI213" s="1083">
        <f>10056700*1.082</f>
        <v>10881349.4</v>
      </c>
      <c r="CJ213" s="1083">
        <f t="shared" si="162"/>
        <v>1567470.4000000004</v>
      </c>
      <c r="CL213" s="976">
        <v>11685600.460000001</v>
      </c>
      <c r="CM213" s="976">
        <f t="shared" ref="CM213:CM244" si="174">+CL213-CC213</f>
        <v>2371721.4600000009</v>
      </c>
    </row>
    <row r="214" spans="1:91" s="1032" customFormat="1" ht="12.75" customHeight="1" outlineLevel="1">
      <c r="A214" s="1091"/>
      <c r="B214" s="1015"/>
      <c r="D214" s="1144" t="s">
        <v>751</v>
      </c>
      <c r="E214" s="1017"/>
      <c r="F214" s="1023"/>
      <c r="G214" s="1023">
        <v>30099.043540000002</v>
      </c>
      <c r="H214" s="1023"/>
      <c r="I214" s="1023">
        <v>30099.043540000002</v>
      </c>
      <c r="J214" s="1019"/>
      <c r="K214" s="1020"/>
      <c r="L214" s="1021"/>
      <c r="M214" s="1022"/>
      <c r="N214" s="1023"/>
      <c r="O214" s="1024"/>
      <c r="P214" s="1024"/>
      <c r="Q214" s="1024"/>
      <c r="R214" s="1024"/>
      <c r="S214" s="1024"/>
      <c r="T214" s="1024"/>
      <c r="U214" s="1024"/>
      <c r="V214" s="1024"/>
      <c r="W214" s="1024"/>
      <c r="X214" s="1024"/>
      <c r="Y214" s="1024"/>
      <c r="Z214" s="1025">
        <f t="shared" si="163"/>
        <v>0</v>
      </c>
      <c r="AA214" s="1026"/>
      <c r="AB214" s="1027"/>
      <c r="AC214" s="1027"/>
      <c r="AD214" s="1027"/>
      <c r="AE214" s="1027"/>
      <c r="AF214" s="1027"/>
      <c r="AG214" s="1027"/>
      <c r="AH214" s="1028"/>
      <c r="AI214" s="1028"/>
      <c r="AJ214" s="1028"/>
      <c r="AK214" s="1028"/>
      <c r="AL214" s="1028"/>
      <c r="AM214" s="1025">
        <f t="shared" si="164"/>
        <v>0</v>
      </c>
      <c r="AN214" s="1024">
        <f t="shared" si="165"/>
        <v>0</v>
      </c>
      <c r="AO214" s="1024"/>
      <c r="AP214" s="1024"/>
      <c r="AQ214" s="1024"/>
      <c r="AR214" s="1024"/>
      <c r="AS214" s="1024"/>
      <c r="AT214" s="1024"/>
      <c r="AU214" s="1024"/>
      <c r="AV214" s="1024"/>
      <c r="AW214" s="1024"/>
      <c r="AX214" s="1024"/>
      <c r="AY214" s="1024"/>
      <c r="AZ214" s="1024">
        <f t="shared" si="166"/>
        <v>0</v>
      </c>
      <c r="BA214" s="1024"/>
      <c r="BB214" s="1024"/>
      <c r="BC214" s="1024"/>
      <c r="BD214" s="1024"/>
      <c r="BE214" s="1024"/>
      <c r="BF214" s="1024"/>
      <c r="BG214" s="1024"/>
      <c r="BH214" s="1024"/>
      <c r="BI214" s="1024"/>
      <c r="BJ214" s="1024"/>
      <c r="BK214" s="1024"/>
      <c r="BL214" s="1024"/>
      <c r="BM214" s="1024">
        <f t="shared" si="167"/>
        <v>0</v>
      </c>
      <c r="BN214" s="1024"/>
      <c r="BO214" s="1024"/>
      <c r="BP214" s="1024"/>
      <c r="BQ214" s="1024"/>
      <c r="BR214" s="1024"/>
      <c r="BS214" s="1093">
        <v>0</v>
      </c>
      <c r="BT214" s="1024"/>
      <c r="BU214" s="1024"/>
      <c r="BV214" s="1024"/>
      <c r="BW214" s="1024"/>
      <c r="BX214" s="1024"/>
      <c r="BY214" s="1024"/>
      <c r="BZ214" s="1029">
        <f t="shared" si="168"/>
        <v>0</v>
      </c>
      <c r="CA214" s="1030">
        <f t="shared" si="169"/>
        <v>0</v>
      </c>
      <c r="CB214" s="1031">
        <f t="shared" si="170"/>
        <v>0</v>
      </c>
      <c r="CC214" s="1023">
        <f t="shared" si="171"/>
        <v>0</v>
      </c>
      <c r="CD214" s="1023">
        <f t="shared" si="172"/>
        <v>-30099.043540000002</v>
      </c>
      <c r="CE214" s="1023">
        <v>30099.043540000002</v>
      </c>
      <c r="CF214" s="1023">
        <f t="shared" si="173"/>
        <v>-30099.043540000002</v>
      </c>
      <c r="CG214" s="1029"/>
      <c r="CH214" s="972"/>
      <c r="CI214" s="1083">
        <f>27817.97*1.082</f>
        <v>30099.043540000002</v>
      </c>
      <c r="CJ214" s="1083">
        <f t="shared" si="162"/>
        <v>30099.043540000002</v>
      </c>
      <c r="CL214" s="976">
        <v>0</v>
      </c>
      <c r="CM214" s="976">
        <f t="shared" si="174"/>
        <v>0</v>
      </c>
    </row>
    <row r="215" spans="1:91" s="1032" customFormat="1" ht="12.75" customHeight="1" outlineLevel="1">
      <c r="A215" s="1091"/>
      <c r="B215" s="1015"/>
      <c r="D215" s="1144" t="s">
        <v>752</v>
      </c>
      <c r="E215" s="1017"/>
      <c r="F215" s="1023"/>
      <c r="G215" s="1023"/>
      <c r="H215" s="1023"/>
      <c r="I215" s="1023"/>
      <c r="J215" s="1019"/>
      <c r="K215" s="1020"/>
      <c r="L215" s="1021"/>
      <c r="M215" s="1022"/>
      <c r="N215" s="1023"/>
      <c r="O215" s="1024"/>
      <c r="P215" s="1024"/>
      <c r="Q215" s="1024"/>
      <c r="R215" s="1024"/>
      <c r="S215" s="1024"/>
      <c r="T215" s="1024"/>
      <c r="U215" s="1024"/>
      <c r="V215" s="1024"/>
      <c r="W215" s="1024"/>
      <c r="X215" s="1024"/>
      <c r="Y215" s="1024"/>
      <c r="Z215" s="1025">
        <f t="shared" si="163"/>
        <v>0</v>
      </c>
      <c r="AA215" s="1026"/>
      <c r="AB215" s="1027"/>
      <c r="AC215" s="1027"/>
      <c r="AD215" s="1027"/>
      <c r="AE215" s="1027"/>
      <c r="AF215" s="1027"/>
      <c r="AG215" s="1027"/>
      <c r="AH215" s="1028"/>
      <c r="AI215" s="1028"/>
      <c r="AJ215" s="1028"/>
      <c r="AK215" s="1028"/>
      <c r="AL215" s="1028"/>
      <c r="AM215" s="1025">
        <f t="shared" si="164"/>
        <v>0</v>
      </c>
      <c r="AN215" s="1024">
        <f t="shared" si="165"/>
        <v>0</v>
      </c>
      <c r="AO215" s="1024"/>
      <c r="AP215" s="1024"/>
      <c r="AQ215" s="1024"/>
      <c r="AR215" s="1024"/>
      <c r="AS215" s="1024"/>
      <c r="AT215" s="1024"/>
      <c r="AU215" s="1024"/>
      <c r="AV215" s="1024"/>
      <c r="AW215" s="1024"/>
      <c r="AX215" s="1024"/>
      <c r="AY215" s="1024"/>
      <c r="AZ215" s="1024">
        <f t="shared" si="166"/>
        <v>0</v>
      </c>
      <c r="BA215" s="1024"/>
      <c r="BB215" s="1024"/>
      <c r="BC215" s="1024"/>
      <c r="BD215" s="1024"/>
      <c r="BE215" s="1024"/>
      <c r="BF215" s="1024"/>
      <c r="BG215" s="1024"/>
      <c r="BH215" s="1024"/>
      <c r="BI215" s="1024"/>
      <c r="BJ215" s="1024"/>
      <c r="BK215" s="1024"/>
      <c r="BL215" s="1024"/>
      <c r="BM215" s="1024">
        <f t="shared" si="167"/>
        <v>0</v>
      </c>
      <c r="BN215" s="1024"/>
      <c r="BO215" s="1024"/>
      <c r="BP215" s="1024"/>
      <c r="BQ215" s="1024"/>
      <c r="BR215" s="1024"/>
      <c r="BS215" s="1093">
        <v>0</v>
      </c>
      <c r="BT215" s="1024"/>
      <c r="BU215" s="1024"/>
      <c r="BV215" s="1024"/>
      <c r="BW215" s="1024"/>
      <c r="BX215" s="1024"/>
      <c r="BY215" s="1024"/>
      <c r="BZ215" s="1029">
        <f t="shared" si="168"/>
        <v>0</v>
      </c>
      <c r="CA215" s="1030">
        <f t="shared" si="169"/>
        <v>0</v>
      </c>
      <c r="CB215" s="1031">
        <f t="shared" si="170"/>
        <v>0</v>
      </c>
      <c r="CC215" s="1023">
        <f t="shared" si="171"/>
        <v>0</v>
      </c>
      <c r="CD215" s="1023">
        <f t="shared" si="172"/>
        <v>0</v>
      </c>
      <c r="CE215" s="1023">
        <v>1384.2891600000003</v>
      </c>
      <c r="CF215" s="1023">
        <f t="shared" si="173"/>
        <v>-1384.2891600000003</v>
      </c>
      <c r="CG215" s="1029"/>
      <c r="CH215" s="972"/>
      <c r="CI215" s="1083">
        <f>27817.97*1.082</f>
        <v>30099.043540000002</v>
      </c>
      <c r="CJ215" s="1083">
        <f t="shared" si="162"/>
        <v>30099.043540000002</v>
      </c>
      <c r="CL215" s="976">
        <v>0</v>
      </c>
      <c r="CM215" s="976">
        <f t="shared" si="174"/>
        <v>0</v>
      </c>
    </row>
    <row r="216" spans="1:91" s="1032" customFormat="1" ht="12.75" customHeight="1" outlineLevel="1">
      <c r="A216" s="1091"/>
      <c r="B216" s="1015"/>
      <c r="D216" s="1144" t="s">
        <v>753</v>
      </c>
      <c r="E216" s="1017"/>
      <c r="F216" s="1023"/>
      <c r="G216" s="1023"/>
      <c r="H216" s="1023"/>
      <c r="I216" s="1023"/>
      <c r="J216" s="1019"/>
      <c r="K216" s="1020"/>
      <c r="L216" s="1021"/>
      <c r="M216" s="1022"/>
      <c r="N216" s="1023"/>
      <c r="O216" s="1024"/>
      <c r="P216" s="1024"/>
      <c r="Q216" s="1024"/>
      <c r="R216" s="1024"/>
      <c r="S216" s="1024"/>
      <c r="T216" s="1024"/>
      <c r="U216" s="1024"/>
      <c r="V216" s="1024"/>
      <c r="W216" s="1024"/>
      <c r="X216" s="1024"/>
      <c r="Y216" s="1024"/>
      <c r="Z216" s="1025">
        <f t="shared" si="163"/>
        <v>0</v>
      </c>
      <c r="AA216" s="1026"/>
      <c r="AB216" s="1027"/>
      <c r="AC216" s="1027"/>
      <c r="AD216" s="1027"/>
      <c r="AE216" s="1027"/>
      <c r="AF216" s="1027"/>
      <c r="AG216" s="1027"/>
      <c r="AH216" s="1028"/>
      <c r="AI216" s="1028"/>
      <c r="AJ216" s="1028"/>
      <c r="AK216" s="1028"/>
      <c r="AL216" s="1028"/>
      <c r="AM216" s="1025">
        <f t="shared" si="164"/>
        <v>0</v>
      </c>
      <c r="AN216" s="1024">
        <f t="shared" si="165"/>
        <v>0</v>
      </c>
      <c r="AO216" s="1024"/>
      <c r="AP216" s="1024"/>
      <c r="AQ216" s="1024"/>
      <c r="AR216" s="1024"/>
      <c r="AS216" s="1024"/>
      <c r="AT216" s="1024"/>
      <c r="AU216" s="1024"/>
      <c r="AV216" s="1024"/>
      <c r="AW216" s="1024"/>
      <c r="AX216" s="1024"/>
      <c r="AY216" s="1024"/>
      <c r="AZ216" s="1024">
        <f t="shared" si="166"/>
        <v>0</v>
      </c>
      <c r="BA216" s="1024"/>
      <c r="BB216" s="1024"/>
      <c r="BC216" s="1024"/>
      <c r="BD216" s="1024"/>
      <c r="BE216" s="1024"/>
      <c r="BF216" s="1024">
        <f>(19192*1.082)+(2037.8*1.082)</f>
        <v>22970.643600000003</v>
      </c>
      <c r="BG216" s="1024"/>
      <c r="BH216" s="1024"/>
      <c r="BI216" s="1024">
        <v>77058.44</v>
      </c>
      <c r="BJ216" s="1024"/>
      <c r="BK216" s="1024"/>
      <c r="BL216" s="1024"/>
      <c r="BM216" s="1024">
        <f t="shared" si="167"/>
        <v>100029.08360000001</v>
      </c>
      <c r="BN216" s="1024"/>
      <c r="BO216" s="1024"/>
      <c r="BP216" s="1024"/>
      <c r="BQ216" s="1024"/>
      <c r="BR216" s="1024"/>
      <c r="BS216" s="1093">
        <v>0</v>
      </c>
      <c r="BT216" s="1024"/>
      <c r="BU216" s="1024"/>
      <c r="BV216" s="1024"/>
      <c r="BW216" s="1024"/>
      <c r="BX216" s="1024"/>
      <c r="BY216" s="1024"/>
      <c r="BZ216" s="1029">
        <f t="shared" si="168"/>
        <v>0</v>
      </c>
      <c r="CA216" s="1030">
        <f t="shared" si="169"/>
        <v>100029.08360000001</v>
      </c>
      <c r="CB216" s="1031">
        <f t="shared" si="170"/>
        <v>0</v>
      </c>
      <c r="CC216" s="1023">
        <f t="shared" si="171"/>
        <v>100029.08360000001</v>
      </c>
      <c r="CD216" s="1023">
        <f t="shared" si="172"/>
        <v>100029.08360000001</v>
      </c>
      <c r="CE216" s="1023">
        <v>99114.233600000007</v>
      </c>
      <c r="CF216" s="1023">
        <f t="shared" si="173"/>
        <v>914.85000000000582</v>
      </c>
      <c r="CG216" s="1029"/>
      <c r="CH216" s="972"/>
      <c r="CI216" s="1083">
        <f>27817.97*1.082</f>
        <v>30099.043540000002</v>
      </c>
      <c r="CJ216" s="1083">
        <f t="shared" si="162"/>
        <v>-69930.040060000014</v>
      </c>
      <c r="CL216" s="976">
        <v>0</v>
      </c>
      <c r="CM216" s="976">
        <f t="shared" si="174"/>
        <v>-100029.08360000001</v>
      </c>
    </row>
    <row r="217" spans="1:91" s="1032" customFormat="1" ht="12.75" customHeight="1" outlineLevel="1">
      <c r="A217" s="1091"/>
      <c r="B217" s="1015"/>
      <c r="D217" s="1144" t="s">
        <v>754</v>
      </c>
      <c r="E217" s="1017"/>
      <c r="F217" s="1023"/>
      <c r="G217" s="1023"/>
      <c r="H217" s="1023"/>
      <c r="I217" s="1023"/>
      <c r="J217" s="1019"/>
      <c r="K217" s="1020"/>
      <c r="L217" s="1021"/>
      <c r="M217" s="1022"/>
      <c r="N217" s="1023"/>
      <c r="O217" s="1024"/>
      <c r="P217" s="1024"/>
      <c r="Q217" s="1024"/>
      <c r="R217" s="1024"/>
      <c r="S217" s="1024"/>
      <c r="T217" s="1024"/>
      <c r="U217" s="1024"/>
      <c r="V217" s="1024"/>
      <c r="W217" s="1024"/>
      <c r="X217" s="1024"/>
      <c r="Y217" s="1024"/>
      <c r="Z217" s="1025">
        <f t="shared" si="163"/>
        <v>0</v>
      </c>
      <c r="AA217" s="1026"/>
      <c r="AB217" s="1027"/>
      <c r="AC217" s="1027"/>
      <c r="AD217" s="1027"/>
      <c r="AE217" s="1027"/>
      <c r="AF217" s="1027"/>
      <c r="AG217" s="1027"/>
      <c r="AH217" s="1028"/>
      <c r="AI217" s="1028"/>
      <c r="AJ217" s="1028"/>
      <c r="AK217" s="1028"/>
      <c r="AL217" s="1028"/>
      <c r="AM217" s="1025">
        <f t="shared" si="164"/>
        <v>0</v>
      </c>
      <c r="AN217" s="1024">
        <f t="shared" si="165"/>
        <v>0</v>
      </c>
      <c r="AO217" s="1024"/>
      <c r="AP217" s="1024"/>
      <c r="AQ217" s="1024"/>
      <c r="AR217" s="1024"/>
      <c r="AS217" s="1024"/>
      <c r="AT217" s="1024"/>
      <c r="AU217" s="1024"/>
      <c r="AV217" s="1024"/>
      <c r="AW217" s="1024"/>
      <c r="AX217" s="1024"/>
      <c r="AY217" s="1024"/>
      <c r="AZ217" s="1024">
        <f t="shared" si="166"/>
        <v>0</v>
      </c>
      <c r="BA217" s="1024"/>
      <c r="BB217" s="1024"/>
      <c r="BC217" s="1024"/>
      <c r="BD217" s="1024"/>
      <c r="BE217" s="1024"/>
      <c r="BF217" s="1024">
        <f>12970*1.082</f>
        <v>14033.54</v>
      </c>
      <c r="BG217" s="1024"/>
      <c r="BH217" s="1024"/>
      <c r="BI217" s="1024"/>
      <c r="BJ217" s="1024"/>
      <c r="BK217" s="1024"/>
      <c r="BL217" s="1024"/>
      <c r="BM217" s="1024">
        <f t="shared" si="167"/>
        <v>14033.54</v>
      </c>
      <c r="BN217" s="1024"/>
      <c r="BO217" s="1024"/>
      <c r="BP217" s="1024"/>
      <c r="BQ217" s="1024"/>
      <c r="BR217" s="1024"/>
      <c r="BS217" s="1024"/>
      <c r="BT217" s="1024"/>
      <c r="BU217" s="1024"/>
      <c r="BV217" s="1024"/>
      <c r="BW217" s="1024"/>
      <c r="BX217" s="1024"/>
      <c r="BY217" s="1024"/>
      <c r="BZ217" s="1029">
        <f t="shared" si="168"/>
        <v>0</v>
      </c>
      <c r="CA217" s="1030">
        <f t="shared" si="169"/>
        <v>14033.54</v>
      </c>
      <c r="CB217" s="1031">
        <f t="shared" si="170"/>
        <v>0</v>
      </c>
      <c r="CC217" s="1023">
        <f t="shared" si="171"/>
        <v>14033.54</v>
      </c>
      <c r="CD217" s="1023">
        <f t="shared" si="172"/>
        <v>14033.54</v>
      </c>
      <c r="CE217" s="1023">
        <v>14033.54</v>
      </c>
      <c r="CF217" s="1023">
        <f t="shared" si="173"/>
        <v>0</v>
      </c>
      <c r="CG217" s="1029"/>
      <c r="CH217" s="972"/>
      <c r="CI217" s="1083">
        <f>27817.97*1.082</f>
        <v>30099.043540000002</v>
      </c>
      <c r="CJ217" s="1083">
        <f t="shared" si="162"/>
        <v>16065.503540000002</v>
      </c>
      <c r="CL217" s="976">
        <v>0</v>
      </c>
      <c r="CM217" s="976">
        <f t="shared" si="174"/>
        <v>-14033.54</v>
      </c>
    </row>
    <row r="218" spans="1:91" s="1032" customFormat="1" ht="12.75" customHeight="1" outlineLevel="1">
      <c r="A218" s="1091"/>
      <c r="B218" s="1015"/>
      <c r="D218" s="1144" t="s">
        <v>755</v>
      </c>
      <c r="E218" s="1017"/>
      <c r="F218" s="1023"/>
      <c r="G218" s="1023"/>
      <c r="H218" s="1023"/>
      <c r="I218" s="1023"/>
      <c r="J218" s="1019"/>
      <c r="K218" s="1020"/>
      <c r="L218" s="1021"/>
      <c r="M218" s="1022"/>
      <c r="N218" s="1023"/>
      <c r="O218" s="1024"/>
      <c r="P218" s="1024"/>
      <c r="Q218" s="1024"/>
      <c r="R218" s="1024"/>
      <c r="S218" s="1024"/>
      <c r="T218" s="1024"/>
      <c r="U218" s="1024"/>
      <c r="V218" s="1024"/>
      <c r="W218" s="1024"/>
      <c r="X218" s="1024"/>
      <c r="Y218" s="1024"/>
      <c r="Z218" s="1025">
        <f t="shared" si="163"/>
        <v>0</v>
      </c>
      <c r="AA218" s="1026"/>
      <c r="AB218" s="1027"/>
      <c r="AC218" s="1027"/>
      <c r="AD218" s="1027"/>
      <c r="AE218" s="1027"/>
      <c r="AF218" s="1027"/>
      <c r="AG218" s="1027"/>
      <c r="AH218" s="1028"/>
      <c r="AI218" s="1028"/>
      <c r="AJ218" s="1028"/>
      <c r="AK218" s="1028"/>
      <c r="AL218" s="1028"/>
      <c r="AM218" s="1025">
        <f t="shared" si="164"/>
        <v>0</v>
      </c>
      <c r="AN218" s="1024">
        <f t="shared" si="165"/>
        <v>0</v>
      </c>
      <c r="AO218" s="1024"/>
      <c r="AP218" s="1024"/>
      <c r="AQ218" s="1024"/>
      <c r="AR218" s="1024"/>
      <c r="AS218" s="1024"/>
      <c r="AT218" s="1024"/>
      <c r="AU218" s="1024"/>
      <c r="AV218" s="1024"/>
      <c r="AW218" s="1024"/>
      <c r="AX218" s="1024"/>
      <c r="AY218" s="1024"/>
      <c r="AZ218" s="1024">
        <f t="shared" si="166"/>
        <v>0</v>
      </c>
      <c r="BA218" s="1024"/>
      <c r="BB218" s="1024"/>
      <c r="BC218" s="1024"/>
      <c r="BD218" s="1024"/>
      <c r="BE218" s="1024"/>
      <c r="BF218" s="1024"/>
      <c r="BG218" s="1024"/>
      <c r="BH218" s="1024"/>
      <c r="BI218" s="1024">
        <v>42978.75</v>
      </c>
      <c r="BJ218" s="1024"/>
      <c r="BK218" s="1024"/>
      <c r="BL218" s="1024"/>
      <c r="BM218" s="1024">
        <f t="shared" si="167"/>
        <v>42978.75</v>
      </c>
      <c r="BN218" s="1024"/>
      <c r="BO218" s="1024"/>
      <c r="BP218" s="1024"/>
      <c r="BQ218" s="1024"/>
      <c r="BR218" s="1024"/>
      <c r="BS218" s="1093">
        <v>0</v>
      </c>
      <c r="BT218" s="1024"/>
      <c r="BU218" s="1024"/>
      <c r="BV218" s="1024"/>
      <c r="BW218" s="1024"/>
      <c r="BX218" s="1024"/>
      <c r="BY218" s="1024"/>
      <c r="BZ218" s="1029">
        <f t="shared" si="168"/>
        <v>0</v>
      </c>
      <c r="CA218" s="1030">
        <f t="shared" si="169"/>
        <v>42978.75</v>
      </c>
      <c r="CB218" s="1031">
        <f t="shared" si="170"/>
        <v>0</v>
      </c>
      <c r="CC218" s="1023">
        <f t="shared" si="171"/>
        <v>42978.75</v>
      </c>
      <c r="CD218" s="1023">
        <f t="shared" si="172"/>
        <v>42978.75</v>
      </c>
      <c r="CE218" s="1023">
        <v>42468.5</v>
      </c>
      <c r="CF218" s="1023">
        <f t="shared" si="173"/>
        <v>510.25</v>
      </c>
      <c r="CG218" s="1029"/>
      <c r="CH218" s="972"/>
      <c r="CI218" s="1083">
        <v>0</v>
      </c>
      <c r="CJ218" s="1083">
        <f t="shared" si="162"/>
        <v>-42978.75</v>
      </c>
      <c r="CL218" s="976">
        <v>0</v>
      </c>
      <c r="CM218" s="976">
        <f t="shared" si="174"/>
        <v>-42978.75</v>
      </c>
    </row>
    <row r="219" spans="1:91" s="1032" customFormat="1" ht="12.75" customHeight="1" outlineLevel="1">
      <c r="A219" s="1091"/>
      <c r="B219" s="1015"/>
      <c r="D219" s="1144" t="s">
        <v>756</v>
      </c>
      <c r="E219" s="1017"/>
      <c r="F219" s="1023"/>
      <c r="G219" s="1023"/>
      <c r="H219" s="1023"/>
      <c r="I219" s="1023"/>
      <c r="J219" s="1019"/>
      <c r="K219" s="1020"/>
      <c r="L219" s="1021"/>
      <c r="M219" s="1022"/>
      <c r="N219" s="1023"/>
      <c r="O219" s="1024"/>
      <c r="P219" s="1024"/>
      <c r="Q219" s="1024"/>
      <c r="R219" s="1024"/>
      <c r="S219" s="1024"/>
      <c r="T219" s="1024"/>
      <c r="U219" s="1024"/>
      <c r="V219" s="1024"/>
      <c r="W219" s="1024"/>
      <c r="X219" s="1024"/>
      <c r="Y219" s="1024"/>
      <c r="Z219" s="1025">
        <f t="shared" si="163"/>
        <v>0</v>
      </c>
      <c r="AA219" s="1026"/>
      <c r="AB219" s="1027"/>
      <c r="AC219" s="1027"/>
      <c r="AD219" s="1027"/>
      <c r="AE219" s="1027"/>
      <c r="AF219" s="1027"/>
      <c r="AG219" s="1027"/>
      <c r="AH219" s="1028"/>
      <c r="AI219" s="1028"/>
      <c r="AJ219" s="1028"/>
      <c r="AK219" s="1028"/>
      <c r="AL219" s="1028"/>
      <c r="AM219" s="1025">
        <f t="shared" si="164"/>
        <v>0</v>
      </c>
      <c r="AN219" s="1024">
        <f t="shared" si="165"/>
        <v>0</v>
      </c>
      <c r="AO219" s="1024"/>
      <c r="AP219" s="1024"/>
      <c r="AQ219" s="1024"/>
      <c r="AR219" s="1024"/>
      <c r="AS219" s="1024"/>
      <c r="AT219" s="1024"/>
      <c r="AU219" s="1024"/>
      <c r="AV219" s="1024"/>
      <c r="AW219" s="1024"/>
      <c r="AX219" s="1024"/>
      <c r="AY219" s="1024"/>
      <c r="AZ219" s="1024">
        <f t="shared" si="166"/>
        <v>0</v>
      </c>
      <c r="BA219" s="1024"/>
      <c r="BB219" s="1024"/>
      <c r="BC219" s="1024"/>
      <c r="BD219" s="1024"/>
      <c r="BE219" s="1024"/>
      <c r="BF219" s="1024"/>
      <c r="BG219" s="1024"/>
      <c r="BH219" s="1024"/>
      <c r="BI219" s="1024"/>
      <c r="BJ219" s="1024"/>
      <c r="BK219" s="1024"/>
      <c r="BL219" s="1024"/>
      <c r="BM219" s="1024">
        <f t="shared" si="167"/>
        <v>0</v>
      </c>
      <c r="BN219" s="1024">
        <f>1542000</f>
        <v>1542000</v>
      </c>
      <c r="BO219" s="1024">
        <f>-1542000+1542000</f>
        <v>0</v>
      </c>
      <c r="BP219" s="1024">
        <f>-1542000+1542000</f>
        <v>0</v>
      </c>
      <c r="BQ219" s="1024">
        <f>-1542000+1542000</f>
        <v>0</v>
      </c>
      <c r="BR219" s="1093">
        <v>0</v>
      </c>
      <c r="BS219" s="1093">
        <v>0</v>
      </c>
      <c r="BT219" s="1024"/>
      <c r="BU219" s="1024"/>
      <c r="BV219" s="1024"/>
      <c r="BW219" s="1024"/>
      <c r="BX219" s="1024"/>
      <c r="BY219" s="1024"/>
      <c r="BZ219" s="1029">
        <f t="shared" si="168"/>
        <v>1542000</v>
      </c>
      <c r="CA219" s="1030">
        <f t="shared" si="169"/>
        <v>1542000</v>
      </c>
      <c r="CB219" s="1031">
        <f t="shared" si="170"/>
        <v>0</v>
      </c>
      <c r="CC219" s="1023">
        <f t="shared" si="171"/>
        <v>1542000</v>
      </c>
      <c r="CD219" s="1023">
        <f t="shared" si="172"/>
        <v>1542000</v>
      </c>
      <c r="CE219" s="1023">
        <v>0.30000000004656613</v>
      </c>
      <c r="CF219" s="1023">
        <f t="shared" si="173"/>
        <v>1541999.7</v>
      </c>
      <c r="CG219" s="1029"/>
      <c r="CH219" s="972"/>
      <c r="CI219" s="1083">
        <v>0</v>
      </c>
      <c r="CJ219" s="1083">
        <f t="shared" si="162"/>
        <v>-1542000</v>
      </c>
      <c r="CL219" s="976">
        <v>0</v>
      </c>
      <c r="CM219" s="976">
        <f t="shared" si="174"/>
        <v>-1542000</v>
      </c>
    </row>
    <row r="220" spans="1:91" s="1032" customFormat="1" ht="12.75" customHeight="1" outlineLevel="1">
      <c r="A220" s="1091"/>
      <c r="B220" s="1015"/>
      <c r="C220" s="1078" t="s">
        <v>757</v>
      </c>
      <c r="D220" s="1016"/>
      <c r="E220" s="1017"/>
      <c r="F220" s="1023"/>
      <c r="G220" s="1023">
        <v>774152.4</v>
      </c>
      <c r="H220" s="1023"/>
      <c r="I220" s="1023">
        <v>774152.4</v>
      </c>
      <c r="J220" s="1019"/>
      <c r="K220" s="1020"/>
      <c r="L220" s="1021"/>
      <c r="M220" s="1022"/>
      <c r="N220" s="1023"/>
      <c r="O220" s="1024"/>
      <c r="P220" s="1024"/>
      <c r="Q220" s="1024"/>
      <c r="R220" s="1024"/>
      <c r="S220" s="1024"/>
      <c r="T220" s="1024"/>
      <c r="U220" s="1024"/>
      <c r="V220" s="1024"/>
      <c r="W220" s="1024"/>
      <c r="X220" s="1024"/>
      <c r="Y220" s="1024"/>
      <c r="Z220" s="1025">
        <f t="shared" si="163"/>
        <v>0</v>
      </c>
      <c r="AA220" s="1026"/>
      <c r="AB220" s="1027"/>
      <c r="AC220" s="1027"/>
      <c r="AD220" s="1027"/>
      <c r="AE220" s="1027"/>
      <c r="AF220" s="1027"/>
      <c r="AG220" s="1027"/>
      <c r="AH220" s="1028"/>
      <c r="AI220" s="1028"/>
      <c r="AJ220" s="1028"/>
      <c r="AK220" s="1028"/>
      <c r="AL220" s="1028"/>
      <c r="AM220" s="1025">
        <f t="shared" si="164"/>
        <v>0</v>
      </c>
      <c r="AN220" s="1024">
        <f t="shared" si="165"/>
        <v>0</v>
      </c>
      <c r="AO220" s="1024"/>
      <c r="AP220" s="1024"/>
      <c r="AQ220" s="1024"/>
      <c r="AR220" s="1024"/>
      <c r="AS220" s="1024"/>
      <c r="AT220" s="1024"/>
      <c r="AU220" s="1024"/>
      <c r="AV220" s="1024"/>
      <c r="AW220" s="1024"/>
      <c r="AX220" s="1024">
        <v>26532.29</v>
      </c>
      <c r="AY220" s="1076"/>
      <c r="AZ220" s="1024">
        <f t="shared" si="166"/>
        <v>26532.29</v>
      </c>
      <c r="BA220" s="1024">
        <v>34181.4</v>
      </c>
      <c r="BB220" s="1024"/>
      <c r="BC220" s="1024">
        <f>46924.65+36311.41</f>
        <v>83236.06</v>
      </c>
      <c r="BD220" s="1024">
        <v>51872.06</v>
      </c>
      <c r="BE220" s="1024"/>
      <c r="BF220" s="1024">
        <v>26420.78</v>
      </c>
      <c r="BG220" s="1024"/>
      <c r="BH220" s="1024">
        <v>49353.67</v>
      </c>
      <c r="BI220" s="1024">
        <v>40708.089999999997</v>
      </c>
      <c r="BJ220" s="1024">
        <v>31336.560000000001</v>
      </c>
      <c r="BK220" s="1024"/>
      <c r="BL220" s="1076">
        <v>121545.35</v>
      </c>
      <c r="BM220" s="1024">
        <f t="shared" si="167"/>
        <v>438653.97</v>
      </c>
      <c r="BN220" s="1024">
        <v>52066.31</v>
      </c>
      <c r="BO220" s="1024"/>
      <c r="BP220" s="1024">
        <v>88656.57</v>
      </c>
      <c r="BQ220" s="1093">
        <f>83456.26*(25/30)</f>
        <v>69546.883333333331</v>
      </c>
      <c r="BR220" s="1024"/>
      <c r="BS220" s="1024"/>
      <c r="BT220" s="1024"/>
      <c r="BU220" s="1024"/>
      <c r="BV220" s="1024"/>
      <c r="BW220" s="1024"/>
      <c r="BX220" s="1024"/>
      <c r="BY220" s="1024"/>
      <c r="BZ220" s="1029">
        <f t="shared" si="168"/>
        <v>210269.76333333334</v>
      </c>
      <c r="CA220" s="1030">
        <f t="shared" si="169"/>
        <v>675456.02333333332</v>
      </c>
      <c r="CB220" s="1077">
        <f t="shared" si="170"/>
        <v>0</v>
      </c>
      <c r="CC220" s="1023">
        <f t="shared" si="171"/>
        <v>675456.02333333332</v>
      </c>
      <c r="CD220" s="1023">
        <f t="shared" si="172"/>
        <v>-98696.376666666707</v>
      </c>
      <c r="CE220" s="1023">
        <v>689365.4</v>
      </c>
      <c r="CF220" s="1023">
        <f t="shared" si="173"/>
        <v>-13909.376666666707</v>
      </c>
      <c r="CG220" s="1029"/>
      <c r="CH220" s="972"/>
      <c r="CI220" s="1083">
        <f>715482*1.082+0.03</f>
        <v>774151.55400000012</v>
      </c>
      <c r="CJ220" s="1083">
        <f t="shared" si="162"/>
        <v>98695.530666666804</v>
      </c>
      <c r="CL220" s="976">
        <v>0</v>
      </c>
      <c r="CM220" s="976">
        <f t="shared" si="174"/>
        <v>-675456.02333333332</v>
      </c>
    </row>
    <row r="221" spans="1:91" s="1032" customFormat="1" ht="12.75" customHeight="1">
      <c r="A221" s="1091"/>
      <c r="B221" s="1015"/>
      <c r="C221" s="1016" t="s">
        <v>758</v>
      </c>
      <c r="D221" s="1016"/>
      <c r="E221" s="1017"/>
      <c r="F221" s="1023">
        <f>SUBTOTAL(9,F222:F257)</f>
        <v>1617000</v>
      </c>
      <c r="G221" s="1023">
        <f>SUBTOTAL(9,G222:G257)</f>
        <v>5599999.7333333334</v>
      </c>
      <c r="H221" s="1023">
        <f>SUBTOTAL(9,H222:H257)</f>
        <v>0</v>
      </c>
      <c r="I221" s="1023">
        <f>SUBTOTAL(9,I222:I257)</f>
        <v>5599999.7333333334</v>
      </c>
      <c r="J221" s="1019"/>
      <c r="K221" s="1020"/>
      <c r="L221" s="1021"/>
      <c r="M221" s="1022">
        <f t="shared" ref="M221:AR221" si="175">SUBTOTAL(9,M222:M257)</f>
        <v>0</v>
      </c>
      <c r="N221" s="1023">
        <f t="shared" si="175"/>
        <v>0</v>
      </c>
      <c r="O221" s="1024">
        <f t="shared" si="175"/>
        <v>0</v>
      </c>
      <c r="P221" s="1024">
        <f t="shared" si="175"/>
        <v>0</v>
      </c>
      <c r="Q221" s="1024">
        <f t="shared" si="175"/>
        <v>0</v>
      </c>
      <c r="R221" s="1024">
        <f t="shared" si="175"/>
        <v>0</v>
      </c>
      <c r="S221" s="1024">
        <f t="shared" si="175"/>
        <v>0</v>
      </c>
      <c r="T221" s="1024">
        <f t="shared" si="175"/>
        <v>0</v>
      </c>
      <c r="U221" s="1024">
        <f t="shared" si="175"/>
        <v>0</v>
      </c>
      <c r="V221" s="1024">
        <f t="shared" si="175"/>
        <v>0</v>
      </c>
      <c r="W221" s="1024">
        <f t="shared" si="175"/>
        <v>0</v>
      </c>
      <c r="X221" s="1024">
        <f t="shared" si="175"/>
        <v>0</v>
      </c>
      <c r="Y221" s="1024">
        <f t="shared" si="175"/>
        <v>0</v>
      </c>
      <c r="Z221" s="1025">
        <f t="shared" si="175"/>
        <v>0</v>
      </c>
      <c r="AA221" s="1026">
        <f t="shared" si="175"/>
        <v>0</v>
      </c>
      <c r="AB221" s="1027">
        <f t="shared" si="175"/>
        <v>0</v>
      </c>
      <c r="AC221" s="1027">
        <f t="shared" si="175"/>
        <v>0</v>
      </c>
      <c r="AD221" s="1027">
        <f t="shared" si="175"/>
        <v>0</v>
      </c>
      <c r="AE221" s="1027">
        <f t="shared" si="175"/>
        <v>0</v>
      </c>
      <c r="AF221" s="1027">
        <f t="shared" si="175"/>
        <v>0</v>
      </c>
      <c r="AG221" s="1027">
        <f t="shared" si="175"/>
        <v>0</v>
      </c>
      <c r="AH221" s="1028">
        <f t="shared" si="175"/>
        <v>0</v>
      </c>
      <c r="AI221" s="1028">
        <f t="shared" si="175"/>
        <v>0</v>
      </c>
      <c r="AJ221" s="1028">
        <f t="shared" si="175"/>
        <v>0</v>
      </c>
      <c r="AK221" s="1028">
        <f t="shared" si="175"/>
        <v>0</v>
      </c>
      <c r="AL221" s="1028">
        <f t="shared" si="175"/>
        <v>0</v>
      </c>
      <c r="AM221" s="1025">
        <f t="shared" si="175"/>
        <v>0</v>
      </c>
      <c r="AN221" s="1024">
        <f t="shared" si="175"/>
        <v>0</v>
      </c>
      <c r="AO221" s="1024">
        <f t="shared" si="175"/>
        <v>0</v>
      </c>
      <c r="AP221" s="1024">
        <f t="shared" si="175"/>
        <v>0</v>
      </c>
      <c r="AQ221" s="1024">
        <f t="shared" si="175"/>
        <v>0</v>
      </c>
      <c r="AR221" s="1024">
        <f t="shared" si="175"/>
        <v>0</v>
      </c>
      <c r="AS221" s="1024">
        <f t="shared" ref="AS221:BX221" si="176">SUBTOTAL(9,AS222:AS257)</f>
        <v>0</v>
      </c>
      <c r="AT221" s="1024">
        <f t="shared" si="176"/>
        <v>0</v>
      </c>
      <c r="AU221" s="1024">
        <f t="shared" si="176"/>
        <v>0</v>
      </c>
      <c r="AV221" s="1024">
        <f t="shared" si="176"/>
        <v>243666.40000000002</v>
      </c>
      <c r="AW221" s="1024">
        <f t="shared" si="176"/>
        <v>38952</v>
      </c>
      <c r="AX221" s="1024">
        <f t="shared" si="176"/>
        <v>0</v>
      </c>
      <c r="AY221" s="1024">
        <f t="shared" si="176"/>
        <v>0</v>
      </c>
      <c r="AZ221" s="1024">
        <f t="shared" si="176"/>
        <v>282618.40000000002</v>
      </c>
      <c r="BA221" s="1024">
        <f t="shared" si="176"/>
        <v>100607.28140000001</v>
      </c>
      <c r="BB221" s="1024">
        <f t="shared" si="176"/>
        <v>206537.67820000002</v>
      </c>
      <c r="BC221" s="1024">
        <f t="shared" si="176"/>
        <v>165230.14256000001</v>
      </c>
      <c r="BD221" s="1024">
        <f t="shared" si="176"/>
        <v>144576.37474000003</v>
      </c>
      <c r="BE221" s="1024">
        <f t="shared" si="176"/>
        <v>162823.22274000006</v>
      </c>
      <c r="BF221" s="1024">
        <f t="shared" si="176"/>
        <v>249486.8242400001</v>
      </c>
      <c r="BG221" s="1024">
        <f t="shared" si="176"/>
        <v>341218.60030000005</v>
      </c>
      <c r="BH221" s="1024">
        <f t="shared" si="176"/>
        <v>228728.19980000003</v>
      </c>
      <c r="BI221" s="1024">
        <f t="shared" si="176"/>
        <v>315442.93661999999</v>
      </c>
      <c r="BJ221" s="1024">
        <f t="shared" si="176"/>
        <v>578428.71711999993</v>
      </c>
      <c r="BK221" s="1024">
        <f t="shared" si="176"/>
        <v>501905.76900000003</v>
      </c>
      <c r="BL221" s="1024">
        <f t="shared" si="176"/>
        <v>653366.88323999988</v>
      </c>
      <c r="BM221" s="1024">
        <f t="shared" si="176"/>
        <v>3648352.62996</v>
      </c>
      <c r="BN221" s="1024">
        <f t="shared" si="176"/>
        <v>340028.53013999999</v>
      </c>
      <c r="BO221" s="1024">
        <f t="shared" si="176"/>
        <v>500247.96315999993</v>
      </c>
      <c r="BP221" s="1024">
        <f t="shared" si="176"/>
        <v>252923.04454</v>
      </c>
      <c r="BQ221" s="1024">
        <f t="shared" si="176"/>
        <v>248217.68873333337</v>
      </c>
      <c r="BR221" s="1024">
        <f t="shared" si="176"/>
        <v>0</v>
      </c>
      <c r="BS221" s="1024">
        <f t="shared" si="176"/>
        <v>0</v>
      </c>
      <c r="BT221" s="1024">
        <f t="shared" si="176"/>
        <v>0</v>
      </c>
      <c r="BU221" s="1024">
        <f t="shared" si="176"/>
        <v>0</v>
      </c>
      <c r="BV221" s="1024">
        <f t="shared" si="176"/>
        <v>0</v>
      </c>
      <c r="BW221" s="1024">
        <f t="shared" si="176"/>
        <v>0</v>
      </c>
      <c r="BX221" s="1024">
        <f t="shared" si="176"/>
        <v>0</v>
      </c>
      <c r="BY221" s="1024">
        <f t="shared" ref="BY221:CF221" si="177">SUBTOTAL(9,BY222:BY257)</f>
        <v>0</v>
      </c>
      <c r="BZ221" s="1029">
        <f t="shared" si="177"/>
        <v>1341417.2265733336</v>
      </c>
      <c r="CA221" s="1030">
        <f t="shared" si="177"/>
        <v>5272388.2565333331</v>
      </c>
      <c r="CB221" s="1031">
        <f t="shared" si="177"/>
        <v>0</v>
      </c>
      <c r="CC221" s="1023">
        <f t="shared" si="177"/>
        <v>5272388.2565333331</v>
      </c>
      <c r="CD221" s="1023">
        <f t="shared" si="177"/>
        <v>-327611.4767999989</v>
      </c>
      <c r="CE221" s="1023">
        <f t="shared" si="177"/>
        <v>5789848.9469999997</v>
      </c>
      <c r="CF221" s="1023">
        <f t="shared" si="177"/>
        <v>-517460.69046666648</v>
      </c>
      <c r="CG221" s="1029"/>
      <c r="CH221" s="972"/>
      <c r="CI221" s="1083">
        <f>SUBTOTAL(9,CI222:CI257)</f>
        <v>3273997.8900000006</v>
      </c>
      <c r="CJ221" s="1083">
        <f>SUBTOTAL(9,CJ222:CJ257)</f>
        <v>-1998390.3665333334</v>
      </c>
      <c r="CL221" s="1037">
        <f>SUBTOTAL(9,CL222:CL257)</f>
        <v>4076000</v>
      </c>
      <c r="CM221" s="976">
        <f t="shared" si="174"/>
        <v>-1196388.2565333331</v>
      </c>
    </row>
    <row r="222" spans="1:91" s="1120" customFormat="1" ht="25.5" customHeight="1" outlineLevel="1">
      <c r="A222" s="1100"/>
      <c r="B222" s="1101"/>
      <c r="C222" s="1145"/>
      <c r="D222" s="1450" t="s">
        <v>759</v>
      </c>
      <c r="E222" s="1460"/>
      <c r="F222" s="1103">
        <v>0</v>
      </c>
      <c r="G222" s="1103">
        <v>1298399.7333333334</v>
      </c>
      <c r="H222" s="1103">
        <v>0</v>
      </c>
      <c r="I222" s="1103">
        <v>1298399.7333333334</v>
      </c>
      <c r="J222" s="1104"/>
      <c r="K222" s="1105"/>
      <c r="L222" s="1106"/>
      <c r="M222" s="1107"/>
      <c r="N222" s="1103"/>
      <c r="O222" s="1108"/>
      <c r="P222" s="1108"/>
      <c r="Q222" s="1108"/>
      <c r="R222" s="1108"/>
      <c r="S222" s="1108"/>
      <c r="T222" s="1108"/>
      <c r="U222" s="1108"/>
      <c r="V222" s="1108"/>
      <c r="W222" s="1108"/>
      <c r="X222" s="1108"/>
      <c r="Y222" s="1108"/>
      <c r="Z222" s="1109">
        <f t="shared" ref="Z222:Z260" si="178">SUM(N222:Y222)</f>
        <v>0</v>
      </c>
      <c r="AA222" s="1110"/>
      <c r="AB222" s="1111"/>
      <c r="AC222" s="1111"/>
      <c r="AD222" s="1111"/>
      <c r="AE222" s="1111"/>
      <c r="AF222" s="1111"/>
      <c r="AG222" s="1111"/>
      <c r="AH222" s="1112"/>
      <c r="AI222" s="1112"/>
      <c r="AJ222" s="1112"/>
      <c r="AK222" s="1112"/>
      <c r="AL222" s="1112"/>
      <c r="AM222" s="1109">
        <f t="shared" ref="AM222:AM260" si="179">SUM(AA222:AL222)</f>
        <v>0</v>
      </c>
      <c r="AN222" s="1108"/>
      <c r="AO222" s="1108"/>
      <c r="AP222" s="1108"/>
      <c r="AQ222" s="1108"/>
      <c r="AR222" s="1103"/>
      <c r="AS222" s="1103"/>
      <c r="AT222" s="1103"/>
      <c r="AU222" s="1108"/>
      <c r="AV222" s="1108">
        <f>(93000+132200)*1.082</f>
        <v>243666.40000000002</v>
      </c>
      <c r="AW222" s="1108">
        <f>36000*1.082</f>
        <v>38952</v>
      </c>
      <c r="AX222" s="1108"/>
      <c r="AY222" s="1108">
        <v>0</v>
      </c>
      <c r="AZ222" s="1108">
        <f t="shared" ref="AZ222:AZ260" si="180">SUM(AN222:AY222)</f>
        <v>282618.40000000002</v>
      </c>
      <c r="BA222" s="1108">
        <f>92982.7*1.082</f>
        <v>100607.28140000001</v>
      </c>
      <c r="BB222" s="1108">
        <f>98085.1*1.082</f>
        <v>106128.07820000002</v>
      </c>
      <c r="BC222" s="1108">
        <f>152708.08*1.082</f>
        <v>165230.14256000001</v>
      </c>
      <c r="BD222" s="1108">
        <f>133619.57*1.082</f>
        <v>144576.37474000003</v>
      </c>
      <c r="BE222" s="1108">
        <f>133619.57*1.082</f>
        <v>144576.37474000003</v>
      </c>
      <c r="BF222" s="1108">
        <f>133619.57*1.082</f>
        <v>144576.37474000003</v>
      </c>
      <c r="BG222" s="1108">
        <f>95442.55*1.082</f>
        <v>103268.83910000001</v>
      </c>
      <c r="BH222" s="1108">
        <f>79822.5*1.082</f>
        <v>86367.945000000007</v>
      </c>
      <c r="BI222" s="1108">
        <f>39911.25*1.082</f>
        <v>43183.972500000003</v>
      </c>
      <c r="BJ222" s="1108">
        <f>39911.25*1.082</f>
        <v>43183.972500000003</v>
      </c>
      <c r="BK222" s="1108">
        <f>39911.25*1.082</f>
        <v>43183.972500000003</v>
      </c>
      <c r="BL222" s="1113">
        <f>+(131602+39911.25)*1.082</f>
        <v>185577.3365</v>
      </c>
      <c r="BM222" s="1108">
        <f t="shared" ref="BM222:BM260" si="181">SUM(BA222:BL222)</f>
        <v>1310460.66448</v>
      </c>
      <c r="BN222" s="1108">
        <f>+(60536.92+39911.25)*1.082</f>
        <v>108684.91994000001</v>
      </c>
      <c r="BO222" s="1108">
        <f>79822.5*1.082</f>
        <v>86367.945000000007</v>
      </c>
      <c r="BP222" s="1108">
        <f>31929*1.082</f>
        <v>34547.178</v>
      </c>
      <c r="BQ222" s="1311">
        <f>(+(7896.12+63858)*1.082)*(25/30)</f>
        <v>64698.298200000005</v>
      </c>
      <c r="BR222" s="1093">
        <v>0</v>
      </c>
      <c r="BS222" s="1093">
        <v>0</v>
      </c>
      <c r="BT222" s="1108"/>
      <c r="BU222" s="1108"/>
      <c r="BV222" s="1108"/>
      <c r="BW222" s="1108"/>
      <c r="BX222" s="1108"/>
      <c r="BY222" s="1108"/>
      <c r="BZ222" s="1114">
        <f t="shared" ref="BZ222:BZ260" si="182">SUM(BN222:BY222)</f>
        <v>294298.34114000003</v>
      </c>
      <c r="CA222" s="1146">
        <f t="shared" ref="CA222:CA260" si="183">SUMIF(($M$1:$BZ$1),"Actual",(M222:BZ222))</f>
        <v>1887377.4056200001</v>
      </c>
      <c r="CB222" s="1116">
        <f t="shared" ref="CB222:CB260" si="184">SUMIF(($M$1:$BZ$1),"Forecast",(M222:BZ222))</f>
        <v>0</v>
      </c>
      <c r="CC222" s="1103">
        <f t="shared" ref="CC222:CC260" si="185">+CA222+CB222</f>
        <v>1887377.4056200001</v>
      </c>
      <c r="CD222" s="1103">
        <f t="shared" ref="CD222:CD260" si="186">+CC222-I222</f>
        <v>588977.6722866667</v>
      </c>
      <c r="CE222" s="1103">
        <v>2031542.81442</v>
      </c>
      <c r="CF222" s="1103">
        <f t="shared" ref="CF222:CF260" si="187">+CC222-CE222</f>
        <v>-144165.40879999986</v>
      </c>
      <c r="CG222" s="1114"/>
      <c r="CH222" s="1117"/>
      <c r="CI222" s="1119">
        <f>(1908851*1.082)-33833</f>
        <v>2031543.7820000001</v>
      </c>
      <c r="CJ222" s="1119">
        <f t="shared" ref="CJ222:CJ260" si="188">+CI222-CC222</f>
        <v>144166.37638000003</v>
      </c>
      <c r="CL222" s="1121">
        <v>0</v>
      </c>
      <c r="CM222" s="1121">
        <f t="shared" si="174"/>
        <v>-1887377.4056200001</v>
      </c>
    </row>
    <row r="223" spans="1:91" s="1032" customFormat="1" outlineLevel="1">
      <c r="A223" s="1091"/>
      <c r="B223" s="1015"/>
      <c r="C223" s="1147"/>
      <c r="D223" s="1148" t="s">
        <v>760</v>
      </c>
      <c r="E223" s="1085"/>
      <c r="F223" s="1023"/>
      <c r="G223" s="1023"/>
      <c r="H223" s="1023"/>
      <c r="I223" s="1023"/>
      <c r="J223" s="1019"/>
      <c r="K223" s="1020"/>
      <c r="L223" s="1021"/>
      <c r="M223" s="1022"/>
      <c r="N223" s="1023"/>
      <c r="O223" s="1024"/>
      <c r="P223" s="1024"/>
      <c r="Q223" s="1024"/>
      <c r="R223" s="1024"/>
      <c r="S223" s="1024"/>
      <c r="T223" s="1024"/>
      <c r="U223" s="1024"/>
      <c r="V223" s="1024"/>
      <c r="W223" s="1024"/>
      <c r="X223" s="1024"/>
      <c r="Y223" s="1024"/>
      <c r="Z223" s="1025">
        <f t="shared" si="178"/>
        <v>0</v>
      </c>
      <c r="AA223" s="1026"/>
      <c r="AB223" s="1027"/>
      <c r="AC223" s="1027"/>
      <c r="AD223" s="1027"/>
      <c r="AE223" s="1027"/>
      <c r="AF223" s="1027"/>
      <c r="AG223" s="1027"/>
      <c r="AH223" s="1028"/>
      <c r="AI223" s="1028"/>
      <c r="AJ223" s="1028"/>
      <c r="AK223" s="1028"/>
      <c r="AL223" s="1028"/>
      <c r="AM223" s="1025">
        <f t="shared" si="179"/>
        <v>0</v>
      </c>
      <c r="AN223" s="1024"/>
      <c r="AO223" s="1024"/>
      <c r="AP223" s="1024"/>
      <c r="AQ223" s="1024"/>
      <c r="AR223" s="1024"/>
      <c r="AS223" s="1024"/>
      <c r="AT223" s="1024"/>
      <c r="AU223" s="1024"/>
      <c r="AV223" s="1024"/>
      <c r="AW223" s="1024"/>
      <c r="AX223" s="1024"/>
      <c r="AY223" s="1024"/>
      <c r="AZ223" s="1024">
        <f t="shared" si="180"/>
        <v>0</v>
      </c>
      <c r="BA223" s="1024"/>
      <c r="BB223" s="1024">
        <f>92800*1.082</f>
        <v>100409.60000000001</v>
      </c>
      <c r="BC223" s="1024"/>
      <c r="BD223" s="1024"/>
      <c r="BE223" s="1024"/>
      <c r="BF223" s="1024"/>
      <c r="BG223" s="1024"/>
      <c r="BH223" s="1024"/>
      <c r="BI223" s="1024"/>
      <c r="BJ223" s="1024"/>
      <c r="BK223" s="1024"/>
      <c r="BL223" s="1024"/>
      <c r="BM223" s="1024">
        <f t="shared" si="181"/>
        <v>100409.60000000001</v>
      </c>
      <c r="BN223" s="1024"/>
      <c r="BO223" s="1024"/>
      <c r="BP223" s="1024"/>
      <c r="BQ223" s="1024"/>
      <c r="BR223" s="1024"/>
      <c r="BS223" s="1024"/>
      <c r="BT223" s="1024"/>
      <c r="BU223" s="1024"/>
      <c r="BV223" s="1024"/>
      <c r="BW223" s="1024"/>
      <c r="BX223" s="1024"/>
      <c r="BY223" s="1024"/>
      <c r="BZ223" s="1029">
        <f t="shared" si="182"/>
        <v>0</v>
      </c>
      <c r="CA223" s="1018">
        <f t="shared" si="183"/>
        <v>100409.60000000001</v>
      </c>
      <c r="CB223" s="1031">
        <f t="shared" si="184"/>
        <v>0</v>
      </c>
      <c r="CC223" s="1023">
        <f t="shared" si="185"/>
        <v>100409.60000000001</v>
      </c>
      <c r="CD223" s="1023">
        <f t="shared" si="186"/>
        <v>100409.60000000001</v>
      </c>
      <c r="CE223" s="1023">
        <v>100409.60000000001</v>
      </c>
      <c r="CF223" s="1023">
        <f t="shared" si="187"/>
        <v>0</v>
      </c>
      <c r="CG223" s="1029"/>
      <c r="CH223" s="972"/>
      <c r="CI223" s="1094">
        <v>0</v>
      </c>
      <c r="CJ223" s="1083">
        <f t="shared" si="188"/>
        <v>-100409.60000000001</v>
      </c>
      <c r="CL223" s="976">
        <v>0</v>
      </c>
      <c r="CM223" s="976">
        <f t="shared" si="174"/>
        <v>-100409.60000000001</v>
      </c>
    </row>
    <row r="224" spans="1:91" s="1032" customFormat="1" outlineLevel="1">
      <c r="A224" s="1091"/>
      <c r="B224" s="1015"/>
      <c r="C224" s="1097"/>
      <c r="D224" s="1149" t="s">
        <v>761</v>
      </c>
      <c r="E224" s="1085"/>
      <c r="F224" s="1023">
        <v>0</v>
      </c>
      <c r="G224" s="1023">
        <v>0</v>
      </c>
      <c r="H224" s="1023">
        <v>0</v>
      </c>
      <c r="I224" s="1023">
        <v>0</v>
      </c>
      <c r="J224" s="1019"/>
      <c r="K224" s="1020"/>
      <c r="L224" s="1021"/>
      <c r="M224" s="1022"/>
      <c r="N224" s="1023"/>
      <c r="O224" s="1024"/>
      <c r="P224" s="1024"/>
      <c r="Q224" s="1024"/>
      <c r="R224" s="1024"/>
      <c r="S224" s="1024"/>
      <c r="T224" s="1024"/>
      <c r="U224" s="1024"/>
      <c r="V224" s="1024"/>
      <c r="W224" s="1024"/>
      <c r="X224" s="1024"/>
      <c r="Y224" s="1024"/>
      <c r="Z224" s="1025">
        <f t="shared" si="178"/>
        <v>0</v>
      </c>
      <c r="AA224" s="1026"/>
      <c r="AB224" s="1027"/>
      <c r="AC224" s="1027"/>
      <c r="AD224" s="1027"/>
      <c r="AE224" s="1027"/>
      <c r="AF224" s="1027"/>
      <c r="AG224" s="1027"/>
      <c r="AH224" s="1028"/>
      <c r="AI224" s="1028"/>
      <c r="AJ224" s="1028"/>
      <c r="AK224" s="1028"/>
      <c r="AL224" s="1028"/>
      <c r="AM224" s="1025">
        <f t="shared" si="179"/>
        <v>0</v>
      </c>
      <c r="AN224" s="1024"/>
      <c r="AO224" s="1024"/>
      <c r="AP224" s="1024"/>
      <c r="AQ224" s="1024"/>
      <c r="AR224" s="1023"/>
      <c r="AS224" s="1023"/>
      <c r="AT224" s="1023"/>
      <c r="AU224" s="1024"/>
      <c r="AV224" s="1024"/>
      <c r="AW224" s="1024"/>
      <c r="AX224" s="1024"/>
      <c r="AY224" s="1076"/>
      <c r="AZ224" s="1024">
        <f t="shared" si="180"/>
        <v>0</v>
      </c>
      <c r="BA224" s="1024"/>
      <c r="BB224" s="1024"/>
      <c r="BC224" s="1024">
        <v>0</v>
      </c>
      <c r="BD224" s="1024"/>
      <c r="BE224" s="1024"/>
      <c r="BF224" s="1024"/>
      <c r="BG224" s="1024"/>
      <c r="BH224" s="1024"/>
      <c r="BI224" s="1024"/>
      <c r="BJ224" s="1024"/>
      <c r="BK224" s="1024"/>
      <c r="BL224" s="1024"/>
      <c r="BM224" s="1024">
        <f t="shared" si="181"/>
        <v>0</v>
      </c>
      <c r="BN224" s="1024"/>
      <c r="BO224" s="1024"/>
      <c r="BP224" s="1024"/>
      <c r="BQ224" s="1024"/>
      <c r="BR224" s="1024"/>
      <c r="BS224" s="1024"/>
      <c r="BT224" s="1024"/>
      <c r="BU224" s="1024"/>
      <c r="BV224" s="1024"/>
      <c r="BW224" s="1024"/>
      <c r="BX224" s="1024"/>
      <c r="BY224" s="1024"/>
      <c r="BZ224" s="1029">
        <f t="shared" si="182"/>
        <v>0</v>
      </c>
      <c r="CA224" s="1018">
        <f t="shared" si="183"/>
        <v>0</v>
      </c>
      <c r="CB224" s="1024">
        <f t="shared" si="184"/>
        <v>0</v>
      </c>
      <c r="CC224" s="1023">
        <f t="shared" si="185"/>
        <v>0</v>
      </c>
      <c r="CD224" s="1023">
        <f t="shared" si="186"/>
        <v>0</v>
      </c>
      <c r="CE224" s="1023">
        <v>0</v>
      </c>
      <c r="CF224" s="1023">
        <f t="shared" si="187"/>
        <v>0</v>
      </c>
      <c r="CG224" s="1029"/>
      <c r="CH224" s="972"/>
      <c r="CI224" s="1083">
        <v>0</v>
      </c>
      <c r="CJ224" s="1083">
        <f t="shared" si="188"/>
        <v>0</v>
      </c>
      <c r="CL224" s="976">
        <v>0</v>
      </c>
      <c r="CM224" s="976">
        <f t="shared" si="174"/>
        <v>0</v>
      </c>
    </row>
    <row r="225" spans="1:91" s="1032" customFormat="1" outlineLevel="1">
      <c r="A225" s="1091"/>
      <c r="B225" s="1015"/>
      <c r="C225" s="1097"/>
      <c r="D225" s="1150" t="s">
        <v>762</v>
      </c>
      <c r="E225" s="1098"/>
      <c r="F225" s="1023">
        <v>0</v>
      </c>
      <c r="G225" s="1023">
        <v>0</v>
      </c>
      <c r="H225" s="1023">
        <v>0</v>
      </c>
      <c r="I225" s="1023">
        <v>0</v>
      </c>
      <c r="J225" s="1019"/>
      <c r="K225" s="1020"/>
      <c r="L225" s="1021"/>
      <c r="M225" s="1022"/>
      <c r="N225" s="1023"/>
      <c r="O225" s="1024"/>
      <c r="P225" s="1024"/>
      <c r="Q225" s="1024"/>
      <c r="R225" s="1024"/>
      <c r="S225" s="1024"/>
      <c r="T225" s="1024"/>
      <c r="U225" s="1024"/>
      <c r="V225" s="1024"/>
      <c r="W225" s="1024"/>
      <c r="X225" s="1024"/>
      <c r="Y225" s="1024"/>
      <c r="Z225" s="1025">
        <f t="shared" si="178"/>
        <v>0</v>
      </c>
      <c r="AA225" s="1026"/>
      <c r="AB225" s="1027"/>
      <c r="AC225" s="1027"/>
      <c r="AD225" s="1027"/>
      <c r="AE225" s="1027"/>
      <c r="AF225" s="1027"/>
      <c r="AG225" s="1027"/>
      <c r="AH225" s="1028"/>
      <c r="AI225" s="1028"/>
      <c r="AJ225" s="1028"/>
      <c r="AK225" s="1028"/>
      <c r="AL225" s="1028"/>
      <c r="AM225" s="1025">
        <f t="shared" si="179"/>
        <v>0</v>
      </c>
      <c r="AN225" s="1024"/>
      <c r="AO225" s="1024"/>
      <c r="AP225" s="1024"/>
      <c r="AQ225" s="1024"/>
      <c r="AR225" s="1023"/>
      <c r="AS225" s="1023"/>
      <c r="AT225" s="1023"/>
      <c r="AU225" s="1024"/>
      <c r="AV225" s="1024"/>
      <c r="AW225" s="1024"/>
      <c r="AX225" s="1024"/>
      <c r="AY225" s="1076"/>
      <c r="AZ225" s="1024">
        <f t="shared" si="180"/>
        <v>0</v>
      </c>
      <c r="BA225" s="1024"/>
      <c r="BB225" s="1024"/>
      <c r="BC225" s="1024">
        <v>0</v>
      </c>
      <c r="BD225" s="1024"/>
      <c r="BE225" s="1024"/>
      <c r="BF225" s="1024">
        <f>12852.95*1.082</f>
        <v>13906.891900000002</v>
      </c>
      <c r="BG225" s="1024">
        <f>25705.9*1.082</f>
        <v>27813.783800000005</v>
      </c>
      <c r="BH225" s="1024"/>
      <c r="BI225" s="1024"/>
      <c r="BJ225" s="1024">
        <f>89970.65*1.082</f>
        <v>97348.243300000002</v>
      </c>
      <c r="BK225" s="1024"/>
      <c r="BL225" s="1076">
        <f>102823.6*1.082</f>
        <v>111255.13520000002</v>
      </c>
      <c r="BM225" s="1024">
        <f t="shared" si="181"/>
        <v>250324.05420000001</v>
      </c>
      <c r="BN225" s="1024"/>
      <c r="BO225" s="1024"/>
      <c r="BP225" s="1024"/>
      <c r="BQ225" s="1093">
        <f>(5141.18*1.082)*(25/30)</f>
        <v>4635.6306333333341</v>
      </c>
      <c r="BR225" s="1024"/>
      <c r="BS225" s="1024"/>
      <c r="BT225" s="1093">
        <v>0</v>
      </c>
      <c r="BU225" s="1024"/>
      <c r="BV225" s="1024"/>
      <c r="BW225" s="1024"/>
      <c r="BX225" s="1024"/>
      <c r="BY225" s="1024"/>
      <c r="BZ225" s="1029">
        <f t="shared" si="182"/>
        <v>4635.6306333333341</v>
      </c>
      <c r="CA225" s="1018">
        <f t="shared" si="183"/>
        <v>254959.68483333336</v>
      </c>
      <c r="CB225" s="1024">
        <f t="shared" si="184"/>
        <v>0</v>
      </c>
      <c r="CC225" s="1023">
        <f t="shared" si="185"/>
        <v>254959.68483333336</v>
      </c>
      <c r="CD225" s="1023">
        <f t="shared" si="186"/>
        <v>254959.68483333336</v>
      </c>
      <c r="CE225" s="1023">
        <v>278137.84220000001</v>
      </c>
      <c r="CF225" s="1023">
        <f t="shared" si="187"/>
        <v>-23178.157366666652</v>
      </c>
      <c r="CG225" s="1029"/>
      <c r="CH225" s="972"/>
      <c r="CI225" s="1083">
        <f>257059*1.082</f>
        <v>278137.83800000005</v>
      </c>
      <c r="CJ225" s="1083">
        <f t="shared" si="188"/>
        <v>23178.153166666685</v>
      </c>
      <c r="CL225" s="976">
        <v>0</v>
      </c>
      <c r="CM225" s="976">
        <f t="shared" si="174"/>
        <v>-254959.68483333336</v>
      </c>
    </row>
    <row r="226" spans="1:91" s="1032" customFormat="1" ht="25.5" customHeight="1" outlineLevel="1">
      <c r="A226" s="1091"/>
      <c r="B226" s="1015"/>
      <c r="C226" s="1097"/>
      <c r="D226" s="1448" t="s">
        <v>763</v>
      </c>
      <c r="E226" s="1449"/>
      <c r="F226" s="1151">
        <v>0</v>
      </c>
      <c r="G226" s="1151">
        <v>0</v>
      </c>
      <c r="H226" s="1151">
        <v>0</v>
      </c>
      <c r="I226" s="1151">
        <v>0</v>
      </c>
      <c r="J226" s="1152"/>
      <c r="K226" s="1152"/>
      <c r="L226" s="1152"/>
      <c r="M226" s="1153"/>
      <c r="N226" s="1151"/>
      <c r="O226" s="1154"/>
      <c r="P226" s="1154"/>
      <c r="Q226" s="1154"/>
      <c r="R226" s="1154"/>
      <c r="S226" s="1154"/>
      <c r="T226" s="1154"/>
      <c r="U226" s="1154"/>
      <c r="V226" s="1154"/>
      <c r="W226" s="1154"/>
      <c r="X226" s="1154"/>
      <c r="Y226" s="1154"/>
      <c r="Z226" s="1155">
        <f t="shared" si="178"/>
        <v>0</v>
      </c>
      <c r="AA226" s="1156"/>
      <c r="AB226" s="1157"/>
      <c r="AC226" s="1157"/>
      <c r="AD226" s="1157"/>
      <c r="AE226" s="1157"/>
      <c r="AF226" s="1157"/>
      <c r="AG226" s="1157"/>
      <c r="AH226" s="1158"/>
      <c r="AI226" s="1158"/>
      <c r="AJ226" s="1158"/>
      <c r="AK226" s="1158"/>
      <c r="AL226" s="1158"/>
      <c r="AM226" s="1155">
        <f t="shared" si="179"/>
        <v>0</v>
      </c>
      <c r="AN226" s="1154"/>
      <c r="AO226" s="1154"/>
      <c r="AP226" s="1154"/>
      <c r="AQ226" s="1154"/>
      <c r="AR226" s="1151"/>
      <c r="AS226" s="1151"/>
      <c r="AT226" s="1151"/>
      <c r="AU226" s="1154"/>
      <c r="AV226" s="1154"/>
      <c r="AW226" s="1154"/>
      <c r="AX226" s="1154"/>
      <c r="AY226" s="1159"/>
      <c r="AZ226" s="1154">
        <f t="shared" si="180"/>
        <v>0</v>
      </c>
      <c r="BA226" s="1154"/>
      <c r="BB226" s="1154"/>
      <c r="BC226" s="1154">
        <v>0</v>
      </c>
      <c r="BD226" s="1154"/>
      <c r="BE226" s="1154">
        <f>7349.5*1.082</f>
        <v>7952.1590000000006</v>
      </c>
      <c r="BF226" s="1154">
        <f>7349.5*1.082</f>
        <v>7952.1590000000006</v>
      </c>
      <c r="BG226" s="1154"/>
      <c r="BH226" s="1154"/>
      <c r="BI226" s="1154"/>
      <c r="BJ226" s="1154"/>
      <c r="BK226" s="1154"/>
      <c r="BL226" s="1154"/>
      <c r="BM226" s="1154">
        <f t="shared" si="181"/>
        <v>15904.318000000001</v>
      </c>
      <c r="BN226" s="1154"/>
      <c r="BO226" s="1154"/>
      <c r="BP226" s="1154"/>
      <c r="BQ226" s="1154"/>
      <c r="BR226" s="1154"/>
      <c r="BS226" s="1154"/>
      <c r="BT226" s="1154"/>
      <c r="BU226" s="1154"/>
      <c r="BV226" s="1154"/>
      <c r="BW226" s="1154"/>
      <c r="BX226" s="1154"/>
      <c r="BY226" s="1154"/>
      <c r="BZ226" s="1160">
        <f t="shared" si="182"/>
        <v>0</v>
      </c>
      <c r="CA226" s="1161">
        <f t="shared" si="183"/>
        <v>15904.318000000001</v>
      </c>
      <c r="CB226" s="1154">
        <f t="shared" si="184"/>
        <v>0</v>
      </c>
      <c r="CC226" s="1151">
        <f t="shared" si="185"/>
        <v>15904.318000000001</v>
      </c>
      <c r="CD226" s="1151">
        <f t="shared" si="186"/>
        <v>15904.318000000001</v>
      </c>
      <c r="CE226" s="1151">
        <v>15904.318000000001</v>
      </c>
      <c r="CF226" s="1151">
        <f t="shared" si="187"/>
        <v>0</v>
      </c>
      <c r="CG226" s="1160"/>
      <c r="CH226" s="1162"/>
      <c r="CI226" s="1163">
        <f>14699*1.082</f>
        <v>15904.318000000001</v>
      </c>
      <c r="CJ226" s="1163">
        <f t="shared" si="188"/>
        <v>0</v>
      </c>
      <c r="CL226" s="976">
        <v>0</v>
      </c>
      <c r="CM226" s="976">
        <f t="shared" si="174"/>
        <v>-15904.318000000001</v>
      </c>
    </row>
    <row r="227" spans="1:91" s="1032" customFormat="1" ht="25.5" customHeight="1" outlineLevel="1">
      <c r="A227" s="1091"/>
      <c r="B227" s="1015"/>
      <c r="C227" s="1097"/>
      <c r="D227" s="1448" t="s">
        <v>764</v>
      </c>
      <c r="E227" s="1449"/>
      <c r="F227" s="1103">
        <v>0</v>
      </c>
      <c r="G227" s="1103">
        <v>0</v>
      </c>
      <c r="H227" s="1103">
        <v>0</v>
      </c>
      <c r="I227" s="1103">
        <v>0</v>
      </c>
      <c r="J227" s="1104"/>
      <c r="K227" s="1105"/>
      <c r="L227" s="1106"/>
      <c r="M227" s="1107"/>
      <c r="N227" s="1103"/>
      <c r="O227" s="1108"/>
      <c r="P227" s="1108"/>
      <c r="Q227" s="1108"/>
      <c r="R227" s="1108"/>
      <c r="S227" s="1108"/>
      <c r="T227" s="1108"/>
      <c r="U227" s="1108"/>
      <c r="V227" s="1108"/>
      <c r="W227" s="1108"/>
      <c r="X227" s="1108"/>
      <c r="Y227" s="1108"/>
      <c r="Z227" s="1109">
        <f t="shared" si="178"/>
        <v>0</v>
      </c>
      <c r="AA227" s="1110"/>
      <c r="AB227" s="1111"/>
      <c r="AC227" s="1111"/>
      <c r="AD227" s="1111"/>
      <c r="AE227" s="1111"/>
      <c r="AF227" s="1111"/>
      <c r="AG227" s="1111"/>
      <c r="AH227" s="1112"/>
      <c r="AI227" s="1112"/>
      <c r="AJ227" s="1112"/>
      <c r="AK227" s="1112"/>
      <c r="AL227" s="1112"/>
      <c r="AM227" s="1109">
        <f t="shared" si="179"/>
        <v>0</v>
      </c>
      <c r="AN227" s="1108"/>
      <c r="AO227" s="1108"/>
      <c r="AP227" s="1108"/>
      <c r="AQ227" s="1108"/>
      <c r="AR227" s="1103"/>
      <c r="AS227" s="1103"/>
      <c r="AT227" s="1103"/>
      <c r="AU227" s="1108"/>
      <c r="AV227" s="1108"/>
      <c r="AW227" s="1108"/>
      <c r="AX227" s="1108"/>
      <c r="AY227" s="1113"/>
      <c r="AZ227" s="1108">
        <f t="shared" si="180"/>
        <v>0</v>
      </c>
      <c r="BA227" s="1108"/>
      <c r="BB227" s="1108"/>
      <c r="BC227" s="1108">
        <v>0</v>
      </c>
      <c r="BD227" s="1108"/>
      <c r="BE227" s="1108">
        <f>4757.25*1.082</f>
        <v>5147.3445000000002</v>
      </c>
      <c r="BF227" s="1108">
        <f>1585.75*1.082</f>
        <v>1715.7815000000001</v>
      </c>
      <c r="BG227" s="1108"/>
      <c r="BH227" s="1108"/>
      <c r="BI227" s="1108"/>
      <c r="BJ227" s="1108"/>
      <c r="BK227" s="1108"/>
      <c r="BL227" s="1108"/>
      <c r="BM227" s="1108">
        <f t="shared" si="181"/>
        <v>6863.1260000000002</v>
      </c>
      <c r="BN227" s="1108"/>
      <c r="BO227" s="1108"/>
      <c r="BP227" s="1108"/>
      <c r="BQ227" s="1108"/>
      <c r="BR227" s="1108"/>
      <c r="BS227" s="1108"/>
      <c r="BT227" s="1108"/>
      <c r="BU227" s="1108"/>
      <c r="BV227" s="1108"/>
      <c r="BW227" s="1108"/>
      <c r="BX227" s="1108"/>
      <c r="BY227" s="1108"/>
      <c r="BZ227" s="1114">
        <f t="shared" si="182"/>
        <v>0</v>
      </c>
      <c r="CA227" s="1146">
        <f t="shared" si="183"/>
        <v>6863.1260000000002</v>
      </c>
      <c r="CB227" s="1108">
        <f t="shared" si="184"/>
        <v>0</v>
      </c>
      <c r="CC227" s="1103">
        <f t="shared" si="185"/>
        <v>6863.1260000000002</v>
      </c>
      <c r="CD227" s="1103">
        <f t="shared" si="186"/>
        <v>6863.1260000000002</v>
      </c>
      <c r="CE227" s="1103">
        <v>6863.1260000000002</v>
      </c>
      <c r="CF227" s="1103">
        <f t="shared" si="187"/>
        <v>0</v>
      </c>
      <c r="CG227" s="1114"/>
      <c r="CH227" s="1117"/>
      <c r="CI227" s="1119">
        <f>6343*1.082</f>
        <v>6863.1260000000002</v>
      </c>
      <c r="CJ227" s="1119">
        <f t="shared" si="188"/>
        <v>0</v>
      </c>
      <c r="CL227" s="976">
        <v>0</v>
      </c>
      <c r="CM227" s="976">
        <f t="shared" si="174"/>
        <v>-6863.1260000000002</v>
      </c>
    </row>
    <row r="228" spans="1:91" s="1032" customFormat="1" outlineLevel="1">
      <c r="A228" s="1091"/>
      <c r="B228" s="1015"/>
      <c r="C228" s="1097"/>
      <c r="D228" s="1448" t="s">
        <v>765</v>
      </c>
      <c r="E228" s="1449"/>
      <c r="F228" s="1103">
        <v>0</v>
      </c>
      <c r="G228" s="1103">
        <v>0</v>
      </c>
      <c r="H228" s="1103">
        <v>0</v>
      </c>
      <c r="I228" s="1103">
        <v>0</v>
      </c>
      <c r="J228" s="1104"/>
      <c r="K228" s="1105"/>
      <c r="L228" s="1106"/>
      <c r="M228" s="1107"/>
      <c r="N228" s="1103"/>
      <c r="O228" s="1108"/>
      <c r="P228" s="1108"/>
      <c r="Q228" s="1108"/>
      <c r="R228" s="1108"/>
      <c r="S228" s="1108"/>
      <c r="T228" s="1108"/>
      <c r="U228" s="1108"/>
      <c r="V228" s="1108"/>
      <c r="W228" s="1108"/>
      <c r="X228" s="1108"/>
      <c r="Y228" s="1108"/>
      <c r="Z228" s="1109">
        <f t="shared" si="178"/>
        <v>0</v>
      </c>
      <c r="AA228" s="1110"/>
      <c r="AB228" s="1111"/>
      <c r="AC228" s="1111"/>
      <c r="AD228" s="1111"/>
      <c r="AE228" s="1111"/>
      <c r="AF228" s="1111"/>
      <c r="AG228" s="1111"/>
      <c r="AH228" s="1112"/>
      <c r="AI228" s="1112"/>
      <c r="AJ228" s="1112"/>
      <c r="AK228" s="1112"/>
      <c r="AL228" s="1112"/>
      <c r="AM228" s="1109">
        <f t="shared" si="179"/>
        <v>0</v>
      </c>
      <c r="AN228" s="1108"/>
      <c r="AO228" s="1108"/>
      <c r="AP228" s="1108"/>
      <c r="AQ228" s="1108"/>
      <c r="AR228" s="1103"/>
      <c r="AS228" s="1103"/>
      <c r="AT228" s="1103"/>
      <c r="AU228" s="1108"/>
      <c r="AV228" s="1108"/>
      <c r="AW228" s="1108"/>
      <c r="AX228" s="1108"/>
      <c r="AY228" s="1113"/>
      <c r="AZ228" s="1108">
        <f t="shared" si="180"/>
        <v>0</v>
      </c>
      <c r="BA228" s="1108"/>
      <c r="BB228" s="1108"/>
      <c r="BC228" s="1108">
        <v>0</v>
      </c>
      <c r="BD228" s="1108"/>
      <c r="BE228" s="1108">
        <f>4757.25*1.082</f>
        <v>5147.3445000000002</v>
      </c>
      <c r="BF228" s="1108">
        <f>1585.75*1.082</f>
        <v>1715.7815000000001</v>
      </c>
      <c r="BG228" s="1108"/>
      <c r="BH228" s="1108"/>
      <c r="BI228" s="1108"/>
      <c r="BJ228" s="1108"/>
      <c r="BK228" s="1108"/>
      <c r="BL228" s="1108"/>
      <c r="BM228" s="1108">
        <f t="shared" si="181"/>
        <v>6863.1260000000002</v>
      </c>
      <c r="BN228" s="1108"/>
      <c r="BO228" s="1108"/>
      <c r="BP228" s="1108"/>
      <c r="BQ228" s="1108"/>
      <c r="BR228" s="1108"/>
      <c r="BS228" s="1108"/>
      <c r="BT228" s="1108"/>
      <c r="BU228" s="1108"/>
      <c r="BV228" s="1108"/>
      <c r="BW228" s="1108"/>
      <c r="BX228" s="1108"/>
      <c r="BY228" s="1108"/>
      <c r="BZ228" s="1114">
        <f t="shared" si="182"/>
        <v>0</v>
      </c>
      <c r="CA228" s="1146">
        <f t="shared" si="183"/>
        <v>6863.1260000000002</v>
      </c>
      <c r="CB228" s="1108">
        <f t="shared" si="184"/>
        <v>0</v>
      </c>
      <c r="CC228" s="1103">
        <f t="shared" si="185"/>
        <v>6863.1260000000002</v>
      </c>
      <c r="CD228" s="1103">
        <f t="shared" si="186"/>
        <v>6863.1260000000002</v>
      </c>
      <c r="CE228" s="1103">
        <v>6863.1260000000002</v>
      </c>
      <c r="CF228" s="1103">
        <f t="shared" si="187"/>
        <v>0</v>
      </c>
      <c r="CG228" s="1114"/>
      <c r="CH228" s="1117"/>
      <c r="CI228" s="1119">
        <f>6343*1.082</f>
        <v>6863.1260000000002</v>
      </c>
      <c r="CJ228" s="1119">
        <f t="shared" si="188"/>
        <v>0</v>
      </c>
      <c r="CL228" s="976">
        <v>0</v>
      </c>
      <c r="CM228" s="976">
        <f t="shared" si="174"/>
        <v>-6863.1260000000002</v>
      </c>
    </row>
    <row r="229" spans="1:91" s="1032" customFormat="1" outlineLevel="1">
      <c r="A229" s="1091"/>
      <c r="B229" s="1015"/>
      <c r="C229" s="1097"/>
      <c r="D229" s="1150" t="s">
        <v>766</v>
      </c>
      <c r="E229" s="1098"/>
      <c r="F229" s="1023">
        <v>0</v>
      </c>
      <c r="G229" s="1023">
        <v>0</v>
      </c>
      <c r="H229" s="1023">
        <v>0</v>
      </c>
      <c r="I229" s="1023">
        <v>0</v>
      </c>
      <c r="J229" s="1019"/>
      <c r="K229" s="1020"/>
      <c r="L229" s="1021"/>
      <c r="M229" s="1022"/>
      <c r="N229" s="1023"/>
      <c r="O229" s="1024"/>
      <c r="P229" s="1024"/>
      <c r="Q229" s="1024"/>
      <c r="R229" s="1024"/>
      <c r="S229" s="1024"/>
      <c r="T229" s="1024"/>
      <c r="U229" s="1024"/>
      <c r="V229" s="1024"/>
      <c r="W229" s="1024"/>
      <c r="X229" s="1024"/>
      <c r="Y229" s="1024"/>
      <c r="Z229" s="1025">
        <f t="shared" si="178"/>
        <v>0</v>
      </c>
      <c r="AA229" s="1026"/>
      <c r="AB229" s="1027"/>
      <c r="AC229" s="1027"/>
      <c r="AD229" s="1027"/>
      <c r="AE229" s="1027"/>
      <c r="AF229" s="1027"/>
      <c r="AG229" s="1027"/>
      <c r="AH229" s="1028"/>
      <c r="AI229" s="1028"/>
      <c r="AJ229" s="1028"/>
      <c r="AK229" s="1028"/>
      <c r="AL229" s="1028"/>
      <c r="AM229" s="1025">
        <f t="shared" si="179"/>
        <v>0</v>
      </c>
      <c r="AN229" s="1024"/>
      <c r="AO229" s="1024"/>
      <c r="AP229" s="1024"/>
      <c r="AQ229" s="1024"/>
      <c r="AR229" s="1023"/>
      <c r="AS229" s="1023"/>
      <c r="AT229" s="1023"/>
      <c r="AU229" s="1024"/>
      <c r="AV229" s="1024"/>
      <c r="AW229" s="1024"/>
      <c r="AX229" s="1024"/>
      <c r="AY229" s="1076"/>
      <c r="AZ229" s="1024">
        <f t="shared" si="180"/>
        <v>0</v>
      </c>
      <c r="BA229" s="1024"/>
      <c r="BB229" s="1024"/>
      <c r="BC229" s="1024">
        <v>0</v>
      </c>
      <c r="BD229" s="1024"/>
      <c r="BE229" s="1024"/>
      <c r="BF229" s="1024">
        <f>5621.7*1.082</f>
        <v>6082.6794</v>
      </c>
      <c r="BG229" s="1024">
        <f>5621.7*1.082</f>
        <v>6082.6794</v>
      </c>
      <c r="BH229" s="1024">
        <f>3747.8*1.082</f>
        <v>4055.1196000000004</v>
      </c>
      <c r="BI229" s="1024"/>
      <c r="BJ229" s="1024"/>
      <c r="BK229" s="1024">
        <f>37478*1.082-6082.68-6082.68-4055.12</f>
        <v>24330.716000000004</v>
      </c>
      <c r="BL229" s="1024"/>
      <c r="BM229" s="1024">
        <f t="shared" si="181"/>
        <v>40551.194400000008</v>
      </c>
      <c r="BN229" s="1024"/>
      <c r="BO229" s="1024"/>
      <c r="BP229" s="1024"/>
      <c r="BQ229" s="1024"/>
      <c r="BR229" s="1024"/>
      <c r="BS229" s="1024"/>
      <c r="BT229" s="1024"/>
      <c r="BU229" s="1024"/>
      <c r="BV229" s="1024"/>
      <c r="BW229" s="1024"/>
      <c r="BX229" s="1024"/>
      <c r="BY229" s="1024"/>
      <c r="BZ229" s="1029">
        <f t="shared" si="182"/>
        <v>0</v>
      </c>
      <c r="CA229" s="1018">
        <f t="shared" si="183"/>
        <v>40551.194400000008</v>
      </c>
      <c r="CB229" s="1024">
        <f t="shared" si="184"/>
        <v>0</v>
      </c>
      <c r="CC229" s="1023">
        <f t="shared" si="185"/>
        <v>40551.194400000008</v>
      </c>
      <c r="CD229" s="1023">
        <f t="shared" si="186"/>
        <v>40551.194400000008</v>
      </c>
      <c r="CE229" s="1023">
        <v>40551.194400000008</v>
      </c>
      <c r="CF229" s="1023">
        <f t="shared" si="187"/>
        <v>0</v>
      </c>
      <c r="CG229" s="1029"/>
      <c r="CH229" s="972"/>
      <c r="CI229" s="1083">
        <f>37478*1.082</f>
        <v>40551.196000000004</v>
      </c>
      <c r="CJ229" s="1083">
        <f t="shared" si="188"/>
        <v>1.5999999959603883E-3</v>
      </c>
      <c r="CL229" s="976">
        <v>0</v>
      </c>
      <c r="CM229" s="976">
        <f t="shared" si="174"/>
        <v>-40551.194400000008</v>
      </c>
    </row>
    <row r="230" spans="1:91" s="1032" customFormat="1" outlineLevel="1">
      <c r="A230" s="1091"/>
      <c r="B230" s="1015"/>
      <c r="C230" s="1097"/>
      <c r="D230" s="1150" t="s">
        <v>767</v>
      </c>
      <c r="E230" s="1098"/>
      <c r="F230" s="1023">
        <v>0</v>
      </c>
      <c r="G230" s="1023">
        <v>0</v>
      </c>
      <c r="H230" s="1023">
        <v>0</v>
      </c>
      <c r="I230" s="1023">
        <v>0</v>
      </c>
      <c r="J230" s="1019"/>
      <c r="K230" s="1020"/>
      <c r="L230" s="1021"/>
      <c r="M230" s="1022"/>
      <c r="N230" s="1023"/>
      <c r="O230" s="1024"/>
      <c r="P230" s="1024"/>
      <c r="Q230" s="1024"/>
      <c r="R230" s="1024"/>
      <c r="S230" s="1024"/>
      <c r="T230" s="1024"/>
      <c r="U230" s="1024"/>
      <c r="V230" s="1024"/>
      <c r="W230" s="1024"/>
      <c r="X230" s="1024"/>
      <c r="Y230" s="1024"/>
      <c r="Z230" s="1025">
        <f t="shared" si="178"/>
        <v>0</v>
      </c>
      <c r="AA230" s="1026"/>
      <c r="AB230" s="1027"/>
      <c r="AC230" s="1027"/>
      <c r="AD230" s="1027"/>
      <c r="AE230" s="1027"/>
      <c r="AF230" s="1027"/>
      <c r="AG230" s="1027"/>
      <c r="AH230" s="1028"/>
      <c r="AI230" s="1028"/>
      <c r="AJ230" s="1028"/>
      <c r="AK230" s="1028"/>
      <c r="AL230" s="1028"/>
      <c r="AM230" s="1025">
        <f t="shared" si="179"/>
        <v>0</v>
      </c>
      <c r="AN230" s="1024"/>
      <c r="AO230" s="1024"/>
      <c r="AP230" s="1024"/>
      <c r="AQ230" s="1024"/>
      <c r="AR230" s="1023"/>
      <c r="AS230" s="1023"/>
      <c r="AT230" s="1023"/>
      <c r="AU230" s="1024"/>
      <c r="AV230" s="1024"/>
      <c r="AW230" s="1024"/>
      <c r="AX230" s="1024"/>
      <c r="AY230" s="1076"/>
      <c r="AZ230" s="1024">
        <f t="shared" si="180"/>
        <v>0</v>
      </c>
      <c r="BA230" s="1024"/>
      <c r="BB230" s="1024"/>
      <c r="BC230" s="1024">
        <v>0</v>
      </c>
      <c r="BD230" s="1024"/>
      <c r="BE230" s="1024"/>
      <c r="BF230" s="1024"/>
      <c r="BG230" s="1024">
        <f>82637.2*1.082</f>
        <v>89413.450400000002</v>
      </c>
      <c r="BH230" s="1024">
        <f>41318.6*1.082</f>
        <v>44706.725200000001</v>
      </c>
      <c r="BI230" s="1024">
        <f>99164.64*1.082</f>
        <v>107296.14048</v>
      </c>
      <c r="BJ230" s="1024">
        <f>66109.76*1.082</f>
        <v>71530.760320000001</v>
      </c>
      <c r="BK230" s="1024">
        <f>206593*1.082</f>
        <v>223533.62600000002</v>
      </c>
      <c r="BL230" s="1024">
        <f>82637.2*1.082</f>
        <v>89413.450400000002</v>
      </c>
      <c r="BM230" s="1024">
        <f t="shared" si="181"/>
        <v>625894.15280000004</v>
      </c>
      <c r="BN230" s="1024"/>
      <c r="BO230" s="1024">
        <f>165274.4*1.082</f>
        <v>178826.9008</v>
      </c>
      <c r="BP230" s="1024"/>
      <c r="BQ230" s="1024"/>
      <c r="BR230" s="1093">
        <v>0</v>
      </c>
      <c r="BS230" s="1024"/>
      <c r="BT230" s="1093">
        <v>0</v>
      </c>
      <c r="BU230" s="1024"/>
      <c r="BV230" s="1024"/>
      <c r="BW230" s="1024"/>
      <c r="BX230" s="1024"/>
      <c r="BY230" s="1024"/>
      <c r="BZ230" s="1029">
        <f t="shared" si="182"/>
        <v>178826.9008</v>
      </c>
      <c r="CA230" s="1018">
        <f t="shared" si="183"/>
        <v>804721.05359999998</v>
      </c>
      <c r="CB230" s="1024">
        <f t="shared" si="184"/>
        <v>0</v>
      </c>
      <c r="CC230" s="1023">
        <f t="shared" si="185"/>
        <v>804721.05359999998</v>
      </c>
      <c r="CD230" s="1023">
        <f t="shared" si="186"/>
        <v>804721.05359999998</v>
      </c>
      <c r="CE230" s="1023">
        <v>894134.76280000003</v>
      </c>
      <c r="CF230" s="1023">
        <f t="shared" si="187"/>
        <v>-89413.709200000041</v>
      </c>
      <c r="CG230" s="1029"/>
      <c r="CH230" s="972"/>
      <c r="CI230" s="1083">
        <f>826372*1.082</f>
        <v>894134.50400000007</v>
      </c>
      <c r="CJ230" s="1083">
        <f t="shared" si="188"/>
        <v>89413.450400000089</v>
      </c>
      <c r="CL230" s="976">
        <v>0</v>
      </c>
      <c r="CM230" s="976">
        <f t="shared" si="174"/>
        <v>-804721.05359999998</v>
      </c>
    </row>
    <row r="231" spans="1:91" s="1120" customFormat="1" ht="25.5" customHeight="1" outlineLevel="1">
      <c r="A231" s="1100"/>
      <c r="B231" s="1101"/>
      <c r="C231" s="1164"/>
      <c r="D231" s="1448" t="s">
        <v>768</v>
      </c>
      <c r="E231" s="1461"/>
      <c r="F231" s="1103"/>
      <c r="G231" s="1103"/>
      <c r="H231" s="1103"/>
      <c r="I231" s="1103"/>
      <c r="J231" s="1104"/>
      <c r="K231" s="1105"/>
      <c r="L231" s="1106"/>
      <c r="M231" s="1107"/>
      <c r="N231" s="1103"/>
      <c r="O231" s="1108"/>
      <c r="P231" s="1108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9">
        <f t="shared" si="178"/>
        <v>0</v>
      </c>
      <c r="AA231" s="1110"/>
      <c r="AB231" s="1111"/>
      <c r="AC231" s="1111"/>
      <c r="AD231" s="1111"/>
      <c r="AE231" s="1111"/>
      <c r="AF231" s="1111"/>
      <c r="AG231" s="1111"/>
      <c r="AH231" s="1112"/>
      <c r="AI231" s="1112"/>
      <c r="AJ231" s="1112"/>
      <c r="AK231" s="1112"/>
      <c r="AL231" s="1112"/>
      <c r="AM231" s="1109">
        <f t="shared" si="179"/>
        <v>0</v>
      </c>
      <c r="AN231" s="1108"/>
      <c r="AO231" s="1108"/>
      <c r="AP231" s="1108"/>
      <c r="AQ231" s="1108"/>
      <c r="AR231" s="1108"/>
      <c r="AS231" s="1108"/>
      <c r="AT231" s="1108"/>
      <c r="AU231" s="1108"/>
      <c r="AV231" s="1108"/>
      <c r="AW231" s="1108"/>
      <c r="AX231" s="1108"/>
      <c r="AY231" s="1108"/>
      <c r="AZ231" s="1108">
        <f t="shared" si="180"/>
        <v>0</v>
      </c>
      <c r="BA231" s="1108"/>
      <c r="BB231" s="1108"/>
      <c r="BC231" s="1108"/>
      <c r="BD231" s="1108"/>
      <c r="BE231" s="1108"/>
      <c r="BF231" s="1108">
        <f>67964.1*1.082</f>
        <v>73537.156200000012</v>
      </c>
      <c r="BG231" s="1108">
        <f>67964.1*1.082</f>
        <v>73537.156200000012</v>
      </c>
      <c r="BH231" s="1108">
        <f>33982.05*1.082</f>
        <v>36768.578100000006</v>
      </c>
      <c r="BI231" s="1108">
        <f>149521.02*1.082</f>
        <v>161781.74364</v>
      </c>
      <c r="BJ231" s="1108">
        <f>169910.25*1.082</f>
        <v>183842.89050000001</v>
      </c>
      <c r="BK231" s="1108">
        <v>183842.89</v>
      </c>
      <c r="BL231" s="1113">
        <f>6796.41*1.082</f>
        <v>7353.7156199999999</v>
      </c>
      <c r="BM231" s="1108">
        <f t="shared" si="181"/>
        <v>720664.13026000012</v>
      </c>
      <c r="BN231" s="1108"/>
      <c r="BO231" s="1108"/>
      <c r="BP231" s="1108"/>
      <c r="BQ231" s="1108"/>
      <c r="BR231" s="1108"/>
      <c r="BS231" s="1093">
        <v>0</v>
      </c>
      <c r="BT231" s="1108"/>
      <c r="BU231" s="1108"/>
      <c r="BV231" s="1108"/>
      <c r="BW231" s="1108"/>
      <c r="BX231" s="1108"/>
      <c r="BY231" s="1108"/>
      <c r="BZ231" s="1114">
        <f t="shared" si="182"/>
        <v>0</v>
      </c>
      <c r="CA231" s="1146">
        <f t="shared" si="183"/>
        <v>720664.13026000012</v>
      </c>
      <c r="CB231" s="1116">
        <f t="shared" si="184"/>
        <v>0</v>
      </c>
      <c r="CC231" s="1103">
        <f t="shared" si="185"/>
        <v>720664.13026000012</v>
      </c>
      <c r="CD231" s="1103">
        <f t="shared" si="186"/>
        <v>720664.13026000012</v>
      </c>
      <c r="CE231" s="1103">
        <v>735371.54862000002</v>
      </c>
      <c r="CF231" s="1103">
        <f t="shared" si="187"/>
        <v>-14707.418359999894</v>
      </c>
      <c r="CG231" s="1114"/>
      <c r="CH231" s="1117"/>
      <c r="CI231" s="1118">
        <v>0</v>
      </c>
      <c r="CJ231" s="1119">
        <f t="shared" si="188"/>
        <v>-720664.13026000012</v>
      </c>
      <c r="CL231" s="1121">
        <v>0</v>
      </c>
      <c r="CM231" s="1121">
        <f t="shared" si="174"/>
        <v>-720664.13026000012</v>
      </c>
    </row>
    <row r="232" spans="1:91" s="1120" customFormat="1" ht="51" customHeight="1" outlineLevel="1">
      <c r="A232" s="1100"/>
      <c r="B232" s="1101"/>
      <c r="C232" s="1102"/>
      <c r="D232" s="1462" t="s">
        <v>845</v>
      </c>
      <c r="E232" s="1463"/>
      <c r="F232" s="1103"/>
      <c r="G232" s="1103"/>
      <c r="H232" s="1103"/>
      <c r="I232" s="1103"/>
      <c r="J232" s="1104"/>
      <c r="K232" s="1105"/>
      <c r="L232" s="1106"/>
      <c r="M232" s="1107"/>
      <c r="N232" s="1103"/>
      <c r="O232" s="1108"/>
      <c r="P232" s="1108"/>
      <c r="Q232" s="1108"/>
      <c r="R232" s="1108"/>
      <c r="S232" s="1108"/>
      <c r="T232" s="1108"/>
      <c r="U232" s="1108"/>
      <c r="V232" s="1108"/>
      <c r="W232" s="1108"/>
      <c r="X232" s="1108"/>
      <c r="Y232" s="1108"/>
      <c r="Z232" s="1109">
        <f t="shared" si="178"/>
        <v>0</v>
      </c>
      <c r="AA232" s="1110"/>
      <c r="AB232" s="1111"/>
      <c r="AC232" s="1111"/>
      <c r="AD232" s="1111"/>
      <c r="AE232" s="1111"/>
      <c r="AF232" s="1111"/>
      <c r="AG232" s="1111"/>
      <c r="AH232" s="1112"/>
      <c r="AI232" s="1112"/>
      <c r="AJ232" s="1112"/>
      <c r="AK232" s="1112"/>
      <c r="AL232" s="1112"/>
      <c r="AM232" s="1109">
        <f t="shared" si="179"/>
        <v>0</v>
      </c>
      <c r="AN232" s="1108"/>
      <c r="AO232" s="1108"/>
      <c r="AP232" s="1108"/>
      <c r="AQ232" s="1108"/>
      <c r="AR232" s="1103"/>
      <c r="AS232" s="1103"/>
      <c r="AT232" s="1103"/>
      <c r="AU232" s="1108"/>
      <c r="AV232" s="1108"/>
      <c r="AW232" s="1108"/>
      <c r="AX232" s="1108"/>
      <c r="AY232" s="1103"/>
      <c r="AZ232" s="1103">
        <f t="shared" si="180"/>
        <v>0</v>
      </c>
      <c r="BA232" s="1103"/>
      <c r="BB232" s="1103"/>
      <c r="BC232" s="1108"/>
      <c r="BD232" s="1108"/>
      <c r="BE232" s="1108"/>
      <c r="BF232" s="1108"/>
      <c r="BG232" s="1108">
        <f>(3567.5+22824.5+11595.7)*1.082</f>
        <v>41102.691399999996</v>
      </c>
      <c r="BH232" s="1108"/>
      <c r="BI232" s="1108">
        <f>8918.75*1.082</f>
        <v>9650.0875000000015</v>
      </c>
      <c r="BJ232" s="1108">
        <f>(8918.75+159771.5)*1.082</f>
        <v>182522.8505</v>
      </c>
      <c r="BK232" s="1108">
        <f>12486.25*1.082</f>
        <v>13510.122500000001</v>
      </c>
      <c r="BL232" s="1108">
        <f>12482.5*1.082</f>
        <v>13506.065000000001</v>
      </c>
      <c r="BM232" s="1108">
        <f t="shared" si="181"/>
        <v>260291.81690000001</v>
      </c>
      <c r="BN232" s="1108"/>
      <c r="BO232" s="1108">
        <f>(11412.25+57978.5)*1.082</f>
        <v>75080.791500000007</v>
      </c>
      <c r="BP232" s="1108">
        <f>92765.6*1.082</f>
        <v>100372.37920000001</v>
      </c>
      <c r="BQ232" s="1311">
        <f>((4564.9+57978.5)*1.082)*(25/30)</f>
        <v>56393.299000000006</v>
      </c>
      <c r="BR232" s="1093">
        <v>0</v>
      </c>
      <c r="BS232" s="1108"/>
      <c r="BT232" s="1093">
        <v>0</v>
      </c>
      <c r="BU232" s="1108"/>
      <c r="BV232" s="1108"/>
      <c r="BW232" s="1108"/>
      <c r="BX232" s="1108"/>
      <c r="BY232" s="1108"/>
      <c r="BZ232" s="1114">
        <f t="shared" si="182"/>
        <v>231846.46970000002</v>
      </c>
      <c r="CA232" s="1165">
        <f t="shared" si="183"/>
        <v>492138.28660000005</v>
      </c>
      <c r="CB232" s="1108">
        <f t="shared" si="184"/>
        <v>0</v>
      </c>
      <c r="CC232" s="1103">
        <f t="shared" si="185"/>
        <v>492138.28660000005</v>
      </c>
      <c r="CD232" s="1103">
        <f t="shared" si="186"/>
        <v>492138.28660000005</v>
      </c>
      <c r="CE232" s="1103">
        <v>536492.50270000007</v>
      </c>
      <c r="CF232" s="1103">
        <f t="shared" si="187"/>
        <v>-44354.21610000002</v>
      </c>
      <c r="CG232" s="1114"/>
      <c r="CH232" s="1117"/>
      <c r="CI232" s="1119"/>
      <c r="CJ232" s="1119">
        <f t="shared" si="188"/>
        <v>-492138.28660000005</v>
      </c>
      <c r="CL232" s="1121">
        <v>0</v>
      </c>
      <c r="CM232" s="1121">
        <f t="shared" si="174"/>
        <v>-492138.28660000005</v>
      </c>
    </row>
    <row r="233" spans="1:91" s="1032" customFormat="1" outlineLevel="1">
      <c r="A233" s="1091"/>
      <c r="B233" s="1015"/>
      <c r="C233" s="1097"/>
      <c r="D233" s="1149" t="s">
        <v>689</v>
      </c>
      <c r="E233" s="1085"/>
      <c r="F233" s="1023">
        <v>0</v>
      </c>
      <c r="G233" s="1023">
        <v>0</v>
      </c>
      <c r="H233" s="1023">
        <v>0</v>
      </c>
      <c r="I233" s="1023">
        <v>0</v>
      </c>
      <c r="J233" s="1019"/>
      <c r="K233" s="1020"/>
      <c r="L233" s="1021"/>
      <c r="M233" s="1022"/>
      <c r="N233" s="1023"/>
      <c r="O233" s="1024"/>
      <c r="P233" s="1024"/>
      <c r="Q233" s="1024"/>
      <c r="R233" s="1024"/>
      <c r="S233" s="1024"/>
      <c r="T233" s="1024"/>
      <c r="U233" s="1024"/>
      <c r="V233" s="1024"/>
      <c r="W233" s="1024"/>
      <c r="X233" s="1024"/>
      <c r="Y233" s="1024"/>
      <c r="Z233" s="1025">
        <f t="shared" si="178"/>
        <v>0</v>
      </c>
      <c r="AA233" s="1026"/>
      <c r="AB233" s="1027"/>
      <c r="AC233" s="1027"/>
      <c r="AD233" s="1027"/>
      <c r="AE233" s="1027"/>
      <c r="AF233" s="1027"/>
      <c r="AG233" s="1027"/>
      <c r="AH233" s="1028"/>
      <c r="AI233" s="1028"/>
      <c r="AJ233" s="1028"/>
      <c r="AK233" s="1028"/>
      <c r="AL233" s="1028"/>
      <c r="AM233" s="1025">
        <f t="shared" si="179"/>
        <v>0</v>
      </c>
      <c r="AN233" s="1024"/>
      <c r="AO233" s="1024"/>
      <c r="AP233" s="1024"/>
      <c r="AQ233" s="1024"/>
      <c r="AR233" s="1023"/>
      <c r="AS233" s="1023"/>
      <c r="AT233" s="1023"/>
      <c r="AU233" s="1024"/>
      <c r="AV233" s="1024"/>
      <c r="AW233" s="1024"/>
      <c r="AX233" s="1024"/>
      <c r="AY233" s="1076"/>
      <c r="AZ233" s="1024">
        <f t="shared" si="180"/>
        <v>0</v>
      </c>
      <c r="BA233" s="1024"/>
      <c r="BB233" s="1024"/>
      <c r="BC233" s="1024">
        <v>0</v>
      </c>
      <c r="BD233" s="1024"/>
      <c r="BE233" s="1024"/>
      <c r="BF233" s="1024"/>
      <c r="BG233" s="1024"/>
      <c r="BH233" s="1024"/>
      <c r="BI233" s="1024"/>
      <c r="BJ233" s="1024"/>
      <c r="BK233" s="1024"/>
      <c r="BL233" s="1024"/>
      <c r="BM233" s="1024">
        <f t="shared" si="181"/>
        <v>0</v>
      </c>
      <c r="BN233" s="1024"/>
      <c r="BO233" s="1024"/>
      <c r="BP233" s="1024"/>
      <c r="BQ233" s="1024"/>
      <c r="BR233" s="1024"/>
      <c r="BS233" s="1024"/>
      <c r="BT233" s="1024"/>
      <c r="BU233" s="1024"/>
      <c r="BV233" s="1024"/>
      <c r="BW233" s="1024"/>
      <c r="BX233" s="1024"/>
      <c r="BY233" s="1024"/>
      <c r="BZ233" s="1029">
        <f t="shared" si="182"/>
        <v>0</v>
      </c>
      <c r="CA233" s="1018">
        <f t="shared" si="183"/>
        <v>0</v>
      </c>
      <c r="CB233" s="1024">
        <f t="shared" si="184"/>
        <v>0</v>
      </c>
      <c r="CC233" s="1023">
        <f t="shared" si="185"/>
        <v>0</v>
      </c>
      <c r="CD233" s="1023">
        <f t="shared" si="186"/>
        <v>0</v>
      </c>
      <c r="CE233" s="1023">
        <v>0</v>
      </c>
      <c r="CF233" s="1023">
        <f t="shared" si="187"/>
        <v>0</v>
      </c>
      <c r="CG233" s="1029"/>
      <c r="CH233" s="972"/>
      <c r="CI233" s="1083">
        <v>0</v>
      </c>
      <c r="CJ233" s="1083">
        <f t="shared" si="188"/>
        <v>0</v>
      </c>
      <c r="CL233" s="976">
        <v>0</v>
      </c>
      <c r="CM233" s="976">
        <f t="shared" si="174"/>
        <v>0</v>
      </c>
    </row>
    <row r="234" spans="1:91" s="1120" customFormat="1" outlineLevel="1">
      <c r="A234" s="1100"/>
      <c r="B234" s="1101"/>
      <c r="C234" s="1102"/>
      <c r="D234" s="1448" t="s">
        <v>769</v>
      </c>
      <c r="E234" s="1449"/>
      <c r="F234" s="1103"/>
      <c r="G234" s="1103"/>
      <c r="H234" s="1103"/>
      <c r="I234" s="1103"/>
      <c r="J234" s="1104"/>
      <c r="K234" s="1105"/>
      <c r="L234" s="1106"/>
      <c r="M234" s="1107"/>
      <c r="N234" s="1103"/>
      <c r="O234" s="1108"/>
      <c r="P234" s="1108"/>
      <c r="Q234" s="1108"/>
      <c r="R234" s="1108"/>
      <c r="S234" s="1108"/>
      <c r="T234" s="1108"/>
      <c r="U234" s="1108"/>
      <c r="V234" s="1108"/>
      <c r="W234" s="1108"/>
      <c r="X234" s="1108"/>
      <c r="Y234" s="1108"/>
      <c r="Z234" s="1109">
        <f t="shared" si="178"/>
        <v>0</v>
      </c>
      <c r="AA234" s="1110"/>
      <c r="AB234" s="1111"/>
      <c r="AC234" s="1111"/>
      <c r="AD234" s="1111"/>
      <c r="AE234" s="1111"/>
      <c r="AF234" s="1111"/>
      <c r="AG234" s="1111"/>
      <c r="AH234" s="1112"/>
      <c r="AI234" s="1112"/>
      <c r="AJ234" s="1112"/>
      <c r="AK234" s="1112"/>
      <c r="AL234" s="1112"/>
      <c r="AM234" s="1109">
        <f t="shared" si="179"/>
        <v>0</v>
      </c>
      <c r="AN234" s="1108"/>
      <c r="AO234" s="1108"/>
      <c r="AP234" s="1108"/>
      <c r="AQ234" s="1108"/>
      <c r="AR234" s="1103"/>
      <c r="AS234" s="1103"/>
      <c r="AT234" s="1103"/>
      <c r="AU234" s="1108"/>
      <c r="AV234" s="1108"/>
      <c r="AW234" s="1108"/>
      <c r="AX234" s="1108"/>
      <c r="AY234" s="1103"/>
      <c r="AZ234" s="1103">
        <f t="shared" si="180"/>
        <v>0</v>
      </c>
      <c r="BA234" s="1103"/>
      <c r="BB234" s="1103"/>
      <c r="BC234" s="1108"/>
      <c r="BD234" s="1108"/>
      <c r="BE234" s="1108"/>
      <c r="BF234" s="1108"/>
      <c r="BG234" s="1108"/>
      <c r="BH234" s="1108"/>
      <c r="BI234" s="1108">
        <f>-41990*1.082</f>
        <v>-45433.18</v>
      </c>
      <c r="BJ234" s="1108"/>
      <c r="BK234" s="1108"/>
      <c r="BL234" s="1108"/>
      <c r="BM234" s="1108">
        <f t="shared" si="181"/>
        <v>-45433.18</v>
      </c>
      <c r="BN234" s="1108"/>
      <c r="BO234" s="1108"/>
      <c r="BP234" s="1108"/>
      <c r="BQ234" s="1108"/>
      <c r="BR234" s="1108"/>
      <c r="BS234" s="1108"/>
      <c r="BT234" s="1108"/>
      <c r="BU234" s="1108"/>
      <c r="BV234" s="1108"/>
      <c r="BW234" s="1108"/>
      <c r="BX234" s="1108"/>
      <c r="BY234" s="1108"/>
      <c r="BZ234" s="1114">
        <f t="shared" si="182"/>
        <v>0</v>
      </c>
      <c r="CA234" s="1165">
        <f t="shared" si="183"/>
        <v>-45433.18</v>
      </c>
      <c r="CB234" s="1108">
        <f t="shared" si="184"/>
        <v>0</v>
      </c>
      <c r="CC234" s="1103">
        <f t="shared" si="185"/>
        <v>-45433.18</v>
      </c>
      <c r="CD234" s="1103">
        <f t="shared" si="186"/>
        <v>-45433.18</v>
      </c>
      <c r="CE234" s="1103">
        <v>-45433.18</v>
      </c>
      <c r="CF234" s="1103">
        <f t="shared" si="187"/>
        <v>0</v>
      </c>
      <c r="CG234" s="1114"/>
      <c r="CH234" s="1117"/>
      <c r="CI234" s="1119"/>
      <c r="CJ234" s="1119">
        <f t="shared" si="188"/>
        <v>45433.18</v>
      </c>
      <c r="CL234" s="1121">
        <v>0</v>
      </c>
      <c r="CM234" s="1121">
        <f t="shared" si="174"/>
        <v>45433.18</v>
      </c>
    </row>
    <row r="235" spans="1:91" s="1120" customFormat="1" outlineLevel="1">
      <c r="A235" s="1100"/>
      <c r="B235" s="1101"/>
      <c r="C235" s="1102"/>
      <c r="D235" s="1448" t="s">
        <v>770</v>
      </c>
      <c r="E235" s="1449"/>
      <c r="F235" s="1103"/>
      <c r="G235" s="1103"/>
      <c r="H235" s="1103"/>
      <c r="I235" s="1103"/>
      <c r="J235" s="1104"/>
      <c r="K235" s="1105"/>
      <c r="L235" s="1106"/>
      <c r="M235" s="1107"/>
      <c r="N235" s="1103"/>
      <c r="O235" s="1108"/>
      <c r="P235" s="1108"/>
      <c r="Q235" s="1108"/>
      <c r="R235" s="1108"/>
      <c r="S235" s="1108"/>
      <c r="T235" s="1108"/>
      <c r="U235" s="1108"/>
      <c r="V235" s="1108"/>
      <c r="W235" s="1108"/>
      <c r="X235" s="1108"/>
      <c r="Y235" s="1108"/>
      <c r="Z235" s="1109">
        <f t="shared" si="178"/>
        <v>0</v>
      </c>
      <c r="AA235" s="1110"/>
      <c r="AB235" s="1111"/>
      <c r="AC235" s="1111"/>
      <c r="AD235" s="1111"/>
      <c r="AE235" s="1111"/>
      <c r="AF235" s="1111"/>
      <c r="AG235" s="1111"/>
      <c r="AH235" s="1112"/>
      <c r="AI235" s="1112"/>
      <c r="AJ235" s="1112"/>
      <c r="AK235" s="1112"/>
      <c r="AL235" s="1112"/>
      <c r="AM235" s="1109">
        <f t="shared" si="179"/>
        <v>0</v>
      </c>
      <c r="AN235" s="1108"/>
      <c r="AO235" s="1108"/>
      <c r="AP235" s="1108"/>
      <c r="AQ235" s="1108"/>
      <c r="AR235" s="1103"/>
      <c r="AS235" s="1103"/>
      <c r="AT235" s="1103"/>
      <c r="AU235" s="1108"/>
      <c r="AV235" s="1108"/>
      <c r="AW235" s="1108"/>
      <c r="AX235" s="1108"/>
      <c r="AY235" s="1103"/>
      <c r="AZ235" s="1103">
        <f t="shared" si="180"/>
        <v>0</v>
      </c>
      <c r="BA235" s="1103"/>
      <c r="BB235" s="1103"/>
      <c r="BC235" s="1108"/>
      <c r="BD235" s="1108"/>
      <c r="BE235" s="1108"/>
      <c r="BF235" s="1108"/>
      <c r="BG235" s="1108"/>
      <c r="BH235" s="1108">
        <f>2496.2*1.082</f>
        <v>2700.8883999999998</v>
      </c>
      <c r="BI235" s="1108"/>
      <c r="BJ235" s="1108"/>
      <c r="BK235" s="1108">
        <f>12481*1.082</f>
        <v>13504.442000000001</v>
      </c>
      <c r="BL235" s="1113">
        <f>9485.56*1.082</f>
        <v>10263.37592</v>
      </c>
      <c r="BM235" s="1108">
        <f t="shared" si="181"/>
        <v>26468.706320000001</v>
      </c>
      <c r="BN235" s="1108"/>
      <c r="BO235" s="1108"/>
      <c r="BP235" s="1108"/>
      <c r="BQ235" s="1311">
        <f>(499.24*1.082)*(25/30)</f>
        <v>450.14806666666669</v>
      </c>
      <c r="BR235" s="1108"/>
      <c r="BS235" s="1108"/>
      <c r="BT235" s="1108"/>
      <c r="BU235" s="1108"/>
      <c r="BV235" s="1108"/>
      <c r="BW235" s="1108"/>
      <c r="BX235" s="1108"/>
      <c r="BY235" s="1108"/>
      <c r="BZ235" s="1114">
        <f t="shared" si="182"/>
        <v>450.14806666666669</v>
      </c>
      <c r="CA235" s="1165">
        <f t="shared" si="183"/>
        <v>26918.85438666667</v>
      </c>
      <c r="CB235" s="1108">
        <f t="shared" si="184"/>
        <v>0</v>
      </c>
      <c r="CC235" s="1103">
        <f t="shared" si="185"/>
        <v>26918.85438666667</v>
      </c>
      <c r="CD235" s="1103">
        <f t="shared" si="186"/>
        <v>26918.85438666667</v>
      </c>
      <c r="CE235" s="1103">
        <v>27008.880320000004</v>
      </c>
      <c r="CF235" s="1103">
        <f t="shared" si="187"/>
        <v>-90.025933333334251</v>
      </c>
      <c r="CG235" s="1114"/>
      <c r="CH235" s="1117"/>
      <c r="CI235" s="1119"/>
      <c r="CJ235" s="1119">
        <f t="shared" si="188"/>
        <v>-26918.85438666667</v>
      </c>
      <c r="CL235" s="1121">
        <v>0</v>
      </c>
      <c r="CM235" s="1121">
        <f t="shared" si="174"/>
        <v>-26918.85438666667</v>
      </c>
    </row>
    <row r="236" spans="1:91" s="1120" customFormat="1" outlineLevel="1">
      <c r="A236" s="1100"/>
      <c r="B236" s="1101"/>
      <c r="C236" s="1102"/>
      <c r="D236" s="1448" t="s">
        <v>771</v>
      </c>
      <c r="E236" s="1449"/>
      <c r="F236" s="1103"/>
      <c r="G236" s="1103"/>
      <c r="H236" s="1103"/>
      <c r="I236" s="1103"/>
      <c r="J236" s="1104"/>
      <c r="K236" s="1105"/>
      <c r="L236" s="1106"/>
      <c r="M236" s="1107"/>
      <c r="N236" s="1103"/>
      <c r="O236" s="1108"/>
      <c r="P236" s="1108"/>
      <c r="Q236" s="1108"/>
      <c r="R236" s="1108"/>
      <c r="S236" s="1108"/>
      <c r="T236" s="1108"/>
      <c r="U236" s="1108"/>
      <c r="V236" s="1108"/>
      <c r="W236" s="1108"/>
      <c r="X236" s="1108"/>
      <c r="Y236" s="1108"/>
      <c r="Z236" s="1109">
        <f t="shared" si="178"/>
        <v>0</v>
      </c>
      <c r="AA236" s="1110"/>
      <c r="AB236" s="1111"/>
      <c r="AC236" s="1111"/>
      <c r="AD236" s="1111"/>
      <c r="AE236" s="1111"/>
      <c r="AF236" s="1111"/>
      <c r="AG236" s="1111"/>
      <c r="AH236" s="1112"/>
      <c r="AI236" s="1112"/>
      <c r="AJ236" s="1112"/>
      <c r="AK236" s="1112"/>
      <c r="AL236" s="1112"/>
      <c r="AM236" s="1109">
        <f t="shared" si="179"/>
        <v>0</v>
      </c>
      <c r="AN236" s="1108"/>
      <c r="AO236" s="1108"/>
      <c r="AP236" s="1108"/>
      <c r="AQ236" s="1108"/>
      <c r="AR236" s="1103"/>
      <c r="AS236" s="1103"/>
      <c r="AT236" s="1103"/>
      <c r="AU236" s="1108"/>
      <c r="AV236" s="1108"/>
      <c r="AW236" s="1108"/>
      <c r="AX236" s="1108"/>
      <c r="AY236" s="1103"/>
      <c r="AZ236" s="1103">
        <f t="shared" si="180"/>
        <v>0</v>
      </c>
      <c r="BA236" s="1103"/>
      <c r="BB236" s="1103"/>
      <c r="BC236" s="1108"/>
      <c r="BD236" s="1108"/>
      <c r="BE236" s="1108"/>
      <c r="BF236" s="1108"/>
      <c r="BG236" s="1108"/>
      <c r="BH236" s="1108"/>
      <c r="BI236" s="1108"/>
      <c r="BJ236" s="1108"/>
      <c r="BK236" s="1108"/>
      <c r="BL236" s="1113"/>
      <c r="BM236" s="1108">
        <f t="shared" si="181"/>
        <v>0</v>
      </c>
      <c r="BN236" s="1108"/>
      <c r="BO236" s="1108"/>
      <c r="BP236" s="1108">
        <f>4816.9*1.082</f>
        <v>5211.8858</v>
      </c>
      <c r="BQ236" s="1311">
        <f>(81887.3*1.082)*(25/30)</f>
        <v>73835.048833333334</v>
      </c>
      <c r="BR236" s="1108"/>
      <c r="BS236" s="1093">
        <v>0</v>
      </c>
      <c r="BT236" s="1108"/>
      <c r="BU236" s="1108"/>
      <c r="BV236" s="1108"/>
      <c r="BW236" s="1108"/>
      <c r="BX236" s="1108"/>
      <c r="BY236" s="1108"/>
      <c r="BZ236" s="1114">
        <f t="shared" si="182"/>
        <v>79046.934633333338</v>
      </c>
      <c r="CA236" s="1165">
        <f t="shared" si="183"/>
        <v>79046.934633333338</v>
      </c>
      <c r="CB236" s="1108">
        <f t="shared" si="184"/>
        <v>0</v>
      </c>
      <c r="CC236" s="1103">
        <f t="shared" si="185"/>
        <v>79046.934633333338</v>
      </c>
      <c r="CD236" s="1103">
        <f t="shared" si="186"/>
        <v>79046.934633333338</v>
      </c>
      <c r="CE236" s="1103">
        <v>104237.7118</v>
      </c>
      <c r="CF236" s="1103">
        <f t="shared" si="187"/>
        <v>-25190.777166666667</v>
      </c>
      <c r="CG236" s="1114"/>
      <c r="CH236" s="1117"/>
      <c r="CI236" s="1119"/>
      <c r="CJ236" s="1119">
        <f t="shared" si="188"/>
        <v>-79046.934633333338</v>
      </c>
      <c r="CL236" s="1121">
        <v>0</v>
      </c>
      <c r="CM236" s="1121">
        <f t="shared" si="174"/>
        <v>-79046.934633333338</v>
      </c>
    </row>
    <row r="237" spans="1:91" s="1120" customFormat="1" outlineLevel="1">
      <c r="A237" s="1100"/>
      <c r="B237" s="1101"/>
      <c r="C237" s="1102"/>
      <c r="D237" s="1448" t="s">
        <v>772</v>
      </c>
      <c r="E237" s="1449"/>
      <c r="F237" s="1103"/>
      <c r="G237" s="1103"/>
      <c r="H237" s="1103"/>
      <c r="I237" s="1103"/>
      <c r="J237" s="1104"/>
      <c r="K237" s="1105"/>
      <c r="L237" s="1106"/>
      <c r="M237" s="1107"/>
      <c r="N237" s="1103"/>
      <c r="O237" s="1108"/>
      <c r="P237" s="1108"/>
      <c r="Q237" s="1108"/>
      <c r="R237" s="1108"/>
      <c r="S237" s="1108"/>
      <c r="T237" s="1108"/>
      <c r="U237" s="1108"/>
      <c r="V237" s="1108"/>
      <c r="W237" s="1108"/>
      <c r="X237" s="1108"/>
      <c r="Y237" s="1108"/>
      <c r="Z237" s="1109">
        <f t="shared" si="178"/>
        <v>0</v>
      </c>
      <c r="AA237" s="1110"/>
      <c r="AB237" s="1111"/>
      <c r="AC237" s="1111"/>
      <c r="AD237" s="1111"/>
      <c r="AE237" s="1111"/>
      <c r="AF237" s="1111"/>
      <c r="AG237" s="1111"/>
      <c r="AH237" s="1112"/>
      <c r="AI237" s="1112"/>
      <c r="AJ237" s="1112"/>
      <c r="AK237" s="1112"/>
      <c r="AL237" s="1112"/>
      <c r="AM237" s="1109">
        <f t="shared" si="179"/>
        <v>0</v>
      </c>
      <c r="AN237" s="1108"/>
      <c r="AO237" s="1108"/>
      <c r="AP237" s="1108"/>
      <c r="AQ237" s="1108"/>
      <c r="AR237" s="1103"/>
      <c r="AS237" s="1103"/>
      <c r="AT237" s="1103"/>
      <c r="AU237" s="1108"/>
      <c r="AV237" s="1108"/>
      <c r="AW237" s="1108"/>
      <c r="AX237" s="1108"/>
      <c r="AY237" s="1103"/>
      <c r="AZ237" s="1103">
        <f t="shared" si="180"/>
        <v>0</v>
      </c>
      <c r="BA237" s="1103"/>
      <c r="BB237" s="1103"/>
      <c r="BC237" s="1108"/>
      <c r="BD237" s="1108"/>
      <c r="BE237" s="1108"/>
      <c r="BF237" s="1108"/>
      <c r="BG237" s="1108"/>
      <c r="BH237" s="1108">
        <f>12003.75*1.082</f>
        <v>12988.057500000001</v>
      </c>
      <c r="BI237" s="1108">
        <f>36011.25*1.082</f>
        <v>38964.172500000001</v>
      </c>
      <c r="BJ237" s="1108"/>
      <c r="BK237" s="1108"/>
      <c r="BL237" s="1113"/>
      <c r="BM237" s="1108">
        <f t="shared" si="181"/>
        <v>51952.23</v>
      </c>
      <c r="BN237" s="1108"/>
      <c r="BO237" s="1108"/>
      <c r="BP237" s="1108"/>
      <c r="BQ237" s="1108"/>
      <c r="BR237" s="1108"/>
      <c r="BS237" s="1108"/>
      <c r="BT237" s="1108"/>
      <c r="BU237" s="1108"/>
      <c r="BV237" s="1108"/>
      <c r="BW237" s="1108"/>
      <c r="BX237" s="1108"/>
      <c r="BY237" s="1108"/>
      <c r="BZ237" s="1114">
        <f t="shared" si="182"/>
        <v>0</v>
      </c>
      <c r="CA237" s="1165">
        <f t="shared" si="183"/>
        <v>51952.23</v>
      </c>
      <c r="CB237" s="1108">
        <f t="shared" si="184"/>
        <v>0</v>
      </c>
      <c r="CC237" s="1103">
        <f t="shared" si="185"/>
        <v>51952.23</v>
      </c>
      <c r="CD237" s="1103">
        <f t="shared" si="186"/>
        <v>51952.23</v>
      </c>
      <c r="CE237" s="1103">
        <v>51952.23</v>
      </c>
      <c r="CF237" s="1103">
        <f t="shared" si="187"/>
        <v>0</v>
      </c>
      <c r="CG237" s="1114"/>
      <c r="CH237" s="1117"/>
      <c r="CI237" s="1119"/>
      <c r="CJ237" s="1119">
        <f t="shared" si="188"/>
        <v>-51952.23</v>
      </c>
      <c r="CL237" s="1121">
        <v>0</v>
      </c>
      <c r="CM237" s="1121">
        <f t="shared" si="174"/>
        <v>-51952.23</v>
      </c>
    </row>
    <row r="238" spans="1:91" s="1120" customFormat="1" outlineLevel="1">
      <c r="A238" s="1100"/>
      <c r="B238" s="1101"/>
      <c r="C238" s="1102"/>
      <c r="D238" s="1448" t="s">
        <v>773</v>
      </c>
      <c r="E238" s="1449"/>
      <c r="F238" s="1103"/>
      <c r="G238" s="1103"/>
      <c r="H238" s="1103"/>
      <c r="I238" s="1103"/>
      <c r="J238" s="1104"/>
      <c r="K238" s="1105"/>
      <c r="L238" s="1106"/>
      <c r="M238" s="1107"/>
      <c r="N238" s="1103"/>
      <c r="O238" s="1108"/>
      <c r="P238" s="1108"/>
      <c r="Q238" s="1108"/>
      <c r="R238" s="1108"/>
      <c r="S238" s="1108"/>
      <c r="T238" s="1108"/>
      <c r="U238" s="1108"/>
      <c r="V238" s="1108"/>
      <c r="W238" s="1108"/>
      <c r="X238" s="1108"/>
      <c r="Y238" s="1108"/>
      <c r="Z238" s="1109">
        <f t="shared" si="178"/>
        <v>0</v>
      </c>
      <c r="AA238" s="1110"/>
      <c r="AB238" s="1111"/>
      <c r="AC238" s="1111"/>
      <c r="AD238" s="1111"/>
      <c r="AE238" s="1111"/>
      <c r="AF238" s="1111"/>
      <c r="AG238" s="1111"/>
      <c r="AH238" s="1112"/>
      <c r="AI238" s="1112"/>
      <c r="AJ238" s="1112"/>
      <c r="AK238" s="1112"/>
      <c r="AL238" s="1112"/>
      <c r="AM238" s="1109">
        <f t="shared" si="179"/>
        <v>0</v>
      </c>
      <c r="AN238" s="1108"/>
      <c r="AO238" s="1108"/>
      <c r="AP238" s="1108"/>
      <c r="AQ238" s="1108"/>
      <c r="AR238" s="1103"/>
      <c r="AS238" s="1103"/>
      <c r="AT238" s="1103"/>
      <c r="AU238" s="1108"/>
      <c r="AV238" s="1108"/>
      <c r="AW238" s="1108"/>
      <c r="AX238" s="1108"/>
      <c r="AY238" s="1103"/>
      <c r="AZ238" s="1103">
        <f t="shared" si="180"/>
        <v>0</v>
      </c>
      <c r="BA238" s="1103"/>
      <c r="BB238" s="1103"/>
      <c r="BC238" s="1108"/>
      <c r="BD238" s="1108"/>
      <c r="BE238" s="1108"/>
      <c r="BF238" s="1108"/>
      <c r="BG238" s="1108"/>
      <c r="BH238" s="1108">
        <f>41453*1.082</f>
        <v>44852.146000000001</v>
      </c>
      <c r="BI238" s="1108"/>
      <c r="BJ238" s="1108"/>
      <c r="BK238" s="1108"/>
      <c r="BL238" s="1113"/>
      <c r="BM238" s="1108">
        <f t="shared" si="181"/>
        <v>44852.146000000001</v>
      </c>
      <c r="BN238" s="1108"/>
      <c r="BO238" s="1108"/>
      <c r="BP238" s="1108"/>
      <c r="BQ238" s="1108"/>
      <c r="BR238" s="1108"/>
      <c r="BS238" s="1108"/>
      <c r="BT238" s="1108"/>
      <c r="BU238" s="1108"/>
      <c r="BV238" s="1108"/>
      <c r="BW238" s="1108"/>
      <c r="BX238" s="1108"/>
      <c r="BY238" s="1108"/>
      <c r="BZ238" s="1114">
        <f t="shared" si="182"/>
        <v>0</v>
      </c>
      <c r="CA238" s="1165">
        <f t="shared" si="183"/>
        <v>44852.146000000001</v>
      </c>
      <c r="CB238" s="1108">
        <f t="shared" si="184"/>
        <v>0</v>
      </c>
      <c r="CC238" s="1103">
        <f t="shared" si="185"/>
        <v>44852.146000000001</v>
      </c>
      <c r="CD238" s="1103">
        <f t="shared" si="186"/>
        <v>44852.146000000001</v>
      </c>
      <c r="CE238" s="1103">
        <v>44852.146000000001</v>
      </c>
      <c r="CF238" s="1103">
        <f t="shared" si="187"/>
        <v>0</v>
      </c>
      <c r="CG238" s="1114"/>
      <c r="CH238" s="1117"/>
      <c r="CI238" s="1119"/>
      <c r="CJ238" s="1119">
        <f t="shared" si="188"/>
        <v>-44852.146000000001</v>
      </c>
      <c r="CL238" s="1121">
        <v>0</v>
      </c>
      <c r="CM238" s="1121">
        <f t="shared" si="174"/>
        <v>-44852.146000000001</v>
      </c>
    </row>
    <row r="239" spans="1:91" s="1120" customFormat="1" outlineLevel="1">
      <c r="A239" s="1100"/>
      <c r="B239" s="1101"/>
      <c r="C239" s="1102"/>
      <c r="D239" s="1448" t="s">
        <v>774</v>
      </c>
      <c r="E239" s="1449"/>
      <c r="F239" s="1103"/>
      <c r="G239" s="1103"/>
      <c r="H239" s="1103"/>
      <c r="I239" s="1103"/>
      <c r="J239" s="1104"/>
      <c r="K239" s="1105"/>
      <c r="L239" s="1106"/>
      <c r="M239" s="1107"/>
      <c r="N239" s="1103"/>
      <c r="O239" s="1108"/>
      <c r="P239" s="1108"/>
      <c r="Q239" s="1108"/>
      <c r="R239" s="1108"/>
      <c r="S239" s="1108"/>
      <c r="T239" s="1108"/>
      <c r="U239" s="1108"/>
      <c r="V239" s="1108"/>
      <c r="W239" s="1108"/>
      <c r="X239" s="1108"/>
      <c r="Y239" s="1108"/>
      <c r="Z239" s="1109">
        <f t="shared" si="178"/>
        <v>0</v>
      </c>
      <c r="AA239" s="1110"/>
      <c r="AB239" s="1111"/>
      <c r="AC239" s="1111"/>
      <c r="AD239" s="1111"/>
      <c r="AE239" s="1111"/>
      <c r="AF239" s="1111"/>
      <c r="AG239" s="1111"/>
      <c r="AH239" s="1112"/>
      <c r="AI239" s="1112"/>
      <c r="AJ239" s="1112"/>
      <c r="AK239" s="1112"/>
      <c r="AL239" s="1112"/>
      <c r="AM239" s="1109">
        <f t="shared" si="179"/>
        <v>0</v>
      </c>
      <c r="AN239" s="1108"/>
      <c r="AO239" s="1108"/>
      <c r="AP239" s="1108"/>
      <c r="AQ239" s="1108"/>
      <c r="AR239" s="1103"/>
      <c r="AS239" s="1103"/>
      <c r="AT239" s="1103"/>
      <c r="AU239" s="1108"/>
      <c r="AV239" s="1108"/>
      <c r="AW239" s="1108"/>
      <c r="AX239" s="1108"/>
      <c r="AY239" s="1103"/>
      <c r="AZ239" s="1103">
        <f t="shared" si="180"/>
        <v>0</v>
      </c>
      <c r="BA239" s="1103"/>
      <c r="BB239" s="1103"/>
      <c r="BC239" s="1108"/>
      <c r="BD239" s="1108"/>
      <c r="BE239" s="1108"/>
      <c r="BF239" s="1108"/>
      <c r="BG239" s="1108"/>
      <c r="BH239" s="1108">
        <f>-3430*1.082</f>
        <v>-3711.26</v>
      </c>
      <c r="BI239" s="1108"/>
      <c r="BJ239" s="1108"/>
      <c r="BK239" s="1108"/>
      <c r="BL239" s="1113"/>
      <c r="BM239" s="1108">
        <f t="shared" si="181"/>
        <v>-3711.26</v>
      </c>
      <c r="BN239" s="1108"/>
      <c r="BO239" s="1108"/>
      <c r="BP239" s="1108"/>
      <c r="BQ239" s="1108"/>
      <c r="BR239" s="1108"/>
      <c r="BS239" s="1093">
        <v>0</v>
      </c>
      <c r="BT239" s="1108"/>
      <c r="BU239" s="1108"/>
      <c r="BV239" s="1108"/>
      <c r="BW239" s="1108"/>
      <c r="BX239" s="1108"/>
      <c r="BY239" s="1108"/>
      <c r="BZ239" s="1114">
        <f t="shared" si="182"/>
        <v>0</v>
      </c>
      <c r="CA239" s="1165">
        <f t="shared" si="183"/>
        <v>-3711.26</v>
      </c>
      <c r="CB239" s="1108">
        <f t="shared" si="184"/>
        <v>0</v>
      </c>
      <c r="CC239" s="1103">
        <f t="shared" si="185"/>
        <v>-3711.26</v>
      </c>
      <c r="CD239" s="1103">
        <f t="shared" si="186"/>
        <v>-3711.26</v>
      </c>
      <c r="CE239" s="1103">
        <v>-4100.7800000000007</v>
      </c>
      <c r="CF239" s="1103">
        <f t="shared" si="187"/>
        <v>389.52000000000044</v>
      </c>
      <c r="CG239" s="1114"/>
      <c r="CH239" s="1117"/>
      <c r="CI239" s="1119"/>
      <c r="CJ239" s="1119">
        <f t="shared" si="188"/>
        <v>3711.26</v>
      </c>
      <c r="CL239" s="1121">
        <v>0</v>
      </c>
      <c r="CM239" s="1121">
        <f t="shared" si="174"/>
        <v>3711.26</v>
      </c>
    </row>
    <row r="240" spans="1:91" s="1032" customFormat="1" outlineLevel="1">
      <c r="A240" s="1091"/>
      <c r="B240" s="1015"/>
      <c r="C240" s="1097"/>
      <c r="D240" s="1149" t="s">
        <v>775</v>
      </c>
      <c r="E240" s="1085"/>
      <c r="F240" s="1023">
        <v>0</v>
      </c>
      <c r="G240" s="1023">
        <v>0</v>
      </c>
      <c r="H240" s="1023">
        <v>0</v>
      </c>
      <c r="I240" s="1023">
        <v>0</v>
      </c>
      <c r="J240" s="1019"/>
      <c r="K240" s="1020"/>
      <c r="L240" s="1021"/>
      <c r="M240" s="1022"/>
      <c r="N240" s="1023"/>
      <c r="O240" s="1024"/>
      <c r="P240" s="1024"/>
      <c r="Q240" s="1024"/>
      <c r="R240" s="1024"/>
      <c r="S240" s="1024"/>
      <c r="T240" s="1024"/>
      <c r="U240" s="1024"/>
      <c r="V240" s="1024"/>
      <c r="W240" s="1024"/>
      <c r="X240" s="1024"/>
      <c r="Y240" s="1024"/>
      <c r="Z240" s="1025">
        <f t="shared" si="178"/>
        <v>0</v>
      </c>
      <c r="AA240" s="1026"/>
      <c r="AB240" s="1027"/>
      <c r="AC240" s="1027"/>
      <c r="AD240" s="1027"/>
      <c r="AE240" s="1027"/>
      <c r="AF240" s="1027"/>
      <c r="AG240" s="1027"/>
      <c r="AH240" s="1028"/>
      <c r="AI240" s="1028"/>
      <c r="AJ240" s="1028"/>
      <c r="AK240" s="1028"/>
      <c r="AL240" s="1028"/>
      <c r="AM240" s="1025">
        <f t="shared" si="179"/>
        <v>0</v>
      </c>
      <c r="AN240" s="1024"/>
      <c r="AO240" s="1024"/>
      <c r="AP240" s="1024"/>
      <c r="AQ240" s="1024"/>
      <c r="AR240" s="1023"/>
      <c r="AS240" s="1023"/>
      <c r="AT240" s="1023"/>
      <c r="AU240" s="1024"/>
      <c r="AV240" s="1024"/>
      <c r="AW240" s="1024"/>
      <c r="AX240" s="1024"/>
      <c r="AY240" s="1076"/>
      <c r="AZ240" s="1024">
        <f t="shared" si="180"/>
        <v>0</v>
      </c>
      <c r="BA240" s="1024"/>
      <c r="BB240" s="1024"/>
      <c r="BC240" s="1024">
        <v>0</v>
      </c>
      <c r="BD240" s="1024"/>
      <c r="BE240" s="1024"/>
      <c r="BF240" s="1024"/>
      <c r="BG240" s="1024"/>
      <c r="BH240" s="1024"/>
      <c r="BI240" s="1024"/>
      <c r="BJ240" s="1024"/>
      <c r="BK240" s="1024"/>
      <c r="BL240" s="1024"/>
      <c r="BM240" s="1024">
        <f t="shared" si="181"/>
        <v>0</v>
      </c>
      <c r="BN240" s="1024"/>
      <c r="BO240" s="1024"/>
      <c r="BP240" s="1024"/>
      <c r="BQ240" s="1024"/>
      <c r="BR240" s="1024"/>
      <c r="BS240" s="1024"/>
      <c r="BT240" s="1024"/>
      <c r="BU240" s="1024"/>
      <c r="BV240" s="1024"/>
      <c r="BW240" s="1024"/>
      <c r="BX240" s="1024"/>
      <c r="BY240" s="1024"/>
      <c r="BZ240" s="1029">
        <f t="shared" si="182"/>
        <v>0</v>
      </c>
      <c r="CA240" s="1018">
        <f t="shared" si="183"/>
        <v>0</v>
      </c>
      <c r="CB240" s="1024">
        <f t="shared" si="184"/>
        <v>0</v>
      </c>
      <c r="CC240" s="1023">
        <f t="shared" si="185"/>
        <v>0</v>
      </c>
      <c r="CD240" s="1023">
        <f t="shared" si="186"/>
        <v>0</v>
      </c>
      <c r="CE240" s="1023">
        <v>0</v>
      </c>
      <c r="CF240" s="1023">
        <f t="shared" si="187"/>
        <v>0</v>
      </c>
      <c r="CG240" s="1029"/>
      <c r="CH240" s="972"/>
      <c r="CI240" s="1083">
        <v>0</v>
      </c>
      <c r="CJ240" s="1083">
        <f t="shared" si="188"/>
        <v>0</v>
      </c>
      <c r="CL240" s="976">
        <v>0</v>
      </c>
      <c r="CM240" s="976">
        <f t="shared" si="174"/>
        <v>0</v>
      </c>
    </row>
    <row r="241" spans="1:91" s="1120" customFormat="1" outlineLevel="1">
      <c r="A241" s="1100"/>
      <c r="B241" s="1101"/>
      <c r="C241" s="1102"/>
      <c r="D241" s="1448" t="s">
        <v>776</v>
      </c>
      <c r="E241" s="1449"/>
      <c r="F241" s="1103"/>
      <c r="G241" s="1103"/>
      <c r="H241" s="1103"/>
      <c r="I241" s="1103"/>
      <c r="J241" s="1104"/>
      <c r="K241" s="1105"/>
      <c r="L241" s="1106"/>
      <c r="M241" s="1107"/>
      <c r="N241" s="1103"/>
      <c r="O241" s="1108"/>
      <c r="P241" s="1108"/>
      <c r="Q241" s="1108"/>
      <c r="R241" s="1108"/>
      <c r="S241" s="1108"/>
      <c r="T241" s="1108"/>
      <c r="U241" s="1108"/>
      <c r="V241" s="1108"/>
      <c r="W241" s="1108"/>
      <c r="X241" s="1108"/>
      <c r="Y241" s="1108"/>
      <c r="Z241" s="1109">
        <f t="shared" si="178"/>
        <v>0</v>
      </c>
      <c r="AA241" s="1110"/>
      <c r="AB241" s="1111"/>
      <c r="AC241" s="1111"/>
      <c r="AD241" s="1111"/>
      <c r="AE241" s="1111"/>
      <c r="AF241" s="1111"/>
      <c r="AG241" s="1111"/>
      <c r="AH241" s="1112"/>
      <c r="AI241" s="1112"/>
      <c r="AJ241" s="1112"/>
      <c r="AK241" s="1112"/>
      <c r="AL241" s="1112"/>
      <c r="AM241" s="1109">
        <f t="shared" si="179"/>
        <v>0</v>
      </c>
      <c r="AN241" s="1108"/>
      <c r="AO241" s="1108"/>
      <c r="AP241" s="1108"/>
      <c r="AQ241" s="1108"/>
      <c r="AR241" s="1103"/>
      <c r="AS241" s="1103"/>
      <c r="AT241" s="1103"/>
      <c r="AU241" s="1108"/>
      <c r="AV241" s="1108"/>
      <c r="AW241" s="1108"/>
      <c r="AX241" s="1108"/>
      <c r="AY241" s="1103"/>
      <c r="AZ241" s="1103">
        <f t="shared" si="180"/>
        <v>0</v>
      </c>
      <c r="BA241" s="1103"/>
      <c r="BB241" s="1103"/>
      <c r="BC241" s="1108"/>
      <c r="BD241" s="1108"/>
      <c r="BE241" s="1108"/>
      <c r="BF241" s="1108"/>
      <c r="BG241" s="1108"/>
      <c r="BH241" s="1108"/>
      <c r="BI241" s="1108"/>
      <c r="BJ241" s="1108"/>
      <c r="BK241" s="1108"/>
      <c r="BL241" s="1113">
        <f>439*1.082</f>
        <v>474.99800000000005</v>
      </c>
      <c r="BM241" s="1108">
        <f t="shared" si="181"/>
        <v>474.99800000000005</v>
      </c>
      <c r="BN241" s="1108"/>
      <c r="BO241" s="1108"/>
      <c r="BP241" s="1108"/>
      <c r="BQ241" s="1108"/>
      <c r="BR241" s="1108"/>
      <c r="BS241" s="1108"/>
      <c r="BT241" s="1108"/>
      <c r="BU241" s="1108"/>
      <c r="BV241" s="1108"/>
      <c r="BW241" s="1108"/>
      <c r="BX241" s="1108"/>
      <c r="BY241" s="1108"/>
      <c r="BZ241" s="1114">
        <f t="shared" si="182"/>
        <v>0</v>
      </c>
      <c r="CA241" s="1165">
        <f t="shared" si="183"/>
        <v>474.99800000000005</v>
      </c>
      <c r="CB241" s="1108">
        <f t="shared" si="184"/>
        <v>0</v>
      </c>
      <c r="CC241" s="1103">
        <f t="shared" si="185"/>
        <v>474.99800000000005</v>
      </c>
      <c r="CD241" s="1103">
        <f t="shared" si="186"/>
        <v>474.99800000000005</v>
      </c>
      <c r="CE241" s="1103">
        <v>474.99800000000005</v>
      </c>
      <c r="CF241" s="1103">
        <f t="shared" si="187"/>
        <v>0</v>
      </c>
      <c r="CG241" s="1114"/>
      <c r="CH241" s="1117"/>
      <c r="CI241" s="1119"/>
      <c r="CJ241" s="1119">
        <f t="shared" si="188"/>
        <v>-474.99800000000005</v>
      </c>
      <c r="CL241" s="1121">
        <v>0</v>
      </c>
      <c r="CM241" s="1121">
        <f t="shared" si="174"/>
        <v>-474.99800000000005</v>
      </c>
    </row>
    <row r="242" spans="1:91" s="1120" customFormat="1" outlineLevel="1">
      <c r="A242" s="1100"/>
      <c r="B242" s="1101"/>
      <c r="C242" s="1102"/>
      <c r="D242" s="1448" t="s">
        <v>777</v>
      </c>
      <c r="E242" s="1449"/>
      <c r="F242" s="1103"/>
      <c r="G242" s="1103"/>
      <c r="H242" s="1103"/>
      <c r="I242" s="1103"/>
      <c r="J242" s="1104"/>
      <c r="K242" s="1105"/>
      <c r="L242" s="1106"/>
      <c r="M242" s="1107"/>
      <c r="N242" s="1103"/>
      <c r="O242" s="1108"/>
      <c r="P242" s="1108"/>
      <c r="Q242" s="1108"/>
      <c r="R242" s="1108"/>
      <c r="S242" s="1108"/>
      <c r="T242" s="1108"/>
      <c r="U242" s="1108"/>
      <c r="V242" s="1108"/>
      <c r="W242" s="1108"/>
      <c r="X242" s="1108"/>
      <c r="Y242" s="1108"/>
      <c r="Z242" s="1109">
        <f t="shared" si="178"/>
        <v>0</v>
      </c>
      <c r="AA242" s="1110"/>
      <c r="AB242" s="1111"/>
      <c r="AC242" s="1111"/>
      <c r="AD242" s="1111"/>
      <c r="AE242" s="1111"/>
      <c r="AF242" s="1111"/>
      <c r="AG242" s="1111"/>
      <c r="AH242" s="1112"/>
      <c r="AI242" s="1112"/>
      <c r="AJ242" s="1112"/>
      <c r="AK242" s="1112"/>
      <c r="AL242" s="1112"/>
      <c r="AM242" s="1109">
        <f t="shared" si="179"/>
        <v>0</v>
      </c>
      <c r="AN242" s="1108"/>
      <c r="AO242" s="1108"/>
      <c r="AP242" s="1108"/>
      <c r="AQ242" s="1108"/>
      <c r="AR242" s="1103"/>
      <c r="AS242" s="1103"/>
      <c r="AT242" s="1103"/>
      <c r="AU242" s="1108"/>
      <c r="AV242" s="1108"/>
      <c r="AW242" s="1108"/>
      <c r="AX242" s="1108"/>
      <c r="AY242" s="1103"/>
      <c r="AZ242" s="1103">
        <f t="shared" si="180"/>
        <v>0</v>
      </c>
      <c r="BA242" s="1103"/>
      <c r="BB242" s="1103"/>
      <c r="BC242" s="1108"/>
      <c r="BD242" s="1108"/>
      <c r="BE242" s="1108"/>
      <c r="BF242" s="1108"/>
      <c r="BG242" s="1108"/>
      <c r="BH242" s="1108"/>
      <c r="BI242" s="1108"/>
      <c r="BJ242" s="1108"/>
      <c r="BK242" s="1108"/>
      <c r="BL242" s="1113">
        <f>613*1.082</f>
        <v>663.26600000000008</v>
      </c>
      <c r="BM242" s="1108">
        <f t="shared" si="181"/>
        <v>663.26600000000008</v>
      </c>
      <c r="BN242" s="1108"/>
      <c r="BO242" s="1108"/>
      <c r="BP242" s="1108"/>
      <c r="BQ242" s="1108"/>
      <c r="BR242" s="1108"/>
      <c r="BS242" s="1108"/>
      <c r="BT242" s="1108"/>
      <c r="BU242" s="1108"/>
      <c r="BV242" s="1108"/>
      <c r="BW242" s="1108"/>
      <c r="BX242" s="1108"/>
      <c r="BY242" s="1108"/>
      <c r="BZ242" s="1114">
        <f t="shared" si="182"/>
        <v>0</v>
      </c>
      <c r="CA242" s="1165">
        <f t="shared" si="183"/>
        <v>663.26600000000008</v>
      </c>
      <c r="CB242" s="1108">
        <f t="shared" si="184"/>
        <v>0</v>
      </c>
      <c r="CC242" s="1103">
        <f t="shared" si="185"/>
        <v>663.26600000000008</v>
      </c>
      <c r="CD242" s="1103">
        <f t="shared" si="186"/>
        <v>663.26600000000008</v>
      </c>
      <c r="CE242" s="1103">
        <v>663.26600000000008</v>
      </c>
      <c r="CF242" s="1103">
        <f t="shared" si="187"/>
        <v>0</v>
      </c>
      <c r="CG242" s="1114"/>
      <c r="CH242" s="1117"/>
      <c r="CI242" s="1119"/>
      <c r="CJ242" s="1119">
        <f t="shared" si="188"/>
        <v>-663.26600000000008</v>
      </c>
      <c r="CL242" s="1121">
        <v>0</v>
      </c>
      <c r="CM242" s="1121">
        <f t="shared" si="174"/>
        <v>-663.26600000000008</v>
      </c>
    </row>
    <row r="243" spans="1:91" s="1120" customFormat="1" outlineLevel="1">
      <c r="A243" s="1100"/>
      <c r="B243" s="1101"/>
      <c r="C243" s="1102"/>
      <c r="D243" s="1448" t="s">
        <v>778</v>
      </c>
      <c r="E243" s="1449"/>
      <c r="F243" s="1103"/>
      <c r="G243" s="1103"/>
      <c r="H243" s="1103"/>
      <c r="I243" s="1103"/>
      <c r="J243" s="1104"/>
      <c r="K243" s="1105"/>
      <c r="L243" s="1106"/>
      <c r="M243" s="1107"/>
      <c r="N243" s="1103"/>
      <c r="O243" s="1108"/>
      <c r="P243" s="1108"/>
      <c r="Q243" s="1108"/>
      <c r="R243" s="1108"/>
      <c r="S243" s="1108"/>
      <c r="T243" s="1108"/>
      <c r="U243" s="1108"/>
      <c r="V243" s="1108"/>
      <c r="W243" s="1108"/>
      <c r="X243" s="1108"/>
      <c r="Y243" s="1108"/>
      <c r="Z243" s="1109">
        <f t="shared" si="178"/>
        <v>0</v>
      </c>
      <c r="AA243" s="1110"/>
      <c r="AB243" s="1111"/>
      <c r="AC243" s="1111"/>
      <c r="AD243" s="1111"/>
      <c r="AE243" s="1111"/>
      <c r="AF243" s="1111"/>
      <c r="AG243" s="1111"/>
      <c r="AH243" s="1112"/>
      <c r="AI243" s="1112"/>
      <c r="AJ243" s="1112"/>
      <c r="AK243" s="1112"/>
      <c r="AL243" s="1112"/>
      <c r="AM243" s="1109">
        <f t="shared" si="179"/>
        <v>0</v>
      </c>
      <c r="AN243" s="1108"/>
      <c r="AO243" s="1108"/>
      <c r="AP243" s="1108"/>
      <c r="AQ243" s="1108"/>
      <c r="AR243" s="1103"/>
      <c r="AS243" s="1103"/>
      <c r="AT243" s="1103"/>
      <c r="AU243" s="1108"/>
      <c r="AV243" s="1108"/>
      <c r="AW243" s="1108"/>
      <c r="AX243" s="1108"/>
      <c r="AY243" s="1103"/>
      <c r="AZ243" s="1103">
        <f t="shared" si="180"/>
        <v>0</v>
      </c>
      <c r="BA243" s="1103"/>
      <c r="BB243" s="1103"/>
      <c r="BC243" s="1108"/>
      <c r="BD243" s="1108"/>
      <c r="BE243" s="1108"/>
      <c r="BF243" s="1108"/>
      <c r="BG243" s="1108"/>
      <c r="BH243" s="1108"/>
      <c r="BI243" s="1108"/>
      <c r="BJ243" s="1108"/>
      <c r="BK243" s="1108"/>
      <c r="BL243" s="1113">
        <f>3588*1.082</f>
        <v>3882.2160000000003</v>
      </c>
      <c r="BM243" s="1108">
        <f t="shared" si="181"/>
        <v>3882.2160000000003</v>
      </c>
      <c r="BN243" s="1108"/>
      <c r="BO243" s="1108"/>
      <c r="BP243" s="1108"/>
      <c r="BQ243" s="1108"/>
      <c r="BR243" s="1108"/>
      <c r="BS243" s="1108"/>
      <c r="BT243" s="1108"/>
      <c r="BU243" s="1108"/>
      <c r="BV243" s="1108"/>
      <c r="BW243" s="1108"/>
      <c r="BX243" s="1108"/>
      <c r="BY243" s="1108"/>
      <c r="BZ243" s="1114">
        <f t="shared" si="182"/>
        <v>0</v>
      </c>
      <c r="CA243" s="1165">
        <f t="shared" si="183"/>
        <v>3882.2160000000003</v>
      </c>
      <c r="CB243" s="1108">
        <f t="shared" si="184"/>
        <v>0</v>
      </c>
      <c r="CC243" s="1103">
        <f t="shared" si="185"/>
        <v>3882.2160000000003</v>
      </c>
      <c r="CD243" s="1103">
        <f t="shared" si="186"/>
        <v>3882.2160000000003</v>
      </c>
      <c r="CE243" s="1103">
        <v>3882.2160000000003</v>
      </c>
      <c r="CF243" s="1103">
        <f t="shared" si="187"/>
        <v>0</v>
      </c>
      <c r="CG243" s="1114"/>
      <c r="CH243" s="1117"/>
      <c r="CI243" s="1119"/>
      <c r="CJ243" s="1119">
        <f t="shared" si="188"/>
        <v>-3882.2160000000003</v>
      </c>
      <c r="CL243" s="1121">
        <v>0</v>
      </c>
      <c r="CM243" s="1121">
        <f t="shared" si="174"/>
        <v>-3882.2160000000003</v>
      </c>
    </row>
    <row r="244" spans="1:91" s="1120" customFormat="1" outlineLevel="1">
      <c r="A244" s="1100"/>
      <c r="B244" s="1101"/>
      <c r="C244" s="1102"/>
      <c r="D244" s="1448" t="s">
        <v>779</v>
      </c>
      <c r="E244" s="1449"/>
      <c r="F244" s="1103"/>
      <c r="G244" s="1103"/>
      <c r="H244" s="1103"/>
      <c r="I244" s="1103"/>
      <c r="J244" s="1104"/>
      <c r="K244" s="1105"/>
      <c r="L244" s="1106"/>
      <c r="M244" s="1107"/>
      <c r="N244" s="1103"/>
      <c r="O244" s="1108"/>
      <c r="P244" s="1108"/>
      <c r="Q244" s="1108"/>
      <c r="R244" s="1108"/>
      <c r="S244" s="1108"/>
      <c r="T244" s="1108"/>
      <c r="U244" s="1108"/>
      <c r="V244" s="1108"/>
      <c r="W244" s="1108"/>
      <c r="X244" s="1108"/>
      <c r="Y244" s="1108"/>
      <c r="Z244" s="1109">
        <f t="shared" si="178"/>
        <v>0</v>
      </c>
      <c r="AA244" s="1110"/>
      <c r="AB244" s="1111"/>
      <c r="AC244" s="1111"/>
      <c r="AD244" s="1111"/>
      <c r="AE244" s="1111"/>
      <c r="AF244" s="1111"/>
      <c r="AG244" s="1111"/>
      <c r="AH244" s="1112"/>
      <c r="AI244" s="1112"/>
      <c r="AJ244" s="1112"/>
      <c r="AK244" s="1112"/>
      <c r="AL244" s="1112"/>
      <c r="AM244" s="1109">
        <f t="shared" si="179"/>
        <v>0</v>
      </c>
      <c r="AN244" s="1108"/>
      <c r="AO244" s="1108"/>
      <c r="AP244" s="1108"/>
      <c r="AQ244" s="1108"/>
      <c r="AR244" s="1103"/>
      <c r="AS244" s="1103"/>
      <c r="AT244" s="1103"/>
      <c r="AU244" s="1108"/>
      <c r="AV244" s="1108"/>
      <c r="AW244" s="1108"/>
      <c r="AX244" s="1108"/>
      <c r="AY244" s="1103"/>
      <c r="AZ244" s="1103">
        <f t="shared" si="180"/>
        <v>0</v>
      </c>
      <c r="BA244" s="1103"/>
      <c r="BB244" s="1103"/>
      <c r="BC244" s="1108"/>
      <c r="BD244" s="1108"/>
      <c r="BE244" s="1108"/>
      <c r="BF244" s="1108"/>
      <c r="BG244" s="1108"/>
      <c r="BH244" s="1108"/>
      <c r="BI244" s="1108"/>
      <c r="BJ244" s="1108"/>
      <c r="BK244" s="1108"/>
      <c r="BL244" s="1113">
        <f>4139*1.082</f>
        <v>4478.3980000000001</v>
      </c>
      <c r="BM244" s="1108">
        <f t="shared" si="181"/>
        <v>4478.3980000000001</v>
      </c>
      <c r="BN244" s="1108"/>
      <c r="BO244" s="1108"/>
      <c r="BP244" s="1108"/>
      <c r="BQ244" s="1108"/>
      <c r="BR244" s="1108"/>
      <c r="BS244" s="1108"/>
      <c r="BT244" s="1108"/>
      <c r="BU244" s="1108"/>
      <c r="BV244" s="1108"/>
      <c r="BW244" s="1108"/>
      <c r="BX244" s="1108"/>
      <c r="BY244" s="1108"/>
      <c r="BZ244" s="1114">
        <f t="shared" si="182"/>
        <v>0</v>
      </c>
      <c r="CA244" s="1165">
        <f t="shared" si="183"/>
        <v>4478.3980000000001</v>
      </c>
      <c r="CB244" s="1108">
        <f t="shared" si="184"/>
        <v>0</v>
      </c>
      <c r="CC244" s="1103">
        <f t="shared" si="185"/>
        <v>4478.3980000000001</v>
      </c>
      <c r="CD244" s="1103">
        <f t="shared" si="186"/>
        <v>4478.3980000000001</v>
      </c>
      <c r="CE244" s="1103">
        <v>4478.3980000000001</v>
      </c>
      <c r="CF244" s="1103">
        <f t="shared" si="187"/>
        <v>0</v>
      </c>
      <c r="CG244" s="1114"/>
      <c r="CH244" s="1117"/>
      <c r="CI244" s="1119"/>
      <c r="CJ244" s="1119">
        <f t="shared" si="188"/>
        <v>-4478.3980000000001</v>
      </c>
      <c r="CL244" s="1121">
        <v>0</v>
      </c>
      <c r="CM244" s="1121">
        <f t="shared" si="174"/>
        <v>-4478.3980000000001</v>
      </c>
    </row>
    <row r="245" spans="1:91" s="1120" customFormat="1" outlineLevel="1">
      <c r="A245" s="1100"/>
      <c r="B245" s="1101"/>
      <c r="C245" s="1102"/>
      <c r="D245" s="1448" t="s">
        <v>780</v>
      </c>
      <c r="E245" s="1449"/>
      <c r="F245" s="1103"/>
      <c r="G245" s="1103"/>
      <c r="H245" s="1103"/>
      <c r="I245" s="1103"/>
      <c r="J245" s="1104"/>
      <c r="K245" s="1105"/>
      <c r="L245" s="1106"/>
      <c r="M245" s="1107"/>
      <c r="N245" s="1103"/>
      <c r="O245" s="1108"/>
      <c r="P245" s="1108"/>
      <c r="Q245" s="1108"/>
      <c r="R245" s="1108"/>
      <c r="S245" s="1108"/>
      <c r="T245" s="1108"/>
      <c r="U245" s="1108"/>
      <c r="V245" s="1108"/>
      <c r="W245" s="1108"/>
      <c r="X245" s="1108"/>
      <c r="Y245" s="1108"/>
      <c r="Z245" s="1109">
        <f t="shared" si="178"/>
        <v>0</v>
      </c>
      <c r="AA245" s="1110"/>
      <c r="AB245" s="1111"/>
      <c r="AC245" s="1111"/>
      <c r="AD245" s="1111"/>
      <c r="AE245" s="1111"/>
      <c r="AF245" s="1111"/>
      <c r="AG245" s="1111"/>
      <c r="AH245" s="1112"/>
      <c r="AI245" s="1112"/>
      <c r="AJ245" s="1112"/>
      <c r="AK245" s="1112"/>
      <c r="AL245" s="1112"/>
      <c r="AM245" s="1109">
        <f t="shared" si="179"/>
        <v>0</v>
      </c>
      <c r="AN245" s="1108"/>
      <c r="AO245" s="1108"/>
      <c r="AP245" s="1108"/>
      <c r="AQ245" s="1108"/>
      <c r="AR245" s="1103"/>
      <c r="AS245" s="1103"/>
      <c r="AT245" s="1103"/>
      <c r="AU245" s="1108"/>
      <c r="AV245" s="1108"/>
      <c r="AW245" s="1108"/>
      <c r="AX245" s="1108"/>
      <c r="AY245" s="1103"/>
      <c r="AZ245" s="1103">
        <f t="shared" si="180"/>
        <v>0</v>
      </c>
      <c r="BA245" s="1103"/>
      <c r="BB245" s="1103"/>
      <c r="BC245" s="1108"/>
      <c r="BD245" s="1108"/>
      <c r="BE245" s="1108"/>
      <c r="BF245" s="1108"/>
      <c r="BG245" s="1108"/>
      <c r="BH245" s="1108"/>
      <c r="BI245" s="1108"/>
      <c r="BJ245" s="1108"/>
      <c r="BK245" s="1108"/>
      <c r="BL245" s="1113">
        <f>1526*1.082</f>
        <v>1651.1320000000001</v>
      </c>
      <c r="BM245" s="1108">
        <f t="shared" si="181"/>
        <v>1651.1320000000001</v>
      </c>
      <c r="BN245" s="1108"/>
      <c r="BO245" s="1108"/>
      <c r="BP245" s="1108">
        <f>4455.92*1.082</f>
        <v>4821.3054400000001</v>
      </c>
      <c r="BQ245" s="1108"/>
      <c r="BR245" s="1108"/>
      <c r="BS245" s="1093">
        <v>0</v>
      </c>
      <c r="BT245" s="1108"/>
      <c r="BU245" s="1108"/>
      <c r="BV245" s="1108"/>
      <c r="BW245" s="1108"/>
      <c r="BX245" s="1108"/>
      <c r="BY245" s="1108"/>
      <c r="BZ245" s="1114">
        <f t="shared" si="182"/>
        <v>4821.3054400000001</v>
      </c>
      <c r="CA245" s="1165">
        <f t="shared" si="183"/>
        <v>6472.4374399999997</v>
      </c>
      <c r="CB245" s="1108">
        <f t="shared" si="184"/>
        <v>0</v>
      </c>
      <c r="CC245" s="1103">
        <f t="shared" si="185"/>
        <v>6472.4374399999997</v>
      </c>
      <c r="CD245" s="1103">
        <f t="shared" si="186"/>
        <v>6472.4374399999997</v>
      </c>
      <c r="CE245" s="1103">
        <v>6604.6554399999995</v>
      </c>
      <c r="CF245" s="1103">
        <f t="shared" si="187"/>
        <v>-132.21799999999985</v>
      </c>
      <c r="CG245" s="1114"/>
      <c r="CH245" s="1117"/>
      <c r="CI245" s="1119"/>
      <c r="CJ245" s="1119">
        <f t="shared" si="188"/>
        <v>-6472.4374399999997</v>
      </c>
      <c r="CL245" s="1121">
        <v>0</v>
      </c>
      <c r="CM245" s="1121">
        <f t="shared" ref="CM245:CM261" si="189">+CL245-CC245</f>
        <v>-6472.4374399999997</v>
      </c>
    </row>
    <row r="246" spans="1:91" s="1120" customFormat="1" outlineLevel="1">
      <c r="A246" s="1100"/>
      <c r="B246" s="1101"/>
      <c r="C246" s="1102"/>
      <c r="D246" s="1448" t="s">
        <v>781</v>
      </c>
      <c r="E246" s="1449"/>
      <c r="F246" s="1103"/>
      <c r="G246" s="1103"/>
      <c r="H246" s="1103"/>
      <c r="I246" s="1103"/>
      <c r="J246" s="1104"/>
      <c r="K246" s="1105"/>
      <c r="L246" s="1106"/>
      <c r="M246" s="1107"/>
      <c r="N246" s="1103"/>
      <c r="O246" s="1108"/>
      <c r="P246" s="1108"/>
      <c r="Q246" s="1108"/>
      <c r="R246" s="1108"/>
      <c r="S246" s="1108"/>
      <c r="T246" s="1108"/>
      <c r="U246" s="1108"/>
      <c r="V246" s="1108"/>
      <c r="W246" s="1108"/>
      <c r="X246" s="1108"/>
      <c r="Y246" s="1108"/>
      <c r="Z246" s="1109">
        <f t="shared" si="178"/>
        <v>0</v>
      </c>
      <c r="AA246" s="1110"/>
      <c r="AB246" s="1111"/>
      <c r="AC246" s="1111"/>
      <c r="AD246" s="1111"/>
      <c r="AE246" s="1111"/>
      <c r="AF246" s="1111"/>
      <c r="AG246" s="1111"/>
      <c r="AH246" s="1112"/>
      <c r="AI246" s="1112"/>
      <c r="AJ246" s="1112"/>
      <c r="AK246" s="1112"/>
      <c r="AL246" s="1112"/>
      <c r="AM246" s="1109">
        <f t="shared" si="179"/>
        <v>0</v>
      </c>
      <c r="AN246" s="1108"/>
      <c r="AO246" s="1108"/>
      <c r="AP246" s="1108"/>
      <c r="AQ246" s="1108"/>
      <c r="AR246" s="1103"/>
      <c r="AS246" s="1103"/>
      <c r="AT246" s="1103"/>
      <c r="AU246" s="1108"/>
      <c r="AV246" s="1108"/>
      <c r="AW246" s="1108"/>
      <c r="AX246" s="1108"/>
      <c r="AY246" s="1103"/>
      <c r="AZ246" s="1103">
        <f t="shared" si="180"/>
        <v>0</v>
      </c>
      <c r="BA246" s="1103"/>
      <c r="BB246" s="1103"/>
      <c r="BC246" s="1108"/>
      <c r="BD246" s="1108"/>
      <c r="BE246" s="1108"/>
      <c r="BF246" s="1108"/>
      <c r="BG246" s="1108"/>
      <c r="BH246" s="1108"/>
      <c r="BI246" s="1108"/>
      <c r="BJ246" s="1108"/>
      <c r="BK246" s="1108"/>
      <c r="BL246" s="1113">
        <f>7821*1.082</f>
        <v>8462.3220000000001</v>
      </c>
      <c r="BM246" s="1108">
        <f t="shared" si="181"/>
        <v>8462.3220000000001</v>
      </c>
      <c r="BN246" s="1108"/>
      <c r="BO246" s="1108"/>
      <c r="BP246" s="1108"/>
      <c r="BQ246" s="1108"/>
      <c r="BR246" s="1108"/>
      <c r="BS246" s="1108"/>
      <c r="BT246" s="1108"/>
      <c r="BU246" s="1108"/>
      <c r="BV246" s="1108"/>
      <c r="BW246" s="1108"/>
      <c r="BX246" s="1108"/>
      <c r="BY246" s="1108"/>
      <c r="BZ246" s="1114">
        <f t="shared" si="182"/>
        <v>0</v>
      </c>
      <c r="CA246" s="1165">
        <f t="shared" si="183"/>
        <v>8462.3220000000001</v>
      </c>
      <c r="CB246" s="1108">
        <f t="shared" si="184"/>
        <v>0</v>
      </c>
      <c r="CC246" s="1103">
        <f t="shared" si="185"/>
        <v>8462.3220000000001</v>
      </c>
      <c r="CD246" s="1103">
        <f t="shared" si="186"/>
        <v>8462.3220000000001</v>
      </c>
      <c r="CE246" s="1103">
        <v>8462.3220000000001</v>
      </c>
      <c r="CF246" s="1103">
        <f t="shared" si="187"/>
        <v>0</v>
      </c>
      <c r="CG246" s="1114"/>
      <c r="CH246" s="1117"/>
      <c r="CI246" s="1119"/>
      <c r="CJ246" s="1119">
        <f t="shared" si="188"/>
        <v>-8462.3220000000001</v>
      </c>
      <c r="CL246" s="1121">
        <v>0</v>
      </c>
      <c r="CM246" s="1121">
        <f t="shared" si="189"/>
        <v>-8462.3220000000001</v>
      </c>
    </row>
    <row r="247" spans="1:91" s="1120" customFormat="1" outlineLevel="1">
      <c r="A247" s="1100"/>
      <c r="B247" s="1101"/>
      <c r="C247" s="1102"/>
      <c r="D247" s="1448" t="s">
        <v>782</v>
      </c>
      <c r="E247" s="1449"/>
      <c r="F247" s="1103"/>
      <c r="G247" s="1103"/>
      <c r="H247" s="1103"/>
      <c r="I247" s="1103"/>
      <c r="J247" s="1104"/>
      <c r="K247" s="1105"/>
      <c r="L247" s="1106"/>
      <c r="M247" s="1107"/>
      <c r="N247" s="1103"/>
      <c r="O247" s="1108"/>
      <c r="P247" s="1108"/>
      <c r="Q247" s="1108"/>
      <c r="R247" s="1108"/>
      <c r="S247" s="1108"/>
      <c r="T247" s="1108"/>
      <c r="U247" s="1108"/>
      <c r="V247" s="1108"/>
      <c r="W247" s="1108"/>
      <c r="X247" s="1108"/>
      <c r="Y247" s="1108"/>
      <c r="Z247" s="1109">
        <f t="shared" si="178"/>
        <v>0</v>
      </c>
      <c r="AA247" s="1110"/>
      <c r="AB247" s="1111"/>
      <c r="AC247" s="1111"/>
      <c r="AD247" s="1111"/>
      <c r="AE247" s="1111"/>
      <c r="AF247" s="1111"/>
      <c r="AG247" s="1111"/>
      <c r="AH247" s="1112"/>
      <c r="AI247" s="1112"/>
      <c r="AJ247" s="1112"/>
      <c r="AK247" s="1112"/>
      <c r="AL247" s="1112"/>
      <c r="AM247" s="1109">
        <f t="shared" si="179"/>
        <v>0</v>
      </c>
      <c r="AN247" s="1108"/>
      <c r="AO247" s="1108"/>
      <c r="AP247" s="1108"/>
      <c r="AQ247" s="1108"/>
      <c r="AR247" s="1103"/>
      <c r="AS247" s="1103"/>
      <c r="AT247" s="1103"/>
      <c r="AU247" s="1108"/>
      <c r="AV247" s="1108"/>
      <c r="AW247" s="1108"/>
      <c r="AX247" s="1108"/>
      <c r="AY247" s="1103"/>
      <c r="AZ247" s="1103">
        <f t="shared" si="180"/>
        <v>0</v>
      </c>
      <c r="BA247" s="1103"/>
      <c r="BB247" s="1103"/>
      <c r="BC247" s="1108"/>
      <c r="BD247" s="1108"/>
      <c r="BE247" s="1108"/>
      <c r="BF247" s="1108"/>
      <c r="BG247" s="1108"/>
      <c r="BH247" s="1108"/>
      <c r="BI247" s="1108"/>
      <c r="BJ247" s="1108"/>
      <c r="BK247" s="1108"/>
      <c r="BL247" s="1113">
        <f>8815*1.082/2</f>
        <v>4768.915</v>
      </c>
      <c r="BM247" s="1108">
        <f t="shared" si="181"/>
        <v>4768.915</v>
      </c>
      <c r="BN247" s="1108">
        <f>4231*1.082</f>
        <v>4577.942</v>
      </c>
      <c r="BO247" s="1108"/>
      <c r="BP247" s="1108"/>
      <c r="BQ247" s="1108"/>
      <c r="BR247" s="1108"/>
      <c r="BS247" s="1093">
        <v>0</v>
      </c>
      <c r="BT247" s="1108"/>
      <c r="BU247" s="1108"/>
      <c r="BV247" s="1108"/>
      <c r="BW247" s="1108"/>
      <c r="BX247" s="1108"/>
      <c r="BY247" s="1108"/>
      <c r="BZ247" s="1114">
        <f t="shared" si="182"/>
        <v>4577.942</v>
      </c>
      <c r="CA247" s="1165">
        <f t="shared" si="183"/>
        <v>9346.857</v>
      </c>
      <c r="CB247" s="1108">
        <f t="shared" si="184"/>
        <v>0</v>
      </c>
      <c r="CC247" s="1103">
        <f t="shared" si="185"/>
        <v>9346.857</v>
      </c>
      <c r="CD247" s="1103">
        <f t="shared" si="186"/>
        <v>9346.857</v>
      </c>
      <c r="CE247" s="1103">
        <v>9537.6136000000006</v>
      </c>
      <c r="CF247" s="1103">
        <f t="shared" si="187"/>
        <v>-190.75660000000062</v>
      </c>
      <c r="CG247" s="1114"/>
      <c r="CH247" s="1117"/>
      <c r="CI247" s="1119"/>
      <c r="CJ247" s="1119">
        <f t="shared" si="188"/>
        <v>-9346.857</v>
      </c>
      <c r="CL247" s="1121">
        <v>0</v>
      </c>
      <c r="CM247" s="1121">
        <f t="shared" si="189"/>
        <v>-9346.857</v>
      </c>
    </row>
    <row r="248" spans="1:91" s="1120" customFormat="1" outlineLevel="1">
      <c r="A248" s="1100"/>
      <c r="B248" s="1101"/>
      <c r="C248" s="1102"/>
      <c r="D248" s="1448" t="s">
        <v>783</v>
      </c>
      <c r="E248" s="1449"/>
      <c r="F248" s="1103"/>
      <c r="G248" s="1103"/>
      <c r="H248" s="1103"/>
      <c r="I248" s="1103"/>
      <c r="J248" s="1104"/>
      <c r="K248" s="1105"/>
      <c r="L248" s="1106"/>
      <c r="M248" s="1107"/>
      <c r="N248" s="1103"/>
      <c r="O248" s="1108"/>
      <c r="P248" s="1108"/>
      <c r="Q248" s="1108"/>
      <c r="R248" s="1108"/>
      <c r="S248" s="1108"/>
      <c r="T248" s="1108"/>
      <c r="U248" s="1108"/>
      <c r="V248" s="1108"/>
      <c r="W248" s="1108"/>
      <c r="X248" s="1108"/>
      <c r="Y248" s="1108"/>
      <c r="Z248" s="1109">
        <f t="shared" si="178"/>
        <v>0</v>
      </c>
      <c r="AA248" s="1110"/>
      <c r="AB248" s="1111"/>
      <c r="AC248" s="1111"/>
      <c r="AD248" s="1111"/>
      <c r="AE248" s="1111"/>
      <c r="AF248" s="1111"/>
      <c r="AG248" s="1111"/>
      <c r="AH248" s="1112"/>
      <c r="AI248" s="1112"/>
      <c r="AJ248" s="1112"/>
      <c r="AK248" s="1112"/>
      <c r="AL248" s="1112"/>
      <c r="AM248" s="1109">
        <f t="shared" si="179"/>
        <v>0</v>
      </c>
      <c r="AN248" s="1108"/>
      <c r="AO248" s="1108"/>
      <c r="AP248" s="1108"/>
      <c r="AQ248" s="1108"/>
      <c r="AR248" s="1103"/>
      <c r="AS248" s="1103"/>
      <c r="AT248" s="1103"/>
      <c r="AU248" s="1108"/>
      <c r="AV248" s="1108"/>
      <c r="AW248" s="1108"/>
      <c r="AX248" s="1108"/>
      <c r="AY248" s="1103"/>
      <c r="AZ248" s="1103">
        <f t="shared" si="180"/>
        <v>0</v>
      </c>
      <c r="BA248" s="1103"/>
      <c r="BB248" s="1103"/>
      <c r="BC248" s="1108"/>
      <c r="BD248" s="1108"/>
      <c r="BE248" s="1108"/>
      <c r="BF248" s="1108"/>
      <c r="BG248" s="1108"/>
      <c r="BH248" s="1108"/>
      <c r="BI248" s="1108"/>
      <c r="BJ248" s="1108"/>
      <c r="BK248" s="1108"/>
      <c r="BL248" s="1113">
        <f>15133*1.082/2</f>
        <v>8186.9530000000004</v>
      </c>
      <c r="BM248" s="1108">
        <f t="shared" si="181"/>
        <v>8186.9530000000004</v>
      </c>
      <c r="BN248" s="1108"/>
      <c r="BO248" s="1108">
        <f>3783.25*1.082</f>
        <v>4093.4765000000002</v>
      </c>
      <c r="BP248" s="1108">
        <v>818.7</v>
      </c>
      <c r="BQ248" s="1311">
        <f>(756.65*1.082)*(25/30)</f>
        <v>682.24608333333333</v>
      </c>
      <c r="BR248" s="1093">
        <v>0</v>
      </c>
      <c r="BS248" s="1093">
        <v>0</v>
      </c>
      <c r="BT248" s="1108"/>
      <c r="BU248" s="1108"/>
      <c r="BV248" s="1108"/>
      <c r="BW248" s="1108"/>
      <c r="BX248" s="1108"/>
      <c r="BY248" s="1108"/>
      <c r="BZ248" s="1114">
        <f t="shared" si="182"/>
        <v>5594.4225833333339</v>
      </c>
      <c r="CA248" s="1165">
        <f t="shared" si="183"/>
        <v>13781.375583333334</v>
      </c>
      <c r="CB248" s="1108">
        <f t="shared" si="184"/>
        <v>0</v>
      </c>
      <c r="CC248" s="1103">
        <f t="shared" si="185"/>
        <v>13781.375583333334</v>
      </c>
      <c r="CD248" s="1103">
        <f t="shared" si="186"/>
        <v>13781.375583333334</v>
      </c>
      <c r="CE248" s="1103">
        <v>16373.906000000001</v>
      </c>
      <c r="CF248" s="1103">
        <f t="shared" si="187"/>
        <v>-2592.5304166666665</v>
      </c>
      <c r="CG248" s="1114"/>
      <c r="CH248" s="1117"/>
      <c r="CI248" s="1119"/>
      <c r="CJ248" s="1119">
        <f t="shared" si="188"/>
        <v>-13781.375583333334</v>
      </c>
      <c r="CL248" s="1121">
        <v>0</v>
      </c>
      <c r="CM248" s="1121">
        <f t="shared" si="189"/>
        <v>-13781.375583333334</v>
      </c>
    </row>
    <row r="249" spans="1:91" s="1120" customFormat="1" ht="25.5" customHeight="1" outlineLevel="1">
      <c r="A249" s="1100"/>
      <c r="B249" s="1101"/>
      <c r="C249" s="1102"/>
      <c r="D249" s="1448" t="s">
        <v>784</v>
      </c>
      <c r="E249" s="1454"/>
      <c r="F249" s="1103"/>
      <c r="G249" s="1103"/>
      <c r="H249" s="1103"/>
      <c r="I249" s="1103"/>
      <c r="J249" s="1104"/>
      <c r="K249" s="1105"/>
      <c r="L249" s="1106"/>
      <c r="M249" s="1107"/>
      <c r="N249" s="1103"/>
      <c r="O249" s="1108"/>
      <c r="P249" s="1108"/>
      <c r="Q249" s="1108"/>
      <c r="R249" s="1108"/>
      <c r="S249" s="1108"/>
      <c r="T249" s="1108"/>
      <c r="U249" s="1108"/>
      <c r="V249" s="1108"/>
      <c r="W249" s="1108"/>
      <c r="X249" s="1108"/>
      <c r="Y249" s="1108"/>
      <c r="Z249" s="1109">
        <f t="shared" si="178"/>
        <v>0</v>
      </c>
      <c r="AA249" s="1110"/>
      <c r="AB249" s="1111"/>
      <c r="AC249" s="1111"/>
      <c r="AD249" s="1111"/>
      <c r="AE249" s="1111"/>
      <c r="AF249" s="1111"/>
      <c r="AG249" s="1111"/>
      <c r="AH249" s="1112"/>
      <c r="AI249" s="1112"/>
      <c r="AJ249" s="1112"/>
      <c r="AK249" s="1112"/>
      <c r="AL249" s="1112"/>
      <c r="AM249" s="1109">
        <f t="shared" si="179"/>
        <v>0</v>
      </c>
      <c r="AN249" s="1108"/>
      <c r="AO249" s="1108"/>
      <c r="AP249" s="1108"/>
      <c r="AQ249" s="1108"/>
      <c r="AR249" s="1103"/>
      <c r="AS249" s="1103"/>
      <c r="AT249" s="1103"/>
      <c r="AU249" s="1108"/>
      <c r="AV249" s="1108"/>
      <c r="AW249" s="1108"/>
      <c r="AX249" s="1108"/>
      <c r="AY249" s="1103"/>
      <c r="AZ249" s="1103">
        <f t="shared" si="180"/>
        <v>0</v>
      </c>
      <c r="BA249" s="1103"/>
      <c r="BB249" s="1103"/>
      <c r="BC249" s="1108"/>
      <c r="BD249" s="1108"/>
      <c r="BE249" s="1108"/>
      <c r="BF249" s="1108"/>
      <c r="BG249" s="1108"/>
      <c r="BH249" s="1108"/>
      <c r="BI249" s="1108"/>
      <c r="BJ249" s="1108"/>
      <c r="BK249" s="1108"/>
      <c r="BL249" s="1113"/>
      <c r="BM249" s="1108">
        <f t="shared" si="181"/>
        <v>0</v>
      </c>
      <c r="BN249" s="1108"/>
      <c r="BO249" s="1108"/>
      <c r="BP249" s="1108"/>
      <c r="BQ249" s="1108"/>
      <c r="BR249" s="1093">
        <v>0</v>
      </c>
      <c r="BS249" s="1108"/>
      <c r="BT249" s="1108"/>
      <c r="BU249" s="1108"/>
      <c r="BV249" s="1108"/>
      <c r="BW249" s="1108"/>
      <c r="BX249" s="1108"/>
      <c r="BY249" s="1108"/>
      <c r="BZ249" s="1114">
        <f t="shared" si="182"/>
        <v>0</v>
      </c>
      <c r="CA249" s="1165">
        <f t="shared" si="183"/>
        <v>0</v>
      </c>
      <c r="CB249" s="1108">
        <f t="shared" si="184"/>
        <v>0</v>
      </c>
      <c r="CC249" s="1103">
        <f t="shared" si="185"/>
        <v>0</v>
      </c>
      <c r="CD249" s="1103">
        <f t="shared" si="186"/>
        <v>0</v>
      </c>
      <c r="CE249" s="1103">
        <v>4100.7800000000007</v>
      </c>
      <c r="CF249" s="1103">
        <f t="shared" si="187"/>
        <v>-4100.7800000000007</v>
      </c>
      <c r="CG249" s="1114"/>
      <c r="CH249" s="1117"/>
      <c r="CI249" s="1119"/>
      <c r="CJ249" s="1119">
        <f t="shared" si="188"/>
        <v>0</v>
      </c>
      <c r="CL249" s="1121">
        <v>0</v>
      </c>
      <c r="CM249" s="1121">
        <f t="shared" si="189"/>
        <v>0</v>
      </c>
    </row>
    <row r="250" spans="1:91" s="1120" customFormat="1" outlineLevel="1">
      <c r="A250" s="1100"/>
      <c r="B250" s="1101"/>
      <c r="C250" s="1102"/>
      <c r="D250" s="1448" t="s">
        <v>785</v>
      </c>
      <c r="E250" s="1449"/>
      <c r="F250" s="1103"/>
      <c r="G250" s="1103"/>
      <c r="H250" s="1103"/>
      <c r="I250" s="1103"/>
      <c r="J250" s="1104"/>
      <c r="K250" s="1105"/>
      <c r="L250" s="1106"/>
      <c r="M250" s="1107"/>
      <c r="N250" s="1103"/>
      <c r="O250" s="1108"/>
      <c r="P250" s="1108"/>
      <c r="Q250" s="1108"/>
      <c r="R250" s="1108"/>
      <c r="S250" s="1108"/>
      <c r="T250" s="1108"/>
      <c r="U250" s="1108"/>
      <c r="V250" s="1108"/>
      <c r="W250" s="1108"/>
      <c r="X250" s="1108"/>
      <c r="Y250" s="1108"/>
      <c r="Z250" s="1109">
        <f t="shared" si="178"/>
        <v>0</v>
      </c>
      <c r="AA250" s="1110"/>
      <c r="AB250" s="1111"/>
      <c r="AC250" s="1111"/>
      <c r="AD250" s="1111"/>
      <c r="AE250" s="1111"/>
      <c r="AF250" s="1111"/>
      <c r="AG250" s="1111"/>
      <c r="AH250" s="1112"/>
      <c r="AI250" s="1112"/>
      <c r="AJ250" s="1112"/>
      <c r="AK250" s="1112"/>
      <c r="AL250" s="1112"/>
      <c r="AM250" s="1109">
        <f t="shared" si="179"/>
        <v>0</v>
      </c>
      <c r="AN250" s="1108"/>
      <c r="AO250" s="1108"/>
      <c r="AP250" s="1108"/>
      <c r="AQ250" s="1108"/>
      <c r="AR250" s="1103"/>
      <c r="AS250" s="1103"/>
      <c r="AT250" s="1103"/>
      <c r="AU250" s="1108"/>
      <c r="AV250" s="1108"/>
      <c r="AW250" s="1108"/>
      <c r="AX250" s="1108"/>
      <c r="AY250" s="1103"/>
      <c r="AZ250" s="1103">
        <f t="shared" si="180"/>
        <v>0</v>
      </c>
      <c r="BA250" s="1103"/>
      <c r="BB250" s="1103"/>
      <c r="BC250" s="1108"/>
      <c r="BD250" s="1108"/>
      <c r="BE250" s="1108"/>
      <c r="BF250" s="1108"/>
      <c r="BG250" s="1108"/>
      <c r="BH250" s="1108"/>
      <c r="BI250" s="1108"/>
      <c r="BJ250" s="1108"/>
      <c r="BK250" s="1108"/>
      <c r="BL250" s="1113">
        <f>3437.1*1.082</f>
        <v>3718.9422</v>
      </c>
      <c r="BM250" s="1108">
        <f t="shared" si="181"/>
        <v>3718.9422</v>
      </c>
      <c r="BN250" s="1166">
        <f>3437*1.082</f>
        <v>3718.8340000000003</v>
      </c>
      <c r="BO250" s="1108">
        <f>11457*1.082</f>
        <v>12396.474</v>
      </c>
      <c r="BP250" s="1108">
        <f>2291.4*1.082</f>
        <v>2479.2948000000001</v>
      </c>
      <c r="BQ250" s="1108"/>
      <c r="BR250" s="1108"/>
      <c r="BS250" s="1093">
        <v>0</v>
      </c>
      <c r="BT250" s="1108"/>
      <c r="BU250" s="1108"/>
      <c r="BV250" s="1108"/>
      <c r="BW250" s="1108"/>
      <c r="BX250" s="1108"/>
      <c r="BY250" s="1108"/>
      <c r="BZ250" s="1114">
        <f t="shared" si="182"/>
        <v>18594.602800000001</v>
      </c>
      <c r="CA250" s="1165">
        <f t="shared" si="183"/>
        <v>22313.545000000002</v>
      </c>
      <c r="CB250" s="1108">
        <f t="shared" si="184"/>
        <v>0</v>
      </c>
      <c r="CC250" s="1103">
        <f t="shared" si="185"/>
        <v>22313.545000000002</v>
      </c>
      <c r="CD250" s="1103">
        <f t="shared" si="186"/>
        <v>22313.545000000002</v>
      </c>
      <c r="CE250" s="1103">
        <v>24792.791000000001</v>
      </c>
      <c r="CF250" s="1103">
        <f t="shared" si="187"/>
        <v>-2479.2459999999992</v>
      </c>
      <c r="CG250" s="1114"/>
      <c r="CH250" s="1117"/>
      <c r="CI250" s="1119"/>
      <c r="CJ250" s="1119">
        <f t="shared" si="188"/>
        <v>-22313.545000000002</v>
      </c>
      <c r="CL250" s="1121">
        <v>0</v>
      </c>
      <c r="CM250" s="1121">
        <f t="shared" si="189"/>
        <v>-22313.545000000002</v>
      </c>
    </row>
    <row r="251" spans="1:91" s="1120" customFormat="1" outlineLevel="1">
      <c r="A251" s="1100"/>
      <c r="B251" s="1101"/>
      <c r="C251" s="1102"/>
      <c r="D251" s="1448" t="s">
        <v>786</v>
      </c>
      <c r="E251" s="1449"/>
      <c r="F251" s="1103"/>
      <c r="G251" s="1103"/>
      <c r="H251" s="1103"/>
      <c r="I251" s="1103"/>
      <c r="J251" s="1104"/>
      <c r="K251" s="1105"/>
      <c r="L251" s="1106"/>
      <c r="M251" s="1107"/>
      <c r="N251" s="1103"/>
      <c r="O251" s="1108"/>
      <c r="P251" s="1108"/>
      <c r="Q251" s="1108"/>
      <c r="R251" s="1108"/>
      <c r="S251" s="1108"/>
      <c r="T251" s="1108"/>
      <c r="U251" s="1108"/>
      <c r="V251" s="1108"/>
      <c r="W251" s="1108"/>
      <c r="X251" s="1108"/>
      <c r="Y251" s="1108"/>
      <c r="Z251" s="1109">
        <f t="shared" si="178"/>
        <v>0</v>
      </c>
      <c r="AA251" s="1110"/>
      <c r="AB251" s="1111"/>
      <c r="AC251" s="1111"/>
      <c r="AD251" s="1111"/>
      <c r="AE251" s="1111"/>
      <c r="AF251" s="1111"/>
      <c r="AG251" s="1111"/>
      <c r="AH251" s="1112"/>
      <c r="AI251" s="1112"/>
      <c r="AJ251" s="1112"/>
      <c r="AK251" s="1112"/>
      <c r="AL251" s="1112"/>
      <c r="AM251" s="1109">
        <f t="shared" si="179"/>
        <v>0</v>
      </c>
      <c r="AN251" s="1108"/>
      <c r="AO251" s="1108"/>
      <c r="AP251" s="1108"/>
      <c r="AQ251" s="1108"/>
      <c r="AR251" s="1103"/>
      <c r="AS251" s="1103"/>
      <c r="AT251" s="1103"/>
      <c r="AU251" s="1108"/>
      <c r="AV251" s="1108"/>
      <c r="AW251" s="1108"/>
      <c r="AX251" s="1108"/>
      <c r="AY251" s="1103"/>
      <c r="AZ251" s="1103">
        <f t="shared" si="180"/>
        <v>0</v>
      </c>
      <c r="BA251" s="1103"/>
      <c r="BB251" s="1103"/>
      <c r="BC251" s="1108"/>
      <c r="BD251" s="1108"/>
      <c r="BE251" s="1108"/>
      <c r="BF251" s="1108"/>
      <c r="BG251" s="1108"/>
      <c r="BH251" s="1108"/>
      <c r="BI251" s="1108"/>
      <c r="BJ251" s="1108"/>
      <c r="BK251" s="1108"/>
      <c r="BL251" s="1113"/>
      <c r="BM251" s="1108">
        <f t="shared" si="181"/>
        <v>0</v>
      </c>
      <c r="BN251" s="1108"/>
      <c r="BO251" s="1108">
        <f>10990.25*1.082</f>
        <v>11891.450500000001</v>
      </c>
      <c r="BP251" s="1108">
        <f>24178.55*1.082</f>
        <v>26161.1911</v>
      </c>
      <c r="BQ251" s="1311">
        <f>(7912.98*1.082)*(25/30)</f>
        <v>7134.8703000000014</v>
      </c>
      <c r="BR251" s="1108"/>
      <c r="BS251" s="1093">
        <v>0</v>
      </c>
      <c r="BT251" s="1108"/>
      <c r="BU251" s="1108"/>
      <c r="BV251" s="1108"/>
      <c r="BW251" s="1108"/>
      <c r="BX251" s="1108"/>
      <c r="BY251" s="1108"/>
      <c r="BZ251" s="1114">
        <f t="shared" si="182"/>
        <v>45187.511900000005</v>
      </c>
      <c r="CA251" s="1165">
        <f t="shared" si="183"/>
        <v>45187.511900000005</v>
      </c>
      <c r="CB251" s="1108">
        <f t="shared" si="184"/>
        <v>0</v>
      </c>
      <c r="CC251" s="1103">
        <f t="shared" si="185"/>
        <v>45187.511900000005</v>
      </c>
      <c r="CD251" s="1103">
        <f t="shared" si="186"/>
        <v>45187.511900000005</v>
      </c>
      <c r="CE251" s="1103">
        <v>47565.803100000005</v>
      </c>
      <c r="CF251" s="1103">
        <f t="shared" si="187"/>
        <v>-2378.2911999999997</v>
      </c>
      <c r="CG251" s="1114"/>
      <c r="CH251" s="1117"/>
      <c r="CI251" s="1119"/>
      <c r="CJ251" s="1119">
        <f t="shared" si="188"/>
        <v>-45187.511900000005</v>
      </c>
      <c r="CL251" s="1121">
        <v>0</v>
      </c>
      <c r="CM251" s="1121">
        <f t="shared" si="189"/>
        <v>-45187.511900000005</v>
      </c>
    </row>
    <row r="252" spans="1:91" s="1120" customFormat="1" outlineLevel="1">
      <c r="A252" s="1100"/>
      <c r="B252" s="1101"/>
      <c r="C252" s="1102"/>
      <c r="D252" s="1448" t="s">
        <v>787</v>
      </c>
      <c r="E252" s="1449"/>
      <c r="F252" s="1103"/>
      <c r="G252" s="1103"/>
      <c r="H252" s="1103"/>
      <c r="I252" s="1103"/>
      <c r="J252" s="1104"/>
      <c r="K252" s="1105"/>
      <c r="L252" s="1106"/>
      <c r="M252" s="1107"/>
      <c r="N252" s="1103"/>
      <c r="O252" s="1108"/>
      <c r="P252" s="1108"/>
      <c r="Q252" s="1108"/>
      <c r="R252" s="1108"/>
      <c r="S252" s="1108"/>
      <c r="T252" s="1108"/>
      <c r="U252" s="1108"/>
      <c r="V252" s="1108"/>
      <c r="W252" s="1108"/>
      <c r="X252" s="1108"/>
      <c r="Y252" s="1108"/>
      <c r="Z252" s="1109">
        <f t="shared" si="178"/>
        <v>0</v>
      </c>
      <c r="AA252" s="1110"/>
      <c r="AB252" s="1111"/>
      <c r="AC252" s="1111"/>
      <c r="AD252" s="1111"/>
      <c r="AE252" s="1111"/>
      <c r="AF252" s="1111"/>
      <c r="AG252" s="1111"/>
      <c r="AH252" s="1112"/>
      <c r="AI252" s="1112"/>
      <c r="AJ252" s="1112"/>
      <c r="AK252" s="1112"/>
      <c r="AL252" s="1112"/>
      <c r="AM252" s="1109">
        <f t="shared" si="179"/>
        <v>0</v>
      </c>
      <c r="AN252" s="1108"/>
      <c r="AO252" s="1108"/>
      <c r="AP252" s="1108"/>
      <c r="AQ252" s="1108"/>
      <c r="AR252" s="1103"/>
      <c r="AS252" s="1103"/>
      <c r="AT252" s="1103"/>
      <c r="AU252" s="1108"/>
      <c r="AV252" s="1108"/>
      <c r="AW252" s="1108"/>
      <c r="AX252" s="1108"/>
      <c r="AY252" s="1103"/>
      <c r="AZ252" s="1103">
        <f t="shared" si="180"/>
        <v>0</v>
      </c>
      <c r="BA252" s="1103"/>
      <c r="BB252" s="1103"/>
      <c r="BC252" s="1108"/>
      <c r="BD252" s="1108"/>
      <c r="BE252" s="1108"/>
      <c r="BF252" s="1108"/>
      <c r="BG252" s="1108"/>
      <c r="BH252" s="1108"/>
      <c r="BI252" s="1108"/>
      <c r="BJ252" s="1108"/>
      <c r="BK252" s="1108"/>
      <c r="BL252" s="1113">
        <f>24415*1.082</f>
        <v>26417.030000000002</v>
      </c>
      <c r="BM252" s="1108">
        <f t="shared" si="181"/>
        <v>26417.030000000002</v>
      </c>
      <c r="BN252" s="1166">
        <f>23438.4*1.082</f>
        <v>25360.348800000003</v>
      </c>
      <c r="BO252" s="1108"/>
      <c r="BP252" s="1108"/>
      <c r="BQ252" s="1108"/>
      <c r="BR252" s="1108"/>
      <c r="BS252" s="1093">
        <v>0</v>
      </c>
      <c r="BT252" s="1108"/>
      <c r="BU252" s="1108"/>
      <c r="BV252" s="1108"/>
      <c r="BW252" s="1108"/>
      <c r="BX252" s="1108"/>
      <c r="BY252" s="1108"/>
      <c r="BZ252" s="1114">
        <f t="shared" si="182"/>
        <v>25360.348800000003</v>
      </c>
      <c r="CA252" s="1165">
        <f t="shared" si="183"/>
        <v>51777.378800000006</v>
      </c>
      <c r="CB252" s="1108">
        <f t="shared" si="184"/>
        <v>0</v>
      </c>
      <c r="CC252" s="1103">
        <f t="shared" si="185"/>
        <v>51777.378800000006</v>
      </c>
      <c r="CD252" s="1103">
        <f t="shared" si="186"/>
        <v>51777.378800000006</v>
      </c>
      <c r="CE252" s="1103">
        <v>52834.090000000011</v>
      </c>
      <c r="CF252" s="1103">
        <f t="shared" si="187"/>
        <v>-1056.7112000000052</v>
      </c>
      <c r="CG252" s="1114"/>
      <c r="CH252" s="1117"/>
      <c r="CI252" s="1119"/>
      <c r="CJ252" s="1119">
        <f t="shared" si="188"/>
        <v>-51777.378800000006</v>
      </c>
      <c r="CL252" s="1121">
        <v>0</v>
      </c>
      <c r="CM252" s="1121">
        <f t="shared" si="189"/>
        <v>-51777.378800000006</v>
      </c>
    </row>
    <row r="253" spans="1:91" s="1120" customFormat="1" outlineLevel="1">
      <c r="A253" s="1100"/>
      <c r="B253" s="1101"/>
      <c r="C253" s="1102"/>
      <c r="D253" s="1448" t="s">
        <v>788</v>
      </c>
      <c r="E253" s="1449"/>
      <c r="F253" s="1103"/>
      <c r="G253" s="1103"/>
      <c r="H253" s="1103"/>
      <c r="I253" s="1103"/>
      <c r="J253" s="1104"/>
      <c r="K253" s="1105"/>
      <c r="L253" s="1106"/>
      <c r="M253" s="1107"/>
      <c r="N253" s="1103"/>
      <c r="O253" s="1108"/>
      <c r="P253" s="1108"/>
      <c r="Q253" s="1108"/>
      <c r="R253" s="1108"/>
      <c r="S253" s="1108"/>
      <c r="T253" s="1108"/>
      <c r="U253" s="1108"/>
      <c r="V253" s="1108"/>
      <c r="W253" s="1108"/>
      <c r="X253" s="1108"/>
      <c r="Y253" s="1108"/>
      <c r="Z253" s="1109">
        <f t="shared" si="178"/>
        <v>0</v>
      </c>
      <c r="AA253" s="1110"/>
      <c r="AB253" s="1111"/>
      <c r="AC253" s="1111"/>
      <c r="AD253" s="1111"/>
      <c r="AE253" s="1111"/>
      <c r="AF253" s="1111"/>
      <c r="AG253" s="1111"/>
      <c r="AH253" s="1112"/>
      <c r="AI253" s="1112"/>
      <c r="AJ253" s="1112"/>
      <c r="AK253" s="1112"/>
      <c r="AL253" s="1112"/>
      <c r="AM253" s="1109">
        <f t="shared" si="179"/>
        <v>0</v>
      </c>
      <c r="AN253" s="1108"/>
      <c r="AO253" s="1108"/>
      <c r="AP253" s="1108"/>
      <c r="AQ253" s="1108"/>
      <c r="AR253" s="1103"/>
      <c r="AS253" s="1103"/>
      <c r="AT253" s="1103"/>
      <c r="AU253" s="1108"/>
      <c r="AV253" s="1108"/>
      <c r="AW253" s="1108"/>
      <c r="AX253" s="1108"/>
      <c r="AY253" s="1103"/>
      <c r="AZ253" s="1103">
        <f t="shared" si="180"/>
        <v>0</v>
      </c>
      <c r="BA253" s="1103"/>
      <c r="BB253" s="1103"/>
      <c r="BC253" s="1108"/>
      <c r="BD253" s="1108"/>
      <c r="BE253" s="1108"/>
      <c r="BF253" s="1108"/>
      <c r="BG253" s="1108"/>
      <c r="BH253" s="1108"/>
      <c r="BI253" s="1108"/>
      <c r="BJ253" s="1108"/>
      <c r="BK253" s="1108"/>
      <c r="BL253" s="1113">
        <f>60066*1.082</f>
        <v>64991.412000000004</v>
      </c>
      <c r="BM253" s="1108">
        <f t="shared" si="181"/>
        <v>64991.412000000004</v>
      </c>
      <c r="BN253" s="1108">
        <f>75082.5*1.082</f>
        <v>81239.264999999999</v>
      </c>
      <c r="BO253" s="1108">
        <f>7508.25*1.082</f>
        <v>8123.9265000000005</v>
      </c>
      <c r="BP253" s="1108"/>
      <c r="BQ253" s="1108"/>
      <c r="BR253" s="1108"/>
      <c r="BS253" s="1093">
        <v>0</v>
      </c>
      <c r="BT253" s="1108"/>
      <c r="BU253" s="1108"/>
      <c r="BV253" s="1108"/>
      <c r="BW253" s="1108"/>
      <c r="BX253" s="1108"/>
      <c r="BY253" s="1108"/>
      <c r="BZ253" s="1114">
        <f t="shared" si="182"/>
        <v>89363.191500000001</v>
      </c>
      <c r="CA253" s="1165">
        <f t="shared" si="183"/>
        <v>154354.6035</v>
      </c>
      <c r="CB253" s="1108">
        <f t="shared" si="184"/>
        <v>0</v>
      </c>
      <c r="CC253" s="1103">
        <f t="shared" si="185"/>
        <v>154354.6035</v>
      </c>
      <c r="CD253" s="1103">
        <f t="shared" si="186"/>
        <v>154354.6035</v>
      </c>
      <c r="CE253" s="1103">
        <v>162478.94200000001</v>
      </c>
      <c r="CF253" s="1103">
        <f t="shared" si="187"/>
        <v>-8124.3385000000126</v>
      </c>
      <c r="CG253" s="1114"/>
      <c r="CH253" s="1117"/>
      <c r="CI253" s="1119"/>
      <c r="CJ253" s="1119">
        <f t="shared" si="188"/>
        <v>-154354.6035</v>
      </c>
      <c r="CL253" s="1121">
        <v>0</v>
      </c>
      <c r="CM253" s="1121">
        <f t="shared" si="189"/>
        <v>-154354.6035</v>
      </c>
    </row>
    <row r="254" spans="1:91" s="1120" customFormat="1" outlineLevel="1">
      <c r="A254" s="1100"/>
      <c r="B254" s="1101"/>
      <c r="C254" s="1102"/>
      <c r="D254" s="1448" t="s">
        <v>789</v>
      </c>
      <c r="E254" s="1449"/>
      <c r="F254" s="1103"/>
      <c r="G254" s="1103"/>
      <c r="H254" s="1103"/>
      <c r="I254" s="1103"/>
      <c r="J254" s="1104"/>
      <c r="K254" s="1105"/>
      <c r="L254" s="1106"/>
      <c r="M254" s="1107"/>
      <c r="N254" s="1103"/>
      <c r="O254" s="1108"/>
      <c r="P254" s="1108"/>
      <c r="Q254" s="1108"/>
      <c r="R254" s="1108"/>
      <c r="S254" s="1108"/>
      <c r="T254" s="1108"/>
      <c r="U254" s="1108"/>
      <c r="V254" s="1108"/>
      <c r="W254" s="1108"/>
      <c r="X254" s="1108"/>
      <c r="Y254" s="1108"/>
      <c r="Z254" s="1109">
        <f t="shared" si="178"/>
        <v>0</v>
      </c>
      <c r="AA254" s="1110"/>
      <c r="AB254" s="1111"/>
      <c r="AC254" s="1111"/>
      <c r="AD254" s="1111"/>
      <c r="AE254" s="1111"/>
      <c r="AF254" s="1111"/>
      <c r="AG254" s="1111"/>
      <c r="AH254" s="1112"/>
      <c r="AI254" s="1112"/>
      <c r="AJ254" s="1112"/>
      <c r="AK254" s="1112"/>
      <c r="AL254" s="1112"/>
      <c r="AM254" s="1109">
        <f t="shared" si="179"/>
        <v>0</v>
      </c>
      <c r="AN254" s="1108"/>
      <c r="AO254" s="1108"/>
      <c r="AP254" s="1108"/>
      <c r="AQ254" s="1108"/>
      <c r="AR254" s="1103"/>
      <c r="AS254" s="1103"/>
      <c r="AT254" s="1103"/>
      <c r="AU254" s="1108"/>
      <c r="AV254" s="1108"/>
      <c r="AW254" s="1108"/>
      <c r="AX254" s="1108"/>
      <c r="AY254" s="1103"/>
      <c r="AZ254" s="1103">
        <f t="shared" si="180"/>
        <v>0</v>
      </c>
      <c r="BA254" s="1103"/>
      <c r="BB254" s="1103"/>
      <c r="BC254" s="1108"/>
      <c r="BD254" s="1108"/>
      <c r="BE254" s="1108"/>
      <c r="BF254" s="1108"/>
      <c r="BG254" s="1108"/>
      <c r="BH254" s="1108"/>
      <c r="BI254" s="1108"/>
      <c r="BJ254" s="1108"/>
      <c r="BK254" s="1108"/>
      <c r="BL254" s="1113">
        <f>15000*1.08</f>
        <v>16200.000000000002</v>
      </c>
      <c r="BM254" s="1108">
        <f t="shared" si="181"/>
        <v>16200.000000000002</v>
      </c>
      <c r="BN254" s="1108">
        <f>22500*1.082</f>
        <v>24345</v>
      </c>
      <c r="BO254" s="1108">
        <f>37500*1.082</f>
        <v>40575</v>
      </c>
      <c r="BP254" s="1108">
        <f>30000*1.082</f>
        <v>32460.000000000004</v>
      </c>
      <c r="BQ254" s="1311">
        <f>(15000*1.082)*(25/30)</f>
        <v>13525.000000000002</v>
      </c>
      <c r="BR254" s="1093">
        <v>0</v>
      </c>
      <c r="BS254" s="1093">
        <v>0</v>
      </c>
      <c r="BT254" s="1108"/>
      <c r="BU254" s="1108"/>
      <c r="BV254" s="1108"/>
      <c r="BW254" s="1108"/>
      <c r="BX254" s="1108"/>
      <c r="BY254" s="1108"/>
      <c r="BZ254" s="1114">
        <f t="shared" si="182"/>
        <v>110905</v>
      </c>
      <c r="CA254" s="1165">
        <f t="shared" si="183"/>
        <v>127105</v>
      </c>
      <c r="CB254" s="1108">
        <f t="shared" si="184"/>
        <v>0</v>
      </c>
      <c r="CC254" s="1103">
        <f t="shared" si="185"/>
        <v>127105</v>
      </c>
      <c r="CD254" s="1103">
        <f t="shared" si="186"/>
        <v>127105</v>
      </c>
      <c r="CE254" s="1103">
        <v>162300</v>
      </c>
      <c r="CF254" s="1103">
        <f t="shared" si="187"/>
        <v>-35195</v>
      </c>
      <c r="CG254" s="1114"/>
      <c r="CH254" s="1117"/>
      <c r="CI254" s="1119"/>
      <c r="CJ254" s="1119">
        <f t="shared" si="188"/>
        <v>-127105</v>
      </c>
      <c r="CL254" s="1121">
        <v>0</v>
      </c>
      <c r="CM254" s="1121">
        <f t="shared" si="189"/>
        <v>-127105</v>
      </c>
    </row>
    <row r="255" spans="1:91" s="1120" customFormat="1" outlineLevel="1">
      <c r="A255" s="1100"/>
      <c r="B255" s="1101"/>
      <c r="C255" s="1102"/>
      <c r="D255" s="1448" t="s">
        <v>790</v>
      </c>
      <c r="E255" s="1449"/>
      <c r="F255" s="1103"/>
      <c r="G255" s="1103"/>
      <c r="H255" s="1103"/>
      <c r="I255" s="1103"/>
      <c r="J255" s="1104"/>
      <c r="K255" s="1105"/>
      <c r="L255" s="1106"/>
      <c r="M255" s="1107"/>
      <c r="N255" s="1103"/>
      <c r="O255" s="1108"/>
      <c r="P255" s="1108"/>
      <c r="Q255" s="1108"/>
      <c r="R255" s="1108"/>
      <c r="S255" s="1108"/>
      <c r="T255" s="1108"/>
      <c r="U255" s="1108"/>
      <c r="V255" s="1108"/>
      <c r="W255" s="1108"/>
      <c r="X255" s="1108"/>
      <c r="Y255" s="1108"/>
      <c r="Z255" s="1109">
        <f t="shared" si="178"/>
        <v>0</v>
      </c>
      <c r="AA255" s="1110"/>
      <c r="AB255" s="1111"/>
      <c r="AC255" s="1111"/>
      <c r="AD255" s="1111"/>
      <c r="AE255" s="1111"/>
      <c r="AF255" s="1111"/>
      <c r="AG255" s="1111"/>
      <c r="AH255" s="1112"/>
      <c r="AI255" s="1112"/>
      <c r="AJ255" s="1112"/>
      <c r="AK255" s="1112"/>
      <c r="AL255" s="1112"/>
      <c r="AM255" s="1109">
        <f t="shared" si="179"/>
        <v>0</v>
      </c>
      <c r="AN255" s="1108"/>
      <c r="AO255" s="1108"/>
      <c r="AP255" s="1108"/>
      <c r="AQ255" s="1108"/>
      <c r="AR255" s="1103"/>
      <c r="AS255" s="1103"/>
      <c r="AT255" s="1103"/>
      <c r="AU255" s="1108"/>
      <c r="AV255" s="1108"/>
      <c r="AW255" s="1108"/>
      <c r="AX255" s="1108"/>
      <c r="AY255" s="1103"/>
      <c r="AZ255" s="1103">
        <f t="shared" si="180"/>
        <v>0</v>
      </c>
      <c r="BA255" s="1103"/>
      <c r="BB255" s="1103"/>
      <c r="BC255" s="1108"/>
      <c r="BD255" s="1108"/>
      <c r="BE255" s="1108"/>
      <c r="BF255" s="1108"/>
      <c r="BG255" s="1108"/>
      <c r="BH255" s="1108"/>
      <c r="BI255" s="1108"/>
      <c r="BJ255" s="1108"/>
      <c r="BK255" s="1108"/>
      <c r="BL255" s="1113">
        <f>85122.2*1.082</f>
        <v>92102.220400000006</v>
      </c>
      <c r="BM255" s="1108">
        <f t="shared" si="181"/>
        <v>92102.220400000006</v>
      </c>
      <c r="BN255" s="1108">
        <f>85122.2*1.082</f>
        <v>92102.220400000006</v>
      </c>
      <c r="BO255" s="1108">
        <f>76609.98*1.082</f>
        <v>82891.998359999998</v>
      </c>
      <c r="BP255" s="1108">
        <f>42561.1*1.082</f>
        <v>46051.110200000003</v>
      </c>
      <c r="BQ255" s="1311">
        <f>(29792.77*1.082)*(25/30)</f>
        <v>26863.147616666669</v>
      </c>
      <c r="BR255" s="1093">
        <v>0</v>
      </c>
      <c r="BS255" s="1108"/>
      <c r="BT255" s="1093">
        <v>0</v>
      </c>
      <c r="BU255" s="1108"/>
      <c r="BV255" s="1108"/>
      <c r="BW255" s="1108"/>
      <c r="BX255" s="1108"/>
      <c r="BY255" s="1108"/>
      <c r="BZ255" s="1114">
        <f t="shared" si="182"/>
        <v>247908.4765766667</v>
      </c>
      <c r="CA255" s="1165">
        <f t="shared" si="183"/>
        <v>340010.69697666669</v>
      </c>
      <c r="CB255" s="1108">
        <f t="shared" si="184"/>
        <v>0</v>
      </c>
      <c r="CC255" s="1103">
        <f t="shared" si="185"/>
        <v>340010.69697666669</v>
      </c>
      <c r="CD255" s="1103">
        <f t="shared" si="186"/>
        <v>340010.69697666669</v>
      </c>
      <c r="CE255" s="1103">
        <v>460511.32260000001</v>
      </c>
      <c r="CF255" s="1103">
        <f t="shared" si="187"/>
        <v>-120500.62562333333</v>
      </c>
      <c r="CG255" s="1114"/>
      <c r="CH255" s="1117"/>
      <c r="CI255" s="1119"/>
      <c r="CJ255" s="1119">
        <f t="shared" si="188"/>
        <v>-340010.69697666669</v>
      </c>
      <c r="CL255" s="1121">
        <v>0</v>
      </c>
      <c r="CM255" s="1121">
        <f t="shared" si="189"/>
        <v>-340010.69697666669</v>
      </c>
    </row>
    <row r="256" spans="1:91" s="1120" customFormat="1" outlineLevel="1">
      <c r="A256" s="1100"/>
      <c r="B256" s="1101"/>
      <c r="C256" s="1102"/>
      <c r="D256" s="1448"/>
      <c r="E256" s="1449"/>
      <c r="F256" s="1103"/>
      <c r="G256" s="1103"/>
      <c r="H256" s="1103"/>
      <c r="I256" s="1103"/>
      <c r="J256" s="1104"/>
      <c r="K256" s="1105"/>
      <c r="L256" s="1106"/>
      <c r="M256" s="1107"/>
      <c r="N256" s="1103"/>
      <c r="O256" s="1108"/>
      <c r="P256" s="1108"/>
      <c r="Q256" s="1108"/>
      <c r="R256" s="1108"/>
      <c r="S256" s="1108"/>
      <c r="T256" s="1108"/>
      <c r="U256" s="1108"/>
      <c r="V256" s="1108"/>
      <c r="W256" s="1108"/>
      <c r="X256" s="1108"/>
      <c r="Y256" s="1108"/>
      <c r="Z256" s="1109">
        <f t="shared" si="178"/>
        <v>0</v>
      </c>
      <c r="AA256" s="1110"/>
      <c r="AB256" s="1111"/>
      <c r="AC256" s="1111"/>
      <c r="AD256" s="1111"/>
      <c r="AE256" s="1111"/>
      <c r="AF256" s="1111"/>
      <c r="AG256" s="1111"/>
      <c r="AH256" s="1112"/>
      <c r="AI256" s="1112"/>
      <c r="AJ256" s="1112"/>
      <c r="AK256" s="1112"/>
      <c r="AL256" s="1112"/>
      <c r="AM256" s="1109">
        <f t="shared" si="179"/>
        <v>0</v>
      </c>
      <c r="AN256" s="1108"/>
      <c r="AO256" s="1108"/>
      <c r="AP256" s="1108"/>
      <c r="AQ256" s="1108"/>
      <c r="AR256" s="1103"/>
      <c r="AS256" s="1103"/>
      <c r="AT256" s="1103"/>
      <c r="AU256" s="1108"/>
      <c r="AV256" s="1108"/>
      <c r="AW256" s="1108"/>
      <c r="AX256" s="1108"/>
      <c r="AY256" s="1103"/>
      <c r="AZ256" s="1103">
        <f t="shared" si="180"/>
        <v>0</v>
      </c>
      <c r="BA256" s="1103"/>
      <c r="BB256" s="1103"/>
      <c r="BC256" s="1108"/>
      <c r="BD256" s="1108"/>
      <c r="BE256" s="1108"/>
      <c r="BF256" s="1108"/>
      <c r="BG256" s="1108"/>
      <c r="BH256" s="1108"/>
      <c r="BI256" s="1108"/>
      <c r="BJ256" s="1108"/>
      <c r="BK256" s="1108"/>
      <c r="BL256" s="1108"/>
      <c r="BM256" s="1108">
        <f t="shared" si="181"/>
        <v>0</v>
      </c>
      <c r="BN256" s="1108"/>
      <c r="BO256" s="1108"/>
      <c r="BP256" s="1108"/>
      <c r="BQ256" s="1108"/>
      <c r="BR256" s="1108"/>
      <c r="BS256" s="1108"/>
      <c r="BT256" s="1108"/>
      <c r="BU256" s="1108"/>
      <c r="BV256" s="1108"/>
      <c r="BW256" s="1108"/>
      <c r="BX256" s="1108"/>
      <c r="BY256" s="1108"/>
      <c r="BZ256" s="1114">
        <f t="shared" si="182"/>
        <v>0</v>
      </c>
      <c r="CA256" s="1165">
        <f t="shared" si="183"/>
        <v>0</v>
      </c>
      <c r="CB256" s="1108">
        <f t="shared" si="184"/>
        <v>0</v>
      </c>
      <c r="CC256" s="1103">
        <f t="shared" si="185"/>
        <v>0</v>
      </c>
      <c r="CD256" s="1103">
        <f t="shared" si="186"/>
        <v>0</v>
      </c>
      <c r="CE256" s="1103"/>
      <c r="CF256" s="1103">
        <f t="shared" si="187"/>
        <v>0</v>
      </c>
      <c r="CG256" s="1114"/>
      <c r="CH256" s="1117"/>
      <c r="CI256" s="1119"/>
      <c r="CJ256" s="1119">
        <f t="shared" si="188"/>
        <v>0</v>
      </c>
      <c r="CL256" s="1121">
        <v>0</v>
      </c>
      <c r="CM256" s="1121">
        <f t="shared" si="189"/>
        <v>0</v>
      </c>
    </row>
    <row r="257" spans="1:91" s="1032" customFormat="1" outlineLevel="1">
      <c r="A257" s="1091"/>
      <c r="B257" s="1015"/>
      <c r="C257" s="1078" t="s">
        <v>791</v>
      </c>
      <c r="D257" s="1016"/>
      <c r="E257" s="1017"/>
      <c r="F257" s="1023">
        <v>1617000</v>
      </c>
      <c r="G257" s="1023">
        <f>2774800+1526800</f>
        <v>4301600</v>
      </c>
      <c r="H257" s="1023"/>
      <c r="I257" s="1023">
        <f>2774800+1526800</f>
        <v>4301600</v>
      </c>
      <c r="J257" s="1019"/>
      <c r="K257" s="1020"/>
      <c r="L257" s="1021"/>
      <c r="M257" s="1022"/>
      <c r="N257" s="1023"/>
      <c r="O257" s="1024"/>
      <c r="P257" s="1024"/>
      <c r="Q257" s="1024"/>
      <c r="R257" s="1024"/>
      <c r="S257" s="1024"/>
      <c r="T257" s="1024"/>
      <c r="U257" s="1024"/>
      <c r="V257" s="1024"/>
      <c r="W257" s="1024"/>
      <c r="X257" s="1024"/>
      <c r="Y257" s="1024"/>
      <c r="Z257" s="1025">
        <f t="shared" si="178"/>
        <v>0</v>
      </c>
      <c r="AA257" s="1026"/>
      <c r="AB257" s="1027"/>
      <c r="AC257" s="1027"/>
      <c r="AD257" s="1027"/>
      <c r="AE257" s="1027"/>
      <c r="AF257" s="1027"/>
      <c r="AG257" s="1027"/>
      <c r="AH257" s="1028"/>
      <c r="AI257" s="1028"/>
      <c r="AJ257" s="1028"/>
      <c r="AK257" s="1028"/>
      <c r="AL257" s="1028"/>
      <c r="AM257" s="1025">
        <f t="shared" si="179"/>
        <v>0</v>
      </c>
      <c r="AN257" s="1024"/>
      <c r="AO257" s="1024"/>
      <c r="AP257" s="1024"/>
      <c r="AQ257" s="1024"/>
      <c r="AR257" s="1023"/>
      <c r="AS257" s="1023"/>
      <c r="AT257" s="1023"/>
      <c r="AU257" s="1024"/>
      <c r="AV257" s="1024"/>
      <c r="AW257" s="1024"/>
      <c r="AX257" s="1024"/>
      <c r="AY257" s="1023"/>
      <c r="AZ257" s="1023">
        <f t="shared" si="180"/>
        <v>0</v>
      </c>
      <c r="BA257" s="1023"/>
      <c r="BB257" s="1023"/>
      <c r="BC257" s="1024"/>
      <c r="BD257" s="1024"/>
      <c r="BE257" s="1024"/>
      <c r="BF257" s="1024"/>
      <c r="BG257" s="1024"/>
      <c r="BH257" s="1024"/>
      <c r="BI257" s="1024"/>
      <c r="BJ257" s="1024"/>
      <c r="BK257" s="1024"/>
      <c r="BL257" s="1024"/>
      <c r="BM257" s="1024">
        <f t="shared" si="181"/>
        <v>0</v>
      </c>
      <c r="BN257" s="1024"/>
      <c r="BO257" s="1024"/>
      <c r="BP257" s="1024"/>
      <c r="BQ257" s="1024"/>
      <c r="BR257" s="1024"/>
      <c r="BS257" s="1024"/>
      <c r="BT257" s="1024"/>
      <c r="BU257" s="1024"/>
      <c r="BV257" s="1024"/>
      <c r="BW257" s="1024"/>
      <c r="BX257" s="1024"/>
      <c r="BY257" s="1024"/>
      <c r="BZ257" s="1029">
        <f t="shared" si="182"/>
        <v>0</v>
      </c>
      <c r="CA257" s="1030">
        <f t="shared" si="183"/>
        <v>0</v>
      </c>
      <c r="CB257" s="1024">
        <f t="shared" si="184"/>
        <v>0</v>
      </c>
      <c r="CC257" s="1023">
        <f t="shared" si="185"/>
        <v>0</v>
      </c>
      <c r="CD257" s="1023">
        <f t="shared" si="186"/>
        <v>-4301600</v>
      </c>
      <c r="CE257" s="1023">
        <v>0</v>
      </c>
      <c r="CF257" s="1023">
        <f t="shared" si="187"/>
        <v>0</v>
      </c>
      <c r="CG257" s="1029"/>
      <c r="CH257" s="972"/>
      <c r="CI257" s="1083"/>
      <c r="CJ257" s="1083">
        <f t="shared" si="188"/>
        <v>0</v>
      </c>
      <c r="CL257" s="976">
        <v>4076000</v>
      </c>
      <c r="CM257" s="976">
        <f t="shared" si="189"/>
        <v>4076000</v>
      </c>
    </row>
    <row r="258" spans="1:91" s="1032" customFormat="1" ht="12.75" customHeight="1">
      <c r="A258" s="1091"/>
      <c r="B258" s="1015"/>
      <c r="C258" s="1016" t="s">
        <v>792</v>
      </c>
      <c r="D258" s="1016"/>
      <c r="E258" s="1017"/>
      <c r="F258" s="1023">
        <v>754600</v>
      </c>
      <c r="G258" s="1023">
        <v>757400</v>
      </c>
      <c r="H258" s="1023"/>
      <c r="I258" s="1023">
        <v>757400</v>
      </c>
      <c r="J258" s="1019"/>
      <c r="K258" s="1020"/>
      <c r="L258" s="1021"/>
      <c r="M258" s="1022"/>
      <c r="N258" s="1023"/>
      <c r="O258" s="1024"/>
      <c r="P258" s="1024"/>
      <c r="Q258" s="1024"/>
      <c r="R258" s="1024"/>
      <c r="S258" s="1024"/>
      <c r="T258" s="1024"/>
      <c r="U258" s="1024"/>
      <c r="V258" s="1024"/>
      <c r="W258" s="1024"/>
      <c r="X258" s="1024"/>
      <c r="Y258" s="1024"/>
      <c r="Z258" s="1025">
        <f t="shared" si="178"/>
        <v>0</v>
      </c>
      <c r="AA258" s="1026"/>
      <c r="AB258" s="1027"/>
      <c r="AC258" s="1027"/>
      <c r="AD258" s="1027"/>
      <c r="AE258" s="1027"/>
      <c r="AF258" s="1027"/>
      <c r="AG258" s="1027"/>
      <c r="AH258" s="1028"/>
      <c r="AI258" s="1028"/>
      <c r="AJ258" s="1028"/>
      <c r="AK258" s="1028"/>
      <c r="AL258" s="1028"/>
      <c r="AM258" s="1025">
        <f t="shared" si="179"/>
        <v>0</v>
      </c>
      <c r="AN258" s="1024"/>
      <c r="AO258" s="1024"/>
      <c r="AP258" s="1024"/>
      <c r="AQ258" s="1024"/>
      <c r="AR258" s="1024"/>
      <c r="AS258" s="1024"/>
      <c r="AT258" s="1024"/>
      <c r="AU258" s="1024"/>
      <c r="AV258" s="1024"/>
      <c r="AW258" s="1024"/>
      <c r="AX258" s="1024"/>
      <c r="AY258" s="1024"/>
      <c r="AZ258" s="1024">
        <f t="shared" si="180"/>
        <v>0</v>
      </c>
      <c r="BA258" s="1024"/>
      <c r="BB258" s="1024"/>
      <c r="BC258" s="1024"/>
      <c r="BD258" s="1024"/>
      <c r="BE258" s="1024">
        <v>142446</v>
      </c>
      <c r="BF258" s="1024">
        <v>213669</v>
      </c>
      <c r="BG258" s="1024"/>
      <c r="BH258" s="1024"/>
      <c r="BI258" s="1024">
        <v>419585.49</v>
      </c>
      <c r="BJ258" s="1024"/>
      <c r="BK258" s="1024"/>
      <c r="BL258" s="1024"/>
      <c r="BM258" s="1024">
        <f t="shared" si="181"/>
        <v>775700.49</v>
      </c>
      <c r="BN258" s="1024"/>
      <c r="BO258" s="1024"/>
      <c r="BP258" s="1024"/>
      <c r="BQ258" s="1024"/>
      <c r="BR258" s="1024"/>
      <c r="BS258" s="1024"/>
      <c r="BT258" s="1024"/>
      <c r="BU258" s="1024"/>
      <c r="BV258" s="1024"/>
      <c r="BW258" s="1024"/>
      <c r="BX258" s="1024"/>
      <c r="BY258" s="1024"/>
      <c r="BZ258" s="1029">
        <f t="shared" si="182"/>
        <v>0</v>
      </c>
      <c r="CA258" s="1030">
        <f t="shared" si="183"/>
        <v>775700.49</v>
      </c>
      <c r="CB258" s="1024">
        <f t="shared" si="184"/>
        <v>0</v>
      </c>
      <c r="CC258" s="1023">
        <f t="shared" si="185"/>
        <v>775700.49</v>
      </c>
      <c r="CD258" s="1023">
        <f t="shared" si="186"/>
        <v>18300.489999999991</v>
      </c>
      <c r="CE258" s="1023">
        <v>775700.49</v>
      </c>
      <c r="CF258" s="1023">
        <f t="shared" si="187"/>
        <v>0</v>
      </c>
      <c r="CG258" s="1029"/>
      <c r="CH258" s="972"/>
      <c r="CI258" s="1032">
        <f>700000*1.082</f>
        <v>757400</v>
      </c>
      <c r="CJ258" s="1032">
        <f t="shared" si="188"/>
        <v>-18300.489999999991</v>
      </c>
      <c r="CL258" s="976">
        <v>754600</v>
      </c>
      <c r="CM258" s="976">
        <f t="shared" si="189"/>
        <v>-21100.489999999991</v>
      </c>
    </row>
    <row r="259" spans="1:91" s="1032" customFormat="1" ht="12.75" customHeight="1">
      <c r="A259" s="1091"/>
      <c r="B259" s="1015"/>
      <c r="C259" s="1016" t="s">
        <v>793</v>
      </c>
      <c r="D259" s="1016"/>
      <c r="E259" s="1017"/>
      <c r="F259" s="1023"/>
      <c r="G259" s="1023"/>
      <c r="H259" s="1023"/>
      <c r="I259" s="1023"/>
      <c r="J259" s="1019"/>
      <c r="K259" s="1020"/>
      <c r="L259" s="1021"/>
      <c r="M259" s="1022"/>
      <c r="N259" s="1023"/>
      <c r="O259" s="1024"/>
      <c r="P259" s="1024"/>
      <c r="Q259" s="1024"/>
      <c r="R259" s="1024"/>
      <c r="S259" s="1024"/>
      <c r="T259" s="1024"/>
      <c r="U259" s="1024"/>
      <c r="V259" s="1024"/>
      <c r="W259" s="1024"/>
      <c r="X259" s="1024"/>
      <c r="Y259" s="1024"/>
      <c r="Z259" s="1025">
        <f t="shared" si="178"/>
        <v>0</v>
      </c>
      <c r="AA259" s="1026"/>
      <c r="AB259" s="1027"/>
      <c r="AC259" s="1027"/>
      <c r="AD259" s="1027"/>
      <c r="AE259" s="1027"/>
      <c r="AF259" s="1027"/>
      <c r="AG259" s="1027"/>
      <c r="AH259" s="1028"/>
      <c r="AI259" s="1028"/>
      <c r="AJ259" s="1028"/>
      <c r="AK259" s="1028"/>
      <c r="AL259" s="1028"/>
      <c r="AM259" s="1025">
        <f t="shared" si="179"/>
        <v>0</v>
      </c>
      <c r="AN259" s="1024"/>
      <c r="AO259" s="1024"/>
      <c r="AP259" s="1024"/>
      <c r="AQ259" s="1024"/>
      <c r="AR259" s="1024"/>
      <c r="AS259" s="1024"/>
      <c r="AT259" s="1024"/>
      <c r="AU259" s="1024"/>
      <c r="AV259" s="1024"/>
      <c r="AW259" s="1024"/>
      <c r="AX259" s="1024"/>
      <c r="AY259" s="1024"/>
      <c r="AZ259" s="1024">
        <f t="shared" si="180"/>
        <v>0</v>
      </c>
      <c r="BA259" s="1024"/>
      <c r="BB259" s="1024"/>
      <c r="BC259" s="1024"/>
      <c r="BD259" s="1024"/>
      <c r="BE259" s="1024"/>
      <c r="BF259" s="1024"/>
      <c r="BG259" s="1024"/>
      <c r="BH259" s="1024"/>
      <c r="BI259" s="1024"/>
      <c r="BJ259" s="1024">
        <v>35389</v>
      </c>
      <c r="BK259" s="1024"/>
      <c r="BL259" s="1024"/>
      <c r="BM259" s="1024">
        <f t="shared" si="181"/>
        <v>35389</v>
      </c>
      <c r="BN259" s="1024"/>
      <c r="BO259" s="1024"/>
      <c r="BP259" s="1024"/>
      <c r="BQ259" s="1024"/>
      <c r="BR259" s="1024"/>
      <c r="BS259" s="1024"/>
      <c r="BT259" s="1024"/>
      <c r="BU259" s="1024"/>
      <c r="BV259" s="1024"/>
      <c r="BW259" s="1024"/>
      <c r="BX259" s="1024"/>
      <c r="BY259" s="1024"/>
      <c r="BZ259" s="1029">
        <f t="shared" si="182"/>
        <v>0</v>
      </c>
      <c r="CA259" s="1030">
        <f t="shared" si="183"/>
        <v>35389</v>
      </c>
      <c r="CB259" s="1024">
        <f t="shared" si="184"/>
        <v>0</v>
      </c>
      <c r="CC259" s="1023">
        <f t="shared" si="185"/>
        <v>35389</v>
      </c>
      <c r="CD259" s="1023">
        <f t="shared" si="186"/>
        <v>35389</v>
      </c>
      <c r="CE259" s="1023">
        <v>35389</v>
      </c>
      <c r="CF259" s="1023">
        <f t="shared" si="187"/>
        <v>0</v>
      </c>
      <c r="CG259" s="1029"/>
      <c r="CH259" s="972"/>
      <c r="CI259" s="1032">
        <v>0</v>
      </c>
      <c r="CJ259" s="1032">
        <f t="shared" si="188"/>
        <v>-35389</v>
      </c>
      <c r="CL259" s="976">
        <v>754600</v>
      </c>
      <c r="CM259" s="976">
        <f t="shared" si="189"/>
        <v>719211</v>
      </c>
    </row>
    <row r="260" spans="1:91" s="1032" customFormat="1" ht="12.75" customHeight="1">
      <c r="A260" s="1091"/>
      <c r="B260" s="1015"/>
      <c r="C260" s="1016" t="s">
        <v>794</v>
      </c>
      <c r="D260" s="1016"/>
      <c r="E260" s="1017"/>
      <c r="F260" s="1023"/>
      <c r="G260" s="1023"/>
      <c r="H260" s="1023"/>
      <c r="I260" s="1023"/>
      <c r="J260" s="1019"/>
      <c r="K260" s="1020"/>
      <c r="L260" s="1021"/>
      <c r="M260" s="1022"/>
      <c r="N260" s="1023"/>
      <c r="O260" s="1024"/>
      <c r="P260" s="1024"/>
      <c r="Q260" s="1024"/>
      <c r="R260" s="1024"/>
      <c r="S260" s="1024"/>
      <c r="T260" s="1024"/>
      <c r="U260" s="1024"/>
      <c r="V260" s="1024"/>
      <c r="W260" s="1024"/>
      <c r="X260" s="1024"/>
      <c r="Y260" s="1024"/>
      <c r="Z260" s="1025">
        <f t="shared" si="178"/>
        <v>0</v>
      </c>
      <c r="AA260" s="1026"/>
      <c r="AB260" s="1027"/>
      <c r="AC260" s="1027"/>
      <c r="AD260" s="1027"/>
      <c r="AE260" s="1027"/>
      <c r="AF260" s="1027"/>
      <c r="AG260" s="1027"/>
      <c r="AH260" s="1028"/>
      <c r="AI260" s="1028"/>
      <c r="AJ260" s="1028"/>
      <c r="AK260" s="1028"/>
      <c r="AL260" s="1028"/>
      <c r="AM260" s="1025">
        <f t="shared" si="179"/>
        <v>0</v>
      </c>
      <c r="AN260" s="1024"/>
      <c r="AO260" s="1024"/>
      <c r="AP260" s="1024"/>
      <c r="AQ260" s="1024"/>
      <c r="AR260" s="1024"/>
      <c r="AS260" s="1024"/>
      <c r="AT260" s="1024"/>
      <c r="AU260" s="1024"/>
      <c r="AV260" s="1024"/>
      <c r="AW260" s="1024"/>
      <c r="AX260" s="1024"/>
      <c r="AY260" s="1024"/>
      <c r="AZ260" s="1024">
        <f t="shared" si="180"/>
        <v>0</v>
      </c>
      <c r="BA260" s="1024"/>
      <c r="BB260" s="1024"/>
      <c r="BC260" s="1024"/>
      <c r="BD260" s="1024"/>
      <c r="BE260" s="1024"/>
      <c r="BF260" s="1024"/>
      <c r="BG260" s="1024"/>
      <c r="BH260" s="1024"/>
      <c r="BI260" s="1024"/>
      <c r="BJ260" s="1024"/>
      <c r="BK260" s="1024"/>
      <c r="BL260" s="1024"/>
      <c r="BM260" s="1024">
        <f t="shared" si="181"/>
        <v>0</v>
      </c>
      <c r="BN260" s="1024"/>
      <c r="BO260" s="1024"/>
      <c r="BP260" s="1024"/>
      <c r="BQ260" s="1024"/>
      <c r="BR260" s="1024"/>
      <c r="BS260" s="1093">
        <v>0</v>
      </c>
      <c r="BT260" s="1024"/>
      <c r="BU260" s="1024"/>
      <c r="BV260" s="1024"/>
      <c r="BW260" s="1024"/>
      <c r="BX260" s="1024"/>
      <c r="BY260" s="1024"/>
      <c r="BZ260" s="1029">
        <f t="shared" si="182"/>
        <v>0</v>
      </c>
      <c r="CA260" s="1030">
        <f t="shared" si="183"/>
        <v>0</v>
      </c>
      <c r="CB260" s="1024">
        <f t="shared" si="184"/>
        <v>0</v>
      </c>
      <c r="CC260" s="1023">
        <f t="shared" si="185"/>
        <v>0</v>
      </c>
      <c r="CD260" s="1023">
        <f t="shared" si="186"/>
        <v>0</v>
      </c>
      <c r="CE260" s="1023">
        <v>50000</v>
      </c>
      <c r="CF260" s="1023">
        <f t="shared" si="187"/>
        <v>-50000</v>
      </c>
      <c r="CG260" s="1029"/>
      <c r="CH260" s="972"/>
      <c r="CI260" s="1032">
        <f>700000*1.082</f>
        <v>757400</v>
      </c>
      <c r="CJ260" s="1032">
        <f t="shared" si="188"/>
        <v>757400</v>
      </c>
      <c r="CL260" s="976">
        <v>754600</v>
      </c>
      <c r="CM260" s="976">
        <f t="shared" si="189"/>
        <v>754600</v>
      </c>
    </row>
    <row r="261" spans="1:91" s="1064" customFormat="1">
      <c r="A261" s="1087"/>
      <c r="B261" s="1046" t="s">
        <v>795</v>
      </c>
      <c r="C261" s="1047"/>
      <c r="D261" s="1047"/>
      <c r="E261" s="1048"/>
      <c r="F261" s="1054">
        <f>SUBTOTAL(9,F211:F260)</f>
        <v>13690600</v>
      </c>
      <c r="G261" s="1054">
        <f>SUBTOTAL(9,G211:G260)</f>
        <v>18042999.936873335</v>
      </c>
      <c r="H261" s="1054">
        <f>SUBTOTAL(9,H211:H260)</f>
        <v>0</v>
      </c>
      <c r="I261" s="1054">
        <f>SUBTOTAL(9,I211:I260)</f>
        <v>18042999.936873335</v>
      </c>
      <c r="J261" s="1050"/>
      <c r="K261" s="1051"/>
      <c r="L261" s="1052"/>
      <c r="M261" s="1053">
        <f t="shared" ref="M261:AR261" si="190">SUBTOTAL(9,M211:M260)</f>
        <v>0</v>
      </c>
      <c r="N261" s="1054">
        <f t="shared" si="190"/>
        <v>0</v>
      </c>
      <c r="O261" s="1055">
        <f t="shared" si="190"/>
        <v>0</v>
      </c>
      <c r="P261" s="1055">
        <f t="shared" si="190"/>
        <v>0</v>
      </c>
      <c r="Q261" s="1055">
        <f t="shared" si="190"/>
        <v>0</v>
      </c>
      <c r="R261" s="1055">
        <f t="shared" si="190"/>
        <v>0</v>
      </c>
      <c r="S261" s="1055">
        <f t="shared" si="190"/>
        <v>0</v>
      </c>
      <c r="T261" s="1055">
        <f t="shared" si="190"/>
        <v>0</v>
      </c>
      <c r="U261" s="1055">
        <f t="shared" si="190"/>
        <v>0</v>
      </c>
      <c r="V261" s="1055">
        <f t="shared" si="190"/>
        <v>0</v>
      </c>
      <c r="W261" s="1055">
        <f t="shared" si="190"/>
        <v>0</v>
      </c>
      <c r="X261" s="1055">
        <f t="shared" si="190"/>
        <v>0</v>
      </c>
      <c r="Y261" s="1055">
        <f t="shared" si="190"/>
        <v>0</v>
      </c>
      <c r="Z261" s="1056">
        <f t="shared" si="190"/>
        <v>0</v>
      </c>
      <c r="AA261" s="1057">
        <f t="shared" si="190"/>
        <v>0</v>
      </c>
      <c r="AB261" s="1058">
        <f t="shared" si="190"/>
        <v>0</v>
      </c>
      <c r="AC261" s="1058">
        <f t="shared" si="190"/>
        <v>0</v>
      </c>
      <c r="AD261" s="1058">
        <f t="shared" si="190"/>
        <v>0</v>
      </c>
      <c r="AE261" s="1058">
        <f t="shared" si="190"/>
        <v>0</v>
      </c>
      <c r="AF261" s="1058">
        <f t="shared" si="190"/>
        <v>0</v>
      </c>
      <c r="AG261" s="1058">
        <f t="shared" si="190"/>
        <v>0</v>
      </c>
      <c r="AH261" s="1059">
        <f t="shared" si="190"/>
        <v>0</v>
      </c>
      <c r="AI261" s="1059">
        <f t="shared" si="190"/>
        <v>0</v>
      </c>
      <c r="AJ261" s="1059">
        <f t="shared" si="190"/>
        <v>0</v>
      </c>
      <c r="AK261" s="1059">
        <f t="shared" si="190"/>
        <v>0</v>
      </c>
      <c r="AL261" s="1059">
        <f t="shared" si="190"/>
        <v>550000</v>
      </c>
      <c r="AM261" s="1056">
        <f t="shared" si="190"/>
        <v>550000</v>
      </c>
      <c r="AN261" s="1055">
        <f t="shared" si="190"/>
        <v>0</v>
      </c>
      <c r="AO261" s="1055">
        <f t="shared" si="190"/>
        <v>-276250</v>
      </c>
      <c r="AP261" s="1055">
        <f t="shared" si="190"/>
        <v>3014404.94</v>
      </c>
      <c r="AQ261" s="1055">
        <f t="shared" si="190"/>
        <v>0</v>
      </c>
      <c r="AR261" s="1055">
        <f t="shared" si="190"/>
        <v>-6439.5300000000279</v>
      </c>
      <c r="AS261" s="1055">
        <f t="shared" ref="AS261:BX261" si="191">SUBTOTAL(9,AS211:AS260)</f>
        <v>526757.46</v>
      </c>
      <c r="AT261" s="1055">
        <f t="shared" si="191"/>
        <v>-0.16000000014901161</v>
      </c>
      <c r="AU261" s="1055">
        <f t="shared" si="191"/>
        <v>23749.879999999888</v>
      </c>
      <c r="AV261" s="1055">
        <f t="shared" si="191"/>
        <v>243666.40000000002</v>
      </c>
      <c r="AW261" s="1055">
        <f t="shared" si="191"/>
        <v>583019.47</v>
      </c>
      <c r="AX261" s="1055">
        <f t="shared" si="191"/>
        <v>577805.73</v>
      </c>
      <c r="AY261" s="1055">
        <f t="shared" si="191"/>
        <v>577844</v>
      </c>
      <c r="AZ261" s="1055">
        <f t="shared" si="191"/>
        <v>5264558.1900000004</v>
      </c>
      <c r="BA261" s="1055">
        <f t="shared" si="191"/>
        <v>134788.36140000005</v>
      </c>
      <c r="BB261" s="1055">
        <f t="shared" si="191"/>
        <v>206537.67820000002</v>
      </c>
      <c r="BC261" s="1055">
        <f t="shared" si="191"/>
        <v>792533.20256000012</v>
      </c>
      <c r="BD261" s="1055">
        <f t="shared" si="191"/>
        <v>196448.43474000003</v>
      </c>
      <c r="BE261" s="1055">
        <f t="shared" si="191"/>
        <v>1937471.63274</v>
      </c>
      <c r="BF261" s="1055">
        <f t="shared" si="191"/>
        <v>2158783.1978400005</v>
      </c>
      <c r="BG261" s="1055">
        <f t="shared" si="191"/>
        <v>341218.60030000005</v>
      </c>
      <c r="BH261" s="1055">
        <f t="shared" si="191"/>
        <v>278081.86979999999</v>
      </c>
      <c r="BI261" s="1055">
        <f t="shared" si="191"/>
        <v>895773.70662000007</v>
      </c>
      <c r="BJ261" s="1055">
        <f t="shared" si="191"/>
        <v>645154.27711999998</v>
      </c>
      <c r="BK261" s="1055">
        <f t="shared" si="191"/>
        <v>501905.76900000003</v>
      </c>
      <c r="BL261" s="1055">
        <f t="shared" si="191"/>
        <v>774912.23324000021</v>
      </c>
      <c r="BM261" s="1055">
        <f t="shared" si="191"/>
        <v>8863608.9635600001</v>
      </c>
      <c r="BN261" s="1055">
        <f t="shared" si="191"/>
        <v>1934094.84014</v>
      </c>
      <c r="BO261" s="1055">
        <f t="shared" si="191"/>
        <v>500247.96315999993</v>
      </c>
      <c r="BP261" s="1055">
        <f t="shared" si="191"/>
        <v>341579.61454000004</v>
      </c>
      <c r="BQ261" s="1055">
        <f t="shared" si="191"/>
        <v>317764.57206666673</v>
      </c>
      <c r="BR261" s="1055">
        <f t="shared" si="191"/>
        <v>0</v>
      </c>
      <c r="BS261" s="1055">
        <f t="shared" si="191"/>
        <v>0</v>
      </c>
      <c r="BT261" s="1055">
        <f t="shared" si="191"/>
        <v>0</v>
      </c>
      <c r="BU261" s="1055">
        <f t="shared" si="191"/>
        <v>0</v>
      </c>
      <c r="BV261" s="1055">
        <f t="shared" si="191"/>
        <v>0</v>
      </c>
      <c r="BW261" s="1055">
        <f t="shared" si="191"/>
        <v>0</v>
      </c>
      <c r="BX261" s="1055">
        <f t="shared" si="191"/>
        <v>0</v>
      </c>
      <c r="BY261" s="1055">
        <f t="shared" ref="BY261:CF261" si="192">SUBTOTAL(9,BY211:BY260)</f>
        <v>0</v>
      </c>
      <c r="BZ261" s="1060">
        <f t="shared" si="192"/>
        <v>3093686.9899066659</v>
      </c>
      <c r="CA261" s="1061">
        <f t="shared" si="192"/>
        <v>17771854.143466663</v>
      </c>
      <c r="CB261" s="1055">
        <f t="shared" si="192"/>
        <v>0</v>
      </c>
      <c r="CC261" s="1054">
        <f t="shared" si="192"/>
        <v>17771854.143466663</v>
      </c>
      <c r="CD261" s="1054">
        <f t="shared" si="192"/>
        <v>-271145.79340666556</v>
      </c>
      <c r="CE261" s="1054">
        <f t="shared" si="192"/>
        <v>18383281.953299999</v>
      </c>
      <c r="CF261" s="1054">
        <f t="shared" si="192"/>
        <v>-611427.80983333394</v>
      </c>
      <c r="CG261" s="1060"/>
      <c r="CH261" s="1063"/>
      <c r="CL261" s="1065">
        <f>SUBTOTAL(9,CL211:CL260)</f>
        <v>18025400.460000001</v>
      </c>
      <c r="CM261" s="1066">
        <f t="shared" si="189"/>
        <v>253546.31653333828</v>
      </c>
    </row>
    <row r="262" spans="1:91" s="1032" customFormat="1" ht="9" customHeight="1">
      <c r="A262" s="1091"/>
      <c r="B262" s="1015"/>
      <c r="C262" s="1016"/>
      <c r="D262" s="1016"/>
      <c r="E262" s="1017"/>
      <c r="F262" s="1023"/>
      <c r="G262" s="1023"/>
      <c r="H262" s="1023"/>
      <c r="I262" s="1023"/>
      <c r="J262" s="1019"/>
      <c r="K262" s="1020"/>
      <c r="L262" s="1021"/>
      <c r="M262" s="1022"/>
      <c r="N262" s="1023"/>
      <c r="O262" s="1024"/>
      <c r="P262" s="1024"/>
      <c r="Q262" s="1024"/>
      <c r="R262" s="1024"/>
      <c r="S262" s="1024"/>
      <c r="T262" s="1024"/>
      <c r="U262" s="1024"/>
      <c r="V262" s="1024"/>
      <c r="W262" s="1024"/>
      <c r="X262" s="1024"/>
      <c r="Y262" s="1024"/>
      <c r="Z262" s="1025">
        <f>SUM(N262:Y262)</f>
        <v>0</v>
      </c>
      <c r="AA262" s="1026"/>
      <c r="AB262" s="1027"/>
      <c r="AC262" s="1027"/>
      <c r="AD262" s="1027"/>
      <c r="AE262" s="1027"/>
      <c r="AF262" s="1027"/>
      <c r="AG262" s="1027"/>
      <c r="AH262" s="1028"/>
      <c r="AI262" s="1028"/>
      <c r="AJ262" s="1028"/>
      <c r="AK262" s="1028"/>
      <c r="AL262" s="1028"/>
      <c r="AM262" s="1025">
        <f>SUM(AA262:AL262)</f>
        <v>0</v>
      </c>
      <c r="AN262" s="1024"/>
      <c r="AO262" s="1024"/>
      <c r="AP262" s="1024"/>
      <c r="AQ262" s="1024"/>
      <c r="AR262" s="1024"/>
      <c r="AS262" s="1024"/>
      <c r="AT262" s="1024"/>
      <c r="AU262" s="1024"/>
      <c r="AV262" s="1024"/>
      <c r="AW262" s="1024"/>
      <c r="AX262" s="1024"/>
      <c r="AY262" s="1024"/>
      <c r="AZ262" s="1024">
        <f>SUM(AN262:AY262)</f>
        <v>0</v>
      </c>
      <c r="BA262" s="1024"/>
      <c r="BB262" s="1024"/>
      <c r="BC262" s="1024"/>
      <c r="BD262" s="1024"/>
      <c r="BE262" s="1024"/>
      <c r="BF262" s="1024"/>
      <c r="BG262" s="1024"/>
      <c r="BH262" s="1024"/>
      <c r="BI262" s="1024"/>
      <c r="BJ262" s="1024"/>
      <c r="BK262" s="1024"/>
      <c r="BL262" s="1024"/>
      <c r="BM262" s="1024">
        <f>SUM(BA262:BL262)</f>
        <v>0</v>
      </c>
      <c r="BN262" s="1024"/>
      <c r="BO262" s="1024"/>
      <c r="BP262" s="1024"/>
      <c r="BQ262" s="1024"/>
      <c r="BR262" s="1024"/>
      <c r="BS262" s="1024"/>
      <c r="BT262" s="1024"/>
      <c r="BU262" s="1024"/>
      <c r="BV262" s="1024"/>
      <c r="BW262" s="1024"/>
      <c r="BX262" s="1024"/>
      <c r="BY262" s="1024"/>
      <c r="BZ262" s="1029">
        <f>SUM(BN262:BY262)</f>
        <v>0</v>
      </c>
      <c r="CA262" s="1030"/>
      <c r="CB262" s="1024">
        <f>+CC262-CA262</f>
        <v>0</v>
      </c>
      <c r="CC262" s="1023">
        <f>+M262+Z262+AM262+AZ262+BM262+BZ262</f>
        <v>0</v>
      </c>
      <c r="CD262" s="1023">
        <f>+CC262-I262</f>
        <v>0</v>
      </c>
      <c r="CE262" s="1023">
        <f>+O262+AB262+AO262+BB262+BO262+CB262</f>
        <v>0</v>
      </c>
      <c r="CF262" s="1023">
        <f>+P262+AC262+AP262+BC262+BP262+CC262</f>
        <v>0</v>
      </c>
      <c r="CG262" s="1029"/>
      <c r="CH262" s="972"/>
      <c r="CL262" s="976"/>
      <c r="CM262" s="976"/>
    </row>
    <row r="263" spans="1:91" s="1073" customFormat="1">
      <c r="A263" s="1091"/>
      <c r="B263" s="997" t="s">
        <v>796</v>
      </c>
      <c r="C263" s="1067"/>
      <c r="D263" s="1067"/>
      <c r="E263" s="1068"/>
      <c r="F263" s="1003"/>
      <c r="G263" s="1003"/>
      <c r="H263" s="1003"/>
      <c r="I263" s="1003"/>
      <c r="J263" s="1070"/>
      <c r="K263" s="1071"/>
      <c r="L263" s="1072"/>
      <c r="M263" s="1002"/>
      <c r="N263" s="1003"/>
      <c r="O263" s="1004"/>
      <c r="P263" s="1004"/>
      <c r="Q263" s="1004"/>
      <c r="R263" s="1004"/>
      <c r="S263" s="1004"/>
      <c r="T263" s="1004"/>
      <c r="U263" s="1004"/>
      <c r="V263" s="1004"/>
      <c r="W263" s="1004"/>
      <c r="X263" s="1004"/>
      <c r="Y263" s="1004"/>
      <c r="Z263" s="1005"/>
      <c r="AA263" s="1006"/>
      <c r="AB263" s="1007"/>
      <c r="AC263" s="1007"/>
      <c r="AD263" s="1007"/>
      <c r="AE263" s="1007"/>
      <c r="AF263" s="1007"/>
      <c r="AG263" s="1007"/>
      <c r="AH263" s="1008"/>
      <c r="AI263" s="1008"/>
      <c r="AJ263" s="1008"/>
      <c r="AK263" s="1008"/>
      <c r="AL263" s="1008"/>
      <c r="AM263" s="1005"/>
      <c r="AN263" s="1004"/>
      <c r="AO263" s="1004"/>
      <c r="AP263" s="1004"/>
      <c r="AQ263" s="1004"/>
      <c r="AR263" s="1004"/>
      <c r="AS263" s="1004"/>
      <c r="AT263" s="1004"/>
      <c r="AU263" s="1004"/>
      <c r="AV263" s="1004"/>
      <c r="AW263" s="1004"/>
      <c r="AX263" s="1004"/>
      <c r="AY263" s="1004"/>
      <c r="AZ263" s="1004"/>
      <c r="BA263" s="1004"/>
      <c r="BB263" s="1004"/>
      <c r="BC263" s="1004"/>
      <c r="BD263" s="1004"/>
      <c r="BE263" s="1004"/>
      <c r="BF263" s="1004"/>
      <c r="BG263" s="1004"/>
      <c r="BH263" s="1004"/>
      <c r="BI263" s="1004"/>
      <c r="BJ263" s="1004"/>
      <c r="BK263" s="1004"/>
      <c r="BL263" s="1004"/>
      <c r="BM263" s="1004"/>
      <c r="BN263" s="1004"/>
      <c r="BO263" s="1004"/>
      <c r="BP263" s="1004"/>
      <c r="BQ263" s="1004"/>
      <c r="BR263" s="1004"/>
      <c r="BS263" s="1004"/>
      <c r="BT263" s="1004"/>
      <c r="BU263" s="1004"/>
      <c r="BV263" s="1004"/>
      <c r="BW263" s="1004"/>
      <c r="BX263" s="1004"/>
      <c r="BY263" s="1004"/>
      <c r="BZ263" s="1009"/>
      <c r="CA263" s="1010"/>
      <c r="CB263" s="1004"/>
      <c r="CC263" s="1003"/>
      <c r="CD263" s="1003"/>
      <c r="CE263" s="1003"/>
      <c r="CF263" s="1003"/>
      <c r="CG263" s="1009"/>
      <c r="CH263" s="1012"/>
      <c r="CJ263" s="1074"/>
      <c r="CL263" s="1082"/>
      <c r="CM263" s="976"/>
    </row>
    <row r="264" spans="1:91" s="1032" customFormat="1" ht="9" customHeight="1">
      <c r="A264" s="996"/>
      <c r="B264" s="1015"/>
      <c r="C264" s="1016"/>
      <c r="D264" s="1016"/>
      <c r="E264" s="1017"/>
      <c r="F264" s="1023"/>
      <c r="G264" s="1023"/>
      <c r="H264" s="1023"/>
      <c r="I264" s="1023"/>
      <c r="J264" s="1019"/>
      <c r="K264" s="1020"/>
      <c r="L264" s="1021"/>
      <c r="M264" s="1022"/>
      <c r="N264" s="1023"/>
      <c r="O264" s="1024"/>
      <c r="P264" s="1024"/>
      <c r="Q264" s="1024"/>
      <c r="R264" s="1024"/>
      <c r="S264" s="1024"/>
      <c r="T264" s="1024"/>
      <c r="U264" s="1024"/>
      <c r="V264" s="1024"/>
      <c r="W264" s="1024"/>
      <c r="X264" s="1024"/>
      <c r="Y264" s="1024"/>
      <c r="Z264" s="1025">
        <f>SUM(N264:Y264)</f>
        <v>0</v>
      </c>
      <c r="AA264" s="1026"/>
      <c r="AB264" s="1027"/>
      <c r="AC264" s="1027"/>
      <c r="AD264" s="1027"/>
      <c r="AE264" s="1027"/>
      <c r="AF264" s="1027"/>
      <c r="AG264" s="1027"/>
      <c r="AH264" s="1028"/>
      <c r="AI264" s="1028"/>
      <c r="AJ264" s="1028"/>
      <c r="AK264" s="1028"/>
      <c r="AL264" s="1028"/>
      <c r="AM264" s="1025">
        <f>SUM(AA264:AL264)</f>
        <v>0</v>
      </c>
      <c r="AN264" s="1024"/>
      <c r="AO264" s="1024"/>
      <c r="AP264" s="1024"/>
      <c r="AQ264" s="1024"/>
      <c r="AR264" s="1023"/>
      <c r="AS264" s="1023"/>
      <c r="AT264" s="1023"/>
      <c r="AU264" s="1024"/>
      <c r="AV264" s="1024"/>
      <c r="AW264" s="1024"/>
      <c r="AX264" s="1024"/>
      <c r="AY264" s="1024"/>
      <c r="AZ264" s="1024">
        <f>SUM(AN264:AY264)</f>
        <v>0</v>
      </c>
      <c r="BA264" s="1024"/>
      <c r="BB264" s="1024"/>
      <c r="BC264" s="1024"/>
      <c r="BD264" s="1024"/>
      <c r="BE264" s="1024"/>
      <c r="BF264" s="1024"/>
      <c r="BG264" s="1024"/>
      <c r="BH264" s="1024"/>
      <c r="BI264" s="1024"/>
      <c r="BJ264" s="1024"/>
      <c r="BK264" s="1024"/>
      <c r="BL264" s="1024"/>
      <c r="BM264" s="1024">
        <f>SUM(BA264:BL264)</f>
        <v>0</v>
      </c>
      <c r="BN264" s="1024"/>
      <c r="BO264" s="1024"/>
      <c r="BP264" s="1024"/>
      <c r="BQ264" s="1024"/>
      <c r="BR264" s="1024"/>
      <c r="BS264" s="1024"/>
      <c r="BT264" s="1024"/>
      <c r="BU264" s="1024"/>
      <c r="BV264" s="1024"/>
      <c r="BW264" s="1024"/>
      <c r="BX264" s="1024"/>
      <c r="BY264" s="1024"/>
      <c r="BZ264" s="1029">
        <f>SUM(BN264:BY264)</f>
        <v>0</v>
      </c>
      <c r="CA264" s="1030">
        <f>+M264+Z264+SUM(AA264:AH264)</f>
        <v>0</v>
      </c>
      <c r="CB264" s="1024"/>
      <c r="CC264" s="1023">
        <f>+M264+Z264+AM264+AZ264+BM264+BZ264</f>
        <v>0</v>
      </c>
      <c r="CD264" s="1023">
        <f>+CC264-I264</f>
        <v>0</v>
      </c>
      <c r="CE264" s="1023">
        <f>+O264+AB264+AO264+BB264+BO264+CB264</f>
        <v>0</v>
      </c>
      <c r="CF264" s="1023">
        <f>+P264+AC264+AP264+BC264+BP264+CC264</f>
        <v>0</v>
      </c>
      <c r="CG264" s="1029"/>
      <c r="CH264" s="972"/>
      <c r="CL264" s="976"/>
      <c r="CM264" s="976"/>
    </row>
    <row r="265" spans="1:91" s="1032" customFormat="1">
      <c r="A265" s="1091"/>
      <c r="B265" s="1015"/>
      <c r="C265" s="1016" t="s">
        <v>797</v>
      </c>
      <c r="D265" s="1043"/>
      <c r="E265" s="1017"/>
      <c r="F265" s="1023">
        <f>SUBTOTAL(9,F266:F274)</f>
        <v>0</v>
      </c>
      <c r="G265" s="1023">
        <f>SUBTOTAL(9,G266:G274)</f>
        <v>934082.92999999993</v>
      </c>
      <c r="H265" s="1023">
        <f>SUBTOTAL(9,H266:H274)</f>
        <v>0</v>
      </c>
      <c r="I265" s="1023">
        <f>SUBTOTAL(9,I266:I274)</f>
        <v>934082.92999999993</v>
      </c>
      <c r="J265" s="1019"/>
      <c r="K265" s="1020"/>
      <c r="L265" s="1021"/>
      <c r="M265" s="1022">
        <f t="shared" ref="M265:AR265" si="193">SUBTOTAL(9,M266:M274)</f>
        <v>0</v>
      </c>
      <c r="N265" s="1023">
        <f t="shared" si="193"/>
        <v>0</v>
      </c>
      <c r="O265" s="1024">
        <f t="shared" si="193"/>
        <v>0</v>
      </c>
      <c r="P265" s="1024">
        <f t="shared" si="193"/>
        <v>0</v>
      </c>
      <c r="Q265" s="1024">
        <f t="shared" si="193"/>
        <v>0</v>
      </c>
      <c r="R265" s="1024">
        <f t="shared" si="193"/>
        <v>0</v>
      </c>
      <c r="S265" s="1024">
        <f t="shared" si="193"/>
        <v>0</v>
      </c>
      <c r="T265" s="1024">
        <f t="shared" si="193"/>
        <v>0</v>
      </c>
      <c r="U265" s="1024">
        <f t="shared" si="193"/>
        <v>0</v>
      </c>
      <c r="V265" s="1024">
        <f t="shared" si="193"/>
        <v>0</v>
      </c>
      <c r="W265" s="1024">
        <f t="shared" si="193"/>
        <v>0</v>
      </c>
      <c r="X265" s="1024">
        <f t="shared" si="193"/>
        <v>0</v>
      </c>
      <c r="Y265" s="1024">
        <f t="shared" si="193"/>
        <v>0</v>
      </c>
      <c r="Z265" s="1025">
        <f t="shared" si="193"/>
        <v>0</v>
      </c>
      <c r="AA265" s="1026">
        <f t="shared" si="193"/>
        <v>0</v>
      </c>
      <c r="AB265" s="1027">
        <f t="shared" si="193"/>
        <v>0</v>
      </c>
      <c r="AC265" s="1027">
        <f t="shared" si="193"/>
        <v>0</v>
      </c>
      <c r="AD265" s="1027">
        <f t="shared" si="193"/>
        <v>0</v>
      </c>
      <c r="AE265" s="1027">
        <f t="shared" si="193"/>
        <v>0</v>
      </c>
      <c r="AF265" s="1027">
        <f t="shared" si="193"/>
        <v>0</v>
      </c>
      <c r="AG265" s="1027">
        <f t="shared" si="193"/>
        <v>0</v>
      </c>
      <c r="AH265" s="1028">
        <f t="shared" si="193"/>
        <v>0</v>
      </c>
      <c r="AI265" s="1028">
        <f t="shared" si="193"/>
        <v>0</v>
      </c>
      <c r="AJ265" s="1028">
        <f t="shared" si="193"/>
        <v>0</v>
      </c>
      <c r="AK265" s="1028">
        <f t="shared" si="193"/>
        <v>0</v>
      </c>
      <c r="AL265" s="1028">
        <f t="shared" si="193"/>
        <v>0</v>
      </c>
      <c r="AM265" s="1025">
        <f t="shared" si="193"/>
        <v>0</v>
      </c>
      <c r="AN265" s="1024">
        <f t="shared" si="193"/>
        <v>0</v>
      </c>
      <c r="AO265" s="1024">
        <f t="shared" si="193"/>
        <v>0</v>
      </c>
      <c r="AP265" s="1024">
        <f t="shared" si="193"/>
        <v>0</v>
      </c>
      <c r="AQ265" s="1024">
        <f t="shared" si="193"/>
        <v>8522.5</v>
      </c>
      <c r="AR265" s="1167">
        <f t="shared" si="193"/>
        <v>12535.25</v>
      </c>
      <c r="AS265" s="1167">
        <f t="shared" ref="AS265:BX265" si="194">SUBTOTAL(9,AS266:AS274)</f>
        <v>-2500.6900000000005</v>
      </c>
      <c r="AT265" s="1023">
        <f t="shared" si="194"/>
        <v>0</v>
      </c>
      <c r="AU265" s="1024">
        <f t="shared" si="194"/>
        <v>106621.36200000001</v>
      </c>
      <c r="AV265" s="1024">
        <f t="shared" si="194"/>
        <v>216400.00000000003</v>
      </c>
      <c r="AW265" s="1024">
        <f t="shared" si="194"/>
        <v>92504.508000000002</v>
      </c>
      <c r="AX265" s="1024">
        <f t="shared" si="194"/>
        <v>0</v>
      </c>
      <c r="AY265" s="1024">
        <f t="shared" si="194"/>
        <v>0</v>
      </c>
      <c r="AZ265" s="1024">
        <f t="shared" si="194"/>
        <v>434082.93000000005</v>
      </c>
      <c r="BA265" s="1024">
        <f t="shared" si="194"/>
        <v>0</v>
      </c>
      <c r="BB265" s="1024">
        <f t="shared" si="194"/>
        <v>0</v>
      </c>
      <c r="BC265" s="1024">
        <f t="shared" si="194"/>
        <v>85662.64</v>
      </c>
      <c r="BD265" s="1024">
        <f t="shared" si="194"/>
        <v>0</v>
      </c>
      <c r="BE265" s="1024">
        <f t="shared" si="194"/>
        <v>16845.572</v>
      </c>
      <c r="BF265" s="1024">
        <f t="shared" si="194"/>
        <v>0</v>
      </c>
      <c r="BG265" s="1024">
        <f t="shared" si="194"/>
        <v>70330</v>
      </c>
      <c r="BH265" s="1024">
        <f t="shared" si="194"/>
        <v>0</v>
      </c>
      <c r="BI265" s="1024">
        <f t="shared" si="194"/>
        <v>0</v>
      </c>
      <c r="BJ265" s="1024">
        <f t="shared" si="194"/>
        <v>131250</v>
      </c>
      <c r="BK265" s="1024">
        <f t="shared" si="194"/>
        <v>0</v>
      </c>
      <c r="BL265" s="1024">
        <f t="shared" si="194"/>
        <v>0</v>
      </c>
      <c r="BM265" s="1024">
        <f t="shared" si="194"/>
        <v>304088.212</v>
      </c>
      <c r="BN265" s="1024">
        <f t="shared" si="194"/>
        <v>0</v>
      </c>
      <c r="BO265" s="1024">
        <f t="shared" si="194"/>
        <v>0</v>
      </c>
      <c r="BP265" s="1024">
        <f t="shared" si="194"/>
        <v>0</v>
      </c>
      <c r="BQ265" s="1024">
        <f t="shared" si="194"/>
        <v>0</v>
      </c>
      <c r="BR265" s="1024">
        <f t="shared" si="194"/>
        <v>0</v>
      </c>
      <c r="BS265" s="1024">
        <f t="shared" si="194"/>
        <v>0</v>
      </c>
      <c r="BT265" s="1024">
        <f t="shared" si="194"/>
        <v>0</v>
      </c>
      <c r="BU265" s="1024">
        <f t="shared" si="194"/>
        <v>0</v>
      </c>
      <c r="BV265" s="1024">
        <f t="shared" si="194"/>
        <v>0</v>
      </c>
      <c r="BW265" s="1024">
        <f t="shared" si="194"/>
        <v>0</v>
      </c>
      <c r="BX265" s="1024">
        <f t="shared" si="194"/>
        <v>0</v>
      </c>
      <c r="BY265" s="1024">
        <f t="shared" ref="BY265:CF265" si="195">SUBTOTAL(9,BY266:BY274)</f>
        <v>0</v>
      </c>
      <c r="BZ265" s="1029">
        <f t="shared" si="195"/>
        <v>0</v>
      </c>
      <c r="CA265" s="1030">
        <f t="shared" si="195"/>
        <v>738171.14199999999</v>
      </c>
      <c r="CB265" s="1024">
        <f t="shared" si="195"/>
        <v>0</v>
      </c>
      <c r="CC265" s="1023">
        <f t="shared" si="195"/>
        <v>738171.14199999999</v>
      </c>
      <c r="CD265" s="1023">
        <f t="shared" si="195"/>
        <v>-195911.788</v>
      </c>
      <c r="CE265" s="1023">
        <f t="shared" si="195"/>
        <v>743171.14199999999</v>
      </c>
      <c r="CF265" s="1023">
        <f t="shared" si="195"/>
        <v>-5000.0000000000146</v>
      </c>
      <c r="CG265" s="1029"/>
      <c r="CH265" s="972"/>
      <c r="CI265" s="1310">
        <f>SUBTOTAL(9,CI266:CI274)</f>
        <v>2040258.152</v>
      </c>
      <c r="CJ265" s="1310">
        <f>SUBTOTAL(9,CJ266:CJ274)</f>
        <v>1302087.01</v>
      </c>
      <c r="CL265" s="1310">
        <f>SUBTOTAL(9,CL266:CL274)</f>
        <v>5000000</v>
      </c>
      <c r="CM265" s="976">
        <f t="shared" ref="CM265:CM287" si="196">+CL265-CC265</f>
        <v>4261828.858</v>
      </c>
    </row>
    <row r="266" spans="1:91" s="1032" customFormat="1" outlineLevel="1">
      <c r="A266" s="1091"/>
      <c r="B266" s="1015"/>
      <c r="C266" s="1168"/>
      <c r="D266" s="1084" t="s">
        <v>798</v>
      </c>
      <c r="E266" s="1085"/>
      <c r="F266" s="1023">
        <v>0</v>
      </c>
      <c r="G266" s="1023">
        <v>52521.362000000001</v>
      </c>
      <c r="H266" s="1023"/>
      <c r="I266" s="1023">
        <v>52521.362000000001</v>
      </c>
      <c r="J266" s="1019"/>
      <c r="K266" s="1020"/>
      <c r="L266" s="1021"/>
      <c r="M266" s="1022"/>
      <c r="N266" s="1023"/>
      <c r="O266" s="1024"/>
      <c r="P266" s="1024"/>
      <c r="Q266" s="1024"/>
      <c r="R266" s="1024"/>
      <c r="S266" s="1024"/>
      <c r="T266" s="1024"/>
      <c r="U266" s="1024"/>
      <c r="V266" s="1024"/>
      <c r="W266" s="1024"/>
      <c r="X266" s="1024"/>
      <c r="Y266" s="1024"/>
      <c r="Z266" s="1025">
        <f t="shared" ref="Z266:Z274" si="197">SUM(N266:Y266)</f>
        <v>0</v>
      </c>
      <c r="AA266" s="1026"/>
      <c r="AB266" s="1027"/>
      <c r="AC266" s="1027"/>
      <c r="AD266" s="1027"/>
      <c r="AE266" s="1027"/>
      <c r="AF266" s="1027"/>
      <c r="AG266" s="1027"/>
      <c r="AH266" s="1028"/>
      <c r="AI266" s="1028"/>
      <c r="AJ266" s="1028"/>
      <c r="AK266" s="1028"/>
      <c r="AL266" s="1028"/>
      <c r="AM266" s="1025">
        <f t="shared" ref="AM266:AM274" si="198">SUM(AA266:AL266)</f>
        <v>0</v>
      </c>
      <c r="AN266" s="1024"/>
      <c r="AO266" s="1024"/>
      <c r="AP266" s="1024"/>
      <c r="AQ266" s="1024"/>
      <c r="AR266" s="1023"/>
      <c r="AS266" s="1023"/>
      <c r="AT266" s="1023"/>
      <c r="AU266" s="1024">
        <f>48541*1.082</f>
        <v>52521.362000000001</v>
      </c>
      <c r="AV266" s="1024"/>
      <c r="AW266" s="1024"/>
      <c r="AX266" s="1024"/>
      <c r="AY266" s="1024"/>
      <c r="AZ266" s="1024">
        <f t="shared" ref="AZ266:AZ274" si="199">SUM(AN266:AY266)</f>
        <v>52521.362000000001</v>
      </c>
      <c r="BA266" s="1024"/>
      <c r="BB266" s="1024"/>
      <c r="BC266" s="1024"/>
      <c r="BD266" s="1024"/>
      <c r="BE266" s="1024"/>
      <c r="BF266" s="1024"/>
      <c r="BG266" s="1024"/>
      <c r="BH266" s="1024"/>
      <c r="BI266" s="1024"/>
      <c r="BJ266" s="1024"/>
      <c r="BK266" s="1024"/>
      <c r="BL266" s="1024"/>
      <c r="BM266" s="1024">
        <f t="shared" ref="BM266:BM274" si="200">SUM(BA266:BL266)</f>
        <v>0</v>
      </c>
      <c r="BN266" s="1024"/>
      <c r="BO266" s="1024"/>
      <c r="BP266" s="1024"/>
      <c r="BQ266" s="1024"/>
      <c r="BR266" s="1024"/>
      <c r="BS266" s="1024"/>
      <c r="BT266" s="1024"/>
      <c r="BU266" s="1024"/>
      <c r="BV266" s="1024"/>
      <c r="BW266" s="1024"/>
      <c r="BX266" s="1024"/>
      <c r="BY266" s="1024"/>
      <c r="BZ266" s="1029">
        <f t="shared" ref="BZ266:BZ274" si="201">SUM(BN266:BY266)</f>
        <v>0</v>
      </c>
      <c r="CA266" s="1018">
        <f t="shared" ref="CA266:CA274" si="202">SUMIF(($M$1:$BZ$1),"Actual",(M266:BZ266))</f>
        <v>52521.362000000001</v>
      </c>
      <c r="CB266" s="1024">
        <f t="shared" ref="CB266:CB274" si="203">SUMIF(($M$1:$BZ$1),"Forecast",(M266:BZ266))</f>
        <v>0</v>
      </c>
      <c r="CC266" s="1023">
        <f t="shared" ref="CC266:CC274" si="204">+CA266+CB266</f>
        <v>52521.362000000001</v>
      </c>
      <c r="CD266" s="1023">
        <f t="shared" ref="CD266:CD274" si="205">+CC266-I266</f>
        <v>0</v>
      </c>
      <c r="CE266" s="1023">
        <v>52521.362000000001</v>
      </c>
      <c r="CF266" s="1023">
        <f t="shared" ref="CF266:CF274" si="206">+CC266-CE266</f>
        <v>0</v>
      </c>
      <c r="CG266" s="1029"/>
      <c r="CH266" s="972"/>
      <c r="CI266" s="1308">
        <f>48541*1.082</f>
        <v>52521.362000000001</v>
      </c>
      <c r="CJ266" s="1083">
        <f t="shared" ref="CJ266:CJ274" si="207">+CI266-CC266</f>
        <v>0</v>
      </c>
      <c r="CL266" s="976"/>
      <c r="CM266" s="976">
        <f t="shared" si="196"/>
        <v>-52521.362000000001</v>
      </c>
    </row>
    <row r="267" spans="1:91" s="1032" customFormat="1" outlineLevel="1">
      <c r="A267" s="1091"/>
      <c r="B267" s="1015"/>
      <c r="C267" s="1168"/>
      <c r="D267" s="1084" t="s">
        <v>799</v>
      </c>
      <c r="E267" s="1085"/>
      <c r="F267" s="1023">
        <v>0</v>
      </c>
      <c r="G267" s="1023">
        <v>54100</v>
      </c>
      <c r="H267" s="1023"/>
      <c r="I267" s="1023">
        <v>54100</v>
      </c>
      <c r="J267" s="1019"/>
      <c r="K267" s="1020"/>
      <c r="L267" s="1021"/>
      <c r="M267" s="1022"/>
      <c r="N267" s="1023"/>
      <c r="O267" s="1024"/>
      <c r="P267" s="1024"/>
      <c r="Q267" s="1024"/>
      <c r="R267" s="1024"/>
      <c r="S267" s="1024"/>
      <c r="T267" s="1024"/>
      <c r="U267" s="1024"/>
      <c r="V267" s="1024"/>
      <c r="W267" s="1024"/>
      <c r="X267" s="1024"/>
      <c r="Y267" s="1024"/>
      <c r="Z267" s="1025">
        <f t="shared" si="197"/>
        <v>0</v>
      </c>
      <c r="AA267" s="1026"/>
      <c r="AB267" s="1027"/>
      <c r="AC267" s="1027"/>
      <c r="AD267" s="1027"/>
      <c r="AE267" s="1027"/>
      <c r="AF267" s="1027"/>
      <c r="AG267" s="1027"/>
      <c r="AH267" s="1028"/>
      <c r="AI267" s="1028"/>
      <c r="AJ267" s="1028"/>
      <c r="AK267" s="1028"/>
      <c r="AL267" s="1028"/>
      <c r="AM267" s="1025">
        <f t="shared" si="198"/>
        <v>0</v>
      </c>
      <c r="AN267" s="1024"/>
      <c r="AO267" s="1024"/>
      <c r="AP267" s="1024"/>
      <c r="AQ267" s="1024"/>
      <c r="AR267" s="1023"/>
      <c r="AS267" s="1023"/>
      <c r="AT267" s="1023"/>
      <c r="AU267" s="1024">
        <f>50000*1.082</f>
        <v>54100.000000000007</v>
      </c>
      <c r="AV267" s="1024"/>
      <c r="AW267" s="1024"/>
      <c r="AX267" s="1024"/>
      <c r="AY267" s="1024"/>
      <c r="AZ267" s="1024">
        <f t="shared" si="199"/>
        <v>54100.000000000007</v>
      </c>
      <c r="BA267" s="1024"/>
      <c r="BB267" s="1024"/>
      <c r="BC267" s="1024"/>
      <c r="BD267" s="1024"/>
      <c r="BE267" s="1024"/>
      <c r="BF267" s="1024"/>
      <c r="BG267" s="1024"/>
      <c r="BH267" s="1024"/>
      <c r="BI267" s="1024"/>
      <c r="BJ267" s="1024"/>
      <c r="BK267" s="1024"/>
      <c r="BL267" s="1024"/>
      <c r="BM267" s="1024">
        <f t="shared" si="200"/>
        <v>0</v>
      </c>
      <c r="BN267" s="1024"/>
      <c r="BO267" s="1024"/>
      <c r="BP267" s="1024"/>
      <c r="BQ267" s="1024"/>
      <c r="BR267" s="1024"/>
      <c r="BS267" s="1024"/>
      <c r="BT267" s="1024"/>
      <c r="BU267" s="1024"/>
      <c r="BV267" s="1024"/>
      <c r="BW267" s="1024"/>
      <c r="BX267" s="1024"/>
      <c r="BY267" s="1024"/>
      <c r="BZ267" s="1029">
        <f t="shared" si="201"/>
        <v>0</v>
      </c>
      <c r="CA267" s="1018">
        <f t="shared" si="202"/>
        <v>54100.000000000007</v>
      </c>
      <c r="CB267" s="1024">
        <f t="shared" si="203"/>
        <v>0</v>
      </c>
      <c r="CC267" s="1023">
        <f t="shared" si="204"/>
        <v>54100.000000000007</v>
      </c>
      <c r="CD267" s="1023">
        <f t="shared" si="205"/>
        <v>0</v>
      </c>
      <c r="CE267" s="1023">
        <v>54100</v>
      </c>
      <c r="CF267" s="1023">
        <f t="shared" si="206"/>
        <v>0</v>
      </c>
      <c r="CG267" s="1029"/>
      <c r="CH267" s="972"/>
      <c r="CI267" s="1308">
        <f>50000*1.082</f>
        <v>54100.000000000007</v>
      </c>
      <c r="CJ267" s="1083">
        <f t="shared" si="207"/>
        <v>0</v>
      </c>
      <c r="CL267" s="976"/>
      <c r="CM267" s="976">
        <f t="shared" si="196"/>
        <v>-54100.000000000007</v>
      </c>
    </row>
    <row r="268" spans="1:91" s="1032" customFormat="1" outlineLevel="1">
      <c r="A268" s="1091"/>
      <c r="B268" s="1015"/>
      <c r="C268" s="1168"/>
      <c r="D268" s="1084" t="s">
        <v>800</v>
      </c>
      <c r="E268" s="1085"/>
      <c r="F268" s="1023">
        <v>0</v>
      </c>
      <c r="G268" s="1023">
        <v>308904.50800000003</v>
      </c>
      <c r="H268" s="1023"/>
      <c r="I268" s="1023">
        <v>308904.50800000003</v>
      </c>
      <c r="J268" s="1019"/>
      <c r="K268" s="1020"/>
      <c r="L268" s="1021"/>
      <c r="M268" s="1022"/>
      <c r="N268" s="1023"/>
      <c r="O268" s="1024"/>
      <c r="P268" s="1024"/>
      <c r="Q268" s="1024"/>
      <c r="R268" s="1024"/>
      <c r="S268" s="1024"/>
      <c r="T268" s="1024"/>
      <c r="U268" s="1024"/>
      <c r="V268" s="1024"/>
      <c r="W268" s="1024"/>
      <c r="X268" s="1024"/>
      <c r="Y268" s="1024"/>
      <c r="Z268" s="1025">
        <f t="shared" si="197"/>
        <v>0</v>
      </c>
      <c r="AA268" s="1026"/>
      <c r="AB268" s="1027"/>
      <c r="AC268" s="1027"/>
      <c r="AD268" s="1027"/>
      <c r="AE268" s="1027"/>
      <c r="AF268" s="1027"/>
      <c r="AG268" s="1027"/>
      <c r="AH268" s="1028"/>
      <c r="AI268" s="1028"/>
      <c r="AJ268" s="1028"/>
      <c r="AK268" s="1028"/>
      <c r="AL268" s="1028"/>
      <c r="AM268" s="1025">
        <f t="shared" si="198"/>
        <v>0</v>
      </c>
      <c r="AN268" s="1024"/>
      <c r="AO268" s="1024"/>
      <c r="AP268" s="1024"/>
      <c r="AQ268" s="1024"/>
      <c r="AR268" s="1023"/>
      <c r="AS268" s="1023"/>
      <c r="AT268" s="1023"/>
      <c r="AU268" s="1024"/>
      <c r="AV268" s="1024">
        <f>200000*1.082</f>
        <v>216400.00000000003</v>
      </c>
      <c r="AW268" s="1024">
        <f>85494*1.082</f>
        <v>92504.508000000002</v>
      </c>
      <c r="AX268" s="1024"/>
      <c r="AY268" s="1024"/>
      <c r="AZ268" s="1024">
        <f t="shared" si="199"/>
        <v>308904.50800000003</v>
      </c>
      <c r="BA268" s="1024"/>
      <c r="BB268" s="1024"/>
      <c r="BC268" s="1024"/>
      <c r="BD268" s="1024"/>
      <c r="BE268" s="1024"/>
      <c r="BF268" s="1024"/>
      <c r="BG268" s="1024"/>
      <c r="BH268" s="1024"/>
      <c r="BI268" s="1024"/>
      <c r="BJ268" s="1024"/>
      <c r="BK268" s="1024"/>
      <c r="BL268" s="1024"/>
      <c r="BM268" s="1024">
        <f t="shared" si="200"/>
        <v>0</v>
      </c>
      <c r="BN268" s="1024"/>
      <c r="BO268" s="1024"/>
      <c r="BP268" s="1024"/>
      <c r="BQ268" s="1024"/>
      <c r="BR268" s="1024"/>
      <c r="BS268" s="1024"/>
      <c r="BT268" s="1024"/>
      <c r="BU268" s="1024"/>
      <c r="BV268" s="1024"/>
      <c r="BW268" s="1024"/>
      <c r="BX268" s="1024"/>
      <c r="BY268" s="1024"/>
      <c r="BZ268" s="1029">
        <f t="shared" si="201"/>
        <v>0</v>
      </c>
      <c r="CA268" s="1018">
        <f t="shared" si="202"/>
        <v>308904.50800000003</v>
      </c>
      <c r="CB268" s="1024">
        <f t="shared" si="203"/>
        <v>0</v>
      </c>
      <c r="CC268" s="1023">
        <f t="shared" si="204"/>
        <v>308904.50800000003</v>
      </c>
      <c r="CD268" s="1023">
        <f t="shared" si="205"/>
        <v>0</v>
      </c>
      <c r="CE268" s="1023">
        <v>308904.50800000003</v>
      </c>
      <c r="CF268" s="1023">
        <f t="shared" si="206"/>
        <v>0</v>
      </c>
      <c r="CG268" s="1029"/>
      <c r="CH268" s="972"/>
      <c r="CI268" s="1308">
        <f>285494*1.082</f>
        <v>308904.50800000003</v>
      </c>
      <c r="CJ268" s="1083">
        <f t="shared" si="207"/>
        <v>0</v>
      </c>
      <c r="CL268" s="976"/>
      <c r="CM268" s="976">
        <f t="shared" si="196"/>
        <v>-308904.50800000003</v>
      </c>
    </row>
    <row r="269" spans="1:91" s="1032" customFormat="1" outlineLevel="1">
      <c r="A269" s="1091"/>
      <c r="B269" s="1015"/>
      <c r="C269" s="1168"/>
      <c r="D269" s="1084" t="s">
        <v>801</v>
      </c>
      <c r="E269" s="1085"/>
      <c r="F269" s="1023">
        <v>0</v>
      </c>
      <c r="G269" s="1023">
        <v>0</v>
      </c>
      <c r="H269" s="1023"/>
      <c r="I269" s="1023">
        <v>0</v>
      </c>
      <c r="J269" s="1019"/>
      <c r="K269" s="1020"/>
      <c r="L269" s="1021"/>
      <c r="M269" s="1022"/>
      <c r="N269" s="1023"/>
      <c r="O269" s="1024"/>
      <c r="P269" s="1024"/>
      <c r="Q269" s="1024"/>
      <c r="R269" s="1024"/>
      <c r="S269" s="1024"/>
      <c r="T269" s="1024"/>
      <c r="U269" s="1024"/>
      <c r="V269" s="1024"/>
      <c r="W269" s="1024"/>
      <c r="X269" s="1024"/>
      <c r="Y269" s="1024"/>
      <c r="Z269" s="1025">
        <f t="shared" si="197"/>
        <v>0</v>
      </c>
      <c r="AA269" s="1026"/>
      <c r="AB269" s="1027"/>
      <c r="AC269" s="1027"/>
      <c r="AD269" s="1027"/>
      <c r="AE269" s="1027"/>
      <c r="AF269" s="1027"/>
      <c r="AG269" s="1027"/>
      <c r="AH269" s="1028"/>
      <c r="AI269" s="1028"/>
      <c r="AJ269" s="1028"/>
      <c r="AK269" s="1028"/>
      <c r="AL269" s="1028"/>
      <c r="AM269" s="1025">
        <f t="shared" si="198"/>
        <v>0</v>
      </c>
      <c r="AN269" s="1024"/>
      <c r="AO269" s="1024"/>
      <c r="AP269" s="1024"/>
      <c r="AQ269" s="1024"/>
      <c r="AR269" s="1023"/>
      <c r="AS269" s="1023"/>
      <c r="AT269" s="1023"/>
      <c r="AU269" s="1024"/>
      <c r="AV269" s="1024"/>
      <c r="AW269" s="1024"/>
      <c r="AX269" s="1024"/>
      <c r="AY269" s="1024"/>
      <c r="AZ269" s="1024">
        <f t="shared" si="199"/>
        <v>0</v>
      </c>
      <c r="BA269" s="1024"/>
      <c r="BB269" s="1024"/>
      <c r="BC269" s="1024"/>
      <c r="BD269" s="1024"/>
      <c r="BE269" s="1024">
        <f>1601*1.082</f>
        <v>1732.2820000000002</v>
      </c>
      <c r="BF269" s="1024"/>
      <c r="BG269" s="1024"/>
      <c r="BH269" s="1024"/>
      <c r="BI269" s="1024"/>
      <c r="BJ269" s="1024"/>
      <c r="BK269" s="1024"/>
      <c r="BL269" s="1024"/>
      <c r="BM269" s="1024">
        <f t="shared" si="200"/>
        <v>1732.2820000000002</v>
      </c>
      <c r="BN269" s="1024"/>
      <c r="BO269" s="1024"/>
      <c r="BP269" s="1024"/>
      <c r="BQ269" s="1024"/>
      <c r="BR269" s="1024"/>
      <c r="BS269" s="1024"/>
      <c r="BT269" s="1024"/>
      <c r="BU269" s="1024"/>
      <c r="BV269" s="1024"/>
      <c r="BW269" s="1024"/>
      <c r="BX269" s="1024"/>
      <c r="BY269" s="1024"/>
      <c r="BZ269" s="1029">
        <f t="shared" si="201"/>
        <v>0</v>
      </c>
      <c r="CA269" s="1018">
        <f t="shared" si="202"/>
        <v>1732.2820000000002</v>
      </c>
      <c r="CB269" s="1024">
        <f t="shared" si="203"/>
        <v>0</v>
      </c>
      <c r="CC269" s="1023">
        <f t="shared" si="204"/>
        <v>1732.2820000000002</v>
      </c>
      <c r="CD269" s="1023">
        <f t="shared" si="205"/>
        <v>1732.2820000000002</v>
      </c>
      <c r="CE269" s="1023">
        <v>1732.2820000000002</v>
      </c>
      <c r="CF269" s="1023">
        <f t="shared" si="206"/>
        <v>0</v>
      </c>
      <c r="CG269" s="1029"/>
      <c r="CH269" s="972"/>
      <c r="CI269" s="1308">
        <f>1601*1.082</f>
        <v>1732.2820000000002</v>
      </c>
      <c r="CJ269" s="1083">
        <f t="shared" si="207"/>
        <v>0</v>
      </c>
      <c r="CL269" s="976"/>
      <c r="CM269" s="976">
        <f t="shared" si="196"/>
        <v>-1732.2820000000002</v>
      </c>
    </row>
    <row r="270" spans="1:91" s="1120" customFormat="1" ht="25.5" customHeight="1" outlineLevel="1">
      <c r="A270" s="1100"/>
      <c r="B270" s="1101"/>
      <c r="C270" s="1169"/>
      <c r="D270" s="1450" t="s">
        <v>802</v>
      </c>
      <c r="E270" s="1451"/>
      <c r="F270" s="1103"/>
      <c r="G270" s="1103">
        <v>0</v>
      </c>
      <c r="H270" s="1103"/>
      <c r="I270" s="1103">
        <v>0</v>
      </c>
      <c r="J270" s="1170"/>
      <c r="K270" s="1171"/>
      <c r="L270" s="1172"/>
      <c r="M270" s="1107"/>
      <c r="N270" s="1103"/>
      <c r="O270" s="1108"/>
      <c r="P270" s="1108"/>
      <c r="Q270" s="1108"/>
      <c r="R270" s="1108"/>
      <c r="S270" s="1108"/>
      <c r="T270" s="1108"/>
      <c r="U270" s="1108"/>
      <c r="V270" s="1108"/>
      <c r="W270" s="1108"/>
      <c r="X270" s="1108"/>
      <c r="Y270" s="1108"/>
      <c r="Z270" s="1109">
        <f t="shared" si="197"/>
        <v>0</v>
      </c>
      <c r="AA270" s="1110"/>
      <c r="AB270" s="1111"/>
      <c r="AC270" s="1111"/>
      <c r="AD270" s="1111"/>
      <c r="AE270" s="1111"/>
      <c r="AF270" s="1111"/>
      <c r="AG270" s="1111"/>
      <c r="AH270" s="1112"/>
      <c r="AI270" s="1112"/>
      <c r="AJ270" s="1112"/>
      <c r="AK270" s="1112"/>
      <c r="AL270" s="1112"/>
      <c r="AM270" s="1109">
        <f t="shared" si="198"/>
        <v>0</v>
      </c>
      <c r="AN270" s="1108"/>
      <c r="AO270" s="1108"/>
      <c r="AP270" s="1108"/>
      <c r="AQ270" s="1108"/>
      <c r="AR270" s="1108"/>
      <c r="AS270" s="1108"/>
      <c r="AT270" s="1108"/>
      <c r="AU270" s="1108"/>
      <c r="AV270" s="1108"/>
      <c r="AW270" s="1108"/>
      <c r="AX270" s="1108"/>
      <c r="AY270" s="1108"/>
      <c r="AZ270" s="1108">
        <f t="shared" si="199"/>
        <v>0</v>
      </c>
      <c r="BA270" s="1108"/>
      <c r="BB270" s="1108"/>
      <c r="BC270" s="1108"/>
      <c r="BD270" s="1108"/>
      <c r="BE270" s="1108"/>
      <c r="BF270" s="1108"/>
      <c r="BG270" s="1108">
        <f>65000*1.082</f>
        <v>70330</v>
      </c>
      <c r="BH270" s="1108"/>
      <c r="BI270" s="1108"/>
      <c r="BJ270" s="1108"/>
      <c r="BK270" s="1108"/>
      <c r="BL270" s="1108"/>
      <c r="BM270" s="1108">
        <f t="shared" si="200"/>
        <v>70330</v>
      </c>
      <c r="BN270" s="1108"/>
      <c r="BO270" s="1108"/>
      <c r="BP270" s="1108"/>
      <c r="BQ270" s="1108"/>
      <c r="BR270" s="1108"/>
      <c r="BS270" s="1108"/>
      <c r="BT270" s="1108"/>
      <c r="BU270" s="1108"/>
      <c r="BV270" s="1108"/>
      <c r="BW270" s="1108"/>
      <c r="BX270" s="1108"/>
      <c r="BY270" s="1108"/>
      <c r="BZ270" s="1114">
        <f t="shared" si="201"/>
        <v>0</v>
      </c>
      <c r="CA270" s="1146">
        <f t="shared" si="202"/>
        <v>70330</v>
      </c>
      <c r="CB270" s="1108">
        <f t="shared" si="203"/>
        <v>0</v>
      </c>
      <c r="CC270" s="1103">
        <f t="shared" si="204"/>
        <v>70330</v>
      </c>
      <c r="CD270" s="1103">
        <f t="shared" si="205"/>
        <v>70330</v>
      </c>
      <c r="CE270" s="1103">
        <v>70330</v>
      </c>
      <c r="CF270" s="1103">
        <f t="shared" si="206"/>
        <v>0</v>
      </c>
      <c r="CG270" s="1114"/>
      <c r="CH270" s="1117"/>
      <c r="CI270" s="1309">
        <v>0</v>
      </c>
      <c r="CJ270" s="1119">
        <f t="shared" si="207"/>
        <v>-70330</v>
      </c>
      <c r="CL270" s="1121"/>
      <c r="CM270" s="1121">
        <f t="shared" si="196"/>
        <v>-70330</v>
      </c>
    </row>
    <row r="271" spans="1:91" s="1032" customFormat="1" outlineLevel="1">
      <c r="A271" s="1091"/>
      <c r="B271" s="1015"/>
      <c r="C271" s="1173"/>
      <c r="D271" s="1043" t="s">
        <v>657</v>
      </c>
      <c r="E271" s="1017"/>
      <c r="F271" s="1023"/>
      <c r="G271" s="1023">
        <v>10034.56</v>
      </c>
      <c r="H271" s="1023"/>
      <c r="I271" s="1023">
        <v>10034.56</v>
      </c>
      <c r="J271" s="1033">
        <v>4600005167</v>
      </c>
      <c r="K271" s="1034">
        <v>13409100</v>
      </c>
      <c r="L271" s="1035" t="s">
        <v>314</v>
      </c>
      <c r="M271" s="1022"/>
      <c r="N271" s="1023"/>
      <c r="O271" s="1024"/>
      <c r="P271" s="1024"/>
      <c r="Q271" s="1024"/>
      <c r="R271" s="1024"/>
      <c r="S271" s="1024"/>
      <c r="T271" s="1024"/>
      <c r="U271" s="1024"/>
      <c r="V271" s="1024"/>
      <c r="W271" s="1024"/>
      <c r="X271" s="1024"/>
      <c r="Y271" s="1024"/>
      <c r="Z271" s="1025">
        <f t="shared" si="197"/>
        <v>0</v>
      </c>
      <c r="AA271" s="1026"/>
      <c r="AB271" s="1027"/>
      <c r="AC271" s="1027"/>
      <c r="AD271" s="1027"/>
      <c r="AE271" s="1027"/>
      <c r="AF271" s="1027"/>
      <c r="AG271" s="1027"/>
      <c r="AH271" s="1028"/>
      <c r="AI271" s="1028"/>
      <c r="AJ271" s="1028"/>
      <c r="AK271" s="1028"/>
      <c r="AL271" s="1028"/>
      <c r="AM271" s="1025">
        <f t="shared" si="198"/>
        <v>0</v>
      </c>
      <c r="AN271" s="1024"/>
      <c r="AO271" s="1024"/>
      <c r="AP271" s="1024"/>
      <c r="AQ271" s="1024"/>
      <c r="AR271" s="1024">
        <f>2535.25+10000</f>
        <v>12535.25</v>
      </c>
      <c r="AS271" s="1024">
        <f>7774.32-275.01-10000</f>
        <v>-2500.6900000000005</v>
      </c>
      <c r="AT271" s="1024"/>
      <c r="AU271" s="1024"/>
      <c r="AV271" s="1024"/>
      <c r="AW271" s="1024"/>
      <c r="AX271" s="1024"/>
      <c r="AY271" s="1024"/>
      <c r="AZ271" s="1024">
        <f t="shared" si="199"/>
        <v>10034.56</v>
      </c>
      <c r="BA271" s="1024"/>
      <c r="BB271" s="1024"/>
      <c r="BC271" s="1024">
        <v>85662.64</v>
      </c>
      <c r="BD271" s="1024"/>
      <c r="BE271" s="1024">
        <v>15113.29</v>
      </c>
      <c r="BF271" s="1024"/>
      <c r="BG271" s="1024"/>
      <c r="BH271" s="1024"/>
      <c r="BI271" s="1024"/>
      <c r="BJ271" s="1024"/>
      <c r="BK271" s="1024"/>
      <c r="BL271" s="1024"/>
      <c r="BM271" s="1024">
        <f t="shared" si="200"/>
        <v>100775.93</v>
      </c>
      <c r="BN271" s="1024"/>
      <c r="BO271" s="1024"/>
      <c r="BP271" s="1024"/>
      <c r="BQ271" s="1024"/>
      <c r="BR271" s="1024"/>
      <c r="BS271" s="1024"/>
      <c r="BT271" s="1024"/>
      <c r="BU271" s="1024"/>
      <c r="BV271" s="1024"/>
      <c r="BW271" s="1024"/>
      <c r="BX271" s="1024"/>
      <c r="BY271" s="1024"/>
      <c r="BZ271" s="1029">
        <f t="shared" si="201"/>
        <v>0</v>
      </c>
      <c r="CA271" s="1018">
        <f t="shared" si="202"/>
        <v>110810.48999999999</v>
      </c>
      <c r="CB271" s="1024">
        <f t="shared" si="203"/>
        <v>0</v>
      </c>
      <c r="CC271" s="1023">
        <f t="shared" si="204"/>
        <v>110810.48999999999</v>
      </c>
      <c r="CD271" s="1023">
        <f t="shared" si="205"/>
        <v>100775.93</v>
      </c>
      <c r="CE271" s="1023">
        <v>115810.49</v>
      </c>
      <c r="CF271" s="1023">
        <f t="shared" si="206"/>
        <v>-5000.0000000000146</v>
      </c>
      <c r="CG271" s="1029"/>
      <c r="CH271" s="972"/>
      <c r="CI271" s="1308">
        <v>0</v>
      </c>
      <c r="CJ271" s="1083">
        <f t="shared" si="207"/>
        <v>-110810.48999999999</v>
      </c>
      <c r="CL271" s="976"/>
      <c r="CM271" s="976">
        <f t="shared" si="196"/>
        <v>-110810.48999999999</v>
      </c>
    </row>
    <row r="272" spans="1:91" s="1032" customFormat="1" outlineLevel="1">
      <c r="A272" s="1091"/>
      <c r="B272" s="1015"/>
      <c r="C272" s="1173"/>
      <c r="D272" s="1043" t="s">
        <v>663</v>
      </c>
      <c r="E272" s="1017"/>
      <c r="F272" s="1023">
        <v>0</v>
      </c>
      <c r="G272" s="1023">
        <v>8522.5</v>
      </c>
      <c r="H272" s="1023"/>
      <c r="I272" s="1023">
        <v>8522.5</v>
      </c>
      <c r="J272" s="1033">
        <v>6400002966</v>
      </c>
      <c r="K272" s="1034">
        <v>180000</v>
      </c>
      <c r="L272" s="1035" t="s">
        <v>310</v>
      </c>
      <c r="M272" s="1022"/>
      <c r="N272" s="1023"/>
      <c r="O272" s="1024"/>
      <c r="P272" s="1024"/>
      <c r="Q272" s="1024"/>
      <c r="R272" s="1024"/>
      <c r="S272" s="1024"/>
      <c r="T272" s="1024"/>
      <c r="U272" s="1024"/>
      <c r="V272" s="1024"/>
      <c r="W272" s="1024"/>
      <c r="X272" s="1024"/>
      <c r="Y272" s="1024"/>
      <c r="Z272" s="1025">
        <f t="shared" si="197"/>
        <v>0</v>
      </c>
      <c r="AA272" s="1026"/>
      <c r="AB272" s="1027"/>
      <c r="AC272" s="1027"/>
      <c r="AD272" s="1027"/>
      <c r="AE272" s="1027"/>
      <c r="AF272" s="1027"/>
      <c r="AG272" s="1027"/>
      <c r="AH272" s="1028"/>
      <c r="AI272" s="1028"/>
      <c r="AJ272" s="1028"/>
      <c r="AK272" s="1028"/>
      <c r="AL272" s="1028"/>
      <c r="AM272" s="1025">
        <f t="shared" si="198"/>
        <v>0</v>
      </c>
      <c r="AN272" s="1024"/>
      <c r="AO272" s="1024"/>
      <c r="AP272" s="1024"/>
      <c r="AQ272" s="1024">
        <v>8522.5</v>
      </c>
      <c r="AR272" s="1024"/>
      <c r="AS272" s="1024"/>
      <c r="AT272" s="1024"/>
      <c r="AU272" s="1024"/>
      <c r="AV272" s="1024"/>
      <c r="AW272" s="1024"/>
      <c r="AX272" s="1024"/>
      <c r="AY272" s="1024"/>
      <c r="AZ272" s="1024">
        <f t="shared" si="199"/>
        <v>8522.5</v>
      </c>
      <c r="BA272" s="1024"/>
      <c r="BB272" s="1024"/>
      <c r="BC272" s="1024"/>
      <c r="BD272" s="1024"/>
      <c r="BE272" s="1024"/>
      <c r="BF272" s="1024"/>
      <c r="BG272" s="1024"/>
      <c r="BH272" s="1024"/>
      <c r="BI272" s="1024"/>
      <c r="BJ272" s="1024"/>
      <c r="BK272" s="1024"/>
      <c r="BL272" s="1024"/>
      <c r="BM272" s="1024">
        <f t="shared" si="200"/>
        <v>0</v>
      </c>
      <c r="BN272" s="1024"/>
      <c r="BO272" s="1024"/>
      <c r="BP272" s="1024"/>
      <c r="BQ272" s="1024"/>
      <c r="BR272" s="1024"/>
      <c r="BS272" s="1024"/>
      <c r="BT272" s="1024"/>
      <c r="BU272" s="1024"/>
      <c r="BV272" s="1024"/>
      <c r="BW272" s="1024"/>
      <c r="BX272" s="1024"/>
      <c r="BY272" s="1024"/>
      <c r="BZ272" s="1029">
        <f t="shared" si="201"/>
        <v>0</v>
      </c>
      <c r="CA272" s="1030">
        <f t="shared" si="202"/>
        <v>8522.5</v>
      </c>
      <c r="CB272" s="1024">
        <f t="shared" si="203"/>
        <v>0</v>
      </c>
      <c r="CC272" s="1023">
        <f t="shared" si="204"/>
        <v>8522.5</v>
      </c>
      <c r="CD272" s="1023">
        <f t="shared" si="205"/>
        <v>0</v>
      </c>
      <c r="CE272" s="1023">
        <v>8522.5</v>
      </c>
      <c r="CF272" s="1023">
        <f t="shared" si="206"/>
        <v>0</v>
      </c>
      <c r="CG272" s="1029"/>
      <c r="CH272" s="972"/>
      <c r="CI272" s="1308">
        <v>0</v>
      </c>
      <c r="CJ272" s="1083">
        <f t="shared" si="207"/>
        <v>-8522.5</v>
      </c>
      <c r="CL272" s="976"/>
      <c r="CM272" s="976">
        <f t="shared" si="196"/>
        <v>-8522.5</v>
      </c>
    </row>
    <row r="273" spans="1:91" s="1032" customFormat="1" outlineLevel="1">
      <c r="A273" s="1091"/>
      <c r="B273" s="1015"/>
      <c r="C273" s="1168"/>
      <c r="D273" s="1043" t="s">
        <v>803</v>
      </c>
      <c r="E273" s="1174"/>
      <c r="F273" s="1023">
        <v>0</v>
      </c>
      <c r="G273" s="1023">
        <v>125000</v>
      </c>
      <c r="H273" s="1023"/>
      <c r="I273" s="1023">
        <v>125000</v>
      </c>
      <c r="J273" s="1019"/>
      <c r="K273" s="1020"/>
      <c r="L273" s="1021"/>
      <c r="M273" s="1022"/>
      <c r="N273" s="1023"/>
      <c r="O273" s="1024"/>
      <c r="P273" s="1024"/>
      <c r="Q273" s="1024"/>
      <c r="R273" s="1024"/>
      <c r="S273" s="1024"/>
      <c r="T273" s="1024"/>
      <c r="U273" s="1024"/>
      <c r="V273" s="1024"/>
      <c r="W273" s="1024"/>
      <c r="X273" s="1024"/>
      <c r="Y273" s="1024"/>
      <c r="Z273" s="1025">
        <f t="shared" si="197"/>
        <v>0</v>
      </c>
      <c r="AA273" s="1026"/>
      <c r="AB273" s="1027"/>
      <c r="AC273" s="1027"/>
      <c r="AD273" s="1027"/>
      <c r="AE273" s="1027"/>
      <c r="AF273" s="1027"/>
      <c r="AG273" s="1027"/>
      <c r="AH273" s="1028"/>
      <c r="AI273" s="1028"/>
      <c r="AJ273" s="1028"/>
      <c r="AK273" s="1028"/>
      <c r="AL273" s="1028"/>
      <c r="AM273" s="1025">
        <f t="shared" si="198"/>
        <v>0</v>
      </c>
      <c r="AN273" s="1024"/>
      <c r="AO273" s="1024"/>
      <c r="AP273" s="1024"/>
      <c r="AQ273" s="1024"/>
      <c r="AR273" s="1023"/>
      <c r="AS273" s="1023"/>
      <c r="AT273" s="1023"/>
      <c r="AU273" s="1024"/>
      <c r="AV273" s="1024"/>
      <c r="AW273" s="1024"/>
      <c r="AX273" s="1024"/>
      <c r="AY273" s="1076"/>
      <c r="AZ273" s="1024">
        <f t="shared" si="199"/>
        <v>0</v>
      </c>
      <c r="BA273" s="1024"/>
      <c r="BB273" s="1024"/>
      <c r="BC273" s="1024"/>
      <c r="BD273" s="1024"/>
      <c r="BE273" s="1024"/>
      <c r="BF273" s="1024"/>
      <c r="BG273" s="1024"/>
      <c r="BH273" s="1024"/>
      <c r="BI273" s="1024"/>
      <c r="BJ273" s="1024">
        <v>131250</v>
      </c>
      <c r="BK273" s="1024"/>
      <c r="BL273" s="1024"/>
      <c r="BM273" s="1024">
        <f t="shared" si="200"/>
        <v>131250</v>
      </c>
      <c r="BN273" s="1024"/>
      <c r="BO273" s="1024"/>
      <c r="BP273" s="1024"/>
      <c r="BQ273" s="1024"/>
      <c r="BR273" s="1093">
        <v>0</v>
      </c>
      <c r="BS273" s="1024"/>
      <c r="BT273" s="1024"/>
      <c r="BU273" s="1024"/>
      <c r="BV273" s="1024"/>
      <c r="BW273" s="1024"/>
      <c r="BX273" s="1024"/>
      <c r="BY273" s="1024"/>
      <c r="BZ273" s="1029">
        <f t="shared" si="201"/>
        <v>0</v>
      </c>
      <c r="CA273" s="1030">
        <f t="shared" si="202"/>
        <v>131250</v>
      </c>
      <c r="CB273" s="1024">
        <f t="shared" si="203"/>
        <v>0</v>
      </c>
      <c r="CC273" s="1023">
        <f t="shared" si="204"/>
        <v>131250</v>
      </c>
      <c r="CD273" s="1023">
        <f t="shared" si="205"/>
        <v>6250</v>
      </c>
      <c r="CE273" s="1023">
        <v>131250</v>
      </c>
      <c r="CF273" s="1023">
        <f t="shared" si="206"/>
        <v>0</v>
      </c>
      <c r="CG273" s="1029"/>
      <c r="CH273" s="972"/>
      <c r="CI273" s="1308">
        <f>750000*1.082</f>
        <v>811500</v>
      </c>
      <c r="CJ273" s="1083">
        <f t="shared" si="207"/>
        <v>680250</v>
      </c>
      <c r="CL273" s="976">
        <v>2500000</v>
      </c>
      <c r="CM273" s="976">
        <f t="shared" si="196"/>
        <v>2368750</v>
      </c>
    </row>
    <row r="274" spans="1:91" s="1032" customFormat="1" outlineLevel="1">
      <c r="A274" s="1091"/>
      <c r="B274" s="1015"/>
      <c r="C274" s="1168"/>
      <c r="D274" s="1175" t="s">
        <v>804</v>
      </c>
      <c r="E274" s="1174"/>
      <c r="F274" s="1023">
        <v>0</v>
      </c>
      <c r="G274" s="1023">
        <v>375000</v>
      </c>
      <c r="H274" s="1023"/>
      <c r="I274" s="1023">
        <v>375000</v>
      </c>
      <c r="J274" s="1019"/>
      <c r="K274" s="1020"/>
      <c r="L274" s="1021"/>
      <c r="M274" s="1022"/>
      <c r="N274" s="1023"/>
      <c r="O274" s="1024"/>
      <c r="P274" s="1024"/>
      <c r="Q274" s="1024"/>
      <c r="R274" s="1024"/>
      <c r="S274" s="1024"/>
      <c r="T274" s="1024"/>
      <c r="U274" s="1024"/>
      <c r="V274" s="1024"/>
      <c r="W274" s="1024"/>
      <c r="X274" s="1024"/>
      <c r="Y274" s="1024"/>
      <c r="Z274" s="1025">
        <f t="shared" si="197"/>
        <v>0</v>
      </c>
      <c r="AA274" s="1026"/>
      <c r="AB274" s="1027"/>
      <c r="AC274" s="1027"/>
      <c r="AD274" s="1027"/>
      <c r="AE274" s="1027"/>
      <c r="AF274" s="1027"/>
      <c r="AG274" s="1027"/>
      <c r="AH274" s="1028"/>
      <c r="AI274" s="1028"/>
      <c r="AJ274" s="1028"/>
      <c r="AK274" s="1028"/>
      <c r="AL274" s="1028"/>
      <c r="AM274" s="1025">
        <f t="shared" si="198"/>
        <v>0</v>
      </c>
      <c r="AN274" s="1024"/>
      <c r="AO274" s="1024"/>
      <c r="AP274" s="1024"/>
      <c r="AQ274" s="1024"/>
      <c r="AR274" s="1023"/>
      <c r="AS274" s="1023"/>
      <c r="AT274" s="1023"/>
      <c r="AU274" s="1024"/>
      <c r="AV274" s="1024"/>
      <c r="AW274" s="1024"/>
      <c r="AX274" s="1024"/>
      <c r="AY274" s="1076"/>
      <c r="AZ274" s="1024">
        <f t="shared" si="199"/>
        <v>0</v>
      </c>
      <c r="BA274" s="1024"/>
      <c r="BB274" s="1024"/>
      <c r="BC274" s="1024"/>
      <c r="BD274" s="1024"/>
      <c r="BE274" s="1024"/>
      <c r="BF274" s="1024"/>
      <c r="BG274" s="1024"/>
      <c r="BH274" s="1024"/>
      <c r="BI274" s="1024"/>
      <c r="BJ274" s="1024"/>
      <c r="BK274" s="1024"/>
      <c r="BL274" s="1024"/>
      <c r="BM274" s="1024">
        <f t="shared" si="200"/>
        <v>0</v>
      </c>
      <c r="BN274" s="1024"/>
      <c r="BO274" s="1024"/>
      <c r="BP274" s="1024"/>
      <c r="BQ274" s="1024"/>
      <c r="BR274" s="1024"/>
      <c r="BS274" s="1024"/>
      <c r="BT274" s="1024"/>
      <c r="BU274" s="1024"/>
      <c r="BV274" s="1024"/>
      <c r="BW274" s="1024"/>
      <c r="BX274" s="1024"/>
      <c r="BY274" s="1024"/>
      <c r="BZ274" s="1029">
        <f t="shared" si="201"/>
        <v>0</v>
      </c>
      <c r="CA274" s="1030">
        <f t="shared" si="202"/>
        <v>0</v>
      </c>
      <c r="CB274" s="1024">
        <f t="shared" si="203"/>
        <v>0</v>
      </c>
      <c r="CC274" s="1023">
        <f t="shared" si="204"/>
        <v>0</v>
      </c>
      <c r="CD274" s="1023">
        <f t="shared" si="205"/>
        <v>-375000</v>
      </c>
      <c r="CE274" s="1023">
        <v>0</v>
      </c>
      <c r="CF274" s="1023">
        <f t="shared" si="206"/>
        <v>0</v>
      </c>
      <c r="CG274" s="1029"/>
      <c r="CH274" s="972"/>
      <c r="CI274" s="1308">
        <f>750000*1.082</f>
        <v>811500</v>
      </c>
      <c r="CJ274" s="1083">
        <f t="shared" si="207"/>
        <v>811500</v>
      </c>
      <c r="CL274" s="976">
        <v>2500000</v>
      </c>
      <c r="CM274" s="976">
        <f t="shared" si="196"/>
        <v>2500000</v>
      </c>
    </row>
    <row r="275" spans="1:91" s="1032" customFormat="1">
      <c r="A275" s="1091"/>
      <c r="B275" s="1015"/>
      <c r="C275" s="1016" t="s">
        <v>805</v>
      </c>
      <c r="D275" s="1043"/>
      <c r="E275" s="1017"/>
      <c r="F275" s="1023">
        <f>SUBTOTAL(9,F276:F286)</f>
        <v>0</v>
      </c>
      <c r="G275" s="1023">
        <f>SUBTOTAL(9,G276:G286)</f>
        <v>2295485.2719999999</v>
      </c>
      <c r="H275" s="1023">
        <f>SUBTOTAL(9,H276:H286)</f>
        <v>0</v>
      </c>
      <c r="I275" s="1023">
        <f>SUBTOTAL(9,I276:I286)</f>
        <v>2295485.2719999999</v>
      </c>
      <c r="J275" s="1019"/>
      <c r="K275" s="1020"/>
      <c r="L275" s="1021"/>
      <c r="M275" s="1022">
        <f t="shared" ref="M275:AR275" si="208">SUBTOTAL(9,M276:M286)</f>
        <v>0</v>
      </c>
      <c r="N275" s="1023">
        <f t="shared" si="208"/>
        <v>0</v>
      </c>
      <c r="O275" s="1024">
        <f t="shared" si="208"/>
        <v>0</v>
      </c>
      <c r="P275" s="1024">
        <f t="shared" si="208"/>
        <v>0</v>
      </c>
      <c r="Q275" s="1024">
        <f t="shared" si="208"/>
        <v>0</v>
      </c>
      <c r="R275" s="1024">
        <f t="shared" si="208"/>
        <v>0</v>
      </c>
      <c r="S275" s="1024">
        <f t="shared" si="208"/>
        <v>0</v>
      </c>
      <c r="T275" s="1024">
        <f t="shared" si="208"/>
        <v>0</v>
      </c>
      <c r="U275" s="1024">
        <f t="shared" si="208"/>
        <v>0</v>
      </c>
      <c r="V275" s="1024">
        <f t="shared" si="208"/>
        <v>0</v>
      </c>
      <c r="W275" s="1024">
        <f t="shared" si="208"/>
        <v>0</v>
      </c>
      <c r="X275" s="1024">
        <f t="shared" si="208"/>
        <v>0</v>
      </c>
      <c r="Y275" s="1024">
        <f t="shared" si="208"/>
        <v>0</v>
      </c>
      <c r="Z275" s="1025">
        <f t="shared" si="208"/>
        <v>0</v>
      </c>
      <c r="AA275" s="1026">
        <f t="shared" si="208"/>
        <v>0</v>
      </c>
      <c r="AB275" s="1027">
        <f t="shared" si="208"/>
        <v>0</v>
      </c>
      <c r="AC275" s="1027">
        <f t="shared" si="208"/>
        <v>0</v>
      </c>
      <c r="AD275" s="1027">
        <f t="shared" si="208"/>
        <v>0</v>
      </c>
      <c r="AE275" s="1027">
        <f t="shared" si="208"/>
        <v>0</v>
      </c>
      <c r="AF275" s="1027">
        <f t="shared" si="208"/>
        <v>0</v>
      </c>
      <c r="AG275" s="1027">
        <f t="shared" si="208"/>
        <v>0</v>
      </c>
      <c r="AH275" s="1028">
        <f t="shared" si="208"/>
        <v>0</v>
      </c>
      <c r="AI275" s="1028">
        <f t="shared" si="208"/>
        <v>0</v>
      </c>
      <c r="AJ275" s="1028">
        <f t="shared" si="208"/>
        <v>0</v>
      </c>
      <c r="AK275" s="1028">
        <f t="shared" si="208"/>
        <v>3809.51</v>
      </c>
      <c r="AL275" s="1028">
        <f t="shared" si="208"/>
        <v>0</v>
      </c>
      <c r="AM275" s="1025">
        <f t="shared" si="208"/>
        <v>3809.51</v>
      </c>
      <c r="AN275" s="1024">
        <f t="shared" si="208"/>
        <v>0</v>
      </c>
      <c r="AO275" s="1024">
        <f t="shared" si="208"/>
        <v>0</v>
      </c>
      <c r="AP275" s="1024">
        <f t="shared" si="208"/>
        <v>2947</v>
      </c>
      <c r="AQ275" s="1024">
        <f t="shared" si="208"/>
        <v>18170.5</v>
      </c>
      <c r="AR275" s="1024">
        <f t="shared" si="208"/>
        <v>412242.97</v>
      </c>
      <c r="AS275" s="1024">
        <f t="shared" ref="AS275:BX275" si="209">SUBTOTAL(9,AS276:AS286)</f>
        <v>10948.2</v>
      </c>
      <c r="AT275" s="1024">
        <f t="shared" si="209"/>
        <v>-22531.23000000001</v>
      </c>
      <c r="AU275" s="1024">
        <f t="shared" si="209"/>
        <v>983884.60400000005</v>
      </c>
      <c r="AV275" s="1024">
        <f t="shared" si="209"/>
        <v>130149.34</v>
      </c>
      <c r="AW275" s="1024">
        <f t="shared" si="209"/>
        <v>7968.377999999997</v>
      </c>
      <c r="AX275" s="1024">
        <f t="shared" si="209"/>
        <v>21724.03</v>
      </c>
      <c r="AY275" s="1024">
        <f t="shared" si="209"/>
        <v>-803.90999999999985</v>
      </c>
      <c r="AZ275" s="1024">
        <f t="shared" si="209"/>
        <v>1564699.882</v>
      </c>
      <c r="BA275" s="1024">
        <f t="shared" si="209"/>
        <v>104171.236</v>
      </c>
      <c r="BB275" s="1024">
        <f t="shared" si="209"/>
        <v>17501.580000000002</v>
      </c>
      <c r="BC275" s="1024">
        <f t="shared" si="209"/>
        <v>16708.89</v>
      </c>
      <c r="BD275" s="1024">
        <f t="shared" si="209"/>
        <v>17411.900000000001</v>
      </c>
      <c r="BE275" s="1024">
        <f t="shared" si="209"/>
        <v>21059.82</v>
      </c>
      <c r="BF275" s="1024">
        <f t="shared" si="209"/>
        <v>91456.61</v>
      </c>
      <c r="BG275" s="1024">
        <f t="shared" si="209"/>
        <v>20927.989999999998</v>
      </c>
      <c r="BH275" s="1024">
        <f t="shared" si="209"/>
        <v>335188.402</v>
      </c>
      <c r="BI275" s="1024">
        <f t="shared" si="209"/>
        <v>22116.79</v>
      </c>
      <c r="BJ275" s="1024">
        <f t="shared" si="209"/>
        <v>30066.83</v>
      </c>
      <c r="BK275" s="1024">
        <f t="shared" si="209"/>
        <v>8035.34</v>
      </c>
      <c r="BL275" s="1024">
        <f t="shared" si="209"/>
        <v>26414.2</v>
      </c>
      <c r="BM275" s="1024">
        <f t="shared" si="209"/>
        <v>711059.58800000011</v>
      </c>
      <c r="BN275" s="1024">
        <f t="shared" si="209"/>
        <v>-6795.1100000000006</v>
      </c>
      <c r="BO275" s="1024">
        <f t="shared" si="209"/>
        <v>0</v>
      </c>
      <c r="BP275" s="1024">
        <f t="shared" si="209"/>
        <v>22057.02</v>
      </c>
      <c r="BQ275" s="1024">
        <f t="shared" si="209"/>
        <v>15448.208333333332</v>
      </c>
      <c r="BR275" s="1024">
        <f t="shared" si="209"/>
        <v>0</v>
      </c>
      <c r="BS275" s="1024">
        <f t="shared" si="209"/>
        <v>0</v>
      </c>
      <c r="BT275" s="1024">
        <f t="shared" si="209"/>
        <v>0</v>
      </c>
      <c r="BU275" s="1024">
        <f t="shared" si="209"/>
        <v>0</v>
      </c>
      <c r="BV275" s="1024">
        <f t="shared" si="209"/>
        <v>0</v>
      </c>
      <c r="BW275" s="1024">
        <f t="shared" si="209"/>
        <v>0</v>
      </c>
      <c r="BX275" s="1024">
        <f t="shared" si="209"/>
        <v>0</v>
      </c>
      <c r="BY275" s="1024">
        <f t="shared" ref="BY275:CF275" si="210">SUBTOTAL(9,BY276:BY286)</f>
        <v>0</v>
      </c>
      <c r="BZ275" s="1029">
        <f t="shared" si="210"/>
        <v>30710.118333333332</v>
      </c>
      <c r="CA275" s="1030">
        <f t="shared" si="210"/>
        <v>2310279.0983333336</v>
      </c>
      <c r="CB275" s="1024">
        <f t="shared" si="210"/>
        <v>0</v>
      </c>
      <c r="CC275" s="1023">
        <f t="shared" si="210"/>
        <v>2310279.0983333336</v>
      </c>
      <c r="CD275" s="1023">
        <f t="shared" si="210"/>
        <v>14793.826333333214</v>
      </c>
      <c r="CE275" s="1023">
        <f t="shared" si="210"/>
        <v>2529768.7400000002</v>
      </c>
      <c r="CF275" s="1023">
        <f t="shared" si="210"/>
        <v>-219489.6416666666</v>
      </c>
      <c r="CG275" s="1029"/>
      <c r="CH275" s="972"/>
      <c r="CI275" s="1308">
        <f>SUBTOTAL(9,CI276:CI286)</f>
        <v>2416088.6880000001</v>
      </c>
      <c r="CJ275" s="1083">
        <f>SUBTOTAL(9,CJ276:CJ286)</f>
        <v>116941.0796666668</v>
      </c>
      <c r="CL275" s="1083">
        <f>SUBTOTAL(9,CL276:CL286)</f>
        <v>2503809.5099999998</v>
      </c>
      <c r="CM275" s="976">
        <f t="shared" si="196"/>
        <v>193530.41166666616</v>
      </c>
    </row>
    <row r="276" spans="1:91" s="1032" customFormat="1" outlineLevel="1">
      <c r="A276" s="1091"/>
      <c r="B276" s="1015"/>
      <c r="C276" s="1168"/>
      <c r="D276" s="1084" t="s">
        <v>806</v>
      </c>
      <c r="E276" s="1176"/>
      <c r="F276" s="1023">
        <v>0</v>
      </c>
      <c r="G276" s="1023">
        <v>216400</v>
      </c>
      <c r="H276" s="1023"/>
      <c r="I276" s="1023">
        <v>216400</v>
      </c>
      <c r="J276" s="1019"/>
      <c r="K276" s="1020"/>
      <c r="L276" s="1021"/>
      <c r="M276" s="1022"/>
      <c r="N276" s="1023"/>
      <c r="O276" s="1024"/>
      <c r="P276" s="1024"/>
      <c r="Q276" s="1024"/>
      <c r="R276" s="1024"/>
      <c r="S276" s="1024"/>
      <c r="T276" s="1024"/>
      <c r="U276" s="1024"/>
      <c r="V276" s="1024"/>
      <c r="W276" s="1024"/>
      <c r="X276" s="1024"/>
      <c r="Y276" s="1024"/>
      <c r="Z276" s="1025">
        <f t="shared" ref="Z276:Z286" si="211">SUM(N276:Y276)</f>
        <v>0</v>
      </c>
      <c r="AA276" s="1026"/>
      <c r="AB276" s="1027"/>
      <c r="AC276" s="1027"/>
      <c r="AD276" s="1027"/>
      <c r="AE276" s="1027"/>
      <c r="AF276" s="1027"/>
      <c r="AG276" s="1027"/>
      <c r="AH276" s="1028"/>
      <c r="AI276" s="1028"/>
      <c r="AJ276" s="1028"/>
      <c r="AK276" s="1028"/>
      <c r="AL276" s="1028"/>
      <c r="AM276" s="1025">
        <f t="shared" ref="AM276:AM286" si="212">SUM(AA276:AL276)</f>
        <v>0</v>
      </c>
      <c r="AN276" s="1024"/>
      <c r="AO276" s="1024"/>
      <c r="AP276" s="1024"/>
      <c r="AQ276" s="1024"/>
      <c r="AR276" s="1023"/>
      <c r="AS276" s="1023"/>
      <c r="AT276" s="1023"/>
      <c r="AU276" s="1024"/>
      <c r="AV276" s="1024"/>
      <c r="AW276" s="1024"/>
      <c r="AX276" s="1024"/>
      <c r="AY276" s="1076"/>
      <c r="AZ276" s="1024">
        <f t="shared" ref="AZ276:AZ286" si="213">SUM(AN276:AY276)</f>
        <v>0</v>
      </c>
      <c r="BA276" s="1024"/>
      <c r="BB276" s="1024"/>
      <c r="BC276" s="1024"/>
      <c r="BD276" s="1024"/>
      <c r="BE276" s="1024"/>
      <c r="BF276" s="1024"/>
      <c r="BG276" s="1024"/>
      <c r="BH276" s="1024"/>
      <c r="BI276" s="1024"/>
      <c r="BJ276" s="1024"/>
      <c r="BK276" s="1024"/>
      <c r="BL276" s="1024"/>
      <c r="BM276" s="1024">
        <f t="shared" ref="BM276:BM286" si="214">SUM(BA276:BL276)</f>
        <v>0</v>
      </c>
      <c r="BN276" s="1024"/>
      <c r="BO276" s="1024"/>
      <c r="BP276" s="1024"/>
      <c r="BQ276" s="1024"/>
      <c r="BR276" s="1024"/>
      <c r="BS276" s="1024"/>
      <c r="BT276" s="1093">
        <v>0</v>
      </c>
      <c r="BU276" s="1024"/>
      <c r="BV276" s="1024"/>
      <c r="BW276" s="1024"/>
      <c r="BX276" s="1024"/>
      <c r="BY276" s="1024"/>
      <c r="BZ276" s="1029">
        <f t="shared" ref="BZ276:BZ286" si="215">SUM(BN276:BY276)</f>
        <v>0</v>
      </c>
      <c r="CA276" s="1018">
        <f t="shared" ref="CA276:CA286" si="216">SUMIF(($M$1:$BZ$1),"Actual",(M276:BZ276))</f>
        <v>0</v>
      </c>
      <c r="CB276" s="1177">
        <f t="shared" ref="CB276:CB286" si="217">SUMIF(($M$1:$BZ$1),"Forecast",(M276:BZ276))</f>
        <v>0</v>
      </c>
      <c r="CC276" s="1023">
        <f t="shared" ref="CC276:CC286" si="218">+CA276+CB276</f>
        <v>0</v>
      </c>
      <c r="CD276" s="1023">
        <f t="shared" ref="CD276:CD286" si="219">+CC276-I276</f>
        <v>-216400</v>
      </c>
      <c r="CE276" s="1023">
        <v>216400</v>
      </c>
      <c r="CF276" s="1023">
        <f t="shared" ref="CF276:CF286" si="220">+CC276-CE276</f>
        <v>-216400</v>
      </c>
      <c r="CG276" s="1029"/>
      <c r="CH276" s="972"/>
      <c r="CI276" s="1308">
        <f>200000*1.082</f>
        <v>216400.00000000003</v>
      </c>
      <c r="CJ276" s="1083">
        <f t="shared" ref="CJ276:CJ283" si="221">+CI276-CC276</f>
        <v>216400.00000000003</v>
      </c>
      <c r="CL276" s="976"/>
      <c r="CM276" s="976">
        <f t="shared" si="196"/>
        <v>0</v>
      </c>
    </row>
    <row r="277" spans="1:91" s="1032" customFormat="1" outlineLevel="1">
      <c r="A277" s="1091"/>
      <c r="B277" s="1015"/>
      <c r="C277" s="1168"/>
      <c r="D277" s="1084" t="s">
        <v>807</v>
      </c>
      <c r="E277" s="1176"/>
      <c r="F277" s="1023">
        <v>0</v>
      </c>
      <c r="G277" s="1023">
        <v>252088.68800000002</v>
      </c>
      <c r="H277" s="1023"/>
      <c r="I277" s="1023">
        <v>252088.68800000002</v>
      </c>
      <c r="J277" s="1019"/>
      <c r="K277" s="1020"/>
      <c r="L277" s="1021"/>
      <c r="M277" s="1022"/>
      <c r="N277" s="1023"/>
      <c r="O277" s="1024"/>
      <c r="P277" s="1024"/>
      <c r="Q277" s="1024"/>
      <c r="R277" s="1024"/>
      <c r="S277" s="1024"/>
      <c r="T277" s="1024"/>
      <c r="U277" s="1024"/>
      <c r="V277" s="1024"/>
      <c r="W277" s="1024"/>
      <c r="X277" s="1024"/>
      <c r="Y277" s="1024"/>
      <c r="Z277" s="1025">
        <f t="shared" si="211"/>
        <v>0</v>
      </c>
      <c r="AA277" s="1026"/>
      <c r="AB277" s="1027"/>
      <c r="AC277" s="1027"/>
      <c r="AD277" s="1027"/>
      <c r="AE277" s="1027"/>
      <c r="AF277" s="1027"/>
      <c r="AG277" s="1027"/>
      <c r="AH277" s="1028"/>
      <c r="AI277" s="1028"/>
      <c r="AJ277" s="1028"/>
      <c r="AK277" s="1028"/>
      <c r="AL277" s="1028"/>
      <c r="AM277" s="1025">
        <f t="shared" si="212"/>
        <v>0</v>
      </c>
      <c r="AN277" s="1024"/>
      <c r="AO277" s="1024"/>
      <c r="AP277" s="1024"/>
      <c r="AQ277" s="1024"/>
      <c r="AR277" s="1023"/>
      <c r="AS277" s="1023"/>
      <c r="AT277" s="1023"/>
      <c r="AU277" s="1024">
        <f>208824*1.082</f>
        <v>225947.56800000003</v>
      </c>
      <c r="AV277" s="1024"/>
      <c r="AW277" s="1024">
        <f>24160*1.082</f>
        <v>26141.120000000003</v>
      </c>
      <c r="AX277" s="1024"/>
      <c r="AY277" s="1024">
        <f>-24250*1.082</f>
        <v>-26238.5</v>
      </c>
      <c r="AZ277" s="1024">
        <f t="shared" si="213"/>
        <v>225850.18800000002</v>
      </c>
      <c r="BA277" s="1024"/>
      <c r="BB277" s="1024"/>
      <c r="BC277" s="1024"/>
      <c r="BD277" s="1024"/>
      <c r="BE277" s="1024"/>
      <c r="BF277" s="1024"/>
      <c r="BG277" s="1024"/>
      <c r="BH277" s="1024"/>
      <c r="BI277" s="1024"/>
      <c r="BJ277" s="1024"/>
      <c r="BK277" s="1024"/>
      <c r="BL277" s="1024"/>
      <c r="BM277" s="1024">
        <f t="shared" si="214"/>
        <v>0</v>
      </c>
      <c r="BN277" s="1024"/>
      <c r="BO277" s="1024"/>
      <c r="BP277" s="1024"/>
      <c r="BQ277" s="1024"/>
      <c r="BR277" s="1024"/>
      <c r="BS277" s="1024"/>
      <c r="BT277" s="1024"/>
      <c r="BU277" s="1024"/>
      <c r="BV277" s="1024"/>
      <c r="BW277" s="1024"/>
      <c r="BX277" s="1024"/>
      <c r="BY277" s="1024"/>
      <c r="BZ277" s="1029">
        <f t="shared" si="215"/>
        <v>0</v>
      </c>
      <c r="CA277" s="1018">
        <f t="shared" si="216"/>
        <v>225850.18800000002</v>
      </c>
      <c r="CB277" s="1024">
        <f t="shared" si="217"/>
        <v>0</v>
      </c>
      <c r="CC277" s="1023">
        <f t="shared" si="218"/>
        <v>225850.18800000002</v>
      </c>
      <c r="CD277" s="1023">
        <f t="shared" si="219"/>
        <v>-26238.5</v>
      </c>
      <c r="CE277" s="1023">
        <v>225850.18800000002</v>
      </c>
      <c r="CF277" s="1023">
        <f t="shared" si="220"/>
        <v>0</v>
      </c>
      <c r="CG277" s="1029"/>
      <c r="CH277" s="972"/>
      <c r="CI277" s="1308">
        <f>232984*1.082</f>
        <v>252088.68800000002</v>
      </c>
      <c r="CJ277" s="1083">
        <f t="shared" si="221"/>
        <v>26238.5</v>
      </c>
      <c r="CL277" s="976"/>
      <c r="CM277" s="976">
        <f t="shared" si="196"/>
        <v>-225850.18800000002</v>
      </c>
    </row>
    <row r="278" spans="1:91" s="1032" customFormat="1" outlineLevel="1">
      <c r="A278" s="1091"/>
      <c r="B278" s="1015"/>
      <c r="C278" s="1168"/>
      <c r="D278" s="1084" t="s">
        <v>808</v>
      </c>
      <c r="E278" s="1176"/>
      <c r="F278" s="1023">
        <v>0</v>
      </c>
      <c r="G278" s="1023">
        <v>734864.10400000005</v>
      </c>
      <c r="H278" s="1023"/>
      <c r="I278" s="1023">
        <v>734864.10400000005</v>
      </c>
      <c r="J278" s="1019"/>
      <c r="K278" s="1020"/>
      <c r="L278" s="1021"/>
      <c r="M278" s="1022"/>
      <c r="N278" s="1023"/>
      <c r="O278" s="1024"/>
      <c r="P278" s="1024"/>
      <c r="Q278" s="1024"/>
      <c r="R278" s="1024"/>
      <c r="S278" s="1024"/>
      <c r="T278" s="1024"/>
      <c r="U278" s="1024"/>
      <c r="V278" s="1024"/>
      <c r="W278" s="1024"/>
      <c r="X278" s="1024"/>
      <c r="Y278" s="1024"/>
      <c r="Z278" s="1025">
        <f t="shared" si="211"/>
        <v>0</v>
      </c>
      <c r="AA278" s="1026"/>
      <c r="AB278" s="1027"/>
      <c r="AC278" s="1027"/>
      <c r="AD278" s="1027"/>
      <c r="AE278" s="1027"/>
      <c r="AF278" s="1027"/>
      <c r="AG278" s="1027"/>
      <c r="AH278" s="1028"/>
      <c r="AI278" s="1028"/>
      <c r="AJ278" s="1028"/>
      <c r="AK278" s="1028"/>
      <c r="AL278" s="1028"/>
      <c r="AM278" s="1025">
        <f t="shared" si="212"/>
        <v>0</v>
      </c>
      <c r="AN278" s="1024"/>
      <c r="AO278" s="1024"/>
      <c r="AP278" s="1024"/>
      <c r="AQ278" s="1024"/>
      <c r="AR278" s="1023"/>
      <c r="AS278" s="1023"/>
      <c r="AT278" s="1023"/>
      <c r="AU278" s="1024">
        <f>649853*1.082</f>
        <v>703140.946</v>
      </c>
      <c r="AV278" s="1024">
        <f>75000*1.082</f>
        <v>81150</v>
      </c>
      <c r="AW278" s="1024">
        <f>-45681*1.082</f>
        <v>-49426.842000000004</v>
      </c>
      <c r="AX278" s="1024"/>
      <c r="AY278" s="1024"/>
      <c r="AZ278" s="1024">
        <f t="shared" si="213"/>
        <v>734864.10400000005</v>
      </c>
      <c r="BA278" s="1024">
        <f>70828*1.082</f>
        <v>76635.896000000008</v>
      </c>
      <c r="BB278" s="1024"/>
      <c r="BC278" s="1024"/>
      <c r="BD278" s="1024"/>
      <c r="BE278" s="1024"/>
      <c r="BF278" s="1024"/>
      <c r="BG278" s="1024"/>
      <c r="BH278" s="1024"/>
      <c r="BI278" s="1024"/>
      <c r="BJ278" s="1024"/>
      <c r="BK278" s="1024"/>
      <c r="BL278" s="1024"/>
      <c r="BM278" s="1024">
        <f t="shared" si="214"/>
        <v>76635.896000000008</v>
      </c>
      <c r="BN278" s="1024"/>
      <c r="BO278" s="1024"/>
      <c r="BP278" s="1024"/>
      <c r="BQ278" s="1024"/>
      <c r="BR278" s="1024"/>
      <c r="BS278" s="1024"/>
      <c r="BT278" s="1024"/>
      <c r="BU278" s="1024"/>
      <c r="BV278" s="1024"/>
      <c r="BW278" s="1024"/>
      <c r="BX278" s="1024"/>
      <c r="BY278" s="1024"/>
      <c r="BZ278" s="1029">
        <f t="shared" si="215"/>
        <v>0</v>
      </c>
      <c r="CA278" s="1018">
        <f t="shared" si="216"/>
        <v>811500</v>
      </c>
      <c r="CB278" s="1024">
        <f t="shared" si="217"/>
        <v>0</v>
      </c>
      <c r="CC278" s="1023">
        <f t="shared" si="218"/>
        <v>811500</v>
      </c>
      <c r="CD278" s="1023">
        <f t="shared" si="219"/>
        <v>76635.89599999995</v>
      </c>
      <c r="CE278" s="1023">
        <v>811500</v>
      </c>
      <c r="CF278" s="1023">
        <f t="shared" si="220"/>
        <v>0</v>
      </c>
      <c r="CG278" s="1029"/>
      <c r="CH278" s="972"/>
      <c r="CI278" s="1308">
        <f>750000*1.082</f>
        <v>811500</v>
      </c>
      <c r="CJ278" s="1083">
        <f t="shared" si="221"/>
        <v>0</v>
      </c>
      <c r="CL278" s="976"/>
      <c r="CM278" s="976">
        <f t="shared" si="196"/>
        <v>-811500</v>
      </c>
    </row>
    <row r="279" spans="1:91" s="1120" customFormat="1" ht="25.5" customHeight="1" outlineLevel="1">
      <c r="A279" s="1100"/>
      <c r="B279" s="1101"/>
      <c r="C279" s="1102"/>
      <c r="D279" s="1450" t="s">
        <v>809</v>
      </c>
      <c r="E279" s="1452"/>
      <c r="F279" s="1103"/>
      <c r="G279" s="1103">
        <v>324600</v>
      </c>
      <c r="H279" s="1103"/>
      <c r="I279" s="1103">
        <v>324600</v>
      </c>
      <c r="J279" s="1104"/>
      <c r="K279" s="1105"/>
      <c r="L279" s="1106"/>
      <c r="M279" s="1107"/>
      <c r="N279" s="1103"/>
      <c r="O279" s="1108"/>
      <c r="P279" s="1108"/>
      <c r="Q279" s="1108"/>
      <c r="R279" s="1108"/>
      <c r="S279" s="1108"/>
      <c r="T279" s="1108"/>
      <c r="U279" s="1108"/>
      <c r="V279" s="1108"/>
      <c r="W279" s="1108"/>
      <c r="X279" s="1108"/>
      <c r="Y279" s="1108"/>
      <c r="Z279" s="1109">
        <f t="shared" si="211"/>
        <v>0</v>
      </c>
      <c r="AA279" s="1110"/>
      <c r="AB279" s="1111"/>
      <c r="AC279" s="1111"/>
      <c r="AD279" s="1111"/>
      <c r="AE279" s="1111"/>
      <c r="AF279" s="1111"/>
      <c r="AG279" s="1111"/>
      <c r="AH279" s="1112"/>
      <c r="AI279" s="1112"/>
      <c r="AJ279" s="1112"/>
      <c r="AK279" s="1112"/>
      <c r="AL279" s="1112"/>
      <c r="AM279" s="1109">
        <f t="shared" si="212"/>
        <v>0</v>
      </c>
      <c r="AN279" s="1108"/>
      <c r="AO279" s="1108"/>
      <c r="AP279" s="1108"/>
      <c r="AQ279" s="1108"/>
      <c r="AR279" s="1108"/>
      <c r="AS279" s="1108"/>
      <c r="AT279" s="1108"/>
      <c r="AU279" s="1108"/>
      <c r="AV279" s="1108"/>
      <c r="AW279" s="1108"/>
      <c r="AX279" s="1108"/>
      <c r="AY279" s="1108"/>
      <c r="AZ279" s="1108">
        <f t="shared" si="213"/>
        <v>0</v>
      </c>
      <c r="BA279" s="1108"/>
      <c r="BB279" s="1108"/>
      <c r="BC279" s="1108"/>
      <c r="BD279" s="1108"/>
      <c r="BE279" s="1108"/>
      <c r="BF279" s="1108"/>
      <c r="BG279" s="1108"/>
      <c r="BH279" s="1108">
        <f>287841*1.082</f>
        <v>311443.962</v>
      </c>
      <c r="BI279" s="1108"/>
      <c r="BJ279" s="1108"/>
      <c r="BK279" s="1108"/>
      <c r="BL279" s="1108"/>
      <c r="BM279" s="1108">
        <f t="shared" si="214"/>
        <v>311443.962</v>
      </c>
      <c r="BN279" s="1108"/>
      <c r="BO279" s="1108"/>
      <c r="BP279" s="1108"/>
      <c r="BQ279" s="1108"/>
      <c r="BR279" s="1108"/>
      <c r="BS279" s="1108"/>
      <c r="BT279" s="1108"/>
      <c r="BU279" s="1108"/>
      <c r="BV279" s="1108"/>
      <c r="BW279" s="1108"/>
      <c r="BX279" s="1108"/>
      <c r="BY279" s="1108"/>
      <c r="BZ279" s="1114">
        <f t="shared" si="215"/>
        <v>0</v>
      </c>
      <c r="CA279" s="1103">
        <f t="shared" si="216"/>
        <v>311443.962</v>
      </c>
      <c r="CB279" s="1108">
        <f t="shared" si="217"/>
        <v>0</v>
      </c>
      <c r="CC279" s="1103">
        <f t="shared" si="218"/>
        <v>311443.962</v>
      </c>
      <c r="CD279" s="1103">
        <f t="shared" si="219"/>
        <v>-13156.038</v>
      </c>
      <c r="CE279" s="1103">
        <v>311443.962</v>
      </c>
      <c r="CF279" s="1103">
        <f t="shared" si="220"/>
        <v>0</v>
      </c>
      <c r="CG279" s="1114"/>
      <c r="CH279" s="1117"/>
      <c r="CI279" s="1119">
        <f>300000*1.082</f>
        <v>324600</v>
      </c>
      <c r="CJ279" s="1119">
        <f t="shared" si="221"/>
        <v>13156.038</v>
      </c>
      <c r="CL279" s="1121">
        <v>0</v>
      </c>
      <c r="CM279" s="1121">
        <f t="shared" si="196"/>
        <v>-311443.962</v>
      </c>
    </row>
    <row r="280" spans="1:91" s="1032" customFormat="1" outlineLevel="1">
      <c r="A280" s="1091"/>
      <c r="B280" s="1015"/>
      <c r="C280" s="1173"/>
      <c r="D280" s="1043" t="s">
        <v>810</v>
      </c>
      <c r="E280" s="1174"/>
      <c r="F280" s="1023">
        <v>0</v>
      </c>
      <c r="G280" s="1023">
        <v>487910.61</v>
      </c>
      <c r="H280" s="1023"/>
      <c r="I280" s="1023">
        <v>487910.61</v>
      </c>
      <c r="J280" s="1033">
        <v>4600004051</v>
      </c>
      <c r="K280" s="1034">
        <v>2900000</v>
      </c>
      <c r="L280" s="1021" t="s">
        <v>314</v>
      </c>
      <c r="M280" s="1022"/>
      <c r="N280" s="1023"/>
      <c r="O280" s="1024"/>
      <c r="P280" s="1024"/>
      <c r="Q280" s="1024"/>
      <c r="R280" s="1024"/>
      <c r="S280" s="1024"/>
      <c r="T280" s="1024"/>
      <c r="U280" s="1024"/>
      <c r="V280" s="1024"/>
      <c r="W280" s="1024"/>
      <c r="X280" s="1024"/>
      <c r="Y280" s="1024"/>
      <c r="Z280" s="1025">
        <f t="shared" si="211"/>
        <v>0</v>
      </c>
      <c r="AA280" s="1026"/>
      <c r="AB280" s="1027"/>
      <c r="AC280" s="1027"/>
      <c r="AD280" s="1027"/>
      <c r="AE280" s="1027"/>
      <c r="AF280" s="1027"/>
      <c r="AG280" s="1027"/>
      <c r="AH280" s="1028"/>
      <c r="AI280" s="1028"/>
      <c r="AJ280" s="1028"/>
      <c r="AK280" s="1028"/>
      <c r="AL280" s="1028"/>
      <c r="AM280" s="1025">
        <f t="shared" si="212"/>
        <v>0</v>
      </c>
      <c r="AN280" s="1024"/>
      <c r="AO280" s="1024"/>
      <c r="AP280" s="1024"/>
      <c r="AQ280" s="1024"/>
      <c r="AR280" s="1024">
        <v>400000</v>
      </c>
      <c r="AS280" s="1024">
        <f>-400000+400000</f>
        <v>0</v>
      </c>
      <c r="AT280" s="1024">
        <f>372312.99-400000</f>
        <v>-27687.010000000009</v>
      </c>
      <c r="AU280" s="1024">
        <f>44677.33+821.85</f>
        <v>45499.18</v>
      </c>
      <c r="AV280" s="1024">
        <v>43054.34</v>
      </c>
      <c r="AW280" s="1024">
        <v>27044.1</v>
      </c>
      <c r="AX280" s="1024">
        <v>19775.03</v>
      </c>
      <c r="AY280" s="1024">
        <v>15613.59</v>
      </c>
      <c r="AZ280" s="1024">
        <f t="shared" si="213"/>
        <v>523299.23000000004</v>
      </c>
      <c r="BA280" s="1024">
        <v>24643.84</v>
      </c>
      <c r="BB280" s="1024">
        <v>17501.580000000002</v>
      </c>
      <c r="BC280" s="1024">
        <v>12831.39</v>
      </c>
      <c r="BD280" s="1024">
        <v>15591</v>
      </c>
      <c r="BE280" s="1024">
        <v>12111.02</v>
      </c>
      <c r="BF280" s="1024">
        <v>18340.23</v>
      </c>
      <c r="BG280" s="1024">
        <v>18340.23</v>
      </c>
      <c r="BH280" s="1024">
        <v>21744.44</v>
      </c>
      <c r="BI280" s="1024"/>
      <c r="BJ280" s="1024">
        <v>30066.83</v>
      </c>
      <c r="BK280" s="1024">
        <v>8035.34</v>
      </c>
      <c r="BL280" s="1076">
        <f>8878.2+17536</f>
        <v>26414.2</v>
      </c>
      <c r="BM280" s="1024">
        <f t="shared" si="214"/>
        <v>205620.1</v>
      </c>
      <c r="BN280" s="1024">
        <f>10740.89-17536</f>
        <v>-6795.1100000000006</v>
      </c>
      <c r="BO280" s="1024"/>
      <c r="BP280" s="1024">
        <v>22057.02</v>
      </c>
      <c r="BQ280" s="1093">
        <f>18537.85*(25/30)</f>
        <v>15448.208333333332</v>
      </c>
      <c r="BR280" s="1093">
        <v>0</v>
      </c>
      <c r="BS280" s="1024"/>
      <c r="BT280" s="1024"/>
      <c r="BU280" s="1024"/>
      <c r="BV280" s="1024"/>
      <c r="BW280" s="1024"/>
      <c r="BX280" s="1024"/>
      <c r="BY280" s="1024"/>
      <c r="BZ280" s="1029">
        <f t="shared" si="215"/>
        <v>30710.118333333332</v>
      </c>
      <c r="CA280" s="1030">
        <f t="shared" si="216"/>
        <v>759629.44833333325</v>
      </c>
      <c r="CB280" s="1077">
        <f t="shared" si="217"/>
        <v>0</v>
      </c>
      <c r="CC280" s="1036">
        <f t="shared" si="218"/>
        <v>759629.44833333325</v>
      </c>
      <c r="CD280" s="1023">
        <f t="shared" si="219"/>
        <v>271718.83833333326</v>
      </c>
      <c r="CE280" s="1023">
        <v>762719.08999999985</v>
      </c>
      <c r="CF280" s="1023">
        <f t="shared" si="220"/>
        <v>-3089.6416666666046</v>
      </c>
      <c r="CG280" s="1029"/>
      <c r="CH280" s="972"/>
      <c r="CI280" s="1308">
        <v>0</v>
      </c>
      <c r="CJ280" s="1083">
        <f t="shared" si="221"/>
        <v>-759629.44833333325</v>
      </c>
      <c r="CL280" s="976"/>
      <c r="CM280" s="976">
        <f t="shared" si="196"/>
        <v>-759629.44833333325</v>
      </c>
    </row>
    <row r="281" spans="1:91" s="1032" customFormat="1" outlineLevel="1">
      <c r="A281" s="1091"/>
      <c r="B281" s="1015"/>
      <c r="C281" s="1173"/>
      <c r="D281" s="1043" t="s">
        <v>663</v>
      </c>
      <c r="E281" s="1017"/>
      <c r="F281" s="1023">
        <v>0</v>
      </c>
      <c r="G281" s="1023">
        <v>31772.2</v>
      </c>
      <c r="H281" s="1023"/>
      <c r="I281" s="1023">
        <v>31772.2</v>
      </c>
      <c r="J281" s="1033">
        <v>6400002966</v>
      </c>
      <c r="K281" s="1034">
        <v>180000</v>
      </c>
      <c r="L281" s="1035" t="s">
        <v>310</v>
      </c>
      <c r="M281" s="1022"/>
      <c r="N281" s="1023"/>
      <c r="O281" s="1024"/>
      <c r="P281" s="1024"/>
      <c r="Q281" s="1024"/>
      <c r="R281" s="1024"/>
      <c r="S281" s="1024"/>
      <c r="T281" s="1024"/>
      <c r="U281" s="1024"/>
      <c r="V281" s="1024"/>
      <c r="W281" s="1024"/>
      <c r="X281" s="1024"/>
      <c r="Y281" s="1024"/>
      <c r="Z281" s="1025">
        <f t="shared" si="211"/>
        <v>0</v>
      </c>
      <c r="AA281" s="1026"/>
      <c r="AB281" s="1027"/>
      <c r="AC281" s="1027"/>
      <c r="AD281" s="1027"/>
      <c r="AE281" s="1027"/>
      <c r="AF281" s="1027"/>
      <c r="AG281" s="1027"/>
      <c r="AH281" s="1028"/>
      <c r="AI281" s="1028"/>
      <c r="AJ281" s="1028"/>
      <c r="AK281" s="1028"/>
      <c r="AL281" s="1028"/>
      <c r="AM281" s="1025">
        <f t="shared" si="212"/>
        <v>0</v>
      </c>
      <c r="AN281" s="1024"/>
      <c r="AO281" s="1024"/>
      <c r="AP281" s="1024">
        <v>2947</v>
      </c>
      <c r="AQ281" s="1024"/>
      <c r="AR281" s="1024">
        <v>2785</v>
      </c>
      <c r="AS281" s="1024">
        <v>3735.2</v>
      </c>
      <c r="AT281" s="1024">
        <v>3982</v>
      </c>
      <c r="AU281" s="1024">
        <f>8168</f>
        <v>8168</v>
      </c>
      <c r="AV281" s="1024">
        <v>5945</v>
      </c>
      <c r="AW281" s="1024">
        <v>4210</v>
      </c>
      <c r="AX281" s="1024">
        <v>1949</v>
      </c>
      <c r="AY281" s="1024">
        <v>9821</v>
      </c>
      <c r="AZ281" s="1024">
        <f t="shared" si="213"/>
        <v>43542.2</v>
      </c>
      <c r="BA281" s="1024">
        <v>2891.5</v>
      </c>
      <c r="BB281" s="1024"/>
      <c r="BC281" s="1024">
        <f>1926+1951.5</f>
        <v>3877.5</v>
      </c>
      <c r="BD281" s="1024">
        <v>1820.9</v>
      </c>
      <c r="BE281" s="1024">
        <v>5490.8</v>
      </c>
      <c r="BF281" s="1024">
        <v>6785.35</v>
      </c>
      <c r="BG281" s="1024">
        <v>2000</v>
      </c>
      <c r="BH281" s="1024">
        <v>2000</v>
      </c>
      <c r="BI281" s="1024"/>
      <c r="BJ281" s="1024"/>
      <c r="BK281" s="1024"/>
      <c r="BL281" s="1024"/>
      <c r="BM281" s="1024">
        <f t="shared" si="214"/>
        <v>24866.050000000003</v>
      </c>
      <c r="BN281" s="1024"/>
      <c r="BO281" s="1024"/>
      <c r="BP281" s="1024"/>
      <c r="BQ281" s="1024"/>
      <c r="BR281" s="1024">
        <v>0</v>
      </c>
      <c r="BS281" s="1024"/>
      <c r="BT281" s="1024"/>
      <c r="BU281" s="1024"/>
      <c r="BV281" s="1024"/>
      <c r="BW281" s="1024"/>
      <c r="BX281" s="1024"/>
      <c r="BY281" s="1024"/>
      <c r="BZ281" s="1029">
        <f t="shared" si="215"/>
        <v>0</v>
      </c>
      <c r="CA281" s="1030">
        <f t="shared" si="216"/>
        <v>68408.25</v>
      </c>
      <c r="CB281" s="1024">
        <f t="shared" si="217"/>
        <v>0</v>
      </c>
      <c r="CC281" s="1036">
        <f t="shared" si="218"/>
        <v>68408.25</v>
      </c>
      <c r="CD281" s="1023">
        <f t="shared" si="219"/>
        <v>36636.050000000003</v>
      </c>
      <c r="CE281" s="1023">
        <v>68408.25</v>
      </c>
      <c r="CF281" s="1023">
        <f t="shared" si="220"/>
        <v>0</v>
      </c>
      <c r="CG281" s="1029"/>
      <c r="CH281" s="972"/>
      <c r="CI281" s="1308">
        <v>0</v>
      </c>
      <c r="CJ281" s="1083">
        <f t="shared" si="221"/>
        <v>-68408.25</v>
      </c>
      <c r="CL281" s="976"/>
      <c r="CM281" s="976">
        <f t="shared" si="196"/>
        <v>-68408.25</v>
      </c>
    </row>
    <row r="282" spans="1:91" s="1032" customFormat="1" outlineLevel="1">
      <c r="A282" s="1091"/>
      <c r="B282" s="1015"/>
      <c r="C282" s="1173"/>
      <c r="D282" s="1043" t="s">
        <v>738</v>
      </c>
      <c r="E282" s="1017"/>
      <c r="F282" s="1023"/>
      <c r="G282" s="1023">
        <v>34841.47</v>
      </c>
      <c r="H282" s="1023"/>
      <c r="I282" s="1023">
        <v>34841.47</v>
      </c>
      <c r="J282" s="1033">
        <v>6400004008</v>
      </c>
      <c r="K282" s="1034">
        <v>215000</v>
      </c>
      <c r="L282" s="1035" t="s">
        <v>310</v>
      </c>
      <c r="M282" s="1022"/>
      <c r="N282" s="1023"/>
      <c r="O282" s="1024"/>
      <c r="P282" s="1024"/>
      <c r="Q282" s="1024"/>
      <c r="R282" s="1024"/>
      <c r="S282" s="1024"/>
      <c r="T282" s="1024"/>
      <c r="U282" s="1024"/>
      <c r="V282" s="1024"/>
      <c r="W282" s="1024"/>
      <c r="X282" s="1024"/>
      <c r="Y282" s="1024"/>
      <c r="Z282" s="1025">
        <f t="shared" si="211"/>
        <v>0</v>
      </c>
      <c r="AA282" s="1026"/>
      <c r="AB282" s="1027"/>
      <c r="AC282" s="1027"/>
      <c r="AD282" s="1027"/>
      <c r="AE282" s="1027"/>
      <c r="AF282" s="1027"/>
      <c r="AG282" s="1027"/>
      <c r="AH282" s="1028"/>
      <c r="AI282" s="1028"/>
      <c r="AJ282" s="1028"/>
      <c r="AK282" s="1028"/>
      <c r="AL282" s="1028"/>
      <c r="AM282" s="1025">
        <f t="shared" si="212"/>
        <v>0</v>
      </c>
      <c r="AN282" s="1024"/>
      <c r="AO282" s="1024"/>
      <c r="AP282" s="1024"/>
      <c r="AQ282" s="1024">
        <v>18170.5</v>
      </c>
      <c r="AR282" s="1024">
        <v>9457.9699999999993</v>
      </c>
      <c r="AS282" s="1024">
        <v>7213</v>
      </c>
      <c r="AT282" s="1024"/>
      <c r="AU282" s="1024"/>
      <c r="AV282" s="1024"/>
      <c r="AW282" s="1024"/>
      <c r="AX282" s="1024"/>
      <c r="AY282" s="1024"/>
      <c r="AZ282" s="1024">
        <f t="shared" si="213"/>
        <v>34841.47</v>
      </c>
      <c r="BA282" s="1024"/>
      <c r="BB282" s="1024"/>
      <c r="BC282" s="1024"/>
      <c r="BD282" s="1024"/>
      <c r="BE282" s="1024"/>
      <c r="BF282" s="1024"/>
      <c r="BG282" s="1024"/>
      <c r="BH282" s="1024"/>
      <c r="BI282" s="1024"/>
      <c r="BJ282" s="1024"/>
      <c r="BK282" s="1024"/>
      <c r="BL282" s="1024"/>
      <c r="BM282" s="1024">
        <f t="shared" si="214"/>
        <v>0</v>
      </c>
      <c r="BN282" s="1024"/>
      <c r="BO282" s="1024"/>
      <c r="BP282" s="1024"/>
      <c r="BQ282" s="1024"/>
      <c r="BR282" s="1024"/>
      <c r="BS282" s="1024"/>
      <c r="BT282" s="1024"/>
      <c r="BU282" s="1024"/>
      <c r="BV282" s="1024"/>
      <c r="BW282" s="1024"/>
      <c r="BX282" s="1024"/>
      <c r="BY282" s="1024"/>
      <c r="BZ282" s="1029">
        <f t="shared" si="215"/>
        <v>0</v>
      </c>
      <c r="CA282" s="1030">
        <f t="shared" si="216"/>
        <v>34841.47</v>
      </c>
      <c r="CB282" s="1024">
        <f t="shared" si="217"/>
        <v>0</v>
      </c>
      <c r="CC282" s="1036">
        <f t="shared" si="218"/>
        <v>34841.47</v>
      </c>
      <c r="CD282" s="1023">
        <f t="shared" si="219"/>
        <v>0</v>
      </c>
      <c r="CE282" s="1023">
        <v>34841.47</v>
      </c>
      <c r="CF282" s="1023">
        <f t="shared" si="220"/>
        <v>0</v>
      </c>
      <c r="CG282" s="1029"/>
      <c r="CH282" s="972"/>
      <c r="CI282" s="1308">
        <v>0</v>
      </c>
      <c r="CJ282" s="1083">
        <f t="shared" si="221"/>
        <v>-34841.47</v>
      </c>
      <c r="CL282" s="976"/>
      <c r="CM282" s="976">
        <f t="shared" si="196"/>
        <v>-34841.47</v>
      </c>
    </row>
    <row r="283" spans="1:91" s="1032" customFormat="1" outlineLevel="1">
      <c r="A283" s="1091"/>
      <c r="B283" s="1015"/>
      <c r="C283" s="1173"/>
      <c r="D283" s="1043" t="s">
        <v>811</v>
      </c>
      <c r="E283" s="1017"/>
      <c r="F283" s="1023"/>
      <c r="G283" s="1023">
        <v>117841</v>
      </c>
      <c r="H283" s="1023"/>
      <c r="I283" s="1023">
        <v>117841</v>
      </c>
      <c r="J283" s="1033">
        <v>4600005617</v>
      </c>
      <c r="K283" s="1034">
        <v>81000</v>
      </c>
      <c r="L283" s="1035" t="s">
        <v>310</v>
      </c>
      <c r="M283" s="1022"/>
      <c r="N283" s="1023"/>
      <c r="O283" s="1024"/>
      <c r="P283" s="1024"/>
      <c r="Q283" s="1024"/>
      <c r="R283" s="1024"/>
      <c r="S283" s="1024"/>
      <c r="T283" s="1024"/>
      <c r="U283" s="1024"/>
      <c r="V283" s="1024"/>
      <c r="W283" s="1024"/>
      <c r="X283" s="1024"/>
      <c r="Y283" s="1024"/>
      <c r="Z283" s="1025">
        <f t="shared" si="211"/>
        <v>0</v>
      </c>
      <c r="AA283" s="1026"/>
      <c r="AB283" s="1027"/>
      <c r="AC283" s="1027"/>
      <c r="AD283" s="1027"/>
      <c r="AE283" s="1027"/>
      <c r="AF283" s="1027"/>
      <c r="AG283" s="1027"/>
      <c r="AH283" s="1028"/>
      <c r="AI283" s="1028"/>
      <c r="AJ283" s="1028"/>
      <c r="AK283" s="1028"/>
      <c r="AL283" s="1028"/>
      <c r="AM283" s="1025">
        <f t="shared" si="212"/>
        <v>0</v>
      </c>
      <c r="AN283" s="1024"/>
      <c r="AO283" s="1024"/>
      <c r="AP283" s="1024"/>
      <c r="AQ283" s="1024"/>
      <c r="AR283" s="1024"/>
      <c r="AS283" s="1024"/>
      <c r="AT283" s="1024"/>
      <c r="AU283" s="1024"/>
      <c r="AV283" s="1024"/>
      <c r="AW283" s="1024"/>
      <c r="AX283" s="1024"/>
      <c r="AY283" s="1076"/>
      <c r="AZ283" s="1024">
        <f t="shared" si="213"/>
        <v>0</v>
      </c>
      <c r="BA283" s="1024"/>
      <c r="BB283" s="1024"/>
      <c r="BC283" s="1024"/>
      <c r="BD283" s="1024"/>
      <c r="BE283" s="1024"/>
      <c r="BF283" s="1024">
        <v>65357.5</v>
      </c>
      <c r="BG283" s="1024"/>
      <c r="BH283" s="1024"/>
      <c r="BI283" s="1024">
        <v>22116.79</v>
      </c>
      <c r="BJ283" s="1024"/>
      <c r="BK283" s="1024"/>
      <c r="BL283" s="1024"/>
      <c r="BM283" s="1024">
        <f t="shared" si="214"/>
        <v>87474.290000000008</v>
      </c>
      <c r="BN283" s="1024"/>
      <c r="BO283" s="1024"/>
      <c r="BP283" s="1024"/>
      <c r="BQ283" s="1024"/>
      <c r="BR283" s="1024"/>
      <c r="BS283" s="1024"/>
      <c r="BT283" s="1024"/>
      <c r="BU283" s="1024"/>
      <c r="BV283" s="1024"/>
      <c r="BW283" s="1024"/>
      <c r="BX283" s="1024"/>
      <c r="BY283" s="1024"/>
      <c r="BZ283" s="1029">
        <f t="shared" si="215"/>
        <v>0</v>
      </c>
      <c r="CA283" s="1030">
        <f t="shared" si="216"/>
        <v>87474.290000000008</v>
      </c>
      <c r="CB283" s="1024">
        <f t="shared" si="217"/>
        <v>0</v>
      </c>
      <c r="CC283" s="1036">
        <f t="shared" si="218"/>
        <v>87474.290000000008</v>
      </c>
      <c r="CD283" s="1023">
        <f t="shared" si="219"/>
        <v>-30366.709999999992</v>
      </c>
      <c r="CE283" s="1023">
        <v>87474.290000000008</v>
      </c>
      <c r="CF283" s="1023">
        <f t="shared" si="220"/>
        <v>0</v>
      </c>
      <c r="CG283" s="1029"/>
      <c r="CH283" s="972"/>
      <c r="CI283" s="1308">
        <v>0</v>
      </c>
      <c r="CJ283" s="1083">
        <f t="shared" si="221"/>
        <v>-87474.290000000008</v>
      </c>
      <c r="CL283" s="976"/>
      <c r="CM283" s="976">
        <f t="shared" si="196"/>
        <v>-87474.290000000008</v>
      </c>
    </row>
    <row r="284" spans="1:91" s="1032" customFormat="1" ht="12.75" customHeight="1" outlineLevel="1">
      <c r="A284" s="996"/>
      <c r="B284" s="1015"/>
      <c r="C284" s="1043"/>
      <c r="D284" s="1147" t="s">
        <v>812</v>
      </c>
      <c r="E284" s="1017"/>
      <c r="F284" s="1023"/>
      <c r="G284" s="1023">
        <v>3809.51</v>
      </c>
      <c r="H284" s="1023"/>
      <c r="I284" s="1023">
        <v>3809.51</v>
      </c>
      <c r="J284" s="1033">
        <v>6400001807</v>
      </c>
      <c r="K284" s="1034">
        <v>1000000</v>
      </c>
      <c r="L284" s="1035" t="s">
        <v>314</v>
      </c>
      <c r="M284" s="1036"/>
      <c r="N284" s="1023">
        <v>0</v>
      </c>
      <c r="O284" s="1024">
        <v>0</v>
      </c>
      <c r="P284" s="1024">
        <v>0</v>
      </c>
      <c r="Q284" s="1024">
        <v>0</v>
      </c>
      <c r="R284" s="1024">
        <v>0</v>
      </c>
      <c r="S284" s="1024">
        <v>0</v>
      </c>
      <c r="T284" s="1024">
        <v>0</v>
      </c>
      <c r="U284" s="1024">
        <v>0</v>
      </c>
      <c r="V284" s="1024">
        <v>0</v>
      </c>
      <c r="W284" s="1024">
        <v>0</v>
      </c>
      <c r="X284" s="1024">
        <v>0</v>
      </c>
      <c r="Y284" s="1024">
        <v>0</v>
      </c>
      <c r="Z284" s="1025">
        <f t="shared" si="211"/>
        <v>0</v>
      </c>
      <c r="AA284" s="1026">
        <v>0</v>
      </c>
      <c r="AB284" s="1027">
        <v>0</v>
      </c>
      <c r="AC284" s="1027">
        <v>0</v>
      </c>
      <c r="AD284" s="1027">
        <v>0</v>
      </c>
      <c r="AE284" s="1027">
        <v>0</v>
      </c>
      <c r="AF284" s="1027">
        <v>0</v>
      </c>
      <c r="AG284" s="1027">
        <v>0</v>
      </c>
      <c r="AH284" s="1028">
        <v>0</v>
      </c>
      <c r="AI284" s="1028">
        <v>0</v>
      </c>
      <c r="AJ284" s="1028">
        <v>0</v>
      </c>
      <c r="AK284" s="1028">
        <v>3809.51</v>
      </c>
      <c r="AL284" s="1028">
        <v>0</v>
      </c>
      <c r="AM284" s="1025">
        <f t="shared" si="212"/>
        <v>3809.51</v>
      </c>
      <c r="AN284" s="1024"/>
      <c r="AO284" s="1024"/>
      <c r="AP284" s="1024"/>
      <c r="AQ284" s="1024"/>
      <c r="AR284" s="1024"/>
      <c r="AS284" s="1024"/>
      <c r="AT284" s="1024"/>
      <c r="AU284" s="1024"/>
      <c r="AV284" s="1024"/>
      <c r="AW284" s="1024"/>
      <c r="AX284" s="1024"/>
      <c r="AY284" s="1024"/>
      <c r="AZ284" s="1024">
        <f t="shared" si="213"/>
        <v>0</v>
      </c>
      <c r="BA284" s="1024"/>
      <c r="BB284" s="1024"/>
      <c r="BC284" s="1024"/>
      <c r="BD284" s="1024"/>
      <c r="BE284" s="1024"/>
      <c r="BF284" s="1024"/>
      <c r="BG284" s="1024"/>
      <c r="BH284" s="1024"/>
      <c r="BI284" s="1024"/>
      <c r="BJ284" s="1024"/>
      <c r="BK284" s="1024"/>
      <c r="BL284" s="1024"/>
      <c r="BM284" s="1024">
        <f t="shared" si="214"/>
        <v>0</v>
      </c>
      <c r="BN284" s="1024"/>
      <c r="BO284" s="1024"/>
      <c r="BP284" s="1024"/>
      <c r="BQ284" s="1024"/>
      <c r="BR284" s="1024"/>
      <c r="BS284" s="1024"/>
      <c r="BT284" s="1024"/>
      <c r="BU284" s="1024"/>
      <c r="BV284" s="1024"/>
      <c r="BW284" s="1024"/>
      <c r="BX284" s="1024"/>
      <c r="BY284" s="1024"/>
      <c r="BZ284" s="1029">
        <f t="shared" si="215"/>
        <v>0</v>
      </c>
      <c r="CA284" s="1030">
        <f t="shared" si="216"/>
        <v>3809.51</v>
      </c>
      <c r="CB284" s="1024">
        <f t="shared" si="217"/>
        <v>0</v>
      </c>
      <c r="CC284" s="1036">
        <f t="shared" si="218"/>
        <v>3809.51</v>
      </c>
      <c r="CD284" s="1023">
        <f t="shared" si="219"/>
        <v>0</v>
      </c>
      <c r="CE284" s="1023">
        <v>3809.51</v>
      </c>
      <c r="CF284" s="1023">
        <f t="shared" si="220"/>
        <v>0</v>
      </c>
      <c r="CG284" s="1029"/>
      <c r="CH284" s="1042">
        <f>-CC284+K284</f>
        <v>996190.49</v>
      </c>
      <c r="CL284" s="976">
        <v>3809.51</v>
      </c>
      <c r="CM284" s="976">
        <f t="shared" si="196"/>
        <v>0</v>
      </c>
    </row>
    <row r="285" spans="1:91" s="1032" customFormat="1" ht="12.75" customHeight="1" outlineLevel="1">
      <c r="A285" s="996"/>
      <c r="B285" s="1015"/>
      <c r="C285" s="1043"/>
      <c r="D285" s="1147" t="s">
        <v>813</v>
      </c>
      <c r="E285" s="1017"/>
      <c r="F285" s="1023"/>
      <c r="G285" s="1023">
        <v>2302.69</v>
      </c>
      <c r="H285" s="1023"/>
      <c r="I285" s="1023">
        <v>2302.69</v>
      </c>
      <c r="J285" s="1033">
        <v>4600005512</v>
      </c>
      <c r="K285" s="1034">
        <v>673482</v>
      </c>
      <c r="L285" s="1035" t="s">
        <v>310</v>
      </c>
      <c r="M285" s="1036"/>
      <c r="N285" s="1023">
        <v>0</v>
      </c>
      <c r="O285" s="1024">
        <v>0</v>
      </c>
      <c r="P285" s="1024">
        <v>0</v>
      </c>
      <c r="Q285" s="1024">
        <v>0</v>
      </c>
      <c r="R285" s="1024">
        <v>0</v>
      </c>
      <c r="S285" s="1024">
        <v>0</v>
      </c>
      <c r="T285" s="1024">
        <v>0</v>
      </c>
      <c r="U285" s="1024">
        <v>0</v>
      </c>
      <c r="V285" s="1024">
        <v>0</v>
      </c>
      <c r="W285" s="1024">
        <v>0</v>
      </c>
      <c r="X285" s="1024">
        <v>0</v>
      </c>
      <c r="Y285" s="1024">
        <v>0</v>
      </c>
      <c r="Z285" s="1025">
        <f t="shared" si="211"/>
        <v>0</v>
      </c>
      <c r="AA285" s="1026">
        <v>0</v>
      </c>
      <c r="AB285" s="1027">
        <v>0</v>
      </c>
      <c r="AC285" s="1027">
        <v>0</v>
      </c>
      <c r="AD285" s="1027">
        <v>0</v>
      </c>
      <c r="AE285" s="1027">
        <v>0</v>
      </c>
      <c r="AF285" s="1027">
        <v>0</v>
      </c>
      <c r="AG285" s="1027"/>
      <c r="AH285" s="1028"/>
      <c r="AI285" s="1028"/>
      <c r="AJ285" s="1028"/>
      <c r="AK285" s="1028"/>
      <c r="AL285" s="1028"/>
      <c r="AM285" s="1025">
        <f t="shared" si="212"/>
        <v>0</v>
      </c>
      <c r="AN285" s="1024"/>
      <c r="AO285" s="1024"/>
      <c r="AP285" s="1024"/>
      <c r="AQ285" s="1024"/>
      <c r="AR285" s="1024"/>
      <c r="AS285" s="1024"/>
      <c r="AT285" s="1024">
        <v>1173.78</v>
      </c>
      <c r="AU285" s="1024">
        <v>1128.9100000000001</v>
      </c>
      <c r="AV285" s="1024"/>
      <c r="AW285" s="1024"/>
      <c r="AX285" s="1024"/>
      <c r="AY285" s="1024"/>
      <c r="AZ285" s="1024">
        <f t="shared" si="213"/>
        <v>2302.69</v>
      </c>
      <c r="BA285" s="1024"/>
      <c r="BB285" s="1024"/>
      <c r="BC285" s="1024"/>
      <c r="BD285" s="1024"/>
      <c r="BE285" s="1024">
        <v>3458</v>
      </c>
      <c r="BF285" s="1024">
        <v>973.53</v>
      </c>
      <c r="BG285" s="1024">
        <v>587.76</v>
      </c>
      <c r="BH285" s="1024"/>
      <c r="BI285" s="1024"/>
      <c r="BJ285" s="1024"/>
      <c r="BK285" s="1024"/>
      <c r="BL285" s="1024"/>
      <c r="BM285" s="1024">
        <f t="shared" si="214"/>
        <v>5019.29</v>
      </c>
      <c r="BN285" s="1024"/>
      <c r="BO285" s="1024"/>
      <c r="BP285" s="1024"/>
      <c r="BQ285" s="1024"/>
      <c r="BR285" s="1024"/>
      <c r="BS285" s="1024"/>
      <c r="BT285" s="1024"/>
      <c r="BU285" s="1024"/>
      <c r="BV285" s="1024"/>
      <c r="BW285" s="1024"/>
      <c r="BX285" s="1024"/>
      <c r="BY285" s="1024"/>
      <c r="BZ285" s="1029">
        <f t="shared" si="215"/>
        <v>0</v>
      </c>
      <c r="CA285" s="1030">
        <f t="shared" si="216"/>
        <v>7321.9800000000005</v>
      </c>
      <c r="CB285" s="1024">
        <f t="shared" si="217"/>
        <v>0</v>
      </c>
      <c r="CC285" s="1036">
        <f t="shared" si="218"/>
        <v>7321.9800000000005</v>
      </c>
      <c r="CD285" s="1023">
        <f t="shared" si="219"/>
        <v>5019.2900000000009</v>
      </c>
      <c r="CE285" s="1023">
        <v>7321.98</v>
      </c>
      <c r="CF285" s="1023">
        <f t="shared" si="220"/>
        <v>0</v>
      </c>
      <c r="CG285" s="1029"/>
      <c r="CH285" s="1042">
        <f>-CC285+K285</f>
        <v>666160.02</v>
      </c>
      <c r="CL285" s="976">
        <v>0</v>
      </c>
      <c r="CM285" s="976">
        <f t="shared" si="196"/>
        <v>-7321.9800000000005</v>
      </c>
    </row>
    <row r="286" spans="1:91" s="1032" customFormat="1" outlineLevel="1">
      <c r="A286" s="1091"/>
      <c r="B286" s="1015"/>
      <c r="C286" s="1168"/>
      <c r="D286" s="1043" t="s">
        <v>814</v>
      </c>
      <c r="E286" s="1174"/>
      <c r="F286" s="1023">
        <v>0</v>
      </c>
      <c r="G286" s="1023">
        <v>89055</v>
      </c>
      <c r="H286" s="1023"/>
      <c r="I286" s="1023">
        <v>89055</v>
      </c>
      <c r="J286" s="1019"/>
      <c r="K286" s="1020"/>
      <c r="L286" s="1021"/>
      <c r="M286" s="1022"/>
      <c r="N286" s="1023"/>
      <c r="O286" s="1024"/>
      <c r="P286" s="1024"/>
      <c r="Q286" s="1024"/>
      <c r="R286" s="1024"/>
      <c r="S286" s="1024"/>
      <c r="T286" s="1024"/>
      <c r="U286" s="1024"/>
      <c r="V286" s="1024"/>
      <c r="W286" s="1024"/>
      <c r="X286" s="1024"/>
      <c r="Y286" s="1024"/>
      <c r="Z286" s="1025">
        <f t="shared" si="211"/>
        <v>0</v>
      </c>
      <c r="AA286" s="1026"/>
      <c r="AB286" s="1027"/>
      <c r="AC286" s="1027"/>
      <c r="AD286" s="1027"/>
      <c r="AE286" s="1027"/>
      <c r="AF286" s="1027"/>
      <c r="AG286" s="1027"/>
      <c r="AH286" s="1028"/>
      <c r="AI286" s="1028"/>
      <c r="AJ286" s="1028"/>
      <c r="AK286" s="1028"/>
      <c r="AL286" s="1028"/>
      <c r="AM286" s="1025">
        <f t="shared" si="212"/>
        <v>0</v>
      </c>
      <c r="AN286" s="1024"/>
      <c r="AO286" s="1024"/>
      <c r="AP286" s="1024"/>
      <c r="AQ286" s="1024"/>
      <c r="AR286" s="1023"/>
      <c r="AS286" s="1023"/>
      <c r="AT286" s="1023"/>
      <c r="AU286" s="1024"/>
      <c r="AV286" s="1024"/>
      <c r="AW286" s="1024"/>
      <c r="AX286" s="1024"/>
      <c r="AY286" s="1024"/>
      <c r="AZ286" s="1024">
        <f t="shared" si="213"/>
        <v>0</v>
      </c>
      <c r="BA286" s="1024"/>
      <c r="BB286" s="1024"/>
      <c r="BC286" s="1024"/>
      <c r="BD286" s="1024"/>
      <c r="BE286" s="1024"/>
      <c r="BF286" s="1024"/>
      <c r="BG286" s="1024"/>
      <c r="BH286" s="1024"/>
      <c r="BI286" s="1024"/>
      <c r="BJ286" s="1024"/>
      <c r="BK286" s="1024"/>
      <c r="BL286" s="1024"/>
      <c r="BM286" s="1024">
        <f t="shared" si="214"/>
        <v>0</v>
      </c>
      <c r="BN286" s="1024"/>
      <c r="BO286" s="1024"/>
      <c r="BP286" s="1024"/>
      <c r="BQ286" s="1024"/>
      <c r="BR286" s="1024"/>
      <c r="BS286" s="1024"/>
      <c r="BT286" s="1024"/>
      <c r="BU286" s="1024"/>
      <c r="BV286" s="1024"/>
      <c r="BW286" s="1024"/>
      <c r="BX286" s="1024"/>
      <c r="BY286" s="1024"/>
      <c r="BZ286" s="1029">
        <f t="shared" si="215"/>
        <v>0</v>
      </c>
      <c r="CA286" s="1030">
        <f t="shared" si="216"/>
        <v>0</v>
      </c>
      <c r="CB286" s="1024">
        <f t="shared" si="217"/>
        <v>0</v>
      </c>
      <c r="CC286" s="1023">
        <f t="shared" si="218"/>
        <v>0</v>
      </c>
      <c r="CD286" s="1023">
        <f t="shared" si="219"/>
        <v>-89055</v>
      </c>
      <c r="CE286" s="1023">
        <v>0</v>
      </c>
      <c r="CF286" s="1023">
        <f t="shared" si="220"/>
        <v>0</v>
      </c>
      <c r="CG286" s="1029"/>
      <c r="CH286" s="972"/>
      <c r="CI286" s="1308">
        <f>750000*1.082</f>
        <v>811500</v>
      </c>
      <c r="CJ286" s="1083">
        <f>+CI286-CC286</f>
        <v>811500</v>
      </c>
      <c r="CL286" s="976">
        <v>2500000</v>
      </c>
      <c r="CM286" s="976">
        <f t="shared" si="196"/>
        <v>2500000</v>
      </c>
    </row>
    <row r="287" spans="1:91" s="1064" customFormat="1">
      <c r="A287" s="1087"/>
      <c r="B287" s="1046" t="s">
        <v>815</v>
      </c>
      <c r="C287" s="1047"/>
      <c r="D287" s="1047"/>
      <c r="E287" s="1048"/>
      <c r="F287" s="1054">
        <f>SUBTOTAL(9,F264:F286)</f>
        <v>0</v>
      </c>
      <c r="G287" s="1054">
        <f>SUBTOTAL(9,G264:G286)</f>
        <v>3229568.202</v>
      </c>
      <c r="H287" s="1054">
        <f>SUBTOTAL(9,H264:H286)</f>
        <v>0</v>
      </c>
      <c r="I287" s="1054">
        <f>SUBTOTAL(9,I264:I286)</f>
        <v>3229568.202</v>
      </c>
      <c r="J287" s="1178"/>
      <c r="K287" s="1179"/>
      <c r="L287" s="1180"/>
      <c r="M287" s="1181">
        <f t="shared" ref="M287:AR287" si="222">SUBTOTAL(9,M264:M286)</f>
        <v>0</v>
      </c>
      <c r="N287" s="1054">
        <f t="shared" si="222"/>
        <v>0</v>
      </c>
      <c r="O287" s="1055">
        <f t="shared" si="222"/>
        <v>0</v>
      </c>
      <c r="P287" s="1055">
        <f t="shared" si="222"/>
        <v>0</v>
      </c>
      <c r="Q287" s="1055">
        <f t="shared" si="222"/>
        <v>0</v>
      </c>
      <c r="R287" s="1055">
        <f t="shared" si="222"/>
        <v>0</v>
      </c>
      <c r="S287" s="1055">
        <f t="shared" si="222"/>
        <v>0</v>
      </c>
      <c r="T287" s="1055">
        <f t="shared" si="222"/>
        <v>0</v>
      </c>
      <c r="U287" s="1055">
        <f t="shared" si="222"/>
        <v>0</v>
      </c>
      <c r="V287" s="1055">
        <f t="shared" si="222"/>
        <v>0</v>
      </c>
      <c r="W287" s="1055">
        <f t="shared" si="222"/>
        <v>0</v>
      </c>
      <c r="X287" s="1055">
        <f t="shared" si="222"/>
        <v>0</v>
      </c>
      <c r="Y287" s="1055">
        <f t="shared" si="222"/>
        <v>0</v>
      </c>
      <c r="Z287" s="1056">
        <f t="shared" si="222"/>
        <v>0</v>
      </c>
      <c r="AA287" s="1057">
        <f t="shared" si="222"/>
        <v>0</v>
      </c>
      <c r="AB287" s="1058">
        <f t="shared" si="222"/>
        <v>0</v>
      </c>
      <c r="AC287" s="1058">
        <f t="shared" si="222"/>
        <v>0</v>
      </c>
      <c r="AD287" s="1058">
        <f t="shared" si="222"/>
        <v>0</v>
      </c>
      <c r="AE287" s="1058">
        <f t="shared" si="222"/>
        <v>0</v>
      </c>
      <c r="AF287" s="1058">
        <f t="shared" si="222"/>
        <v>0</v>
      </c>
      <c r="AG287" s="1058">
        <f t="shared" si="222"/>
        <v>0</v>
      </c>
      <c r="AH287" s="1059">
        <f t="shared" si="222"/>
        <v>0</v>
      </c>
      <c r="AI287" s="1059">
        <f t="shared" si="222"/>
        <v>0</v>
      </c>
      <c r="AJ287" s="1059">
        <f t="shared" si="222"/>
        <v>0</v>
      </c>
      <c r="AK287" s="1059">
        <f t="shared" si="222"/>
        <v>3809.51</v>
      </c>
      <c r="AL287" s="1059">
        <f t="shared" si="222"/>
        <v>0</v>
      </c>
      <c r="AM287" s="1056">
        <f t="shared" si="222"/>
        <v>3809.51</v>
      </c>
      <c r="AN287" s="1055">
        <f t="shared" si="222"/>
        <v>0</v>
      </c>
      <c r="AO287" s="1055">
        <f t="shared" si="222"/>
        <v>0</v>
      </c>
      <c r="AP287" s="1055">
        <f t="shared" si="222"/>
        <v>2947</v>
      </c>
      <c r="AQ287" s="1055">
        <f t="shared" si="222"/>
        <v>26693</v>
      </c>
      <c r="AR287" s="1055">
        <f t="shared" si="222"/>
        <v>424778.22</v>
      </c>
      <c r="AS287" s="1055">
        <f t="shared" ref="AS287:BX287" si="223">SUBTOTAL(9,AS264:AS286)</f>
        <v>8447.5099999999984</v>
      </c>
      <c r="AT287" s="1055">
        <f t="shared" si="223"/>
        <v>-22531.23000000001</v>
      </c>
      <c r="AU287" s="1055">
        <f t="shared" si="223"/>
        <v>1090505.966</v>
      </c>
      <c r="AV287" s="1055">
        <f t="shared" si="223"/>
        <v>346549.33999999997</v>
      </c>
      <c r="AW287" s="1055">
        <f t="shared" si="223"/>
        <v>100472.886</v>
      </c>
      <c r="AX287" s="1055">
        <f t="shared" si="223"/>
        <v>21724.03</v>
      </c>
      <c r="AY287" s="1055">
        <f t="shared" si="223"/>
        <v>-803.90999999999985</v>
      </c>
      <c r="AZ287" s="1055">
        <f t="shared" si="223"/>
        <v>1998782.8119999999</v>
      </c>
      <c r="BA287" s="1055">
        <f t="shared" si="223"/>
        <v>104171.236</v>
      </c>
      <c r="BB287" s="1055">
        <f t="shared" si="223"/>
        <v>17501.580000000002</v>
      </c>
      <c r="BC287" s="1055">
        <f t="shared" si="223"/>
        <v>102371.53</v>
      </c>
      <c r="BD287" s="1055">
        <f t="shared" si="223"/>
        <v>17411.900000000001</v>
      </c>
      <c r="BE287" s="1055">
        <f t="shared" si="223"/>
        <v>37905.392</v>
      </c>
      <c r="BF287" s="1055">
        <f t="shared" si="223"/>
        <v>91456.61</v>
      </c>
      <c r="BG287" s="1055">
        <f t="shared" si="223"/>
        <v>91257.989999999991</v>
      </c>
      <c r="BH287" s="1055">
        <f t="shared" si="223"/>
        <v>335188.402</v>
      </c>
      <c r="BI287" s="1055">
        <f t="shared" si="223"/>
        <v>22116.79</v>
      </c>
      <c r="BJ287" s="1055">
        <f t="shared" si="223"/>
        <v>161316.83000000002</v>
      </c>
      <c r="BK287" s="1055">
        <f t="shared" si="223"/>
        <v>8035.34</v>
      </c>
      <c r="BL287" s="1055">
        <f t="shared" si="223"/>
        <v>26414.2</v>
      </c>
      <c r="BM287" s="1055">
        <f t="shared" si="223"/>
        <v>1015147.8000000002</v>
      </c>
      <c r="BN287" s="1055">
        <f t="shared" si="223"/>
        <v>-6795.1100000000006</v>
      </c>
      <c r="BO287" s="1055">
        <f t="shared" si="223"/>
        <v>0</v>
      </c>
      <c r="BP287" s="1055">
        <f t="shared" si="223"/>
        <v>22057.02</v>
      </c>
      <c r="BQ287" s="1055">
        <f t="shared" si="223"/>
        <v>15448.208333333332</v>
      </c>
      <c r="BR287" s="1055">
        <f t="shared" si="223"/>
        <v>0</v>
      </c>
      <c r="BS287" s="1055">
        <f t="shared" si="223"/>
        <v>0</v>
      </c>
      <c r="BT287" s="1055">
        <f t="shared" si="223"/>
        <v>0</v>
      </c>
      <c r="BU287" s="1055">
        <f t="shared" si="223"/>
        <v>0</v>
      </c>
      <c r="BV287" s="1055">
        <f t="shared" si="223"/>
        <v>0</v>
      </c>
      <c r="BW287" s="1055">
        <f t="shared" si="223"/>
        <v>0</v>
      </c>
      <c r="BX287" s="1055">
        <f t="shared" si="223"/>
        <v>0</v>
      </c>
      <c r="BY287" s="1055">
        <f t="shared" ref="BY287:CF287" si="224">SUBTOTAL(9,BY264:BY286)</f>
        <v>0</v>
      </c>
      <c r="BZ287" s="1060">
        <f t="shared" si="224"/>
        <v>30710.118333333332</v>
      </c>
      <c r="CA287" s="1061">
        <f t="shared" si="224"/>
        <v>3048450.2403333336</v>
      </c>
      <c r="CB287" s="1055">
        <f t="shared" si="224"/>
        <v>0</v>
      </c>
      <c r="CC287" s="1054">
        <f t="shared" si="224"/>
        <v>3048450.2403333336</v>
      </c>
      <c r="CD287" s="1054">
        <f t="shared" si="224"/>
        <v>-181117.96166666679</v>
      </c>
      <c r="CE287" s="1054">
        <f t="shared" si="224"/>
        <v>3272939.8819999998</v>
      </c>
      <c r="CF287" s="1054">
        <f t="shared" si="224"/>
        <v>-224489.6416666666</v>
      </c>
      <c r="CG287" s="1060"/>
      <c r="CH287" s="1063"/>
      <c r="CL287" s="1065">
        <f>SUBTOTAL(9,CL264:CL286)</f>
        <v>7503809.5099999998</v>
      </c>
      <c r="CM287" s="1066">
        <f t="shared" si="196"/>
        <v>4455359.2696666662</v>
      </c>
    </row>
    <row r="288" spans="1:91" s="1032" customFormat="1" ht="9" customHeight="1">
      <c r="A288" s="1091"/>
      <c r="B288" s="1015"/>
      <c r="C288" s="1016"/>
      <c r="D288" s="1016"/>
      <c r="E288" s="1017"/>
      <c r="F288" s="1023"/>
      <c r="G288" s="1023"/>
      <c r="H288" s="1023"/>
      <c r="I288" s="1023"/>
      <c r="J288" s="1033"/>
      <c r="K288" s="1034"/>
      <c r="L288" s="1035"/>
      <c r="M288" s="1036"/>
      <c r="N288" s="1023">
        <v>0</v>
      </c>
      <c r="O288" s="1024">
        <v>0</v>
      </c>
      <c r="P288" s="1024">
        <v>0</v>
      </c>
      <c r="Q288" s="1024">
        <v>0</v>
      </c>
      <c r="R288" s="1024">
        <v>0</v>
      </c>
      <c r="S288" s="1024">
        <v>0</v>
      </c>
      <c r="T288" s="1024">
        <v>0</v>
      </c>
      <c r="U288" s="1024">
        <v>0</v>
      </c>
      <c r="V288" s="1024">
        <v>0</v>
      </c>
      <c r="W288" s="1024">
        <v>0</v>
      </c>
      <c r="X288" s="1024">
        <v>0</v>
      </c>
      <c r="Y288" s="1024">
        <v>0</v>
      </c>
      <c r="Z288" s="1025">
        <f>SUM(N288:Y288)</f>
        <v>0</v>
      </c>
      <c r="AA288" s="1026">
        <v>0</v>
      </c>
      <c r="AB288" s="1027">
        <v>0</v>
      </c>
      <c r="AC288" s="1027">
        <v>0</v>
      </c>
      <c r="AD288" s="1027">
        <v>0</v>
      </c>
      <c r="AE288" s="1027">
        <v>0</v>
      </c>
      <c r="AF288" s="1027">
        <v>0</v>
      </c>
      <c r="AG288" s="1027">
        <v>0</v>
      </c>
      <c r="AH288" s="1028">
        <v>0</v>
      </c>
      <c r="AI288" s="1028">
        <v>0</v>
      </c>
      <c r="AJ288" s="1028">
        <v>0</v>
      </c>
      <c r="AK288" s="1028">
        <v>0</v>
      </c>
      <c r="AL288" s="1028">
        <v>0</v>
      </c>
      <c r="AM288" s="1025">
        <f>SUM(AA288:AL288)</f>
        <v>0</v>
      </c>
      <c r="AN288" s="1024"/>
      <c r="AO288" s="1024"/>
      <c r="AP288" s="1024"/>
      <c r="AQ288" s="1024"/>
      <c r="AR288" s="1024"/>
      <c r="AS288" s="1024"/>
      <c r="AT288" s="1024"/>
      <c r="AU288" s="1024"/>
      <c r="AV288" s="1024"/>
      <c r="AW288" s="1024"/>
      <c r="AX288" s="1024"/>
      <c r="AY288" s="1024"/>
      <c r="AZ288" s="1024">
        <f>SUM(AN288:AY288)</f>
        <v>0</v>
      </c>
      <c r="BA288" s="1024"/>
      <c r="BB288" s="1024"/>
      <c r="BC288" s="1024"/>
      <c r="BD288" s="1024"/>
      <c r="BE288" s="1024"/>
      <c r="BF288" s="1024"/>
      <c r="BG288" s="1024"/>
      <c r="BH288" s="1024"/>
      <c r="BI288" s="1024"/>
      <c r="BJ288" s="1024"/>
      <c r="BK288" s="1024"/>
      <c r="BL288" s="1024"/>
      <c r="BM288" s="1024">
        <f>SUM(BA288:BL288)</f>
        <v>0</v>
      </c>
      <c r="BN288" s="1024"/>
      <c r="BO288" s="1024"/>
      <c r="BP288" s="1024"/>
      <c r="BQ288" s="1024"/>
      <c r="BR288" s="1024"/>
      <c r="BS288" s="1024"/>
      <c r="BT288" s="1024"/>
      <c r="BU288" s="1024"/>
      <c r="BV288" s="1024"/>
      <c r="BW288" s="1024"/>
      <c r="BX288" s="1024"/>
      <c r="BY288" s="1024"/>
      <c r="BZ288" s="1029">
        <f>SUM(BN288:BY288)</f>
        <v>0</v>
      </c>
      <c r="CA288" s="1030">
        <f>SUMIF(($M$1:$BZ$1),"Actual",(M288:BZ288))</f>
        <v>0</v>
      </c>
      <c r="CB288" s="1024">
        <f>SUMIF(($M$1:$BZ$1),"Forecast",(M288:BZ288))</f>
        <v>0</v>
      </c>
      <c r="CC288" s="1023">
        <f>+CA288+CB288</f>
        <v>0</v>
      </c>
      <c r="CD288" s="1023">
        <f>+CC288-I288</f>
        <v>0</v>
      </c>
      <c r="CE288" s="1023">
        <f>+CC288+CD288</f>
        <v>0</v>
      </c>
      <c r="CF288" s="1023">
        <f>+CD288+CE288</f>
        <v>0</v>
      </c>
      <c r="CG288" s="1029"/>
      <c r="CH288" s="972">
        <f>-CC288+K288</f>
        <v>0</v>
      </c>
      <c r="CL288" s="976"/>
      <c r="CM288" s="976"/>
    </row>
    <row r="289" spans="1:91" s="1073" customFormat="1">
      <c r="A289" s="1091"/>
      <c r="B289" s="997" t="s">
        <v>816</v>
      </c>
      <c r="C289" s="1067"/>
      <c r="D289" s="1067"/>
      <c r="E289" s="1068"/>
      <c r="F289" s="1002"/>
      <c r="G289" s="1002"/>
      <c r="H289" s="1002"/>
      <c r="I289" s="1002"/>
      <c r="J289" s="1070"/>
      <c r="K289" s="1071"/>
      <c r="L289" s="1072"/>
      <c r="M289" s="1003"/>
      <c r="N289" s="1003"/>
      <c r="O289" s="1004"/>
      <c r="P289" s="1004"/>
      <c r="Q289" s="1004"/>
      <c r="R289" s="1004"/>
      <c r="S289" s="1004"/>
      <c r="T289" s="1004"/>
      <c r="U289" s="1004"/>
      <c r="V289" s="1004"/>
      <c r="W289" s="1004"/>
      <c r="X289" s="1004"/>
      <c r="Y289" s="1004"/>
      <c r="Z289" s="1004"/>
      <c r="AA289" s="1006"/>
      <c r="AB289" s="1007"/>
      <c r="AC289" s="1007"/>
      <c r="AD289" s="1007"/>
      <c r="AE289" s="1007"/>
      <c r="AF289" s="1007"/>
      <c r="AG289" s="1007"/>
      <c r="AH289" s="1008"/>
      <c r="AI289" s="1008"/>
      <c r="AJ289" s="1008"/>
      <c r="AK289" s="1008"/>
      <c r="AL289" s="1008"/>
      <c r="AM289" s="1008"/>
      <c r="AN289" s="1004"/>
      <c r="AO289" s="1004"/>
      <c r="AP289" s="1004"/>
      <c r="AQ289" s="1004"/>
      <c r="AR289" s="1004"/>
      <c r="AS289" s="1004"/>
      <c r="AT289" s="1004"/>
      <c r="AU289" s="1004"/>
      <c r="AV289" s="1004"/>
      <c r="AW289" s="1004"/>
      <c r="AX289" s="1004"/>
      <c r="AY289" s="1004"/>
      <c r="AZ289" s="1004"/>
      <c r="BA289" s="1004"/>
      <c r="BB289" s="1004"/>
      <c r="BC289" s="1004"/>
      <c r="BD289" s="1004"/>
      <c r="BE289" s="1004"/>
      <c r="BF289" s="1004"/>
      <c r="BG289" s="1004"/>
      <c r="BH289" s="1004"/>
      <c r="BI289" s="1004"/>
      <c r="BJ289" s="1004"/>
      <c r="BK289" s="1004"/>
      <c r="BL289" s="1004"/>
      <c r="BM289" s="1004"/>
      <c r="BN289" s="1004"/>
      <c r="BO289" s="1004"/>
      <c r="BP289" s="1004"/>
      <c r="BQ289" s="1004"/>
      <c r="BR289" s="1004"/>
      <c r="BS289" s="1004"/>
      <c r="BT289" s="1004"/>
      <c r="BU289" s="1004"/>
      <c r="BV289" s="1004"/>
      <c r="BW289" s="1004"/>
      <c r="BX289" s="1004"/>
      <c r="BY289" s="1004"/>
      <c r="BZ289" s="1009"/>
      <c r="CA289" s="1182"/>
      <c r="CB289" s="1004"/>
      <c r="CC289" s="1002"/>
      <c r="CD289" s="1011"/>
      <c r="CE289" s="1002"/>
      <c r="CF289" s="1002"/>
      <c r="CG289" s="1183"/>
      <c r="CH289" s="1012"/>
      <c r="CL289" s="976"/>
      <c r="CM289" s="976"/>
    </row>
    <row r="290" spans="1:91" s="1032" customFormat="1" ht="9" customHeight="1">
      <c r="A290" s="996"/>
      <c r="B290" s="1015"/>
      <c r="C290" s="1016"/>
      <c r="D290" s="1016"/>
      <c r="E290" s="1017"/>
      <c r="F290" s="1023"/>
      <c r="G290" s="1023"/>
      <c r="H290" s="1023"/>
      <c r="I290" s="1023"/>
      <c r="J290" s="1019"/>
      <c r="K290" s="1020"/>
      <c r="L290" s="1021"/>
      <c r="M290" s="1022"/>
      <c r="N290" s="1023"/>
      <c r="O290" s="1024"/>
      <c r="P290" s="1024"/>
      <c r="Q290" s="1024"/>
      <c r="R290" s="1024"/>
      <c r="S290" s="1024"/>
      <c r="T290" s="1024"/>
      <c r="U290" s="1024"/>
      <c r="V290" s="1024"/>
      <c r="W290" s="1024"/>
      <c r="X290" s="1024"/>
      <c r="Y290" s="1024"/>
      <c r="Z290" s="1025">
        <f>SUM(N290:Y290)</f>
        <v>0</v>
      </c>
      <c r="AA290" s="1026"/>
      <c r="AB290" s="1027"/>
      <c r="AC290" s="1027"/>
      <c r="AD290" s="1027"/>
      <c r="AE290" s="1027"/>
      <c r="AF290" s="1027"/>
      <c r="AG290" s="1027"/>
      <c r="AH290" s="1028"/>
      <c r="AI290" s="1028"/>
      <c r="AJ290" s="1028"/>
      <c r="AK290" s="1028"/>
      <c r="AL290" s="1028"/>
      <c r="AM290" s="1025">
        <f>SUM(AA290:AL290)</f>
        <v>0</v>
      </c>
      <c r="AN290" s="1024"/>
      <c r="AO290" s="1024"/>
      <c r="AP290" s="1024"/>
      <c r="AQ290" s="1024"/>
      <c r="AR290" s="1024"/>
      <c r="AS290" s="1024"/>
      <c r="AT290" s="1024"/>
      <c r="AU290" s="1024"/>
      <c r="AV290" s="1024"/>
      <c r="AW290" s="1024"/>
      <c r="AX290" s="1024"/>
      <c r="AY290" s="1024"/>
      <c r="AZ290" s="1024">
        <f>SUM(AN290:AY290)</f>
        <v>0</v>
      </c>
      <c r="BA290" s="1024"/>
      <c r="BB290" s="1024"/>
      <c r="BC290" s="1024"/>
      <c r="BD290" s="1024"/>
      <c r="BE290" s="1024"/>
      <c r="BF290" s="1024"/>
      <c r="BG290" s="1024"/>
      <c r="BH290" s="1024"/>
      <c r="BI290" s="1024"/>
      <c r="BJ290" s="1024"/>
      <c r="BK290" s="1024"/>
      <c r="BL290" s="1024"/>
      <c r="BM290" s="1024">
        <f>SUM(BA290:BL290)</f>
        <v>0</v>
      </c>
      <c r="BN290" s="1024"/>
      <c r="BO290" s="1024"/>
      <c r="BP290" s="1024"/>
      <c r="BQ290" s="1024"/>
      <c r="BR290" s="1024"/>
      <c r="BS290" s="1024"/>
      <c r="BT290" s="1024"/>
      <c r="BU290" s="1024"/>
      <c r="BV290" s="1024"/>
      <c r="BW290" s="1024"/>
      <c r="BX290" s="1024"/>
      <c r="BY290" s="1024"/>
      <c r="BZ290" s="1029">
        <f>SUM(BN290:BY290)</f>
        <v>0</v>
      </c>
      <c r="CA290" s="1030"/>
      <c r="CB290" s="1024"/>
      <c r="CC290" s="1023">
        <f>+M290+Z290+AM290+AZ290+BM290+BZ290</f>
        <v>0</v>
      </c>
      <c r="CD290" s="1023">
        <f>+CC290-I290</f>
        <v>0</v>
      </c>
      <c r="CE290" s="1023">
        <f>+O290+AB290+AO290+BB290+BO290+CB290</f>
        <v>0</v>
      </c>
      <c r="CF290" s="1023">
        <f>+P290+AC290+AP290+BC290+BP290+CC290</f>
        <v>0</v>
      </c>
      <c r="CG290" s="1029"/>
      <c r="CH290" s="972"/>
      <c r="CL290" s="976"/>
      <c r="CM290" s="976"/>
    </row>
    <row r="291" spans="1:91" s="1032" customFormat="1" ht="12.75" customHeight="1">
      <c r="A291" s="1091"/>
      <c r="B291" s="1015"/>
      <c r="C291" s="1016" t="s">
        <v>598</v>
      </c>
      <c r="D291" s="1016"/>
      <c r="E291" s="1017"/>
      <c r="F291" s="1023">
        <f>SUBTOTAL(9,F292:F305)</f>
        <v>5669308</v>
      </c>
      <c r="G291" s="1023">
        <f>SUBTOTAL(9,G292:G305)</f>
        <v>3886083.108</v>
      </c>
      <c r="H291" s="1023">
        <f>SUBTOTAL(9,H292:H305)</f>
        <v>800000</v>
      </c>
      <c r="I291" s="1023">
        <f>SUBTOTAL(9,I292:I305)</f>
        <v>4686083.1079999991</v>
      </c>
      <c r="J291" s="1033"/>
      <c r="K291" s="1034"/>
      <c r="L291" s="1035"/>
      <c r="M291" s="1036">
        <f t="shared" ref="M291:AR291" si="225">SUBTOTAL(9,M292:M305)</f>
        <v>0</v>
      </c>
      <c r="N291" s="1023">
        <f t="shared" si="225"/>
        <v>2583.83</v>
      </c>
      <c r="O291" s="1024">
        <f t="shared" si="225"/>
        <v>2522.1799999999998</v>
      </c>
      <c r="P291" s="1024">
        <f t="shared" si="225"/>
        <v>1401.3700000000001</v>
      </c>
      <c r="Q291" s="1024">
        <f t="shared" si="225"/>
        <v>1660.9600000000003</v>
      </c>
      <c r="R291" s="1024">
        <f t="shared" si="225"/>
        <v>5209.8100000000004</v>
      </c>
      <c r="S291" s="1024">
        <f t="shared" si="225"/>
        <v>1766.9100000000003</v>
      </c>
      <c r="T291" s="1024">
        <f t="shared" si="225"/>
        <v>9670.73</v>
      </c>
      <c r="U291" s="1024">
        <f t="shared" si="225"/>
        <v>9120.3300000000017</v>
      </c>
      <c r="V291" s="1024">
        <f t="shared" si="225"/>
        <v>15952.609999999999</v>
      </c>
      <c r="W291" s="1024">
        <f t="shared" si="225"/>
        <v>25039.51</v>
      </c>
      <c r="X291" s="1024">
        <f t="shared" si="225"/>
        <v>28147.26</v>
      </c>
      <c r="Y291" s="1024">
        <f t="shared" si="225"/>
        <v>38118.219999999987</v>
      </c>
      <c r="Z291" s="1025">
        <f t="shared" si="225"/>
        <v>141193.72000000003</v>
      </c>
      <c r="AA291" s="1026">
        <f t="shared" si="225"/>
        <v>23671.86</v>
      </c>
      <c r="AB291" s="1027">
        <f t="shared" si="225"/>
        <v>25068.67</v>
      </c>
      <c r="AC291" s="1027">
        <f t="shared" si="225"/>
        <v>32389.72</v>
      </c>
      <c r="AD291" s="1027">
        <f t="shared" si="225"/>
        <v>39685.9</v>
      </c>
      <c r="AE291" s="1027">
        <f t="shared" si="225"/>
        <v>45948.800000000003</v>
      </c>
      <c r="AF291" s="1027">
        <f t="shared" si="225"/>
        <v>77340.580000000016</v>
      </c>
      <c r="AG291" s="1027">
        <f t="shared" si="225"/>
        <v>85532.579999999987</v>
      </c>
      <c r="AH291" s="1028">
        <f t="shared" si="225"/>
        <v>75742.569999999992</v>
      </c>
      <c r="AI291" s="1028">
        <f t="shared" si="225"/>
        <v>101308.20999999999</v>
      </c>
      <c r="AJ291" s="1028">
        <f t="shared" si="225"/>
        <v>99770.91800000002</v>
      </c>
      <c r="AK291" s="1028">
        <f t="shared" si="225"/>
        <v>97745.12000000001</v>
      </c>
      <c r="AL291" s="1028">
        <f t="shared" si="225"/>
        <v>100126.98999999999</v>
      </c>
      <c r="AM291" s="1025">
        <f t="shared" si="225"/>
        <v>804331.91800000018</v>
      </c>
      <c r="AN291" s="1024">
        <f t="shared" si="225"/>
        <v>60308.030000000006</v>
      </c>
      <c r="AO291" s="1024">
        <f t="shared" si="225"/>
        <v>75237.890000000014</v>
      </c>
      <c r="AP291" s="1024">
        <f t="shared" si="225"/>
        <v>86389.31</v>
      </c>
      <c r="AQ291" s="1024">
        <f t="shared" si="225"/>
        <v>226161.43000000002</v>
      </c>
      <c r="AR291" s="1024">
        <f t="shared" si="225"/>
        <v>152458.04999999996</v>
      </c>
      <c r="AS291" s="1024">
        <f t="shared" ref="AS291:BX291" si="226">SUBTOTAL(9,AS292:AS305)</f>
        <v>85782.390000000014</v>
      </c>
      <c r="AT291" s="1024">
        <f t="shared" si="226"/>
        <v>73560.789999999994</v>
      </c>
      <c r="AU291" s="1024">
        <f t="shared" si="226"/>
        <v>90351.039999999994</v>
      </c>
      <c r="AV291" s="1024">
        <f t="shared" si="226"/>
        <v>81120.369999999981</v>
      </c>
      <c r="AW291" s="1024">
        <f t="shared" si="226"/>
        <v>85432.170000000013</v>
      </c>
      <c r="AX291" s="1024">
        <f t="shared" si="226"/>
        <v>103645.23999999999</v>
      </c>
      <c r="AY291" s="1024">
        <f t="shared" si="226"/>
        <v>115068.91000000002</v>
      </c>
      <c r="AZ291" s="1024">
        <f t="shared" si="226"/>
        <v>1235515.6200000006</v>
      </c>
      <c r="BA291" s="1024">
        <f t="shared" si="226"/>
        <v>70253.309999999969</v>
      </c>
      <c r="BB291" s="1024">
        <f t="shared" si="226"/>
        <v>78950.430000000022</v>
      </c>
      <c r="BC291" s="1024">
        <f t="shared" si="226"/>
        <v>95187.140000000014</v>
      </c>
      <c r="BD291" s="1024">
        <f t="shared" si="226"/>
        <v>101064.59</v>
      </c>
      <c r="BE291" s="1024">
        <f t="shared" si="226"/>
        <v>76026.060000000012</v>
      </c>
      <c r="BF291" s="1024">
        <f t="shared" si="226"/>
        <v>115665.16000000002</v>
      </c>
      <c r="BG291" s="1024">
        <f t="shared" si="226"/>
        <v>88000.770000000019</v>
      </c>
      <c r="BH291" s="1024">
        <f t="shared" si="226"/>
        <v>93685.39999999998</v>
      </c>
      <c r="BI291" s="1024">
        <f t="shared" si="226"/>
        <v>92695.83</v>
      </c>
      <c r="BJ291" s="1024">
        <f t="shared" si="226"/>
        <v>127742.36000000002</v>
      </c>
      <c r="BK291" s="1024">
        <f t="shared" si="226"/>
        <v>111881.81000000001</v>
      </c>
      <c r="BL291" s="1024">
        <f t="shared" si="226"/>
        <v>142565.60999999999</v>
      </c>
      <c r="BM291" s="1024">
        <f t="shared" si="226"/>
        <v>1193718.4699999997</v>
      </c>
      <c r="BN291" s="1024">
        <f t="shared" si="226"/>
        <v>165150.78999999998</v>
      </c>
      <c r="BO291" s="1024">
        <f t="shared" si="226"/>
        <v>245060.32999999996</v>
      </c>
      <c r="BP291" s="1024">
        <f t="shared" si="226"/>
        <v>253294</v>
      </c>
      <c r="BQ291" s="1024">
        <f t="shared" si="226"/>
        <v>152284.5333333333</v>
      </c>
      <c r="BR291" s="1024">
        <f t="shared" si="226"/>
        <v>0</v>
      </c>
      <c r="BS291" s="1024">
        <f t="shared" si="226"/>
        <v>0</v>
      </c>
      <c r="BT291" s="1024">
        <f t="shared" si="226"/>
        <v>0</v>
      </c>
      <c r="BU291" s="1024">
        <f t="shared" si="226"/>
        <v>0</v>
      </c>
      <c r="BV291" s="1024">
        <f t="shared" si="226"/>
        <v>0</v>
      </c>
      <c r="BW291" s="1024">
        <f t="shared" si="226"/>
        <v>0</v>
      </c>
      <c r="BX291" s="1024">
        <f t="shared" si="226"/>
        <v>0</v>
      </c>
      <c r="BY291" s="1024">
        <f t="shared" ref="BY291:CF291" si="227">SUBTOTAL(9,BY292:BY305)</f>
        <v>0</v>
      </c>
      <c r="BZ291" s="1029">
        <f t="shared" si="227"/>
        <v>815789.65333333332</v>
      </c>
      <c r="CA291" s="1030">
        <f t="shared" si="227"/>
        <v>4190549.3813333339</v>
      </c>
      <c r="CB291" s="1024">
        <f t="shared" si="227"/>
        <v>0</v>
      </c>
      <c r="CC291" s="1023">
        <f t="shared" si="227"/>
        <v>4190549.3813333339</v>
      </c>
      <c r="CD291" s="1023">
        <f t="shared" si="227"/>
        <v>-495533.72666666628</v>
      </c>
      <c r="CE291" s="1023">
        <f t="shared" si="227"/>
        <v>4843799.3894039951</v>
      </c>
      <c r="CF291" s="1023">
        <f t="shared" si="227"/>
        <v>-653250.00807066041</v>
      </c>
      <c r="CG291" s="1029"/>
      <c r="CH291" s="972">
        <f>-CC291+K291</f>
        <v>-4190549.3813333339</v>
      </c>
      <c r="CL291" s="1037">
        <f>SUBTOTAL(9,CL292:CL305)</f>
        <v>3879643.858</v>
      </c>
      <c r="CM291" s="976">
        <f t="shared" ref="CM291:CM305" si="228">+CL291-CC291</f>
        <v>-310905.5233333339</v>
      </c>
    </row>
    <row r="292" spans="1:91" ht="12.75" customHeight="1" outlineLevel="1">
      <c r="A292" s="1091"/>
      <c r="B292" s="1184"/>
      <c r="C292" s="1185"/>
      <c r="D292" s="1185" t="s">
        <v>537</v>
      </c>
      <c r="E292" s="1186"/>
      <c r="F292" s="1023">
        <v>5669308</v>
      </c>
      <c r="G292" s="1023">
        <v>3440401.7</v>
      </c>
      <c r="H292" s="1023">
        <v>800000</v>
      </c>
      <c r="I292" s="1023">
        <f>3440401.7+H292</f>
        <v>4240401.7</v>
      </c>
      <c r="J292" s="1019"/>
      <c r="K292" s="1020"/>
      <c r="L292" s="1021"/>
      <c r="M292" s="1022"/>
      <c r="N292" s="1023">
        <v>2471.6799999999998</v>
      </c>
      <c r="O292" s="1024">
        <v>2436.9299999999998</v>
      </c>
      <c r="P292" s="1024">
        <v>72.03</v>
      </c>
      <c r="Q292" s="1024">
        <v>1536.52</v>
      </c>
      <c r="R292" s="1024">
        <v>4943.8900000000003</v>
      </c>
      <c r="S292" s="1024">
        <v>1552.42</v>
      </c>
      <c r="T292" s="1024">
        <v>7625.34</v>
      </c>
      <c r="U292" s="1024">
        <v>8579.42</v>
      </c>
      <c r="V292" s="1024">
        <v>13535.53</v>
      </c>
      <c r="W292" s="1024">
        <v>23594.71</v>
      </c>
      <c r="X292" s="1024">
        <v>22441.3</v>
      </c>
      <c r="Y292" s="1024">
        <v>33830.39</v>
      </c>
      <c r="Z292" s="1025">
        <f t="shared" ref="Z292:Z305" si="229">SUM(N292:Y292)</f>
        <v>122620.16</v>
      </c>
      <c r="AA292" s="1026">
        <v>21934.27</v>
      </c>
      <c r="AB292" s="1027">
        <v>22732.799999999999</v>
      </c>
      <c r="AC292" s="1027">
        <v>30163.599999999999</v>
      </c>
      <c r="AD292" s="1027">
        <v>36103.1</v>
      </c>
      <c r="AE292" s="1027">
        <v>40666.86</v>
      </c>
      <c r="AF292" s="1027">
        <v>68482.240000000005</v>
      </c>
      <c r="AG292" s="1027">
        <v>70932.149999999994</v>
      </c>
      <c r="AH292" s="1028">
        <v>68185.64</v>
      </c>
      <c r="AI292" s="1028">
        <v>66807.48</v>
      </c>
      <c r="AJ292" s="1028">
        <v>68251.710000000006</v>
      </c>
      <c r="AK292" s="1028">
        <v>73857.3</v>
      </c>
      <c r="AL292" s="1028">
        <v>66287.399999999994</v>
      </c>
      <c r="AM292" s="1025">
        <f t="shared" ref="AM292:AM305" si="230">SUM(AA292:AL292)</f>
        <v>634404.55000000005</v>
      </c>
      <c r="AN292" s="1024">
        <v>55477.67</v>
      </c>
      <c r="AO292" s="1024">
        <v>56412.98</v>
      </c>
      <c r="AP292" s="1024">
        <v>72707.59</v>
      </c>
      <c r="AQ292" s="1024">
        <v>165975.26999999999</v>
      </c>
      <c r="AR292" s="1024">
        <v>88768.33</v>
      </c>
      <c r="AS292" s="1024">
        <v>64493.919999999998</v>
      </c>
      <c r="AT292" s="1024">
        <v>59053.51</v>
      </c>
      <c r="AU292" s="1024">
        <v>79423.53</v>
      </c>
      <c r="AV292" s="1024">
        <v>69270.78</v>
      </c>
      <c r="AW292" s="1024">
        <v>67978.41</v>
      </c>
      <c r="AX292" s="1024">
        <v>70925.13</v>
      </c>
      <c r="AY292" s="1076">
        <v>79612.789999999994</v>
      </c>
      <c r="AZ292" s="1024">
        <f t="shared" ref="AZ292:AZ305" si="231">SUM(AN292:AY292)</f>
        <v>930099.91000000015</v>
      </c>
      <c r="BA292" s="1024">
        <v>62136.639999999999</v>
      </c>
      <c r="BB292" s="1024">
        <v>65862.34</v>
      </c>
      <c r="BC292" s="1024">
        <v>75155.710000000006</v>
      </c>
      <c r="BD292" s="1024">
        <v>73543.51999999999</v>
      </c>
      <c r="BE292" s="1024">
        <v>66330.150000000009</v>
      </c>
      <c r="BF292" s="1024">
        <v>84863.73000000001</v>
      </c>
      <c r="BG292" s="1024">
        <v>73139.350000000006</v>
      </c>
      <c r="BH292" s="1024">
        <v>74834.889999999985</v>
      </c>
      <c r="BI292" s="1024">
        <v>71628.22</v>
      </c>
      <c r="BJ292" s="1024">
        <v>92240.97</v>
      </c>
      <c r="BK292" s="1024">
        <v>83862.720000000016</v>
      </c>
      <c r="BL292" s="1024">
        <v>95569.549999999988</v>
      </c>
      <c r="BM292" s="1024">
        <f t="shared" ref="BM292:BM305" si="232">SUM(BA292:BL292)</f>
        <v>919167.7899999998</v>
      </c>
      <c r="BN292" s="1024">
        <v>110576.67999999998</v>
      </c>
      <c r="BO292" s="1024">
        <v>127870.14999999997</v>
      </c>
      <c r="BP292" s="1024">
        <v>198469.09</v>
      </c>
      <c r="BQ292" s="1093">
        <f>151711.06*(25/30)</f>
        <v>126425.88333333333</v>
      </c>
      <c r="BR292" s="1093">
        <v>0</v>
      </c>
      <c r="BS292" s="1093">
        <v>0</v>
      </c>
      <c r="BT292" s="1093">
        <v>0</v>
      </c>
      <c r="BU292" s="1093"/>
      <c r="BV292" s="1093"/>
      <c r="BW292" s="1024"/>
      <c r="BX292" s="1024"/>
      <c r="BY292" s="1024"/>
      <c r="BZ292" s="1029">
        <f t="shared" ref="BZ292:BZ305" si="233">SUM(BN292:BY292)</f>
        <v>563341.80333333323</v>
      </c>
      <c r="CA292" s="1030">
        <f t="shared" ref="CA292:CA305" si="234">SUMIF(($M$1:$BZ$1),"Actual",(M292:BZ292))</f>
        <v>3169634.2133333338</v>
      </c>
      <c r="CB292" s="1023">
        <f t="shared" ref="CB292:CB305" si="235">SUMIF(($M$1:$BZ$1),"Forecast",(M292:BZ292))</f>
        <v>0</v>
      </c>
      <c r="CC292" s="1023">
        <f t="shared" ref="CC292:CC305" si="236">+CA292+CB292</f>
        <v>3169634.2133333338</v>
      </c>
      <c r="CD292" s="1023">
        <f t="shared" ref="CD292:CD305" si="237">+CC292-I292</f>
        <v>-1070767.4866666663</v>
      </c>
      <c r="CE292" s="1023">
        <v>3782908.3900000006</v>
      </c>
      <c r="CF292" s="1023">
        <f t="shared" ref="CF292:CF304" si="238">+CC292-CE292</f>
        <v>-613274.17666666675</v>
      </c>
      <c r="CG292" s="1029"/>
      <c r="CL292" s="976">
        <v>3527681.55</v>
      </c>
      <c r="CM292" s="976">
        <f t="shared" si="228"/>
        <v>358047.33666666597</v>
      </c>
    </row>
    <row r="293" spans="1:91" ht="12.75" customHeight="1" outlineLevel="1">
      <c r="A293" s="1091"/>
      <c r="B293" s="1184"/>
      <c r="C293" s="1185"/>
      <c r="D293" s="1185" t="s">
        <v>538</v>
      </c>
      <c r="E293" s="1186"/>
      <c r="F293" s="1023"/>
      <c r="G293" s="1023">
        <v>127053.35</v>
      </c>
      <c r="H293" s="1023"/>
      <c r="I293" s="1023">
        <v>127053.35</v>
      </c>
      <c r="J293" s="1019"/>
      <c r="K293" s="1020"/>
      <c r="L293" s="1021"/>
      <c r="M293" s="1022"/>
      <c r="N293" s="1023">
        <v>76.319999999999993</v>
      </c>
      <c r="O293" s="1024">
        <v>28</v>
      </c>
      <c r="P293" s="1024">
        <v>1326.9</v>
      </c>
      <c r="Q293" s="1024">
        <v>2.44</v>
      </c>
      <c r="R293" s="1024">
        <v>228.16</v>
      </c>
      <c r="S293" s="1024">
        <v>179.22</v>
      </c>
      <c r="T293" s="1024">
        <v>1902.57</v>
      </c>
      <c r="U293" s="1024">
        <v>304.86</v>
      </c>
      <c r="V293" s="1024">
        <v>1598.46</v>
      </c>
      <c r="W293" s="1024">
        <v>189.36</v>
      </c>
      <c r="X293" s="1024">
        <v>3891.46</v>
      </c>
      <c r="Y293" s="1024">
        <v>2598.27</v>
      </c>
      <c r="Z293" s="1025">
        <f t="shared" si="229"/>
        <v>12326.02</v>
      </c>
      <c r="AA293" s="1026">
        <v>396.36</v>
      </c>
      <c r="AB293" s="1027">
        <v>1132.46</v>
      </c>
      <c r="AC293" s="1027">
        <v>971.65</v>
      </c>
      <c r="AD293" s="1027">
        <v>1123.26</v>
      </c>
      <c r="AE293" s="1027">
        <v>2871.53</v>
      </c>
      <c r="AF293" s="1027">
        <v>4331.3</v>
      </c>
      <c r="AG293" s="1027">
        <v>12810.62</v>
      </c>
      <c r="AH293" s="1028">
        <v>3345.77</v>
      </c>
      <c r="AI293" s="1028">
        <v>2428.21</v>
      </c>
      <c r="AJ293" s="1028">
        <v>4006.36</v>
      </c>
      <c r="AK293" s="1028">
        <v>1579.17</v>
      </c>
      <c r="AL293" s="1028">
        <v>4588.83</v>
      </c>
      <c r="AM293" s="1025">
        <f t="shared" si="230"/>
        <v>39585.519999999997</v>
      </c>
      <c r="AN293" s="1024">
        <v>683.21</v>
      </c>
      <c r="AO293" s="1024">
        <v>12667.65</v>
      </c>
      <c r="AP293" s="1024">
        <v>2149.2600000000002</v>
      </c>
      <c r="AQ293" s="1024">
        <v>5222.88</v>
      </c>
      <c r="AR293" s="1024">
        <f>11402.79</f>
        <v>11402.79</v>
      </c>
      <c r="AS293" s="1024">
        <v>8571.4599999999991</v>
      </c>
      <c r="AT293" s="1024">
        <v>7246.74</v>
      </c>
      <c r="AU293" s="1024">
        <v>7430.94</v>
      </c>
      <c r="AV293" s="1024">
        <v>6198.24</v>
      </c>
      <c r="AW293" s="1024">
        <v>13568.64</v>
      </c>
      <c r="AX293" s="1024">
        <v>20499.09</v>
      </c>
      <c r="AY293" s="1024">
        <v>22657.21</v>
      </c>
      <c r="AZ293" s="1024">
        <f t="shared" si="231"/>
        <v>118298.10999999999</v>
      </c>
      <c r="BA293" s="1024">
        <v>4099.57</v>
      </c>
      <c r="BB293" s="1024">
        <v>7125.41</v>
      </c>
      <c r="BC293" s="1024">
        <v>11178.93</v>
      </c>
      <c r="BD293" s="1024">
        <v>13525.76</v>
      </c>
      <c r="BE293" s="1024">
        <f>4149.85</f>
        <v>4149.8500000000004</v>
      </c>
      <c r="BF293" s="1024">
        <v>11048.21</v>
      </c>
      <c r="BG293" s="1024">
        <v>8713.9699999999993</v>
      </c>
      <c r="BH293" s="1024">
        <f>8934.78+1448.48+179.05+8</f>
        <v>10570.31</v>
      </c>
      <c r="BI293" s="1024">
        <v>7166.57</v>
      </c>
      <c r="BJ293" s="1024">
        <f>10572.11+199.75</f>
        <v>10771.86</v>
      </c>
      <c r="BK293" s="1024">
        <v>9750.7000000000007</v>
      </c>
      <c r="BL293" s="1024">
        <f>12345.92+463.92+1499.04-5378.52</f>
        <v>8930.36</v>
      </c>
      <c r="BM293" s="1024">
        <f t="shared" si="232"/>
        <v>107031.49999999999</v>
      </c>
      <c r="BN293" s="1024">
        <f>3662.85+1558.33</f>
        <v>5221.18</v>
      </c>
      <c r="BO293" s="1024">
        <f>9891.14+432.66+1910.63</f>
        <v>12234.43</v>
      </c>
      <c r="BP293" s="1024">
        <f>8534.47+29112.36-2164.82</f>
        <v>35482.01</v>
      </c>
      <c r="BQ293" s="1093">
        <f>14616.21*(25/30)</f>
        <v>12180.174999999999</v>
      </c>
      <c r="BR293" s="1093">
        <v>0</v>
      </c>
      <c r="BS293" s="1024"/>
      <c r="BT293" s="1024"/>
      <c r="BU293" s="1024"/>
      <c r="BV293" s="1024"/>
      <c r="BW293" s="1024"/>
      <c r="BX293" s="1024"/>
      <c r="BY293" s="1024"/>
      <c r="BZ293" s="1029">
        <f t="shared" si="233"/>
        <v>65117.794999999998</v>
      </c>
      <c r="CA293" s="1030">
        <f t="shared" si="234"/>
        <v>342358.94500000001</v>
      </c>
      <c r="CB293" s="1024">
        <f t="shared" si="235"/>
        <v>0</v>
      </c>
      <c r="CC293" s="1023">
        <f t="shared" si="236"/>
        <v>342358.94500000001</v>
      </c>
      <c r="CD293" s="1023">
        <f t="shared" si="237"/>
        <v>215305.595</v>
      </c>
      <c r="CE293" s="1023">
        <v>344794.98000000004</v>
      </c>
      <c r="CF293" s="1023">
        <f t="shared" si="238"/>
        <v>-2436.0350000000326</v>
      </c>
      <c r="CG293" s="1029"/>
      <c r="CL293" s="976">
        <v>84037.33</v>
      </c>
      <c r="CM293" s="976">
        <f t="shared" si="228"/>
        <v>-258321.61499999999</v>
      </c>
    </row>
    <row r="294" spans="1:91" ht="12.75" customHeight="1" outlineLevel="1">
      <c r="A294" s="1091"/>
      <c r="B294" s="1184"/>
      <c r="C294" s="1185"/>
      <c r="D294" s="1185" t="s">
        <v>539</v>
      </c>
      <c r="E294" s="1186"/>
      <c r="F294" s="1023"/>
      <c r="G294" s="1023">
        <v>138361.95000000001</v>
      </c>
      <c r="H294" s="1023"/>
      <c r="I294" s="1023">
        <v>138361.95000000001</v>
      </c>
      <c r="J294" s="1019"/>
      <c r="K294" s="1020"/>
      <c r="L294" s="1021"/>
      <c r="M294" s="1022"/>
      <c r="N294" s="1023">
        <v>-2.63</v>
      </c>
      <c r="O294" s="1024">
        <v>0</v>
      </c>
      <c r="P294" s="1024">
        <v>0.01</v>
      </c>
      <c r="Q294" s="1024">
        <v>49.65</v>
      </c>
      <c r="R294" s="1024">
        <v>1.87</v>
      </c>
      <c r="S294" s="1024">
        <v>0.91</v>
      </c>
      <c r="T294" s="1024">
        <v>-20.28</v>
      </c>
      <c r="U294" s="1024">
        <v>66.94</v>
      </c>
      <c r="V294" s="1024">
        <v>7.47</v>
      </c>
      <c r="W294" s="1024">
        <v>52.96</v>
      </c>
      <c r="X294" s="1024">
        <v>1345.35</v>
      </c>
      <c r="Y294" s="1024">
        <v>248.82</v>
      </c>
      <c r="Z294" s="1025">
        <f t="shared" si="229"/>
        <v>1751.07</v>
      </c>
      <c r="AA294" s="1026">
        <v>654.16999999999996</v>
      </c>
      <c r="AB294" s="1027">
        <v>201.22</v>
      </c>
      <c r="AC294" s="1027">
        <v>36</v>
      </c>
      <c r="AD294" s="1027">
        <v>1612.92</v>
      </c>
      <c r="AE294" s="1027">
        <v>467.67</v>
      </c>
      <c r="AF294" s="1027">
        <v>12.5</v>
      </c>
      <c r="AG294" s="1027">
        <v>849.74</v>
      </c>
      <c r="AH294" s="1028">
        <v>945.75</v>
      </c>
      <c r="AI294" s="1028">
        <v>26201</v>
      </c>
      <c r="AJ294" s="1028">
        <v>23011.94</v>
      </c>
      <c r="AK294" s="1028">
        <v>17296.8</v>
      </c>
      <c r="AL294" s="1028">
        <v>22526.57</v>
      </c>
      <c r="AM294" s="1025">
        <f t="shared" si="230"/>
        <v>93816.28</v>
      </c>
      <c r="AN294" s="1024">
        <v>4041.01</v>
      </c>
      <c r="AO294" s="1024">
        <v>2657.1</v>
      </c>
      <c r="AP294" s="1024">
        <v>2809.9</v>
      </c>
      <c r="AQ294" s="1024">
        <v>3938.76</v>
      </c>
      <c r="AR294" s="1024">
        <v>21125.53</v>
      </c>
      <c r="AS294" s="1024">
        <v>2879.74</v>
      </c>
      <c r="AT294" s="1024">
        <v>3398.6</v>
      </c>
      <c r="AU294" s="1024">
        <v>380.8</v>
      </c>
      <c r="AV294" s="1024">
        <v>917.28</v>
      </c>
      <c r="AW294" s="1024">
        <v>645.88</v>
      </c>
      <c r="AX294" s="1024">
        <v>1680.18</v>
      </c>
      <c r="AY294" s="1024">
        <v>6384.17</v>
      </c>
      <c r="AZ294" s="1024">
        <f t="shared" si="231"/>
        <v>50858.95</v>
      </c>
      <c r="BA294" s="1024">
        <v>1039.7</v>
      </c>
      <c r="BB294" s="1024">
        <v>2069.48</v>
      </c>
      <c r="BC294" s="1024">
        <v>3335.62</v>
      </c>
      <c r="BD294" s="1024">
        <v>2338.64</v>
      </c>
      <c r="BE294" s="1024">
        <f>500+81.67+93.26-4.39+147.03</f>
        <v>817.56999999999994</v>
      </c>
      <c r="BF294" s="1024">
        <f>214799.67-213669+636.7</f>
        <v>1767.3700000000129</v>
      </c>
      <c r="BG294" s="1024">
        <v>11598.33</v>
      </c>
      <c r="BH294" s="1024"/>
      <c r="BI294" s="1024">
        <f>427516.23-419585.49</f>
        <v>7930.7399999999907</v>
      </c>
      <c r="BJ294" s="1024">
        <v>14610.21</v>
      </c>
      <c r="BK294" s="1024">
        <v>12570.55</v>
      </c>
      <c r="BL294" s="1024">
        <f>72081.04-43485.74</f>
        <v>28595.299999999996</v>
      </c>
      <c r="BM294" s="1024">
        <f t="shared" si="232"/>
        <v>86673.510000000009</v>
      </c>
      <c r="BN294" s="1024">
        <v>47713.46</v>
      </c>
      <c r="BO294" s="1024">
        <v>100494.15</v>
      </c>
      <c r="BP294" s="1024"/>
      <c r="BQ294" s="1093">
        <f>9952*(25/30)</f>
        <v>8293.3333333333339</v>
      </c>
      <c r="BR294" s="1093">
        <v>0</v>
      </c>
      <c r="BS294" s="1024"/>
      <c r="BT294" s="1024"/>
      <c r="BU294" s="1024"/>
      <c r="BV294" s="1024"/>
      <c r="BW294" s="1024"/>
      <c r="BX294" s="1024"/>
      <c r="BY294" s="1024"/>
      <c r="BZ294" s="1029">
        <f t="shared" si="233"/>
        <v>156500.94333333333</v>
      </c>
      <c r="CA294" s="1030">
        <f t="shared" si="234"/>
        <v>389600.75333333336</v>
      </c>
      <c r="CB294" s="1024">
        <f t="shared" si="235"/>
        <v>0</v>
      </c>
      <c r="CC294" s="1023">
        <f t="shared" si="236"/>
        <v>389600.75333333336</v>
      </c>
      <c r="CD294" s="1023">
        <f t="shared" si="237"/>
        <v>251238.80333333334</v>
      </c>
      <c r="CE294" s="1023">
        <v>391259.42000000004</v>
      </c>
      <c r="CF294" s="1023">
        <f t="shared" si="238"/>
        <v>-1658.6666666666861</v>
      </c>
      <c r="CG294" s="1029"/>
      <c r="CL294" s="976">
        <v>130139.65</v>
      </c>
      <c r="CM294" s="976">
        <f t="shared" si="228"/>
        <v>-259461.10333333336</v>
      </c>
    </row>
    <row r="295" spans="1:91" ht="12.75" customHeight="1" outlineLevel="1">
      <c r="A295" s="1091"/>
      <c r="B295" s="1184"/>
      <c r="C295" s="1185"/>
      <c r="D295" s="1185" t="s">
        <v>540</v>
      </c>
      <c r="E295" s="1186"/>
      <c r="F295" s="1023"/>
      <c r="G295" s="1023">
        <v>3878.7280000000014</v>
      </c>
      <c r="H295" s="1023"/>
      <c r="I295" s="1023">
        <v>3878.7280000000014</v>
      </c>
      <c r="J295" s="1019"/>
      <c r="K295" s="1020"/>
      <c r="L295" s="1021"/>
      <c r="M295" s="1022"/>
      <c r="N295" s="1023">
        <v>0</v>
      </c>
      <c r="O295" s="1024">
        <v>0</v>
      </c>
      <c r="P295" s="1024">
        <v>1.67</v>
      </c>
      <c r="Q295" s="1024">
        <v>2.94</v>
      </c>
      <c r="R295" s="1024">
        <v>0</v>
      </c>
      <c r="S295" s="1024">
        <v>0.1</v>
      </c>
      <c r="T295" s="1024">
        <v>1.28</v>
      </c>
      <c r="U295" s="1024">
        <v>0</v>
      </c>
      <c r="V295" s="1024">
        <v>40.33</v>
      </c>
      <c r="W295" s="1024">
        <v>73.760000000000005</v>
      </c>
      <c r="X295" s="1024">
        <v>15.14</v>
      </c>
      <c r="Y295" s="1024">
        <v>137.93</v>
      </c>
      <c r="Z295" s="1025">
        <f t="shared" si="229"/>
        <v>273.15000000000003</v>
      </c>
      <c r="AA295" s="1026">
        <v>58.24</v>
      </c>
      <c r="AB295" s="1027">
        <v>272.89</v>
      </c>
      <c r="AC295" s="1027">
        <v>325.93</v>
      </c>
      <c r="AD295" s="1027">
        <v>170.71</v>
      </c>
      <c r="AE295" s="1027">
        <v>227.94</v>
      </c>
      <c r="AF295" s="1027">
        <v>1762.21</v>
      </c>
      <c r="AG295" s="1027">
        <v>-1237.1099999999999</v>
      </c>
      <c r="AH295" s="1028">
        <v>737.65</v>
      </c>
      <c r="AI295" s="1028">
        <v>1291.23</v>
      </c>
      <c r="AJ295" s="1028">
        <v>-609.11199999999997</v>
      </c>
      <c r="AK295" s="1028">
        <v>789.82</v>
      </c>
      <c r="AL295" s="1028">
        <v>2113.88</v>
      </c>
      <c r="AM295" s="1025">
        <f t="shared" si="230"/>
        <v>5904.2780000000002</v>
      </c>
      <c r="AN295" s="1024">
        <v>-1277.06</v>
      </c>
      <c r="AO295" s="1024">
        <v>562.42999999999995</v>
      </c>
      <c r="AP295" s="1024">
        <v>3047.71</v>
      </c>
      <c r="AQ295" s="1024">
        <v>1093.26</v>
      </c>
      <c r="AR295" s="1024">
        <v>-7584.42</v>
      </c>
      <c r="AS295" s="1024">
        <v>167.33</v>
      </c>
      <c r="AT295" s="1024">
        <v>662.55</v>
      </c>
      <c r="AU295" s="1024">
        <v>123.93</v>
      </c>
      <c r="AV295" s="1024">
        <v>811.26</v>
      </c>
      <c r="AW295" s="1024">
        <v>94.31</v>
      </c>
      <c r="AX295" s="1024">
        <v>998.49</v>
      </c>
      <c r="AY295" s="1024">
        <v>920.41</v>
      </c>
      <c r="AZ295" s="1024">
        <f t="shared" si="231"/>
        <v>-379.8000000000003</v>
      </c>
      <c r="BA295" s="1024">
        <v>303.12</v>
      </c>
      <c r="BB295" s="1024">
        <v>967.69</v>
      </c>
      <c r="BC295" s="1024">
        <v>984.05</v>
      </c>
      <c r="BD295" s="1024">
        <v>-511.59</v>
      </c>
      <c r="BE295" s="1024">
        <f>727.72</f>
        <v>727.72</v>
      </c>
      <c r="BF295" s="1024">
        <v>12224.35</v>
      </c>
      <c r="BG295" s="1024">
        <v>-9979.99</v>
      </c>
      <c r="BH295" s="1024"/>
      <c r="BI295" s="1024">
        <v>2414.27</v>
      </c>
      <c r="BJ295" s="1024">
        <v>-1101.6400000000001</v>
      </c>
      <c r="BK295" s="1024">
        <v>667.19</v>
      </c>
      <c r="BL295" s="1024">
        <v>2375.1999999999998</v>
      </c>
      <c r="BM295" s="1024">
        <f t="shared" si="232"/>
        <v>9070.369999999999</v>
      </c>
      <c r="BN295" s="1024">
        <v>-1481.26</v>
      </c>
      <c r="BO295" s="1024">
        <v>1076.18</v>
      </c>
      <c r="BP295" s="1024">
        <v>3877.04</v>
      </c>
      <c r="BQ295" s="1093">
        <f>-2259.57*(25/30)</f>
        <v>-1882.9750000000001</v>
      </c>
      <c r="BR295" s="1093">
        <v>0</v>
      </c>
      <c r="BS295" s="1024"/>
      <c r="BT295" s="1024"/>
      <c r="BU295" s="1024"/>
      <c r="BV295" s="1024"/>
      <c r="BW295" s="1024"/>
      <c r="BX295" s="1024"/>
      <c r="BY295" s="1024"/>
      <c r="BZ295" s="1029">
        <f t="shared" si="233"/>
        <v>1588.9849999999999</v>
      </c>
      <c r="CA295" s="1030">
        <f t="shared" si="234"/>
        <v>16456.983000000004</v>
      </c>
      <c r="CB295" s="1024">
        <f t="shared" si="235"/>
        <v>0</v>
      </c>
      <c r="CC295" s="1023">
        <f t="shared" si="236"/>
        <v>16456.983000000004</v>
      </c>
      <c r="CD295" s="1023">
        <f t="shared" si="237"/>
        <v>12578.255000000003</v>
      </c>
      <c r="CE295" s="1023">
        <v>16080.388000000003</v>
      </c>
      <c r="CF295" s="1023">
        <f t="shared" si="238"/>
        <v>376.59500000000116</v>
      </c>
      <c r="CG295" s="1029"/>
      <c r="CL295" s="976">
        <v>2019.3480000000018</v>
      </c>
      <c r="CM295" s="976">
        <f t="shared" si="228"/>
        <v>-14437.635000000002</v>
      </c>
    </row>
    <row r="296" spans="1:91" ht="12.75" customHeight="1" outlineLevel="1">
      <c r="A296" s="1091"/>
      <c r="B296" s="1184"/>
      <c r="C296" s="1185"/>
      <c r="D296" s="1185" t="s">
        <v>541</v>
      </c>
      <c r="E296" s="1186"/>
      <c r="F296" s="1023"/>
      <c r="G296" s="1023">
        <v>34791.14</v>
      </c>
      <c r="H296" s="1023"/>
      <c r="I296" s="1023">
        <v>34791.14</v>
      </c>
      <c r="J296" s="1019"/>
      <c r="K296" s="1020"/>
      <c r="L296" s="1021"/>
      <c r="M296" s="1022"/>
      <c r="N296" s="1023">
        <v>0</v>
      </c>
      <c r="O296" s="1024">
        <v>0</v>
      </c>
      <c r="P296" s="1024"/>
      <c r="Q296" s="1024"/>
      <c r="R296" s="1024">
        <v>0</v>
      </c>
      <c r="S296" s="1024"/>
      <c r="T296" s="1024"/>
      <c r="U296" s="1024">
        <v>0</v>
      </c>
      <c r="V296" s="1024"/>
      <c r="W296" s="1024"/>
      <c r="X296" s="1024"/>
      <c r="Y296" s="1024"/>
      <c r="Z296" s="1025">
        <f t="shared" si="229"/>
        <v>0</v>
      </c>
      <c r="AA296" s="1026"/>
      <c r="AB296" s="1027"/>
      <c r="AC296" s="1027"/>
      <c r="AD296" s="1027"/>
      <c r="AE296" s="1027"/>
      <c r="AF296" s="1027"/>
      <c r="AG296" s="1027"/>
      <c r="AH296" s="1028"/>
      <c r="AI296" s="1028"/>
      <c r="AJ296" s="1028"/>
      <c r="AK296" s="1028"/>
      <c r="AL296" s="1028"/>
      <c r="AM296" s="1025">
        <f t="shared" si="230"/>
        <v>0</v>
      </c>
      <c r="AN296" s="1024"/>
      <c r="AO296" s="1024"/>
      <c r="AP296" s="1024">
        <v>94.17</v>
      </c>
      <c r="AQ296" s="1024">
        <v>1.97</v>
      </c>
      <c r="AR296" s="1024">
        <v>34695</v>
      </c>
      <c r="AS296" s="1024"/>
      <c r="AT296" s="1024"/>
      <c r="AU296" s="1024"/>
      <c r="AV296" s="1024"/>
      <c r="AW296" s="1024"/>
      <c r="AX296" s="1024"/>
      <c r="AY296" s="1024">
        <v>0.92</v>
      </c>
      <c r="AZ296" s="1024">
        <f t="shared" si="231"/>
        <v>34792.06</v>
      </c>
      <c r="BA296" s="1024"/>
      <c r="BB296" s="1024"/>
      <c r="BC296" s="1024"/>
      <c r="BD296" s="1024">
        <v>5612</v>
      </c>
      <c r="BE296" s="1024"/>
      <c r="BF296" s="1024"/>
      <c r="BG296" s="1024"/>
      <c r="BH296" s="1024"/>
      <c r="BI296" s="1024"/>
      <c r="BJ296" s="1024"/>
      <c r="BK296" s="1024"/>
      <c r="BL296" s="1024">
        <v>2.44</v>
      </c>
      <c r="BM296" s="1024">
        <f t="shared" si="232"/>
        <v>5614.44</v>
      </c>
      <c r="BN296" s="1024">
        <v>9.2200000000000006</v>
      </c>
      <c r="BO296" s="1024">
        <v>29.41</v>
      </c>
      <c r="BP296" s="1024">
        <v>36.56</v>
      </c>
      <c r="BQ296" s="1093"/>
      <c r="BR296" s="1024"/>
      <c r="BS296" s="1024"/>
      <c r="BT296" s="1024"/>
      <c r="BU296" s="1024"/>
      <c r="BV296" s="1024"/>
      <c r="BW296" s="1024"/>
      <c r="BX296" s="1024"/>
      <c r="BY296" s="1024"/>
      <c r="BZ296" s="1029">
        <f t="shared" si="233"/>
        <v>75.19</v>
      </c>
      <c r="CA296" s="1030">
        <f t="shared" si="234"/>
        <v>40481.69</v>
      </c>
      <c r="CB296" s="1024">
        <f t="shared" si="235"/>
        <v>0</v>
      </c>
      <c r="CC296" s="1023">
        <f t="shared" si="236"/>
        <v>40481.69</v>
      </c>
      <c r="CD296" s="1023">
        <f t="shared" si="237"/>
        <v>5690.5500000000029</v>
      </c>
      <c r="CE296" s="1023">
        <v>40481.69</v>
      </c>
      <c r="CF296" s="1023">
        <f t="shared" si="238"/>
        <v>0</v>
      </c>
      <c r="CG296" s="1029"/>
      <c r="CL296" s="976">
        <v>34791.14</v>
      </c>
      <c r="CM296" s="976">
        <f t="shared" si="228"/>
        <v>-5690.5500000000029</v>
      </c>
    </row>
    <row r="297" spans="1:91" ht="12.75" customHeight="1" outlineLevel="1">
      <c r="A297" s="1091"/>
      <c r="B297" s="1184"/>
      <c r="C297" s="1185"/>
      <c r="D297" s="1185" t="s">
        <v>542</v>
      </c>
      <c r="E297" s="1186"/>
      <c r="F297" s="1023"/>
      <c r="G297" s="1023">
        <v>865.88</v>
      </c>
      <c r="H297" s="1023"/>
      <c r="I297" s="1023">
        <v>865.88</v>
      </c>
      <c r="J297" s="1019"/>
      <c r="K297" s="1020"/>
      <c r="L297" s="1021"/>
      <c r="M297" s="1022"/>
      <c r="N297" s="1023">
        <v>6.39</v>
      </c>
      <c r="O297" s="1024">
        <v>0</v>
      </c>
      <c r="P297" s="1024">
        <v>0</v>
      </c>
      <c r="Q297" s="1024">
        <v>8.93</v>
      </c>
      <c r="R297" s="1024">
        <v>0</v>
      </c>
      <c r="S297" s="1024">
        <v>0</v>
      </c>
      <c r="T297" s="1024">
        <v>0.08</v>
      </c>
      <c r="U297" s="1024">
        <v>0</v>
      </c>
      <c r="V297" s="1024">
        <v>0.17</v>
      </c>
      <c r="W297" s="1024">
        <v>0</v>
      </c>
      <c r="X297" s="1024">
        <v>0</v>
      </c>
      <c r="Y297" s="1024">
        <v>0</v>
      </c>
      <c r="Z297" s="1025">
        <f t="shared" si="229"/>
        <v>15.57</v>
      </c>
      <c r="AA297" s="1026">
        <v>0</v>
      </c>
      <c r="AB297" s="1027">
        <v>53.86</v>
      </c>
      <c r="AC297" s="1027">
        <v>8.57</v>
      </c>
      <c r="AD297" s="1027">
        <v>0</v>
      </c>
      <c r="AE297" s="1027">
        <v>14.02</v>
      </c>
      <c r="AF297" s="1027">
        <v>0</v>
      </c>
      <c r="AG297" s="1027">
        <v>0</v>
      </c>
      <c r="AH297" s="1028">
        <v>176.41</v>
      </c>
      <c r="AI297" s="1028"/>
      <c r="AJ297" s="1028"/>
      <c r="AK297" s="1028"/>
      <c r="AL297" s="1028"/>
      <c r="AM297" s="1025">
        <f t="shared" si="230"/>
        <v>252.86</v>
      </c>
      <c r="AN297" s="1024">
        <v>29.98</v>
      </c>
      <c r="AO297" s="1024">
        <v>1.97</v>
      </c>
      <c r="AP297" s="1024">
        <v>73.39</v>
      </c>
      <c r="AQ297" s="1024">
        <v>156.55000000000001</v>
      </c>
      <c r="AR297" s="1024"/>
      <c r="AS297" s="1024">
        <v>20.69</v>
      </c>
      <c r="AT297" s="1024">
        <v>79.84</v>
      </c>
      <c r="AU297" s="1024">
        <v>31.44</v>
      </c>
      <c r="AV297" s="1024">
        <v>54.54</v>
      </c>
      <c r="AW297" s="1024">
        <v>149.05000000000001</v>
      </c>
      <c r="AX297" s="1024">
        <v>1.68</v>
      </c>
      <c r="AY297" s="1024">
        <v>113.99</v>
      </c>
      <c r="AZ297" s="1024">
        <f t="shared" si="231"/>
        <v>713.12</v>
      </c>
      <c r="BA297" s="1024">
        <v>0.37</v>
      </c>
      <c r="BB297" s="1024">
        <v>462.74</v>
      </c>
      <c r="BC297" s="1024"/>
      <c r="BD297" s="1024"/>
      <c r="BE297" s="1024">
        <v>1.4</v>
      </c>
      <c r="BF297" s="1024">
        <v>3.56</v>
      </c>
      <c r="BG297" s="1024">
        <v>38.44</v>
      </c>
      <c r="BH297" s="1024"/>
      <c r="BI297" s="1024">
        <v>128.19</v>
      </c>
      <c r="BJ297" s="1024">
        <v>205.51</v>
      </c>
      <c r="BK297" s="1024"/>
      <c r="BL297" s="1024"/>
      <c r="BM297" s="1024">
        <f t="shared" si="232"/>
        <v>840.21</v>
      </c>
      <c r="BN297" s="1024"/>
      <c r="BO297" s="1024">
        <v>0.54</v>
      </c>
      <c r="BP297" s="1024">
        <v>65.08</v>
      </c>
      <c r="BQ297" s="1093">
        <f>33.22*(25/30)</f>
        <v>27.683333333333334</v>
      </c>
      <c r="BR297" s="1024"/>
      <c r="BS297" s="1024"/>
      <c r="BT297" s="1024"/>
      <c r="BU297" s="1024"/>
      <c r="BV297" s="1024"/>
      <c r="BW297" s="1024"/>
      <c r="BX297" s="1024"/>
      <c r="BY297" s="1024"/>
      <c r="BZ297" s="1029">
        <f t="shared" si="233"/>
        <v>93.303333333333342</v>
      </c>
      <c r="CA297" s="1030">
        <f t="shared" si="234"/>
        <v>1915.0633333333335</v>
      </c>
      <c r="CB297" s="1024">
        <f t="shared" si="235"/>
        <v>0</v>
      </c>
      <c r="CC297" s="1023">
        <f t="shared" si="236"/>
        <v>1915.0633333333335</v>
      </c>
      <c r="CD297" s="1023">
        <f t="shared" si="237"/>
        <v>1049.1833333333334</v>
      </c>
      <c r="CE297" s="1023">
        <v>1920.6000000000001</v>
      </c>
      <c r="CF297" s="1023">
        <f t="shared" si="238"/>
        <v>-5.5366666666666333</v>
      </c>
      <c r="CG297" s="1029"/>
      <c r="CL297" s="976">
        <v>530.32000000000005</v>
      </c>
      <c r="CM297" s="976">
        <f t="shared" si="228"/>
        <v>-1384.7433333333333</v>
      </c>
    </row>
    <row r="298" spans="1:91" ht="12.75" customHeight="1" outlineLevel="1">
      <c r="A298" s="1091"/>
      <c r="B298" s="1184"/>
      <c r="C298" s="1185"/>
      <c r="D298" s="1185" t="s">
        <v>544</v>
      </c>
      <c r="E298" s="1186"/>
      <c r="F298" s="1023"/>
      <c r="G298" s="1023">
        <v>14670.44</v>
      </c>
      <c r="H298" s="1023"/>
      <c r="I298" s="1023">
        <v>14670.44</v>
      </c>
      <c r="J298" s="1019"/>
      <c r="K298" s="1020"/>
      <c r="L298" s="1021"/>
      <c r="M298" s="1022"/>
      <c r="N298" s="1023">
        <v>0</v>
      </c>
      <c r="O298" s="1024">
        <v>0</v>
      </c>
      <c r="P298" s="1024">
        <v>0</v>
      </c>
      <c r="Q298" s="1024">
        <v>0</v>
      </c>
      <c r="R298" s="1024">
        <v>1.59</v>
      </c>
      <c r="S298" s="1024">
        <v>10.17</v>
      </c>
      <c r="T298" s="1024">
        <v>17.350000000000001</v>
      </c>
      <c r="U298" s="1024">
        <v>22.29</v>
      </c>
      <c r="V298" s="1024">
        <v>424.8</v>
      </c>
      <c r="W298" s="1024">
        <v>783.5</v>
      </c>
      <c r="X298" s="1024">
        <v>30.81</v>
      </c>
      <c r="Y298" s="1024">
        <v>237.88</v>
      </c>
      <c r="Z298" s="1025">
        <f t="shared" si="229"/>
        <v>1528.3899999999999</v>
      </c>
      <c r="AA298" s="1026">
        <v>0</v>
      </c>
      <c r="AB298" s="1027">
        <v>127.95</v>
      </c>
      <c r="AC298" s="1027">
        <v>97.32</v>
      </c>
      <c r="AD298" s="1027">
        <v>65.040000000000006</v>
      </c>
      <c r="AE298" s="1027">
        <v>27.66</v>
      </c>
      <c r="AF298" s="1027">
        <v>1.7</v>
      </c>
      <c r="AG298" s="1027">
        <v>54.23</v>
      </c>
      <c r="AH298" s="1028">
        <v>203.5</v>
      </c>
      <c r="AI298" s="1028">
        <v>292.83999999999997</v>
      </c>
      <c r="AJ298" s="1028">
        <v>138.58000000000001</v>
      </c>
      <c r="AK298" s="1028">
        <v>57.27</v>
      </c>
      <c r="AL298" s="1028">
        <v>459.55</v>
      </c>
      <c r="AM298" s="1025">
        <f t="shared" si="230"/>
        <v>1525.64</v>
      </c>
      <c r="AN298" s="1024">
        <v>209.93</v>
      </c>
      <c r="AO298" s="1024">
        <v>341.82</v>
      </c>
      <c r="AP298" s="1024">
        <v>227.49</v>
      </c>
      <c r="AQ298" s="1024">
        <v>3067.84</v>
      </c>
      <c r="AR298" s="1024">
        <v>1926.99</v>
      </c>
      <c r="AS298" s="1024">
        <v>3362.06</v>
      </c>
      <c r="AT298" s="1024">
        <v>1395.99</v>
      </c>
      <c r="AU298" s="1024">
        <v>296.42</v>
      </c>
      <c r="AV298" s="1024">
        <v>476.46</v>
      </c>
      <c r="AW298" s="1024">
        <v>311.41000000000003</v>
      </c>
      <c r="AX298" s="1024">
        <v>54.33</v>
      </c>
      <c r="AY298" s="1024">
        <v>295.55</v>
      </c>
      <c r="AZ298" s="1024">
        <f t="shared" si="231"/>
        <v>11966.289999999997</v>
      </c>
      <c r="BA298" s="1024">
        <v>207.24</v>
      </c>
      <c r="BB298" s="1024">
        <v>941.71</v>
      </c>
      <c r="BC298" s="1024">
        <v>508.78</v>
      </c>
      <c r="BD298" s="1024">
        <v>1756.19</v>
      </c>
      <c r="BE298" s="1024">
        <v>1389.61</v>
      </c>
      <c r="BF298" s="1024">
        <v>1462.95</v>
      </c>
      <c r="BG298" s="1024">
        <v>1483.63</v>
      </c>
      <c r="BH298" s="1024">
        <v>1357.26</v>
      </c>
      <c r="BI298" s="1024">
        <v>489.88</v>
      </c>
      <c r="BJ298" s="1024">
        <v>609.14</v>
      </c>
      <c r="BK298" s="1024">
        <v>1298.31</v>
      </c>
      <c r="BL298" s="1024">
        <v>160.28</v>
      </c>
      <c r="BM298" s="1024">
        <f t="shared" si="232"/>
        <v>11664.979999999998</v>
      </c>
      <c r="BN298" s="1024">
        <v>71.790000000000006</v>
      </c>
      <c r="BO298" s="1024">
        <v>766.07</v>
      </c>
      <c r="BP298" s="1024">
        <v>1816.78</v>
      </c>
      <c r="BQ298" s="1093">
        <f>338.57*(25/30)</f>
        <v>282.14166666666665</v>
      </c>
      <c r="BR298" s="1093">
        <v>0</v>
      </c>
      <c r="BS298" s="1024"/>
      <c r="BT298" s="1024"/>
      <c r="BU298" s="1024"/>
      <c r="BV298" s="1024"/>
      <c r="BW298" s="1024"/>
      <c r="BX298" s="1024"/>
      <c r="BY298" s="1024"/>
      <c r="BZ298" s="1029">
        <f t="shared" si="233"/>
        <v>2936.7816666666668</v>
      </c>
      <c r="CA298" s="1030">
        <f t="shared" si="234"/>
        <v>29622.081666666661</v>
      </c>
      <c r="CB298" s="1031">
        <f t="shared" si="235"/>
        <v>0</v>
      </c>
      <c r="CC298" s="1023">
        <f t="shared" si="236"/>
        <v>29622.081666666661</v>
      </c>
      <c r="CD298" s="1023">
        <f t="shared" si="237"/>
        <v>14951.641666666661</v>
      </c>
      <c r="CE298" s="1023">
        <v>29678.509999999995</v>
      </c>
      <c r="CF298" s="1023">
        <f t="shared" si="238"/>
        <v>-56.428333333333285</v>
      </c>
      <c r="CG298" s="1029"/>
      <c r="CL298" s="976">
        <v>8828.1</v>
      </c>
      <c r="CM298" s="976">
        <f t="shared" si="228"/>
        <v>-20793.981666666659</v>
      </c>
    </row>
    <row r="299" spans="1:91" ht="12.75" customHeight="1" outlineLevel="1">
      <c r="A299" s="1091"/>
      <c r="B299" s="1184"/>
      <c r="C299" s="1185"/>
      <c r="D299" s="1185" t="s">
        <v>545</v>
      </c>
      <c r="E299" s="1186"/>
      <c r="F299" s="1023"/>
      <c r="G299" s="1023">
        <v>35149.26</v>
      </c>
      <c r="H299" s="1023"/>
      <c r="I299" s="1023">
        <v>35149.26</v>
      </c>
      <c r="J299" s="1019"/>
      <c r="K299" s="1020"/>
      <c r="L299" s="1021"/>
      <c r="M299" s="1022"/>
      <c r="N299" s="1023">
        <v>32.07</v>
      </c>
      <c r="O299" s="1024">
        <v>57.25</v>
      </c>
      <c r="P299" s="1024">
        <v>0.1</v>
      </c>
      <c r="Q299" s="1024">
        <v>52.85</v>
      </c>
      <c r="R299" s="1024">
        <v>34.299999999999997</v>
      </c>
      <c r="S299" s="1024">
        <v>21.98</v>
      </c>
      <c r="T299" s="1024">
        <v>142.6</v>
      </c>
      <c r="U299" s="1024">
        <v>135.22</v>
      </c>
      <c r="V299" s="1024">
        <v>342.72</v>
      </c>
      <c r="W299" s="1024">
        <v>345.22</v>
      </c>
      <c r="X299" s="1024">
        <v>361.89</v>
      </c>
      <c r="Y299" s="1024">
        <v>1021.45</v>
      </c>
      <c r="Z299" s="1025">
        <f t="shared" si="229"/>
        <v>2547.6499999999996</v>
      </c>
      <c r="AA299" s="1026">
        <v>625.20000000000005</v>
      </c>
      <c r="AB299" s="1027">
        <v>501.41</v>
      </c>
      <c r="AC299" s="1027">
        <v>700.97</v>
      </c>
      <c r="AD299" s="1027">
        <v>606.65</v>
      </c>
      <c r="AE299" s="1027">
        <v>1481.51</v>
      </c>
      <c r="AF299" s="1027">
        <v>2259.73</v>
      </c>
      <c r="AG299" s="1027">
        <v>2122.9499999999998</v>
      </c>
      <c r="AH299" s="1028">
        <v>2119.1799999999998</v>
      </c>
      <c r="AI299" s="1028">
        <v>2823.3</v>
      </c>
      <c r="AJ299" s="1028">
        <v>1368.89</v>
      </c>
      <c r="AK299" s="1028">
        <v>3871.95</v>
      </c>
      <c r="AL299" s="1028">
        <v>1883</v>
      </c>
      <c r="AM299" s="1025">
        <f t="shared" si="230"/>
        <v>20364.739999999998</v>
      </c>
      <c r="AN299" s="1024">
        <v>96.41</v>
      </c>
      <c r="AO299" s="1024">
        <v>1034.92</v>
      </c>
      <c r="AP299" s="1024">
        <v>1632.47</v>
      </c>
      <c r="AQ299" s="1024">
        <v>2272.92</v>
      </c>
      <c r="AR299" s="1024">
        <v>1073.28</v>
      </c>
      <c r="AS299" s="1024">
        <v>962.58</v>
      </c>
      <c r="AT299" s="1024">
        <v>597.36</v>
      </c>
      <c r="AU299" s="1024">
        <v>842.41</v>
      </c>
      <c r="AV299" s="1024">
        <v>2434.54</v>
      </c>
      <c r="AW299" s="1024">
        <v>1289.98</v>
      </c>
      <c r="AX299" s="1024">
        <v>2053.9499999999998</v>
      </c>
      <c r="AY299" s="1024">
        <v>1867</v>
      </c>
      <c r="AZ299" s="1024">
        <f t="shared" si="231"/>
        <v>16157.82</v>
      </c>
      <c r="BA299" s="1024">
        <v>1285.3699999999999</v>
      </c>
      <c r="BB299" s="1024">
        <v>488.33</v>
      </c>
      <c r="BC299" s="1024">
        <v>1868.14</v>
      </c>
      <c r="BD299" s="1024">
        <v>1966.87</v>
      </c>
      <c r="BE299" s="1024">
        <v>1579.56</v>
      </c>
      <c r="BF299" s="1024">
        <v>894.84</v>
      </c>
      <c r="BG299" s="1024">
        <v>910.19</v>
      </c>
      <c r="BH299" s="1024">
        <v>930.1</v>
      </c>
      <c r="BI299" s="1024">
        <v>1272.68</v>
      </c>
      <c r="BJ299" s="1024">
        <v>1747.86</v>
      </c>
      <c r="BK299" s="1024">
        <v>1595</v>
      </c>
      <c r="BL299" s="1024">
        <v>2367.11</v>
      </c>
      <c r="BM299" s="1024">
        <f t="shared" si="232"/>
        <v>16906.050000000003</v>
      </c>
      <c r="BN299" s="1024">
        <v>1348.27</v>
      </c>
      <c r="BO299" s="1024">
        <v>1272.23</v>
      </c>
      <c r="BP299" s="1024">
        <v>1610.84</v>
      </c>
      <c r="BQ299" s="1093">
        <f>3382.21*(25/30)</f>
        <v>2818.5083333333337</v>
      </c>
      <c r="BR299" s="1093">
        <v>0</v>
      </c>
      <c r="BS299" s="1024"/>
      <c r="BT299" s="1024"/>
      <c r="BU299" s="1024"/>
      <c r="BV299" s="1024"/>
      <c r="BW299" s="1024"/>
      <c r="BX299" s="1024"/>
      <c r="BY299" s="1024"/>
      <c r="BZ299" s="1029">
        <f t="shared" si="233"/>
        <v>7049.8483333333334</v>
      </c>
      <c r="CA299" s="1030">
        <f t="shared" si="234"/>
        <v>63026.10833333333</v>
      </c>
      <c r="CB299" s="1031">
        <f t="shared" si="235"/>
        <v>0</v>
      </c>
      <c r="CC299" s="1023">
        <f t="shared" si="236"/>
        <v>63026.10833333333</v>
      </c>
      <c r="CD299" s="1023">
        <f t="shared" si="237"/>
        <v>27876.848333333328</v>
      </c>
      <c r="CE299" s="1023">
        <v>63589.81</v>
      </c>
      <c r="CF299" s="1023">
        <f t="shared" si="238"/>
        <v>-563.70166666666773</v>
      </c>
      <c r="CG299" s="1029"/>
      <c r="CL299" s="976">
        <v>29022.39</v>
      </c>
      <c r="CM299" s="976">
        <f t="shared" si="228"/>
        <v>-34003.718333333331</v>
      </c>
    </row>
    <row r="300" spans="1:91" ht="12.75" customHeight="1" outlineLevel="1">
      <c r="A300" s="1091"/>
      <c r="B300" s="1184"/>
      <c r="C300" s="1185"/>
      <c r="D300" s="1185" t="s">
        <v>546</v>
      </c>
      <c r="E300" s="1186"/>
      <c r="F300" s="1023"/>
      <c r="G300" s="1023">
        <v>10178.6</v>
      </c>
      <c r="H300" s="1023"/>
      <c r="I300" s="1023">
        <v>10178.6</v>
      </c>
      <c r="J300" s="1019"/>
      <c r="K300" s="1020"/>
      <c r="L300" s="1021"/>
      <c r="M300" s="1022"/>
      <c r="N300" s="1023"/>
      <c r="O300" s="1024"/>
      <c r="P300" s="1024"/>
      <c r="Q300" s="1024"/>
      <c r="R300" s="1024"/>
      <c r="S300" s="1024"/>
      <c r="T300" s="1024"/>
      <c r="U300" s="1024"/>
      <c r="V300" s="1024"/>
      <c r="W300" s="1024"/>
      <c r="X300" s="1024"/>
      <c r="Y300" s="1024"/>
      <c r="Z300" s="1025">
        <f t="shared" si="229"/>
        <v>0</v>
      </c>
      <c r="AA300" s="1026"/>
      <c r="AB300" s="1027"/>
      <c r="AC300" s="1027"/>
      <c r="AD300" s="1027"/>
      <c r="AE300" s="1027"/>
      <c r="AF300" s="1027"/>
      <c r="AG300" s="1027"/>
      <c r="AH300" s="1028"/>
      <c r="AI300" s="1028"/>
      <c r="AJ300" s="1028"/>
      <c r="AK300" s="1028"/>
      <c r="AL300" s="1028"/>
      <c r="AM300" s="1025">
        <f t="shared" si="230"/>
        <v>0</v>
      </c>
      <c r="AN300" s="1024">
        <v>827.71</v>
      </c>
      <c r="AO300" s="1024">
        <v>625.39</v>
      </c>
      <c r="AP300" s="1024">
        <v>1361.37</v>
      </c>
      <c r="AQ300" s="1024">
        <v>1372.06</v>
      </c>
      <c r="AR300" s="1024">
        <v>957.94</v>
      </c>
      <c r="AS300" s="1024">
        <v>862.95</v>
      </c>
      <c r="AT300" s="1024">
        <v>675.26</v>
      </c>
      <c r="AU300" s="1024">
        <v>1211.0899999999999</v>
      </c>
      <c r="AV300" s="1024">
        <v>892.25</v>
      </c>
      <c r="AW300" s="1024">
        <v>1392.58</v>
      </c>
      <c r="AX300" s="1024">
        <v>1062.8599999999999</v>
      </c>
      <c r="AY300" s="1024">
        <v>1385.66</v>
      </c>
      <c r="AZ300" s="1024">
        <f t="shared" si="231"/>
        <v>12627.12</v>
      </c>
      <c r="BA300" s="1024">
        <v>1034.98</v>
      </c>
      <c r="BB300" s="1024">
        <v>1001.81</v>
      </c>
      <c r="BC300" s="1024">
        <v>1248.22</v>
      </c>
      <c r="BD300" s="1024">
        <v>991.41</v>
      </c>
      <c r="BE300" s="1024">
        <v>1012.95</v>
      </c>
      <c r="BF300" s="1024">
        <v>2834.16</v>
      </c>
      <c r="BG300" s="1024">
        <v>500.38</v>
      </c>
      <c r="BH300" s="1024">
        <v>958.61</v>
      </c>
      <c r="BI300" s="1024">
        <v>1254</v>
      </c>
      <c r="BJ300" s="1024">
        <v>1073.6199999999999</v>
      </c>
      <c r="BK300" s="1024">
        <v>1101.56</v>
      </c>
      <c r="BL300" s="1024">
        <v>1135.03</v>
      </c>
      <c r="BM300" s="1024">
        <f t="shared" si="232"/>
        <v>14146.73</v>
      </c>
      <c r="BN300" s="1024">
        <v>999.16</v>
      </c>
      <c r="BO300" s="1024"/>
      <c r="BP300" s="1024">
        <v>1647.61</v>
      </c>
      <c r="BQ300" s="1093">
        <f>1578.07*(25/30)</f>
        <v>1315.0583333333334</v>
      </c>
      <c r="BR300" s="1093">
        <v>0</v>
      </c>
      <c r="BS300" s="1024"/>
      <c r="BT300" s="1024"/>
      <c r="BU300" s="1024"/>
      <c r="BV300" s="1024"/>
      <c r="BW300" s="1024"/>
      <c r="BX300" s="1024"/>
      <c r="BY300" s="1024"/>
      <c r="BZ300" s="1029">
        <f t="shared" si="233"/>
        <v>3961.8283333333334</v>
      </c>
      <c r="CA300" s="1030">
        <f t="shared" si="234"/>
        <v>30735.678333333337</v>
      </c>
      <c r="CB300" s="1031">
        <f t="shared" si="235"/>
        <v>0</v>
      </c>
      <c r="CC300" s="1023">
        <f t="shared" si="236"/>
        <v>30735.678333333337</v>
      </c>
      <c r="CD300" s="1023">
        <f t="shared" si="237"/>
        <v>20557.078333333338</v>
      </c>
      <c r="CE300" s="1023">
        <v>30998.690000000002</v>
      </c>
      <c r="CF300" s="1023">
        <f t="shared" si="238"/>
        <v>-263.01166666666541</v>
      </c>
      <c r="CG300" s="1029"/>
      <c r="CL300" s="976">
        <v>5144.47</v>
      </c>
      <c r="CM300" s="976">
        <f t="shared" si="228"/>
        <v>-25591.208333333336</v>
      </c>
    </row>
    <row r="301" spans="1:91" ht="12.75" customHeight="1" outlineLevel="1">
      <c r="A301" s="1091"/>
      <c r="B301" s="1184"/>
      <c r="C301" s="1185"/>
      <c r="D301" s="1185" t="s">
        <v>547</v>
      </c>
      <c r="E301" s="1186"/>
      <c r="F301" s="1023"/>
      <c r="G301" s="1023">
        <v>46185.3</v>
      </c>
      <c r="H301" s="1023"/>
      <c r="I301" s="1023">
        <v>46185.3</v>
      </c>
      <c r="J301" s="1019"/>
      <c r="K301" s="1020"/>
      <c r="L301" s="1021"/>
      <c r="M301" s="1022"/>
      <c r="N301" s="1023">
        <v>0</v>
      </c>
      <c r="O301" s="1024">
        <v>0</v>
      </c>
      <c r="P301" s="1024">
        <v>0</v>
      </c>
      <c r="Q301" s="1024">
        <v>0</v>
      </c>
      <c r="R301" s="1024">
        <v>0</v>
      </c>
      <c r="S301" s="1024">
        <v>0</v>
      </c>
      <c r="T301" s="1024">
        <v>0</v>
      </c>
      <c r="U301" s="1024">
        <v>0</v>
      </c>
      <c r="V301" s="1024">
        <v>0</v>
      </c>
      <c r="W301" s="1024">
        <v>0</v>
      </c>
      <c r="X301" s="1024">
        <v>0</v>
      </c>
      <c r="Y301" s="1024">
        <v>0</v>
      </c>
      <c r="Z301" s="1025">
        <f t="shared" si="229"/>
        <v>0</v>
      </c>
      <c r="AA301" s="1026">
        <v>0</v>
      </c>
      <c r="AB301" s="1027">
        <v>0</v>
      </c>
      <c r="AC301" s="1027"/>
      <c r="AD301" s="1027">
        <v>0</v>
      </c>
      <c r="AE301" s="1027">
        <v>0</v>
      </c>
      <c r="AF301" s="1027">
        <v>0</v>
      </c>
      <c r="AG301" s="1027">
        <v>0</v>
      </c>
      <c r="AH301" s="1028">
        <v>1.19</v>
      </c>
      <c r="AI301" s="1028">
        <v>240.97</v>
      </c>
      <c r="AJ301" s="1028"/>
      <c r="AK301" s="1028">
        <v>180</v>
      </c>
      <c r="AL301" s="1028">
        <v>25</v>
      </c>
      <c r="AM301" s="1025">
        <f t="shared" si="230"/>
        <v>447.15999999999997</v>
      </c>
      <c r="AN301" s="1024"/>
      <c r="AO301" s="1024">
        <v>518.52</v>
      </c>
      <c r="AP301" s="1024">
        <v>1246.45</v>
      </c>
      <c r="AQ301" s="1024">
        <v>42935.19</v>
      </c>
      <c r="AR301" s="1024"/>
      <c r="AS301" s="1024">
        <v>723.16</v>
      </c>
      <c r="AT301" s="1024">
        <v>312.33999999999997</v>
      </c>
      <c r="AU301" s="1024"/>
      <c r="AV301" s="1024">
        <v>1.54</v>
      </c>
      <c r="AW301" s="1024">
        <v>0.94</v>
      </c>
      <c r="AX301" s="1024">
        <v>520.33000000000004</v>
      </c>
      <c r="AY301" s="1024">
        <v>28.35</v>
      </c>
      <c r="AZ301" s="1024">
        <f t="shared" si="231"/>
        <v>46286.820000000007</v>
      </c>
      <c r="BA301" s="1024">
        <v>1.76</v>
      </c>
      <c r="BB301" s="1024"/>
      <c r="BC301" s="1024"/>
      <c r="BD301" s="1024"/>
      <c r="BE301" s="1024">
        <v>2.19</v>
      </c>
      <c r="BF301" s="1024"/>
      <c r="BG301" s="1024">
        <v>519</v>
      </c>
      <c r="BH301" s="1024">
        <v>938.5</v>
      </c>
      <c r="BI301" s="1024">
        <v>-938.5</v>
      </c>
      <c r="BJ301" s="1024">
        <v>205.24</v>
      </c>
      <c r="BK301" s="1024"/>
      <c r="BL301" s="1024"/>
      <c r="BM301" s="1024">
        <f t="shared" si="232"/>
        <v>728.19</v>
      </c>
      <c r="BN301" s="1024">
        <v>1.19</v>
      </c>
      <c r="BO301" s="1024">
        <v>0.11</v>
      </c>
      <c r="BP301" s="1024">
        <v>3.92</v>
      </c>
      <c r="BQ301" s="1093">
        <f>14.01*(25/30)</f>
        <v>11.675000000000001</v>
      </c>
      <c r="BR301" s="1024"/>
      <c r="BS301" s="1024"/>
      <c r="BT301" s="1024"/>
      <c r="BU301" s="1024"/>
      <c r="BV301" s="1024"/>
      <c r="BW301" s="1024"/>
      <c r="BX301" s="1024"/>
      <c r="BY301" s="1024"/>
      <c r="BZ301" s="1029">
        <f t="shared" si="233"/>
        <v>16.895</v>
      </c>
      <c r="CA301" s="1030">
        <f t="shared" si="234"/>
        <v>47479.06500000001</v>
      </c>
      <c r="CB301" s="1031">
        <f t="shared" si="235"/>
        <v>0</v>
      </c>
      <c r="CC301" s="1023">
        <f t="shared" si="236"/>
        <v>47479.06500000001</v>
      </c>
      <c r="CD301" s="1023">
        <f t="shared" si="237"/>
        <v>1293.7650000000067</v>
      </c>
      <c r="CE301" s="1023">
        <v>47481.400000000009</v>
      </c>
      <c r="CF301" s="1023">
        <f t="shared" si="238"/>
        <v>-2.3349999999991269</v>
      </c>
      <c r="CG301" s="1029"/>
      <c r="CL301" s="976">
        <v>45147.32</v>
      </c>
      <c r="CM301" s="976">
        <f t="shared" si="228"/>
        <v>-2331.7450000000099</v>
      </c>
    </row>
    <row r="302" spans="1:91" ht="12.75" customHeight="1" outlineLevel="1">
      <c r="A302" s="1091"/>
      <c r="B302" s="1184"/>
      <c r="C302" s="1185"/>
      <c r="D302" s="1185" t="s">
        <v>548</v>
      </c>
      <c r="E302" s="1186"/>
      <c r="F302" s="1023"/>
      <c r="G302" s="1023">
        <v>12202.76</v>
      </c>
      <c r="H302" s="1023"/>
      <c r="I302" s="1023">
        <v>12202.76</v>
      </c>
      <c r="J302" s="1019"/>
      <c r="K302" s="1020"/>
      <c r="L302" s="1021"/>
      <c r="M302" s="1022"/>
      <c r="N302" s="1023">
        <v>0</v>
      </c>
      <c r="O302" s="1024">
        <v>0</v>
      </c>
      <c r="P302" s="1024">
        <v>0.66</v>
      </c>
      <c r="Q302" s="1024">
        <v>7.63</v>
      </c>
      <c r="R302" s="1024">
        <v>0</v>
      </c>
      <c r="S302" s="1024">
        <v>1.44</v>
      </c>
      <c r="T302" s="1024">
        <v>1.81</v>
      </c>
      <c r="U302" s="1024">
        <v>0.33</v>
      </c>
      <c r="V302" s="1024">
        <v>2.73</v>
      </c>
      <c r="W302" s="1024">
        <v>0</v>
      </c>
      <c r="X302" s="1024">
        <v>59.47</v>
      </c>
      <c r="Y302" s="1024">
        <v>2.38</v>
      </c>
      <c r="Z302" s="1025">
        <f t="shared" si="229"/>
        <v>76.449999999999989</v>
      </c>
      <c r="AA302" s="1026">
        <v>0</v>
      </c>
      <c r="AB302" s="1027">
        <v>24.69</v>
      </c>
      <c r="AC302" s="1027">
        <v>75.08</v>
      </c>
      <c r="AD302" s="1027">
        <v>4.22</v>
      </c>
      <c r="AE302" s="1027">
        <v>191.61</v>
      </c>
      <c r="AF302" s="1027">
        <v>83.52</v>
      </c>
      <c r="AG302" s="1027">
        <v>0</v>
      </c>
      <c r="AH302" s="1028">
        <v>23.97</v>
      </c>
      <c r="AI302" s="1028">
        <v>232.76</v>
      </c>
      <c r="AJ302" s="1028">
        <v>3602.82</v>
      </c>
      <c r="AK302" s="1028">
        <v>109.62</v>
      </c>
      <c r="AL302" s="1028">
        <v>1649.01</v>
      </c>
      <c r="AM302" s="1025">
        <f t="shared" si="230"/>
        <v>5997.3</v>
      </c>
      <c r="AN302" s="1024">
        <v>219.1</v>
      </c>
      <c r="AO302" s="1024">
        <v>415.11</v>
      </c>
      <c r="AP302" s="1024">
        <v>1038.96</v>
      </c>
      <c r="AQ302" s="1024">
        <v>0.28000000000000003</v>
      </c>
      <c r="AR302" s="1024">
        <v>58.02</v>
      </c>
      <c r="AS302" s="1024">
        <v>3674.89</v>
      </c>
      <c r="AT302" s="1024">
        <v>50.34</v>
      </c>
      <c r="AU302" s="1024">
        <v>610.48</v>
      </c>
      <c r="AV302" s="1024">
        <v>61.83</v>
      </c>
      <c r="AW302" s="1024"/>
      <c r="AX302" s="1024">
        <v>5848.64</v>
      </c>
      <c r="AY302" s="1024">
        <v>1686.08</v>
      </c>
      <c r="AZ302" s="1024">
        <f t="shared" si="231"/>
        <v>13663.730000000001</v>
      </c>
      <c r="BA302" s="1024">
        <v>75.790000000000006</v>
      </c>
      <c r="BB302" s="1024">
        <v>29.1</v>
      </c>
      <c r="BC302" s="1024">
        <v>907.69</v>
      </c>
      <c r="BD302" s="1024">
        <v>1751.96</v>
      </c>
      <c r="BE302" s="1024">
        <v>15.06</v>
      </c>
      <c r="BF302" s="1024">
        <v>266.82</v>
      </c>
      <c r="BG302" s="1024">
        <v>687.47</v>
      </c>
      <c r="BH302" s="1024">
        <v>197.54</v>
      </c>
      <c r="BI302" s="1024">
        <v>85.66</v>
      </c>
      <c r="BJ302" s="1024">
        <v>2524.38</v>
      </c>
      <c r="BK302" s="1024"/>
      <c r="BL302" s="1024">
        <v>3069.82</v>
      </c>
      <c r="BM302" s="1024">
        <f t="shared" si="232"/>
        <v>9611.2900000000009</v>
      </c>
      <c r="BN302" s="1024">
        <v>690.16</v>
      </c>
      <c r="BO302" s="1024">
        <v>377.21</v>
      </c>
      <c r="BP302" s="1024">
        <v>618.03</v>
      </c>
      <c r="BQ302" s="1093">
        <f>2.66*(25/30)</f>
        <v>2.2166666666666668</v>
      </c>
      <c r="BR302" s="1093">
        <v>0</v>
      </c>
      <c r="BS302" s="1024"/>
      <c r="BT302" s="1024"/>
      <c r="BU302" s="1024"/>
      <c r="BV302" s="1024"/>
      <c r="BW302" s="1024"/>
      <c r="BX302" s="1024"/>
      <c r="BY302" s="1024"/>
      <c r="BZ302" s="1029">
        <f t="shared" si="233"/>
        <v>1687.6166666666666</v>
      </c>
      <c r="CA302" s="1030">
        <f t="shared" si="234"/>
        <v>31036.386666666669</v>
      </c>
      <c r="CB302" s="1031">
        <f t="shared" si="235"/>
        <v>0</v>
      </c>
      <c r="CC302" s="1023">
        <f t="shared" si="236"/>
        <v>31036.386666666669</v>
      </c>
      <c r="CD302" s="1023">
        <f t="shared" si="237"/>
        <v>18833.626666666671</v>
      </c>
      <c r="CE302" s="1023">
        <v>31036.83</v>
      </c>
      <c r="CF302" s="1023">
        <f t="shared" si="238"/>
        <v>-0.44333333333270275</v>
      </c>
      <c r="CG302" s="1029"/>
      <c r="CL302" s="976">
        <v>7805.22</v>
      </c>
      <c r="CM302" s="976">
        <f t="shared" si="228"/>
        <v>-23231.166666666668</v>
      </c>
    </row>
    <row r="303" spans="1:91" ht="12.75" customHeight="1" outlineLevel="1">
      <c r="A303" s="1091"/>
      <c r="B303" s="1184"/>
      <c r="C303" s="1185"/>
      <c r="D303" s="1185" t="s">
        <v>549</v>
      </c>
      <c r="E303" s="1186"/>
      <c r="F303" s="1023"/>
      <c r="G303" s="1023">
        <v>2403</v>
      </c>
      <c r="H303" s="1023"/>
      <c r="I303" s="1023">
        <v>2403</v>
      </c>
      <c r="J303" s="1019"/>
      <c r="K303" s="1020"/>
      <c r="L303" s="1021"/>
      <c r="M303" s="1022"/>
      <c r="N303" s="1023">
        <v>0</v>
      </c>
      <c r="O303" s="1024">
        <v>0</v>
      </c>
      <c r="P303" s="1024">
        <v>0</v>
      </c>
      <c r="Q303" s="1024">
        <v>0</v>
      </c>
      <c r="R303" s="1024">
        <v>0</v>
      </c>
      <c r="S303" s="1024">
        <v>0.67</v>
      </c>
      <c r="T303" s="1024">
        <v>-0.02</v>
      </c>
      <c r="U303" s="1024">
        <v>11.27</v>
      </c>
      <c r="V303" s="1024">
        <v>0.4</v>
      </c>
      <c r="W303" s="1024">
        <v>0</v>
      </c>
      <c r="X303" s="1024">
        <v>1.84</v>
      </c>
      <c r="Y303" s="1024">
        <v>41.1</v>
      </c>
      <c r="Z303" s="1025">
        <f t="shared" si="229"/>
        <v>55.260000000000005</v>
      </c>
      <c r="AA303" s="1026">
        <v>3.62</v>
      </c>
      <c r="AB303" s="1027">
        <v>21.39</v>
      </c>
      <c r="AC303" s="1027">
        <v>10.6</v>
      </c>
      <c r="AD303" s="1027">
        <v>0</v>
      </c>
      <c r="AE303" s="1027">
        <v>0</v>
      </c>
      <c r="AF303" s="1027">
        <v>407.38</v>
      </c>
      <c r="AG303" s="1027">
        <v>0</v>
      </c>
      <c r="AH303" s="1028">
        <v>3.51</v>
      </c>
      <c r="AI303" s="1028">
        <v>990.42</v>
      </c>
      <c r="AJ303" s="1028">
        <v>-0.27</v>
      </c>
      <c r="AK303" s="1028">
        <v>3.19</v>
      </c>
      <c r="AL303" s="1028">
        <v>593.75</v>
      </c>
      <c r="AM303" s="1025">
        <f t="shared" si="230"/>
        <v>2033.5900000000001</v>
      </c>
      <c r="AN303" s="1024">
        <v>7.0000000000000007E-2</v>
      </c>
      <c r="AO303" s="1024"/>
      <c r="AP303" s="1024">
        <v>0.55000000000000004</v>
      </c>
      <c r="AQ303" s="1024">
        <v>124.45</v>
      </c>
      <c r="AR303" s="1024">
        <v>34.590000000000003</v>
      </c>
      <c r="AS303" s="1024">
        <v>63.61</v>
      </c>
      <c r="AT303" s="1024">
        <v>88.26</v>
      </c>
      <c r="AU303" s="1024"/>
      <c r="AV303" s="1024">
        <v>1.65</v>
      </c>
      <c r="AW303" s="1024">
        <v>0.97</v>
      </c>
      <c r="AX303" s="1024">
        <v>0.56000000000000005</v>
      </c>
      <c r="AY303" s="1024">
        <v>116.78</v>
      </c>
      <c r="AZ303" s="1024">
        <f t="shared" si="231"/>
        <v>431.49</v>
      </c>
      <c r="BA303" s="1024">
        <v>68.77</v>
      </c>
      <c r="BB303" s="1024">
        <v>1.82</v>
      </c>
      <c r="BC303" s="1024"/>
      <c r="BD303" s="1024">
        <v>89.83</v>
      </c>
      <c r="BE303" s="1024"/>
      <c r="BF303" s="1024">
        <v>299.17</v>
      </c>
      <c r="BG303" s="1024">
        <v>390</v>
      </c>
      <c r="BH303" s="1024">
        <v>3898.19</v>
      </c>
      <c r="BI303" s="1024">
        <v>1264.1199999999999</v>
      </c>
      <c r="BJ303" s="1024">
        <v>4855.21</v>
      </c>
      <c r="BK303" s="1024">
        <v>1035.78</v>
      </c>
      <c r="BL303" s="1024">
        <v>360.52</v>
      </c>
      <c r="BM303" s="1024">
        <f t="shared" si="232"/>
        <v>12263.410000000002</v>
      </c>
      <c r="BN303" s="1024">
        <v>0.94</v>
      </c>
      <c r="BO303" s="1024">
        <v>939.85</v>
      </c>
      <c r="BP303" s="1024">
        <f>19089.52-9422.48</f>
        <v>9667.0400000000009</v>
      </c>
      <c r="BQ303" s="1093">
        <f>3373*(25/30)</f>
        <v>2810.8333333333335</v>
      </c>
      <c r="BR303" s="1093">
        <v>0</v>
      </c>
      <c r="BS303" s="1024"/>
      <c r="BT303" s="1024"/>
      <c r="BU303" s="1024"/>
      <c r="BV303" s="1024"/>
      <c r="BW303" s="1024"/>
      <c r="BX303" s="1024"/>
      <c r="BY303" s="1024"/>
      <c r="BZ303" s="1029">
        <f t="shared" si="233"/>
        <v>13418.663333333336</v>
      </c>
      <c r="CA303" s="1030">
        <f t="shared" si="234"/>
        <v>28202.413333333334</v>
      </c>
      <c r="CB303" s="1031">
        <f t="shared" si="235"/>
        <v>0</v>
      </c>
      <c r="CC303" s="1023">
        <f t="shared" si="236"/>
        <v>28202.413333333334</v>
      </c>
      <c r="CD303" s="1023">
        <f t="shared" si="237"/>
        <v>25799.413333333334</v>
      </c>
      <c r="CE303" s="1023">
        <v>28764.58</v>
      </c>
      <c r="CF303" s="1023">
        <f t="shared" si="238"/>
        <v>-562.16666666666788</v>
      </c>
      <c r="CG303" s="1029"/>
      <c r="CL303" s="976">
        <v>2248.5100000000002</v>
      </c>
      <c r="CM303" s="976">
        <f t="shared" si="228"/>
        <v>-25953.903333333335</v>
      </c>
    </row>
    <row r="304" spans="1:91" ht="12.75" customHeight="1" outlineLevel="1">
      <c r="A304" s="1091"/>
      <c r="B304" s="1184"/>
      <c r="C304" s="1185"/>
      <c r="D304" s="1187" t="s">
        <v>817</v>
      </c>
      <c r="E304" s="1186"/>
      <c r="F304" s="1023"/>
      <c r="G304" s="1023">
        <v>19941</v>
      </c>
      <c r="H304" s="1023"/>
      <c r="I304" s="1023">
        <v>19941</v>
      </c>
      <c r="J304" s="1019"/>
      <c r="K304" s="1020"/>
      <c r="L304" s="1021"/>
      <c r="M304" s="1022"/>
      <c r="N304" s="1023">
        <v>0</v>
      </c>
      <c r="O304" s="1024">
        <v>0</v>
      </c>
      <c r="P304" s="1024">
        <v>0</v>
      </c>
      <c r="Q304" s="1024">
        <v>0</v>
      </c>
      <c r="R304" s="1024">
        <v>0</v>
      </c>
      <c r="S304" s="1024"/>
      <c r="T304" s="1024"/>
      <c r="U304" s="1024"/>
      <c r="V304" s="1024"/>
      <c r="W304" s="1024"/>
      <c r="X304" s="1024"/>
      <c r="Y304" s="1024"/>
      <c r="Z304" s="1025">
        <f t="shared" si="229"/>
        <v>0</v>
      </c>
      <c r="AA304" s="1026"/>
      <c r="AB304" s="1027"/>
      <c r="AC304" s="1027"/>
      <c r="AD304" s="1027"/>
      <c r="AE304" s="1027"/>
      <c r="AF304" s="1027"/>
      <c r="AG304" s="1027"/>
      <c r="AH304" s="1028"/>
      <c r="AI304" s="1028"/>
      <c r="AJ304" s="1028"/>
      <c r="AK304" s="1028"/>
      <c r="AL304" s="1028"/>
      <c r="AM304" s="1025">
        <f t="shared" si="230"/>
        <v>0</v>
      </c>
      <c r="AN304" s="1024"/>
      <c r="AO304" s="1024"/>
      <c r="AP304" s="1024"/>
      <c r="AQ304" s="1024"/>
      <c r="AR304" s="1024"/>
      <c r="AS304" s="1024"/>
      <c r="AT304" s="1024"/>
      <c r="AU304" s="1024"/>
      <c r="AV304" s="1024"/>
      <c r="AW304" s="1024"/>
      <c r="AX304" s="1024"/>
      <c r="AY304" s="1024"/>
      <c r="AZ304" s="1024">
        <f t="shared" si="231"/>
        <v>0</v>
      </c>
      <c r="BA304" s="1024"/>
      <c r="BB304" s="1024"/>
      <c r="BC304" s="1024"/>
      <c r="BD304" s="1024"/>
      <c r="BE304" s="1024"/>
      <c r="BF304" s="1024"/>
      <c r="BG304" s="1024"/>
      <c r="BH304" s="1024"/>
      <c r="BI304" s="1024"/>
      <c r="BJ304" s="1024"/>
      <c r="BK304" s="1024"/>
      <c r="BL304" s="1024"/>
      <c r="BM304" s="1024">
        <f t="shared" si="232"/>
        <v>0</v>
      </c>
      <c r="BN304" s="1024"/>
      <c r="BO304" s="1024"/>
      <c r="BP304" s="1024"/>
      <c r="BQ304" s="1024"/>
      <c r="BR304" s="1024"/>
      <c r="BS304" s="1093">
        <v>0</v>
      </c>
      <c r="BT304" s="1093">
        <v>0</v>
      </c>
      <c r="BU304" s="1093"/>
      <c r="BV304" s="1024"/>
      <c r="BW304" s="1024"/>
      <c r="BX304" s="1024"/>
      <c r="BY304" s="1024"/>
      <c r="BZ304" s="1029">
        <f t="shared" si="233"/>
        <v>0</v>
      </c>
      <c r="CA304" s="1030">
        <f t="shared" si="234"/>
        <v>0</v>
      </c>
      <c r="CB304" s="1024">
        <f t="shared" si="235"/>
        <v>0</v>
      </c>
      <c r="CC304" s="1188">
        <f t="shared" si="236"/>
        <v>0</v>
      </c>
      <c r="CD304" s="1023">
        <f t="shared" si="237"/>
        <v>-19941</v>
      </c>
      <c r="CE304" s="1023">
        <v>34804.101403993714</v>
      </c>
      <c r="CF304" s="1023">
        <f t="shared" si="238"/>
        <v>-34804.101403993714</v>
      </c>
      <c r="CG304" s="1029"/>
      <c r="CL304" s="976">
        <v>2248.5100000000002</v>
      </c>
      <c r="CM304" s="976">
        <f t="shared" si="228"/>
        <v>2248.5100000000002</v>
      </c>
    </row>
    <row r="305" spans="1:91" ht="12.75" customHeight="1" outlineLevel="1">
      <c r="A305" s="1091"/>
      <c r="B305" s="1184"/>
      <c r="C305" s="1185"/>
      <c r="D305" s="1189"/>
      <c r="E305" s="1186"/>
      <c r="F305" s="1023"/>
      <c r="G305" s="1023"/>
      <c r="H305" s="1023"/>
      <c r="I305" s="1023"/>
      <c r="J305" s="1019"/>
      <c r="K305" s="1020"/>
      <c r="L305" s="1021"/>
      <c r="M305" s="1022"/>
      <c r="N305" s="1023">
        <v>0</v>
      </c>
      <c r="O305" s="1024">
        <v>0</v>
      </c>
      <c r="P305" s="1024">
        <v>0</v>
      </c>
      <c r="Q305" s="1024">
        <v>0</v>
      </c>
      <c r="R305" s="1024">
        <v>0</v>
      </c>
      <c r="S305" s="1024"/>
      <c r="T305" s="1024"/>
      <c r="U305" s="1024"/>
      <c r="V305" s="1024"/>
      <c r="W305" s="1024"/>
      <c r="X305" s="1024"/>
      <c r="Y305" s="1024"/>
      <c r="Z305" s="1025">
        <f t="shared" si="229"/>
        <v>0</v>
      </c>
      <c r="AA305" s="1026"/>
      <c r="AB305" s="1027"/>
      <c r="AC305" s="1027"/>
      <c r="AD305" s="1027"/>
      <c r="AE305" s="1027"/>
      <c r="AF305" s="1027"/>
      <c r="AG305" s="1027"/>
      <c r="AH305" s="1028"/>
      <c r="AI305" s="1028"/>
      <c r="AJ305" s="1028"/>
      <c r="AK305" s="1028"/>
      <c r="AL305" s="1028"/>
      <c r="AM305" s="1025">
        <f t="shared" si="230"/>
        <v>0</v>
      </c>
      <c r="AN305" s="1024"/>
      <c r="AO305" s="1024"/>
      <c r="AP305" s="1024"/>
      <c r="AQ305" s="1024"/>
      <c r="AR305" s="1024"/>
      <c r="AS305" s="1024"/>
      <c r="AT305" s="1024"/>
      <c r="AU305" s="1024"/>
      <c r="AV305" s="1024"/>
      <c r="AW305" s="1024"/>
      <c r="AX305" s="1024"/>
      <c r="AY305" s="1024"/>
      <c r="AZ305" s="1024">
        <f t="shared" si="231"/>
        <v>0</v>
      </c>
      <c r="BA305" s="1024"/>
      <c r="BB305" s="1024"/>
      <c r="BC305" s="1024"/>
      <c r="BD305" s="1024"/>
      <c r="BE305" s="1024"/>
      <c r="BF305" s="1024"/>
      <c r="BG305" s="1024"/>
      <c r="BH305" s="1024"/>
      <c r="BI305" s="1024"/>
      <c r="BJ305" s="1024"/>
      <c r="BK305" s="1024"/>
      <c r="BL305" s="1024"/>
      <c r="BM305" s="1024">
        <f t="shared" si="232"/>
        <v>0</v>
      </c>
      <c r="BN305" s="1024"/>
      <c r="BO305" s="1024"/>
      <c r="BP305" s="1024"/>
      <c r="BQ305" s="1024"/>
      <c r="BR305" s="1024"/>
      <c r="BS305" s="1024"/>
      <c r="BT305" s="1024"/>
      <c r="BU305" s="1024"/>
      <c r="BV305" s="1024"/>
      <c r="BW305" s="1024"/>
      <c r="BX305" s="1024"/>
      <c r="BY305" s="1024"/>
      <c r="BZ305" s="1029">
        <f t="shared" si="233"/>
        <v>0</v>
      </c>
      <c r="CA305" s="1030">
        <f t="shared" si="234"/>
        <v>0</v>
      </c>
      <c r="CB305" s="1031">
        <f t="shared" si="235"/>
        <v>0</v>
      </c>
      <c r="CC305" s="1023">
        <f t="shared" si="236"/>
        <v>0</v>
      </c>
      <c r="CD305" s="1023">
        <f t="shared" si="237"/>
        <v>0</v>
      </c>
      <c r="CE305" s="1023">
        <f>+CC305+CD305</f>
        <v>0</v>
      </c>
      <c r="CF305" s="1023">
        <f>+CD305+CE305</f>
        <v>0</v>
      </c>
      <c r="CG305" s="1029"/>
      <c r="CL305" s="976"/>
      <c r="CM305" s="976">
        <f t="shared" si="228"/>
        <v>0</v>
      </c>
    </row>
    <row r="306" spans="1:91" s="1032" customFormat="1" ht="12.75" customHeight="1">
      <c r="A306" s="1091"/>
      <c r="B306" s="1015"/>
      <c r="C306" s="1016" t="s">
        <v>599</v>
      </c>
      <c r="D306" s="1016"/>
      <c r="E306" s="1017"/>
      <c r="F306" s="1023">
        <f>SUBTOTAL(9,F307:F315)</f>
        <v>1589665</v>
      </c>
      <c r="G306" s="1023">
        <f>SUBTOTAL(9,G307:G315)</f>
        <v>3844066.0292189498</v>
      </c>
      <c r="H306" s="1023">
        <f>SUBTOTAL(9,H307:H315)</f>
        <v>700000</v>
      </c>
      <c r="I306" s="1023">
        <f>SUBTOTAL(9,I307:I315)</f>
        <v>4544066.0292189494</v>
      </c>
      <c r="J306" s="1033"/>
      <c r="K306" s="1034"/>
      <c r="L306" s="1035"/>
      <c r="M306" s="1036">
        <f t="shared" ref="M306:AR306" si="239">SUBTOTAL(9,M307:M315)</f>
        <v>0</v>
      </c>
      <c r="N306" s="1023">
        <f t="shared" si="239"/>
        <v>2563.1000000000004</v>
      </c>
      <c r="O306" s="1024">
        <f t="shared" si="239"/>
        <v>4266.3500000000004</v>
      </c>
      <c r="P306" s="1024">
        <f t="shared" si="239"/>
        <v>353.89</v>
      </c>
      <c r="Q306" s="1024">
        <f t="shared" si="239"/>
        <v>1635.56</v>
      </c>
      <c r="R306" s="1024">
        <f t="shared" si="239"/>
        <v>4087.3500000000004</v>
      </c>
      <c r="S306" s="1024">
        <f t="shared" si="239"/>
        <v>1655.8500000000001</v>
      </c>
      <c r="T306" s="1024">
        <f t="shared" si="239"/>
        <v>8235.09</v>
      </c>
      <c r="U306" s="1024">
        <f t="shared" si="239"/>
        <v>8292.91</v>
      </c>
      <c r="V306" s="1024">
        <f t="shared" si="239"/>
        <v>11773.65</v>
      </c>
      <c r="W306" s="1024">
        <f t="shared" si="239"/>
        <v>18930.399999999998</v>
      </c>
      <c r="X306" s="1024">
        <f t="shared" si="239"/>
        <v>19077.990000000002</v>
      </c>
      <c r="Y306" s="1024">
        <f t="shared" si="239"/>
        <v>43702.05</v>
      </c>
      <c r="Z306" s="1025">
        <f t="shared" si="239"/>
        <v>124574.19</v>
      </c>
      <c r="AA306" s="1026">
        <f t="shared" si="239"/>
        <v>18752.849999999999</v>
      </c>
      <c r="AB306" s="1027">
        <f t="shared" si="239"/>
        <v>45664.479999999996</v>
      </c>
      <c r="AC306" s="1027">
        <f t="shared" si="239"/>
        <v>28331.209999999995</v>
      </c>
      <c r="AD306" s="1027">
        <f t="shared" si="239"/>
        <v>36188.220000000008</v>
      </c>
      <c r="AE306" s="1027">
        <f t="shared" si="239"/>
        <v>46123.82</v>
      </c>
      <c r="AF306" s="1027">
        <f t="shared" si="239"/>
        <v>71167.95</v>
      </c>
      <c r="AG306" s="1027">
        <f t="shared" si="239"/>
        <v>82205.909999999989</v>
      </c>
      <c r="AH306" s="1028">
        <f t="shared" si="239"/>
        <v>67557.98</v>
      </c>
      <c r="AI306" s="1028">
        <f t="shared" si="239"/>
        <v>75511.53</v>
      </c>
      <c r="AJ306" s="1028">
        <f t="shared" si="239"/>
        <v>102079</v>
      </c>
      <c r="AK306" s="1028">
        <f t="shared" si="239"/>
        <v>89146.040000000008</v>
      </c>
      <c r="AL306" s="1028">
        <f t="shared" si="239"/>
        <v>104927.26</v>
      </c>
      <c r="AM306" s="1025">
        <f t="shared" si="239"/>
        <v>767656.25000000012</v>
      </c>
      <c r="AN306" s="1024">
        <f t="shared" si="239"/>
        <v>54552.700000000004</v>
      </c>
      <c r="AO306" s="1024">
        <f t="shared" si="239"/>
        <v>99852.41</v>
      </c>
      <c r="AP306" s="1024">
        <f t="shared" si="239"/>
        <v>141296.87</v>
      </c>
      <c r="AQ306" s="1024">
        <f t="shared" si="239"/>
        <v>187586.89</v>
      </c>
      <c r="AR306" s="1024">
        <f t="shared" si="239"/>
        <v>132540.46</v>
      </c>
      <c r="AS306" s="1024">
        <f t="shared" ref="AS306:BX306" si="240">SUBTOTAL(9,AS307:AS315)</f>
        <v>86931.19</v>
      </c>
      <c r="AT306" s="1024">
        <f t="shared" si="240"/>
        <v>104533.45000000001</v>
      </c>
      <c r="AU306" s="1024">
        <f t="shared" si="240"/>
        <v>84056.1</v>
      </c>
      <c r="AV306" s="1024">
        <f t="shared" si="240"/>
        <v>76617.959999999992</v>
      </c>
      <c r="AW306" s="1024">
        <f t="shared" si="240"/>
        <v>76547.820000000007</v>
      </c>
      <c r="AX306" s="1024">
        <f t="shared" si="240"/>
        <v>76315.209999999992</v>
      </c>
      <c r="AY306" s="1024">
        <f t="shared" si="240"/>
        <v>124489.05000000002</v>
      </c>
      <c r="AZ306" s="1024">
        <f t="shared" si="240"/>
        <v>1245320.1099999999</v>
      </c>
      <c r="BA306" s="1024">
        <f t="shared" si="240"/>
        <v>90325.76999999999</v>
      </c>
      <c r="BB306" s="1024">
        <f t="shared" si="240"/>
        <v>94919.039999999994</v>
      </c>
      <c r="BC306" s="1024">
        <f t="shared" si="240"/>
        <v>112954.57999999999</v>
      </c>
      <c r="BD306" s="1024">
        <f t="shared" si="240"/>
        <v>119033.04</v>
      </c>
      <c r="BE306" s="1024">
        <f t="shared" si="240"/>
        <v>130194.44</v>
      </c>
      <c r="BF306" s="1024">
        <f t="shared" si="240"/>
        <v>184292.02</v>
      </c>
      <c r="BG306" s="1024">
        <f t="shared" si="240"/>
        <v>17172.390000000003</v>
      </c>
      <c r="BH306" s="1024">
        <f t="shared" si="240"/>
        <v>93612.48000000001</v>
      </c>
      <c r="BI306" s="1024">
        <f t="shared" si="240"/>
        <v>174742.75</v>
      </c>
      <c r="BJ306" s="1024">
        <f t="shared" si="240"/>
        <v>152717.92000000001</v>
      </c>
      <c r="BK306" s="1024">
        <f t="shared" si="240"/>
        <v>47263.380000000005</v>
      </c>
      <c r="BL306" s="1024">
        <f t="shared" si="240"/>
        <v>128016.78</v>
      </c>
      <c r="BM306" s="1024">
        <f t="shared" si="240"/>
        <v>1345244.5899999999</v>
      </c>
      <c r="BN306" s="1024">
        <f t="shared" si="240"/>
        <v>176462.03999999998</v>
      </c>
      <c r="BO306" s="1024">
        <f t="shared" si="240"/>
        <v>168478.72</v>
      </c>
      <c r="BP306" s="1024">
        <f t="shared" si="240"/>
        <v>235203.30000000002</v>
      </c>
      <c r="BQ306" s="1024">
        <f t="shared" si="240"/>
        <v>149387.97499999998</v>
      </c>
      <c r="BR306" s="1024">
        <f t="shared" si="240"/>
        <v>0</v>
      </c>
      <c r="BS306" s="1024">
        <f t="shared" si="240"/>
        <v>0</v>
      </c>
      <c r="BT306" s="1024">
        <f t="shared" si="240"/>
        <v>0</v>
      </c>
      <c r="BU306" s="1024">
        <f t="shared" si="240"/>
        <v>0</v>
      </c>
      <c r="BV306" s="1024">
        <f t="shared" si="240"/>
        <v>0</v>
      </c>
      <c r="BW306" s="1024">
        <f t="shared" si="240"/>
        <v>0</v>
      </c>
      <c r="BX306" s="1024">
        <f t="shared" si="240"/>
        <v>0</v>
      </c>
      <c r="BY306" s="1024">
        <f t="shared" ref="BY306:CF306" si="241">SUBTOTAL(9,BY307:BY315)</f>
        <v>0</v>
      </c>
      <c r="BZ306" s="1029">
        <f t="shared" si="241"/>
        <v>729532.03500000027</v>
      </c>
      <c r="CA306" s="1030">
        <f t="shared" si="241"/>
        <v>4212327.1749999989</v>
      </c>
      <c r="CB306" s="1031">
        <f t="shared" si="241"/>
        <v>0</v>
      </c>
      <c r="CC306" s="1023">
        <f t="shared" si="241"/>
        <v>4212327.1749999989</v>
      </c>
      <c r="CD306" s="1023">
        <f t="shared" si="241"/>
        <v>-331738.85421895032</v>
      </c>
      <c r="CE306" s="1023">
        <f t="shared" si="241"/>
        <v>4787519.5292664506</v>
      </c>
      <c r="CF306" s="1023">
        <f t="shared" si="241"/>
        <v>-575192.35426645109</v>
      </c>
      <c r="CG306" s="1029"/>
      <c r="CH306" s="972">
        <f t="shared" ref="CH306:CM306" si="242">SUBTOTAL(9,CH307:CH315)</f>
        <v>0</v>
      </c>
      <c r="CI306" s="1032">
        <f t="shared" si="242"/>
        <v>0</v>
      </c>
      <c r="CJ306" s="1032">
        <f t="shared" si="242"/>
        <v>0</v>
      </c>
      <c r="CK306" s="1032">
        <f t="shared" si="242"/>
        <v>0</v>
      </c>
      <c r="CL306" s="1037">
        <f t="shared" si="242"/>
        <v>2419118.8077751561</v>
      </c>
      <c r="CM306" s="976">
        <f t="shared" si="242"/>
        <v>-1793208.3672248439</v>
      </c>
    </row>
    <row r="307" spans="1:91" ht="12.75" customHeight="1" outlineLevel="1">
      <c r="A307" s="1091"/>
      <c r="B307" s="1184"/>
      <c r="C307" s="1185"/>
      <c r="D307" s="1185" t="s">
        <v>550</v>
      </c>
      <c r="E307" s="1186"/>
      <c r="F307" s="1023">
        <v>751889</v>
      </c>
      <c r="G307" s="1023">
        <f>1799515.61921895+5000+21955</f>
        <v>1826470.6192189499</v>
      </c>
      <c r="H307" s="1023"/>
      <c r="I307" s="1023">
        <f>1799515.61921895+5000+21955</f>
        <v>1826470.6192189499</v>
      </c>
      <c r="J307" s="1019"/>
      <c r="K307" s="1020"/>
      <c r="L307" s="1021"/>
      <c r="M307" s="1022"/>
      <c r="N307" s="1023">
        <v>1022.99</v>
      </c>
      <c r="O307" s="1024">
        <v>2685</v>
      </c>
      <c r="P307" s="1024">
        <v>309.32</v>
      </c>
      <c r="Q307" s="1024">
        <v>667.9</v>
      </c>
      <c r="R307" s="1024">
        <v>1126.9000000000001</v>
      </c>
      <c r="S307" s="1024">
        <v>728.07</v>
      </c>
      <c r="T307" s="1024">
        <v>3589.7</v>
      </c>
      <c r="U307" s="1024">
        <v>3146.37</v>
      </c>
      <c r="V307" s="1024">
        <v>3630.58</v>
      </c>
      <c r="W307" s="1024">
        <v>4169.8900000000003</v>
      </c>
      <c r="X307" s="1024">
        <v>5178.25</v>
      </c>
      <c r="Y307" s="1024">
        <v>23682.77</v>
      </c>
      <c r="Z307" s="1025">
        <f t="shared" ref="Z307:Z315" si="243">SUM(N307:Y307)</f>
        <v>49937.740000000005</v>
      </c>
      <c r="AA307" s="1026">
        <v>4737.3900000000003</v>
      </c>
      <c r="AB307" s="1027">
        <v>31142.05</v>
      </c>
      <c r="AC307" s="1027">
        <v>9037.75</v>
      </c>
      <c r="AD307" s="1027">
        <v>16534.060000000001</v>
      </c>
      <c r="AE307" s="1027">
        <v>20017.36</v>
      </c>
      <c r="AF307" s="1027">
        <v>29332.13</v>
      </c>
      <c r="AG307" s="1027">
        <v>36519.33</v>
      </c>
      <c r="AH307" s="1028">
        <v>27358.53</v>
      </c>
      <c r="AI307" s="1028">
        <v>29979.84</v>
      </c>
      <c r="AJ307" s="1028">
        <v>55459.14</v>
      </c>
      <c r="AK307" s="1028">
        <v>41609.360000000001</v>
      </c>
      <c r="AL307" s="1028">
        <v>74767.81</v>
      </c>
      <c r="AM307" s="1025">
        <f t="shared" ref="AM307:AM315" si="244">SUM(AA307:AL307)</f>
        <v>376494.75</v>
      </c>
      <c r="AN307" s="1024">
        <v>20871.43</v>
      </c>
      <c r="AO307" s="1024">
        <v>65880.88</v>
      </c>
      <c r="AP307" s="1024">
        <v>97268.1</v>
      </c>
      <c r="AQ307" s="1024">
        <v>89787.35</v>
      </c>
      <c r="AR307" s="1024">
        <v>79943.67</v>
      </c>
      <c r="AS307" s="1024">
        <v>48595.73</v>
      </c>
      <c r="AT307" s="1024">
        <v>40215.1</v>
      </c>
      <c r="AU307" s="1024">
        <v>36968.06</v>
      </c>
      <c r="AV307" s="1024">
        <v>35511.33</v>
      </c>
      <c r="AW307" s="1024">
        <v>35432.660000000003</v>
      </c>
      <c r="AX307" s="1024">
        <v>33833.879999999997</v>
      </c>
      <c r="AY307" s="1076">
        <v>76858.28</v>
      </c>
      <c r="AZ307" s="1024">
        <f t="shared" ref="AZ307:AZ315" si="245">SUM(AN307:AY307)</f>
        <v>661166.47</v>
      </c>
      <c r="BA307" s="1024">
        <v>48026.96</v>
      </c>
      <c r="BB307" s="1024">
        <v>49236.43</v>
      </c>
      <c r="BC307" s="1024">
        <v>61272.92</v>
      </c>
      <c r="BD307" s="1024">
        <v>68505.73</v>
      </c>
      <c r="BE307" s="1024">
        <v>84621.7</v>
      </c>
      <c r="BF307" s="1024">
        <v>126879.6</v>
      </c>
      <c r="BG307" s="1024">
        <v>-33055.1</v>
      </c>
      <c r="BH307" s="1024">
        <v>42435.34</v>
      </c>
      <c r="BI307" s="1024">
        <v>125991.74</v>
      </c>
      <c r="BJ307" s="1024">
        <v>85302.29</v>
      </c>
      <c r="BK307" s="1024">
        <v>-11757.18</v>
      </c>
      <c r="BL307" s="1076">
        <v>61294.47</v>
      </c>
      <c r="BM307" s="1024">
        <f t="shared" ref="BM307:BM315" si="246">SUM(BA307:BL307)</f>
        <v>708754.89999999991</v>
      </c>
      <c r="BN307" s="1024">
        <v>95593.52</v>
      </c>
      <c r="BO307" s="1024">
        <v>69583.19</v>
      </c>
      <c r="BP307" s="1024">
        <v>95484.83</v>
      </c>
      <c r="BQ307" s="1093">
        <f>71142.95*(25/30)</f>
        <v>59285.791666666664</v>
      </c>
      <c r="BR307" s="1093">
        <v>0</v>
      </c>
      <c r="BS307" s="1093">
        <v>0</v>
      </c>
      <c r="BT307" s="1093">
        <v>0</v>
      </c>
      <c r="BU307" s="1024">
        <f>((+BU287+BU261+BU208+BU331+BU124)*0.01)+BU291*0.22</f>
        <v>0</v>
      </c>
      <c r="BV307" s="1024">
        <f>((+BV287+BV261+BV208+BV331+BV124)*0.01)+BV291*0.22</f>
        <v>0</v>
      </c>
      <c r="BW307" s="1024">
        <f>((+BW287+BW261+BW208+BW331+BW124)*0.01)+BW291*0.18</f>
        <v>0</v>
      </c>
      <c r="BX307" s="1024">
        <f>((+BX287+BX261+BX208+BX331+BX124)*0.01)+BX291*0.18</f>
        <v>0</v>
      </c>
      <c r="BY307" s="1024">
        <f>((+BY287+BY261+BY208+BY331+BY124)*0.01)+BY291*0.18</f>
        <v>0</v>
      </c>
      <c r="BZ307" s="1029">
        <f t="shared" ref="BZ307:BZ315" si="247">SUM(BN307:BY307)</f>
        <v>319947.33166666672</v>
      </c>
      <c r="CA307" s="1030">
        <f t="shared" ref="CA307:CA315" si="248">SUMIF(($M$1:$BZ$1),"Actual",(M307:BZ307))</f>
        <v>2116301.1916666664</v>
      </c>
      <c r="CB307" s="1031">
        <f t="shared" ref="CB307:CB315" si="249">SUMIF(($M$1:$BZ$1),"Forecast",(M307:BZ307))</f>
        <v>0</v>
      </c>
      <c r="CC307" s="1023">
        <f t="shared" ref="CC307:CC315" si="250">+CA307+CB307</f>
        <v>2116301.1916666664</v>
      </c>
      <c r="CD307" s="1023">
        <f t="shared" ref="CD307:CD315" si="251">+CC307-I307</f>
        <v>289830.57244771649</v>
      </c>
      <c r="CE307" s="1023">
        <v>2318481.0414661742</v>
      </c>
      <c r="CF307" s="1023">
        <f t="shared" ref="CF307:CF314" si="252">+CC307-CE307</f>
        <v>-202179.84979950776</v>
      </c>
      <c r="CG307" s="1029"/>
      <c r="CL307" s="976">
        <v>1341545.707775156</v>
      </c>
      <c r="CM307" s="976">
        <f t="shared" ref="CM307:CM329" si="253">+CL307-CC307</f>
        <v>-774755.4838915104</v>
      </c>
    </row>
    <row r="308" spans="1:91" ht="12.75" customHeight="1" outlineLevel="1">
      <c r="A308" s="1091"/>
      <c r="B308" s="1184"/>
      <c r="C308" s="1185"/>
      <c r="D308" s="1185" t="s">
        <v>551</v>
      </c>
      <c r="E308" s="1186"/>
      <c r="F308" s="1023">
        <v>837776</v>
      </c>
      <c r="G308" s="1023">
        <v>1972153.02</v>
      </c>
      <c r="H308" s="1023">
        <v>700000</v>
      </c>
      <c r="I308" s="1023">
        <f>1972153.02+H308</f>
        <v>2672153.02</v>
      </c>
      <c r="J308" s="1019"/>
      <c r="K308" s="1020"/>
      <c r="L308" s="1021"/>
      <c r="M308" s="1022"/>
      <c r="N308" s="1023">
        <v>1479.81</v>
      </c>
      <c r="O308" s="1024">
        <v>1581.35</v>
      </c>
      <c r="P308" s="1024">
        <v>44.57</v>
      </c>
      <c r="Q308" s="1024">
        <v>915.75</v>
      </c>
      <c r="R308" s="1024">
        <v>2955.33</v>
      </c>
      <c r="S308" s="1024">
        <v>924.35</v>
      </c>
      <c r="T308" s="1024">
        <v>4550.96</v>
      </c>
      <c r="U308" s="1024">
        <v>5126.93</v>
      </c>
      <c r="V308" s="1024">
        <v>8101.32</v>
      </c>
      <c r="W308" s="1024">
        <v>14043.71</v>
      </c>
      <c r="X308" s="1024">
        <v>13337.04</v>
      </c>
      <c r="Y308" s="1024">
        <v>19929.12</v>
      </c>
      <c r="Z308" s="1025">
        <f t="shared" si="243"/>
        <v>72990.240000000005</v>
      </c>
      <c r="AA308" s="1026">
        <v>13816.66</v>
      </c>
      <c r="AB308" s="1027">
        <v>14291.3</v>
      </c>
      <c r="AC308" s="1027">
        <v>18991.439999999999</v>
      </c>
      <c r="AD308" s="1027">
        <v>22711.57</v>
      </c>
      <c r="AE308" s="1027">
        <v>25574.400000000001</v>
      </c>
      <c r="AF308" s="1027">
        <v>40967.480000000003</v>
      </c>
      <c r="AG308" s="1027">
        <v>44566.59</v>
      </c>
      <c r="AH308" s="1028">
        <v>42036</v>
      </c>
      <c r="AI308" s="1028">
        <v>41468.629999999997</v>
      </c>
      <c r="AJ308" s="1028">
        <v>42578.59</v>
      </c>
      <c r="AK308" s="1028">
        <v>44988.53</v>
      </c>
      <c r="AL308" s="1028">
        <v>40802.03</v>
      </c>
      <c r="AM308" s="1025">
        <f t="shared" si="244"/>
        <v>392793.22000000009</v>
      </c>
      <c r="AN308" s="1024">
        <v>32601.32</v>
      </c>
      <c r="AO308" s="1024">
        <v>33062.379999999997</v>
      </c>
      <c r="AP308" s="1024">
        <v>42367.78</v>
      </c>
      <c r="AQ308" s="1024">
        <v>94117.56</v>
      </c>
      <c r="AR308" s="1024">
        <v>50753.97</v>
      </c>
      <c r="AS308" s="1024">
        <v>37130.080000000002</v>
      </c>
      <c r="AT308" s="1024">
        <v>33809.730000000003</v>
      </c>
      <c r="AU308" s="1024">
        <v>45452.66</v>
      </c>
      <c r="AV308" s="1024">
        <v>39716.879999999997</v>
      </c>
      <c r="AW308" s="1024">
        <v>39601.279999999999</v>
      </c>
      <c r="AX308" s="1024">
        <v>41340.82</v>
      </c>
      <c r="AY308" s="1076">
        <v>46317.8</v>
      </c>
      <c r="AZ308" s="1024">
        <f t="shared" si="245"/>
        <v>536272.26</v>
      </c>
      <c r="BA308" s="1024">
        <v>40581.410000000003</v>
      </c>
      <c r="BB308" s="1024">
        <v>43970.09</v>
      </c>
      <c r="BC308" s="1024">
        <v>50152.04</v>
      </c>
      <c r="BD308" s="1024">
        <v>49138.74</v>
      </c>
      <c r="BE308" s="1024">
        <v>44232.28</v>
      </c>
      <c r="BF308" s="1024">
        <v>54765.71</v>
      </c>
      <c r="BG308" s="1024">
        <v>48470.04</v>
      </c>
      <c r="BH308" s="1024">
        <v>48885.01</v>
      </c>
      <c r="BI308" s="1024">
        <v>46648.44</v>
      </c>
      <c r="BJ308" s="1024">
        <v>60437.02</v>
      </c>
      <c r="BK308" s="1024">
        <v>55239.3</v>
      </c>
      <c r="BL308" s="1076">
        <v>61536.84</v>
      </c>
      <c r="BM308" s="1024">
        <f t="shared" si="246"/>
        <v>604056.92000000004</v>
      </c>
      <c r="BN308" s="1024">
        <v>77125.91</v>
      </c>
      <c r="BO308" s="1024">
        <v>86467.67</v>
      </c>
      <c r="BP308" s="1024">
        <v>129423.19</v>
      </c>
      <c r="BQ308" s="1093">
        <f>100130.86*(25/30)</f>
        <v>83442.383333333331</v>
      </c>
      <c r="BR308" s="1093">
        <v>0</v>
      </c>
      <c r="BS308" s="1024">
        <f>(SUM(BS292:BS305)*0.57)</f>
        <v>0</v>
      </c>
      <c r="BT308" s="1024">
        <f>(SUM(BT292:BT305)*0.57)</f>
        <v>0</v>
      </c>
      <c r="BU308" s="1024">
        <f>(SUM(BU292:BU305)*0.57)</f>
        <v>0</v>
      </c>
      <c r="BV308" s="1024">
        <f>(SUM(BV292:BV305)*0.57)</f>
        <v>0</v>
      </c>
      <c r="BW308" s="1024">
        <f>(SUM(BW292:BW305)*0.15)</f>
        <v>0</v>
      </c>
      <c r="BX308" s="1024">
        <f>(SUM(BX292:BX305)*0.15)</f>
        <v>0</v>
      </c>
      <c r="BY308" s="1024">
        <f>(SUM(BY292:BY305)*0.15)</f>
        <v>0</v>
      </c>
      <c r="BZ308" s="1029">
        <f t="shared" si="247"/>
        <v>376459.15333333332</v>
      </c>
      <c r="CA308" s="1030">
        <f t="shared" si="248"/>
        <v>1982571.7933333332</v>
      </c>
      <c r="CB308" s="1031">
        <f t="shared" si="249"/>
        <v>0</v>
      </c>
      <c r="CC308" s="1023">
        <f t="shared" si="250"/>
        <v>1982571.7933333332</v>
      </c>
      <c r="CD308" s="1023">
        <f t="shared" si="251"/>
        <v>-689581.2266666668</v>
      </c>
      <c r="CE308" s="1023">
        <v>2354252.3378002765</v>
      </c>
      <c r="CF308" s="1023">
        <f t="shared" si="252"/>
        <v>-371680.54446694325</v>
      </c>
      <c r="CG308" s="1029"/>
      <c r="CL308" s="976">
        <v>1068383.72</v>
      </c>
      <c r="CM308" s="976">
        <f t="shared" si="253"/>
        <v>-914188.07333333325</v>
      </c>
    </row>
    <row r="309" spans="1:91" ht="12.75" customHeight="1" outlineLevel="1">
      <c r="A309" s="1091"/>
      <c r="B309" s="1184"/>
      <c r="C309" s="1185"/>
      <c r="D309" s="1185" t="s">
        <v>552</v>
      </c>
      <c r="E309" s="1186"/>
      <c r="F309" s="1023"/>
      <c r="G309" s="1023">
        <v>8386.06</v>
      </c>
      <c r="H309" s="1023"/>
      <c r="I309" s="1023">
        <v>8386.06</v>
      </c>
      <c r="J309" s="1019"/>
      <c r="K309" s="1020"/>
      <c r="L309" s="1021"/>
      <c r="M309" s="1022"/>
      <c r="N309" s="1023">
        <v>0</v>
      </c>
      <c r="O309" s="1024">
        <v>0</v>
      </c>
      <c r="P309" s="1024">
        <v>0</v>
      </c>
      <c r="Q309" s="1024">
        <v>0.05</v>
      </c>
      <c r="R309" s="1024">
        <v>0.01</v>
      </c>
      <c r="S309" s="1024">
        <v>0</v>
      </c>
      <c r="T309" s="1024">
        <v>0</v>
      </c>
      <c r="U309" s="1024">
        <v>0</v>
      </c>
      <c r="V309" s="1024">
        <v>0</v>
      </c>
      <c r="W309" s="1024">
        <v>0</v>
      </c>
      <c r="X309" s="1024">
        <v>0</v>
      </c>
      <c r="Y309" s="1024">
        <v>0</v>
      </c>
      <c r="Z309" s="1025">
        <f t="shared" si="243"/>
        <v>6.0000000000000005E-2</v>
      </c>
      <c r="AA309" s="1026">
        <v>0</v>
      </c>
      <c r="AB309" s="1027">
        <v>0</v>
      </c>
      <c r="AC309" s="1027">
        <v>0.01</v>
      </c>
      <c r="AD309" s="1027">
        <v>0.01</v>
      </c>
      <c r="AE309" s="1027">
        <v>0.03</v>
      </c>
      <c r="AF309" s="1027">
        <v>0.01</v>
      </c>
      <c r="AG309" s="1027">
        <v>0.01</v>
      </c>
      <c r="AH309" s="1028">
        <v>2.19</v>
      </c>
      <c r="AI309" s="1028">
        <v>2267.34</v>
      </c>
      <c r="AJ309" s="1028">
        <v>2615.21</v>
      </c>
      <c r="AK309" s="1028">
        <v>1264.44</v>
      </c>
      <c r="AL309" s="1028">
        <v>1801.87</v>
      </c>
      <c r="AM309" s="1025">
        <f t="shared" si="244"/>
        <v>7951.12</v>
      </c>
      <c r="AN309" s="1024">
        <v>16.440000000000001</v>
      </c>
      <c r="AO309" s="1024">
        <v>2.4700000000000002</v>
      </c>
      <c r="AP309" s="1024">
        <v>0.38</v>
      </c>
      <c r="AQ309" s="1024">
        <v>72.709999999999994</v>
      </c>
      <c r="AR309" s="1024">
        <v>210.75</v>
      </c>
      <c r="AS309" s="1024">
        <v>86.46</v>
      </c>
      <c r="AT309" s="1024">
        <v>31.02</v>
      </c>
      <c r="AU309" s="1024"/>
      <c r="AV309" s="1024">
        <v>0.3</v>
      </c>
      <c r="AW309" s="1024">
        <v>14.35</v>
      </c>
      <c r="AX309" s="1024">
        <v>80.78</v>
      </c>
      <c r="AY309" s="1024">
        <v>536.63</v>
      </c>
      <c r="AZ309" s="1024">
        <f t="shared" si="245"/>
        <v>1052.29</v>
      </c>
      <c r="BA309" s="1024">
        <v>19.87</v>
      </c>
      <c r="BB309" s="1024">
        <v>17.66</v>
      </c>
      <c r="BC309" s="1024">
        <v>14.41</v>
      </c>
      <c r="BD309" s="1024">
        <v>10.92</v>
      </c>
      <c r="BE309" s="1024">
        <v>45</v>
      </c>
      <c r="BF309" s="1024">
        <v>12.94</v>
      </c>
      <c r="BG309" s="1024">
        <v>0.16</v>
      </c>
      <c r="BH309" s="1024">
        <v>9.15</v>
      </c>
      <c r="BI309" s="1024">
        <v>38.97</v>
      </c>
      <c r="BJ309" s="1024">
        <v>1230.52</v>
      </c>
      <c r="BK309" s="1024">
        <v>61.04</v>
      </c>
      <c r="BL309" s="1024">
        <v>1281.79</v>
      </c>
      <c r="BM309" s="1024">
        <f t="shared" si="246"/>
        <v>2742.43</v>
      </c>
      <c r="BN309" s="1024">
        <v>190.11</v>
      </c>
      <c r="BO309" s="1024">
        <v>4797.95</v>
      </c>
      <c r="BP309" s="1024">
        <v>344.1</v>
      </c>
      <c r="BQ309" s="1093">
        <f>311.34*(25/30)</f>
        <v>259.45</v>
      </c>
      <c r="BR309" s="1093">
        <v>0</v>
      </c>
      <c r="BS309" s="1024"/>
      <c r="BT309" s="1024"/>
      <c r="BU309" s="1024"/>
      <c r="BV309" s="1024"/>
      <c r="BW309" s="1024"/>
      <c r="BX309" s="1024"/>
      <c r="BY309" s="1024"/>
      <c r="BZ309" s="1029">
        <f t="shared" si="247"/>
        <v>5591.61</v>
      </c>
      <c r="CA309" s="1030">
        <f t="shared" si="248"/>
        <v>17337.510000000002</v>
      </c>
      <c r="CB309" s="1031">
        <f t="shared" si="249"/>
        <v>0</v>
      </c>
      <c r="CC309" s="1023">
        <f t="shared" si="250"/>
        <v>17337.510000000002</v>
      </c>
      <c r="CD309" s="1023">
        <f t="shared" si="251"/>
        <v>8951.4500000000025</v>
      </c>
      <c r="CE309" s="1023">
        <v>17389.400000000001</v>
      </c>
      <c r="CF309" s="1023">
        <f t="shared" si="252"/>
        <v>-51.889999999999418</v>
      </c>
      <c r="CG309" s="1029"/>
      <c r="CL309" s="976">
        <v>8253.93</v>
      </c>
      <c r="CM309" s="976">
        <f t="shared" si="253"/>
        <v>-9083.5800000000017</v>
      </c>
    </row>
    <row r="310" spans="1:91" ht="12.75" customHeight="1" outlineLevel="1">
      <c r="A310" s="1091"/>
      <c r="B310" s="1184"/>
      <c r="C310" s="1185"/>
      <c r="D310" s="1185" t="s">
        <v>553</v>
      </c>
      <c r="E310" s="1186"/>
      <c r="F310" s="1023"/>
      <c r="G310" s="1023">
        <v>29076.33</v>
      </c>
      <c r="H310" s="1023"/>
      <c r="I310" s="1023">
        <v>29076.33</v>
      </c>
      <c r="J310" s="1019"/>
      <c r="K310" s="1020"/>
      <c r="L310" s="1021"/>
      <c r="M310" s="1022"/>
      <c r="N310" s="1023">
        <v>60.3</v>
      </c>
      <c r="O310" s="1024">
        <v>0</v>
      </c>
      <c r="P310" s="1024">
        <v>0</v>
      </c>
      <c r="Q310" s="1024">
        <v>51.86</v>
      </c>
      <c r="R310" s="1024">
        <v>5.1100000000000003</v>
      </c>
      <c r="S310" s="1024">
        <v>3.42</v>
      </c>
      <c r="T310" s="1024">
        <v>90.24</v>
      </c>
      <c r="U310" s="1024">
        <v>19.61</v>
      </c>
      <c r="V310" s="1024">
        <v>41.75</v>
      </c>
      <c r="W310" s="1024">
        <v>716.8</v>
      </c>
      <c r="X310" s="1024">
        <v>562.70000000000005</v>
      </c>
      <c r="Y310" s="1024">
        <v>90.16</v>
      </c>
      <c r="Z310" s="1025">
        <f t="shared" si="243"/>
        <v>1641.95</v>
      </c>
      <c r="AA310" s="1026">
        <v>198.8</v>
      </c>
      <c r="AB310" s="1027">
        <v>231.13</v>
      </c>
      <c r="AC310" s="1027">
        <v>302.01</v>
      </c>
      <c r="AD310" s="1027">
        <v>516.29999999999995</v>
      </c>
      <c r="AE310" s="1027">
        <v>532.03</v>
      </c>
      <c r="AF310" s="1027">
        <v>867.97</v>
      </c>
      <c r="AG310" s="1027">
        <v>1136.02</v>
      </c>
      <c r="AH310" s="1028">
        <v>1646.22</v>
      </c>
      <c r="AI310" s="1028">
        <v>1793.96</v>
      </c>
      <c r="AJ310" s="1028">
        <v>1424.2</v>
      </c>
      <c r="AK310" s="1028">
        <v>1282.57</v>
      </c>
      <c r="AL310" s="1028">
        <v>2160.1</v>
      </c>
      <c r="AM310" s="1025">
        <f t="shared" si="244"/>
        <v>12091.31</v>
      </c>
      <c r="AN310" s="1024">
        <v>1058.57</v>
      </c>
      <c r="AO310" s="1024">
        <v>905.28</v>
      </c>
      <c r="AP310" s="1024">
        <v>1660.61</v>
      </c>
      <c r="AQ310" s="1024">
        <v>3586.17</v>
      </c>
      <c r="AR310" s="1024">
        <v>1631.45</v>
      </c>
      <c r="AS310" s="1024">
        <v>1118.9100000000001</v>
      </c>
      <c r="AT310" s="1024">
        <v>857.72</v>
      </c>
      <c r="AU310" s="1024">
        <v>1635.38</v>
      </c>
      <c r="AV310" s="1024">
        <v>1389.45</v>
      </c>
      <c r="AW310" s="1024">
        <v>1499.53</v>
      </c>
      <c r="AX310" s="1024">
        <v>1057.47</v>
      </c>
      <c r="AY310" s="1024">
        <v>774.88</v>
      </c>
      <c r="AZ310" s="1024">
        <f t="shared" si="245"/>
        <v>17175.420000000002</v>
      </c>
      <c r="BA310" s="1024">
        <v>1696.99</v>
      </c>
      <c r="BB310" s="1024">
        <v>1694.84</v>
      </c>
      <c r="BC310" s="1024">
        <v>1514.73</v>
      </c>
      <c r="BD310" s="1024">
        <v>1377.65</v>
      </c>
      <c r="BE310" s="1024">
        <v>1897.21</v>
      </c>
      <c r="BF310" s="1024">
        <v>2632.46</v>
      </c>
      <c r="BG310" s="1024">
        <v>1757.29</v>
      </c>
      <c r="BH310" s="1024">
        <v>2282.8200000000002</v>
      </c>
      <c r="BI310" s="1024">
        <v>2063.6</v>
      </c>
      <c r="BJ310" s="1024">
        <v>5737.39</v>
      </c>
      <c r="BK310" s="1024">
        <v>3717.31</v>
      </c>
      <c r="BL310" s="1024">
        <v>3884.31</v>
      </c>
      <c r="BM310" s="1024">
        <f t="shared" si="246"/>
        <v>30256.6</v>
      </c>
      <c r="BN310" s="1024">
        <v>5418.75</v>
      </c>
      <c r="BO310" s="1024">
        <v>7626.44</v>
      </c>
      <c r="BP310" s="1024">
        <v>9936.77</v>
      </c>
      <c r="BQ310" s="1093">
        <f>7145*(25/30)</f>
        <v>5954.166666666667</v>
      </c>
      <c r="BR310" s="1093">
        <v>0</v>
      </c>
      <c r="BS310" s="1024"/>
      <c r="BT310" s="1024"/>
      <c r="BU310" s="1024"/>
      <c r="BV310" s="1024"/>
      <c r="BW310" s="1024"/>
      <c r="BX310" s="1024"/>
      <c r="BY310" s="1024"/>
      <c r="BZ310" s="1029">
        <f t="shared" si="247"/>
        <v>28936.126666666667</v>
      </c>
      <c r="CA310" s="1030">
        <f t="shared" si="248"/>
        <v>90101.406666666677</v>
      </c>
      <c r="CB310" s="1031">
        <f t="shared" si="249"/>
        <v>0</v>
      </c>
      <c r="CC310" s="1023">
        <f t="shared" si="250"/>
        <v>90101.406666666677</v>
      </c>
      <c r="CD310" s="1023">
        <f t="shared" si="251"/>
        <v>61025.076666666675</v>
      </c>
      <c r="CE310" s="1023">
        <v>91292.24</v>
      </c>
      <c r="CF310" s="1023">
        <f t="shared" si="252"/>
        <v>-1190.8333333333285</v>
      </c>
      <c r="CG310" s="1029"/>
      <c r="CL310" s="976">
        <v>22575.34</v>
      </c>
      <c r="CM310" s="976">
        <f t="shared" si="253"/>
        <v>-67526.06666666668</v>
      </c>
    </row>
    <row r="311" spans="1:91" ht="12.75" customHeight="1" outlineLevel="1">
      <c r="A311" s="1091"/>
      <c r="B311" s="1184"/>
      <c r="C311" s="1185"/>
      <c r="D311" s="1185" t="s">
        <v>554</v>
      </c>
      <c r="E311" s="1186"/>
      <c r="F311" s="1023"/>
      <c r="G311" s="1023">
        <v>12.9</v>
      </c>
      <c r="H311" s="1023"/>
      <c r="I311" s="1023">
        <v>12.9</v>
      </c>
      <c r="J311" s="1019"/>
      <c r="K311" s="1020"/>
      <c r="L311" s="1021"/>
      <c r="M311" s="1022"/>
      <c r="N311" s="1023">
        <v>0</v>
      </c>
      <c r="O311" s="1024">
        <v>0</v>
      </c>
      <c r="P311" s="1024">
        <v>0</v>
      </c>
      <c r="Q311" s="1024">
        <v>0</v>
      </c>
      <c r="R311" s="1024">
        <v>0</v>
      </c>
      <c r="S311" s="1024">
        <v>0.01</v>
      </c>
      <c r="T311" s="1024">
        <v>0</v>
      </c>
      <c r="U311" s="1024">
        <v>0</v>
      </c>
      <c r="V311" s="1024">
        <v>0</v>
      </c>
      <c r="W311" s="1024">
        <v>0</v>
      </c>
      <c r="X311" s="1024">
        <v>0</v>
      </c>
      <c r="Y311" s="1024">
        <v>0</v>
      </c>
      <c r="Z311" s="1025">
        <f t="shared" si="243"/>
        <v>0.01</v>
      </c>
      <c r="AA311" s="1026">
        <v>0</v>
      </c>
      <c r="AB311" s="1027">
        <v>0</v>
      </c>
      <c r="AC311" s="1027">
        <v>0</v>
      </c>
      <c r="AD311" s="1027">
        <v>0</v>
      </c>
      <c r="AE311" s="1027">
        <v>0</v>
      </c>
      <c r="AF311" s="1027">
        <v>0</v>
      </c>
      <c r="AG311" s="1027">
        <v>0.15</v>
      </c>
      <c r="AH311" s="1028">
        <v>0.04</v>
      </c>
      <c r="AI311" s="1028">
        <v>0.7</v>
      </c>
      <c r="AJ311" s="1028">
        <v>1.86</v>
      </c>
      <c r="AK311" s="1028">
        <v>1.1399999999999999</v>
      </c>
      <c r="AL311" s="1028">
        <v>0.01</v>
      </c>
      <c r="AM311" s="1025">
        <f t="shared" si="244"/>
        <v>3.8999999999999995</v>
      </c>
      <c r="AN311" s="1024">
        <v>4.9400000000000004</v>
      </c>
      <c r="AO311" s="1024">
        <v>0.01</v>
      </c>
      <c r="AP311" s="1024"/>
      <c r="AQ311" s="1024">
        <v>3.41</v>
      </c>
      <c r="AR311" s="1024">
        <v>0.62</v>
      </c>
      <c r="AS311" s="1024">
        <v>0.01</v>
      </c>
      <c r="AT311" s="1024"/>
      <c r="AU311" s="1024"/>
      <c r="AV311" s="1024"/>
      <c r="AW311" s="1024"/>
      <c r="AX311" s="1024">
        <v>2.2599999999999998</v>
      </c>
      <c r="AY311" s="1024"/>
      <c r="AZ311" s="1024">
        <f t="shared" si="245"/>
        <v>11.249999999999998</v>
      </c>
      <c r="BA311" s="1024">
        <v>0.54</v>
      </c>
      <c r="BB311" s="1024">
        <v>0.02</v>
      </c>
      <c r="BC311" s="1024">
        <v>0.48</v>
      </c>
      <c r="BD311" s="1024"/>
      <c r="BE311" s="1024"/>
      <c r="BF311" s="1024">
        <v>1.31</v>
      </c>
      <c r="BG311" s="1024"/>
      <c r="BH311" s="1024">
        <v>0.05</v>
      </c>
      <c r="BI311" s="1024"/>
      <c r="BJ311" s="1024"/>
      <c r="BK311" s="1024">
        <v>2.91</v>
      </c>
      <c r="BL311" s="1024">
        <v>3.24</v>
      </c>
      <c r="BM311" s="1024">
        <f t="shared" si="246"/>
        <v>8.5500000000000007</v>
      </c>
      <c r="BN311" s="1024">
        <v>4.37</v>
      </c>
      <c r="BO311" s="1024">
        <v>3.47</v>
      </c>
      <c r="BP311" s="1024">
        <v>12.71</v>
      </c>
      <c r="BQ311" s="1093"/>
      <c r="BR311" s="1093">
        <v>0</v>
      </c>
      <c r="BS311" s="1024"/>
      <c r="BT311" s="1024"/>
      <c r="BU311" s="1024"/>
      <c r="BV311" s="1024"/>
      <c r="BW311" s="1024"/>
      <c r="BX311" s="1024"/>
      <c r="BY311" s="1024"/>
      <c r="BZ311" s="1029">
        <f t="shared" si="247"/>
        <v>20.55</v>
      </c>
      <c r="CA311" s="1030">
        <f t="shared" si="248"/>
        <v>44.260000000000005</v>
      </c>
      <c r="CB311" s="1031">
        <f t="shared" si="249"/>
        <v>0</v>
      </c>
      <c r="CC311" s="1023">
        <f t="shared" si="250"/>
        <v>44.260000000000005</v>
      </c>
      <c r="CD311" s="1023">
        <f t="shared" si="251"/>
        <v>31.360000000000007</v>
      </c>
      <c r="CE311" s="1023">
        <v>44.260000000000005</v>
      </c>
      <c r="CF311" s="1023">
        <f t="shared" si="252"/>
        <v>0</v>
      </c>
      <c r="CG311" s="1029"/>
      <c r="CL311" s="976">
        <v>12.89</v>
      </c>
      <c r="CM311" s="976">
        <f t="shared" si="253"/>
        <v>-31.370000000000005</v>
      </c>
    </row>
    <row r="312" spans="1:91" ht="12.75" customHeight="1" outlineLevel="1">
      <c r="A312" s="1091"/>
      <c r="B312" s="1184"/>
      <c r="C312" s="1185"/>
      <c r="D312" s="1185" t="s">
        <v>555</v>
      </c>
      <c r="E312" s="1186"/>
      <c r="F312" s="1023"/>
      <c r="G312" s="1023">
        <v>26050.35</v>
      </c>
      <c r="H312" s="1023"/>
      <c r="I312" s="1023">
        <v>26050.35</v>
      </c>
      <c r="J312" s="1019"/>
      <c r="K312" s="1020"/>
      <c r="L312" s="1021"/>
      <c r="M312" s="1022"/>
      <c r="N312" s="1023">
        <v>0</v>
      </c>
      <c r="O312" s="1024">
        <v>0</v>
      </c>
      <c r="P312" s="1024">
        <v>0</v>
      </c>
      <c r="Q312" s="1024">
        <v>0</v>
      </c>
      <c r="R312" s="1024">
        <v>0</v>
      </c>
      <c r="S312" s="1024">
        <v>0</v>
      </c>
      <c r="T312" s="1024">
        <v>4.1900000000000004</v>
      </c>
      <c r="U312" s="1024">
        <v>0</v>
      </c>
      <c r="V312" s="1024">
        <v>0</v>
      </c>
      <c r="W312" s="1024">
        <v>0</v>
      </c>
      <c r="X312" s="1024">
        <v>0</v>
      </c>
      <c r="Y312" s="1024">
        <v>0</v>
      </c>
      <c r="Z312" s="1025">
        <f t="shared" si="243"/>
        <v>4.1900000000000004</v>
      </c>
      <c r="AA312" s="1026">
        <v>0</v>
      </c>
      <c r="AB312" s="1027">
        <v>0</v>
      </c>
      <c r="AC312" s="1027">
        <v>0</v>
      </c>
      <c r="AD312" s="1027">
        <v>-3573.72</v>
      </c>
      <c r="AE312" s="1027">
        <v>0</v>
      </c>
      <c r="AF312" s="1027">
        <v>0</v>
      </c>
      <c r="AG312" s="1027">
        <v>0</v>
      </c>
      <c r="AH312" s="1028">
        <v>0</v>
      </c>
      <c r="AI312" s="1028"/>
      <c r="AJ312" s="1028"/>
      <c r="AK312" s="1028"/>
      <c r="AL312" s="1028"/>
      <c r="AM312" s="1025">
        <f t="shared" si="244"/>
        <v>-3573.72</v>
      </c>
      <c r="AN312" s="1024"/>
      <c r="AO312" s="1024"/>
      <c r="AP312" s="1024"/>
      <c r="AQ312" s="1024"/>
      <c r="AR312" s="1024"/>
      <c r="AS312" s="1024"/>
      <c r="AT312" s="1024">
        <v>29619.88</v>
      </c>
      <c r="AU312" s="1024"/>
      <c r="AV312" s="1024"/>
      <c r="AW312" s="1024"/>
      <c r="AX312" s="1024"/>
      <c r="AY312" s="1024"/>
      <c r="AZ312" s="1024">
        <f t="shared" si="245"/>
        <v>29619.88</v>
      </c>
      <c r="BA312" s="1024"/>
      <c r="BB312" s="1024"/>
      <c r="BC312" s="1024"/>
      <c r="BD312" s="1024"/>
      <c r="BE312" s="1024"/>
      <c r="BF312" s="1024"/>
      <c r="BG312" s="1024"/>
      <c r="BH312" s="1024"/>
      <c r="BI312" s="1024"/>
      <c r="BJ312" s="1024"/>
      <c r="BK312" s="1024"/>
      <c r="BL312" s="1024"/>
      <c r="BM312" s="1024">
        <f t="shared" si="246"/>
        <v>0</v>
      </c>
      <c r="BN312" s="1024"/>
      <c r="BO312" s="1024"/>
      <c r="BP312" s="1024">
        <v>1.41</v>
      </c>
      <c r="BQ312" s="1093">
        <f>535.42*(25/30)</f>
        <v>446.18333333333334</v>
      </c>
      <c r="BR312" s="1024"/>
      <c r="BS312" s="1024"/>
      <c r="BT312" s="1024"/>
      <c r="BU312" s="1024"/>
      <c r="BV312" s="1024"/>
      <c r="BW312" s="1024"/>
      <c r="BX312" s="1024"/>
      <c r="BY312" s="1024"/>
      <c r="BZ312" s="1029">
        <f t="shared" si="247"/>
        <v>447.59333333333336</v>
      </c>
      <c r="CA312" s="1030">
        <f t="shared" si="248"/>
        <v>26497.943333333336</v>
      </c>
      <c r="CB312" s="1031">
        <f t="shared" si="249"/>
        <v>0</v>
      </c>
      <c r="CC312" s="1023">
        <f t="shared" si="250"/>
        <v>26497.943333333336</v>
      </c>
      <c r="CD312" s="1023">
        <f t="shared" si="251"/>
        <v>447.5933333333378</v>
      </c>
      <c r="CE312" s="1023">
        <v>26587.18</v>
      </c>
      <c r="CF312" s="1023">
        <f t="shared" si="252"/>
        <v>-89.23666666666395</v>
      </c>
      <c r="CG312" s="1029"/>
      <c r="CL312" s="976">
        <v>-3569.53</v>
      </c>
      <c r="CM312" s="976">
        <f t="shared" si="253"/>
        <v>-30067.473333333335</v>
      </c>
    </row>
    <row r="313" spans="1:91" ht="12.75" customHeight="1" outlineLevel="1">
      <c r="A313" s="1091"/>
      <c r="B313" s="1184"/>
      <c r="C313" s="1185"/>
      <c r="D313" s="1185" t="s">
        <v>536</v>
      </c>
      <c r="E313" s="1186"/>
      <c r="F313" s="1023"/>
      <c r="G313" s="1023">
        <v>-3478.69</v>
      </c>
      <c r="H313" s="1023"/>
      <c r="I313" s="1023">
        <v>-3478.69</v>
      </c>
      <c r="J313" s="1019"/>
      <c r="K313" s="1020"/>
      <c r="L313" s="1021"/>
      <c r="M313" s="1022"/>
      <c r="N313" s="1023"/>
      <c r="O313" s="1024"/>
      <c r="P313" s="1024"/>
      <c r="Q313" s="1024"/>
      <c r="R313" s="1024"/>
      <c r="S313" s="1024"/>
      <c r="T313" s="1024"/>
      <c r="U313" s="1024"/>
      <c r="V313" s="1024"/>
      <c r="W313" s="1024"/>
      <c r="X313" s="1024"/>
      <c r="Y313" s="1024"/>
      <c r="Z313" s="1025">
        <f t="shared" si="243"/>
        <v>0</v>
      </c>
      <c r="AA313" s="1026">
        <v>0</v>
      </c>
      <c r="AB313" s="1027">
        <v>0</v>
      </c>
      <c r="AC313" s="1027">
        <v>0</v>
      </c>
      <c r="AD313" s="1027">
        <v>0</v>
      </c>
      <c r="AE313" s="1027">
        <v>0</v>
      </c>
      <c r="AF313" s="1027">
        <v>0.36</v>
      </c>
      <c r="AG313" s="1027">
        <v>-16.190000000000001</v>
      </c>
      <c r="AH313" s="1028">
        <v>-3485</v>
      </c>
      <c r="AI313" s="1028">
        <v>1.06</v>
      </c>
      <c r="AJ313" s="1028"/>
      <c r="AK313" s="1028"/>
      <c r="AL313" s="1028"/>
      <c r="AM313" s="1025">
        <f t="shared" si="244"/>
        <v>-3499.77</v>
      </c>
      <c r="AN313" s="1024"/>
      <c r="AO313" s="1024">
        <v>1.39</v>
      </c>
      <c r="AP313" s="1024"/>
      <c r="AQ313" s="1024">
        <v>19.690000000000001</v>
      </c>
      <c r="AR313" s="1024"/>
      <c r="AS313" s="1024"/>
      <c r="AT313" s="1024"/>
      <c r="AU313" s="1024"/>
      <c r="AV313" s="1024"/>
      <c r="AW313" s="1024"/>
      <c r="AX313" s="1024"/>
      <c r="AY313" s="1024">
        <v>1.46</v>
      </c>
      <c r="AZ313" s="1024">
        <f t="shared" si="245"/>
        <v>22.540000000000003</v>
      </c>
      <c r="BA313" s="1024"/>
      <c r="BB313" s="1024"/>
      <c r="BC313" s="1024"/>
      <c r="BD313" s="1024"/>
      <c r="BE313" s="1024">
        <v>-601.75</v>
      </c>
      <c r="BF313" s="1024"/>
      <c r="BG313" s="1024"/>
      <c r="BH313" s="1024">
        <v>0.11</v>
      </c>
      <c r="BI313" s="1024"/>
      <c r="BJ313" s="1024">
        <v>10.7</v>
      </c>
      <c r="BK313" s="1024"/>
      <c r="BL313" s="1024">
        <v>16.13</v>
      </c>
      <c r="BM313" s="1024">
        <f t="shared" si="246"/>
        <v>-574.80999999999995</v>
      </c>
      <c r="BN313" s="1024">
        <v>-1870.62</v>
      </c>
      <c r="BO313" s="1024"/>
      <c r="BP313" s="1024">
        <v>0.28999999999999998</v>
      </c>
      <c r="BQ313" s="1024"/>
      <c r="BR313" s="1093">
        <v>0</v>
      </c>
      <c r="BS313" s="1024"/>
      <c r="BT313" s="1024"/>
      <c r="BU313" s="1024"/>
      <c r="BV313" s="1024"/>
      <c r="BW313" s="1024"/>
      <c r="BX313" s="1024"/>
      <c r="BY313" s="1024"/>
      <c r="BZ313" s="1029">
        <f t="shared" si="247"/>
        <v>-1870.33</v>
      </c>
      <c r="CA313" s="1030">
        <f t="shared" si="248"/>
        <v>-5922.37</v>
      </c>
      <c r="CB313" s="1031">
        <f t="shared" si="249"/>
        <v>0</v>
      </c>
      <c r="CC313" s="1023">
        <f t="shared" si="250"/>
        <v>-5922.37</v>
      </c>
      <c r="CD313" s="1023">
        <f t="shared" si="251"/>
        <v>-2443.6799999999998</v>
      </c>
      <c r="CE313" s="1023">
        <v>-5922.37</v>
      </c>
      <c r="CF313" s="1023">
        <f t="shared" si="252"/>
        <v>0</v>
      </c>
      <c r="CG313" s="1029"/>
      <c r="CL313" s="976">
        <v>-3478.69</v>
      </c>
      <c r="CM313" s="976">
        <f t="shared" si="253"/>
        <v>2443.6799999999998</v>
      </c>
    </row>
    <row r="314" spans="1:91" ht="12.75" customHeight="1" outlineLevel="1">
      <c r="A314" s="1091"/>
      <c r="B314" s="1184"/>
      <c r="C314" s="1185"/>
      <c r="D314" s="1185" t="s">
        <v>600</v>
      </c>
      <c r="E314" s="1186"/>
      <c r="F314" s="1023"/>
      <c r="G314" s="1023">
        <v>-14604.56</v>
      </c>
      <c r="H314" s="1023"/>
      <c r="I314" s="1023">
        <v>-14604.56</v>
      </c>
      <c r="J314" s="1019"/>
      <c r="K314" s="1020"/>
      <c r="L314" s="1021"/>
      <c r="M314" s="1022"/>
      <c r="N314" s="1023"/>
      <c r="O314" s="1024"/>
      <c r="P314" s="1024"/>
      <c r="Q314" s="1024"/>
      <c r="R314" s="1024"/>
      <c r="S314" s="1024"/>
      <c r="T314" s="1024"/>
      <c r="U314" s="1024"/>
      <c r="V314" s="1024"/>
      <c r="W314" s="1024"/>
      <c r="X314" s="1024"/>
      <c r="Y314" s="1024"/>
      <c r="Z314" s="1025">
        <f t="shared" si="243"/>
        <v>0</v>
      </c>
      <c r="AA314" s="1026">
        <v>0</v>
      </c>
      <c r="AB314" s="1027">
        <v>0</v>
      </c>
      <c r="AC314" s="1027">
        <v>0</v>
      </c>
      <c r="AD314" s="1027">
        <v>0</v>
      </c>
      <c r="AE314" s="1027">
        <v>0</v>
      </c>
      <c r="AF314" s="1027"/>
      <c r="AG314" s="1027"/>
      <c r="AH314" s="1028"/>
      <c r="AI314" s="1028"/>
      <c r="AJ314" s="1028"/>
      <c r="AK314" s="1028"/>
      <c r="AL314" s="1028">
        <v>-14604.56</v>
      </c>
      <c r="AM314" s="1025">
        <f t="shared" si="244"/>
        <v>-14604.56</v>
      </c>
      <c r="AN314" s="1024"/>
      <c r="AO314" s="1024"/>
      <c r="AP314" s="1024"/>
      <c r="AQ314" s="1024"/>
      <c r="AR314" s="1024"/>
      <c r="AS314" s="1024"/>
      <c r="AT314" s="1024"/>
      <c r="AU314" s="1024"/>
      <c r="AV314" s="1024"/>
      <c r="AW314" s="1024"/>
      <c r="AX314" s="1024"/>
      <c r="AY314" s="1024"/>
      <c r="AZ314" s="1024">
        <f t="shared" si="245"/>
        <v>0</v>
      </c>
      <c r="BA314" s="1024"/>
      <c r="BB314" s="1024"/>
      <c r="BC314" s="1024"/>
      <c r="BD314" s="1024"/>
      <c r="BE314" s="1024"/>
      <c r="BF314" s="1024"/>
      <c r="BG314" s="1024"/>
      <c r="BH314" s="1024"/>
      <c r="BI314" s="1024"/>
      <c r="BJ314" s="1024"/>
      <c r="BK314" s="1024"/>
      <c r="BL314" s="1024"/>
      <c r="BM314" s="1024">
        <f t="shared" si="246"/>
        <v>0</v>
      </c>
      <c r="BN314" s="1024"/>
      <c r="BO314" s="1024"/>
      <c r="BP314" s="1024"/>
      <c r="BQ314" s="1024"/>
      <c r="BR314" s="1024"/>
      <c r="BS314" s="1024"/>
      <c r="BT314" s="1024"/>
      <c r="BU314" s="1024"/>
      <c r="BV314" s="1024"/>
      <c r="BW314" s="1024"/>
      <c r="BX314" s="1024"/>
      <c r="BY314" s="1024"/>
      <c r="BZ314" s="1029">
        <f t="shared" si="247"/>
        <v>0</v>
      </c>
      <c r="CA314" s="1030">
        <f t="shared" si="248"/>
        <v>-14604.56</v>
      </c>
      <c r="CB314" s="1031">
        <f t="shared" si="249"/>
        <v>0</v>
      </c>
      <c r="CC314" s="1023">
        <f t="shared" si="250"/>
        <v>-14604.56</v>
      </c>
      <c r="CD314" s="1023">
        <f t="shared" si="251"/>
        <v>0</v>
      </c>
      <c r="CE314" s="1023">
        <v>-14604.56</v>
      </c>
      <c r="CF314" s="1023">
        <f t="shared" si="252"/>
        <v>0</v>
      </c>
      <c r="CG314" s="1029"/>
      <c r="CL314" s="976">
        <v>-14604.56</v>
      </c>
      <c r="CM314" s="976">
        <f t="shared" si="253"/>
        <v>0</v>
      </c>
    </row>
    <row r="315" spans="1:91" ht="12.75" customHeight="1" outlineLevel="1">
      <c r="A315" s="1091"/>
      <c r="B315" s="1184"/>
      <c r="C315" s="1185"/>
      <c r="D315" s="1189"/>
      <c r="E315" s="1186"/>
      <c r="F315" s="1023"/>
      <c r="G315" s="1023"/>
      <c r="H315" s="1023"/>
      <c r="I315" s="1023"/>
      <c r="J315" s="1019"/>
      <c r="K315" s="1020"/>
      <c r="L315" s="1021"/>
      <c r="M315" s="1022"/>
      <c r="N315" s="1023">
        <v>0</v>
      </c>
      <c r="O315" s="1024">
        <v>0</v>
      </c>
      <c r="P315" s="1024">
        <v>0</v>
      </c>
      <c r="Q315" s="1024">
        <v>0</v>
      </c>
      <c r="R315" s="1024">
        <v>0</v>
      </c>
      <c r="S315" s="1024"/>
      <c r="T315" s="1024"/>
      <c r="U315" s="1024"/>
      <c r="V315" s="1024"/>
      <c r="W315" s="1024"/>
      <c r="X315" s="1024"/>
      <c r="Y315" s="1024"/>
      <c r="Z315" s="1025">
        <f t="shared" si="243"/>
        <v>0</v>
      </c>
      <c r="AA315" s="1026"/>
      <c r="AB315" s="1027"/>
      <c r="AC315" s="1027"/>
      <c r="AD315" s="1027"/>
      <c r="AE315" s="1027"/>
      <c r="AF315" s="1027"/>
      <c r="AG315" s="1027"/>
      <c r="AH315" s="1028"/>
      <c r="AI315" s="1028"/>
      <c r="AJ315" s="1028"/>
      <c r="AK315" s="1028"/>
      <c r="AL315" s="1028"/>
      <c r="AM315" s="1025">
        <f t="shared" si="244"/>
        <v>0</v>
      </c>
      <c r="AN315" s="1024"/>
      <c r="AO315" s="1024"/>
      <c r="AP315" s="1024"/>
      <c r="AQ315" s="1024"/>
      <c r="AR315" s="1024"/>
      <c r="AS315" s="1024"/>
      <c r="AT315" s="1024"/>
      <c r="AU315" s="1024"/>
      <c r="AV315" s="1024"/>
      <c r="AW315" s="1024"/>
      <c r="AX315" s="1024"/>
      <c r="AY315" s="1024"/>
      <c r="AZ315" s="1024">
        <f t="shared" si="245"/>
        <v>0</v>
      </c>
      <c r="BA315" s="1024"/>
      <c r="BB315" s="1024"/>
      <c r="BC315" s="1024"/>
      <c r="BD315" s="1024"/>
      <c r="BE315" s="1024"/>
      <c r="BF315" s="1024"/>
      <c r="BG315" s="1024"/>
      <c r="BH315" s="1024"/>
      <c r="BI315" s="1024"/>
      <c r="BJ315" s="1024"/>
      <c r="BK315" s="1024"/>
      <c r="BL315" s="1024"/>
      <c r="BM315" s="1024">
        <f t="shared" si="246"/>
        <v>0</v>
      </c>
      <c r="BN315" s="1024"/>
      <c r="BO315" s="1024"/>
      <c r="BP315" s="1024"/>
      <c r="BQ315" s="1024"/>
      <c r="BR315" s="1024"/>
      <c r="BS315" s="1024"/>
      <c r="BT315" s="1024"/>
      <c r="BU315" s="1024"/>
      <c r="BV315" s="1024"/>
      <c r="BW315" s="1024"/>
      <c r="BX315" s="1024"/>
      <c r="BY315" s="1024"/>
      <c r="BZ315" s="1029">
        <f t="shared" si="247"/>
        <v>0</v>
      </c>
      <c r="CA315" s="1030">
        <f t="shared" si="248"/>
        <v>0</v>
      </c>
      <c r="CB315" s="1031">
        <f t="shared" si="249"/>
        <v>0</v>
      </c>
      <c r="CC315" s="1023">
        <f t="shared" si="250"/>
        <v>0</v>
      </c>
      <c r="CD315" s="1023">
        <f t="shared" si="251"/>
        <v>0</v>
      </c>
      <c r="CE315" s="1023">
        <f>+CC315+CD315</f>
        <v>0</v>
      </c>
      <c r="CF315" s="1023">
        <f>+CD315+CE315</f>
        <v>0</v>
      </c>
      <c r="CG315" s="1029"/>
      <c r="CL315" s="976"/>
      <c r="CM315" s="976">
        <f t="shared" si="253"/>
        <v>0</v>
      </c>
    </row>
    <row r="316" spans="1:91" s="1032" customFormat="1">
      <c r="A316" s="1091"/>
      <c r="B316" s="1015"/>
      <c r="C316" s="1016" t="s">
        <v>601</v>
      </c>
      <c r="D316" s="1016"/>
      <c r="E316" s="1017"/>
      <c r="F316" s="1023">
        <f>SUBTOTAL(9,F317:F321)</f>
        <v>0</v>
      </c>
      <c r="G316" s="1023">
        <f>SUBTOTAL(9,G317:G321)</f>
        <v>196499.69</v>
      </c>
      <c r="H316" s="1023">
        <f>SUBTOTAL(9,H317:H321)</f>
        <v>0</v>
      </c>
      <c r="I316" s="1023">
        <f>SUBTOTAL(9,I317:I321)</f>
        <v>196499.69</v>
      </c>
      <c r="J316" s="1019"/>
      <c r="K316" s="1020"/>
      <c r="L316" s="1021"/>
      <c r="M316" s="1022">
        <f t="shared" ref="M316:AR316" si="254">SUBTOTAL(9,M317:M321)</f>
        <v>0</v>
      </c>
      <c r="N316" s="1023">
        <f t="shared" si="254"/>
        <v>1520</v>
      </c>
      <c r="O316" s="1024">
        <f t="shared" si="254"/>
        <v>2310</v>
      </c>
      <c r="P316" s="1024">
        <f t="shared" si="254"/>
        <v>0</v>
      </c>
      <c r="Q316" s="1024">
        <f t="shared" si="254"/>
        <v>1855</v>
      </c>
      <c r="R316" s="1024">
        <f t="shared" si="254"/>
        <v>2725</v>
      </c>
      <c r="S316" s="1024">
        <f t="shared" si="254"/>
        <v>1615</v>
      </c>
      <c r="T316" s="1024">
        <f t="shared" si="254"/>
        <v>3800</v>
      </c>
      <c r="U316" s="1024">
        <f t="shared" si="254"/>
        <v>0</v>
      </c>
      <c r="V316" s="1024">
        <f t="shared" si="254"/>
        <v>2324.0299999999997</v>
      </c>
      <c r="W316" s="1024">
        <f t="shared" si="254"/>
        <v>0</v>
      </c>
      <c r="X316" s="1024">
        <f t="shared" si="254"/>
        <v>0</v>
      </c>
      <c r="Y316" s="1024">
        <f t="shared" si="254"/>
        <v>0</v>
      </c>
      <c r="Z316" s="1025">
        <f t="shared" si="254"/>
        <v>16149.029999999999</v>
      </c>
      <c r="AA316" s="1026">
        <f t="shared" si="254"/>
        <v>637.04</v>
      </c>
      <c r="AB316" s="1027">
        <f t="shared" si="254"/>
        <v>0</v>
      </c>
      <c r="AC316" s="1027">
        <f t="shared" si="254"/>
        <v>8970.68</v>
      </c>
      <c r="AD316" s="1027">
        <f t="shared" si="254"/>
        <v>7587.7999999999993</v>
      </c>
      <c r="AE316" s="1027">
        <f t="shared" si="254"/>
        <v>8604.01</v>
      </c>
      <c r="AF316" s="1027">
        <f t="shared" si="254"/>
        <v>2375.6999999999998</v>
      </c>
      <c r="AG316" s="1027">
        <f t="shared" si="254"/>
        <v>1110.1500000000001</v>
      </c>
      <c r="AH316" s="1028">
        <f t="shared" si="254"/>
        <v>0</v>
      </c>
      <c r="AI316" s="1028">
        <f t="shared" si="254"/>
        <v>4736.3999999999996</v>
      </c>
      <c r="AJ316" s="1028">
        <f t="shared" si="254"/>
        <v>4373.58</v>
      </c>
      <c r="AK316" s="1028">
        <f t="shared" si="254"/>
        <v>0</v>
      </c>
      <c r="AL316" s="1028">
        <f t="shared" si="254"/>
        <v>8150.34</v>
      </c>
      <c r="AM316" s="1025">
        <f t="shared" si="254"/>
        <v>46545.7</v>
      </c>
      <c r="AN316" s="1024">
        <f t="shared" si="254"/>
        <v>4941.2700000000004</v>
      </c>
      <c r="AO316" s="1024">
        <f t="shared" si="254"/>
        <v>2359.5</v>
      </c>
      <c r="AP316" s="1024">
        <f t="shared" si="254"/>
        <v>5693.38</v>
      </c>
      <c r="AQ316" s="1024">
        <f t="shared" si="254"/>
        <v>23842.57</v>
      </c>
      <c r="AR316" s="1024">
        <f t="shared" si="254"/>
        <v>12444.85</v>
      </c>
      <c r="AS316" s="1024">
        <f t="shared" ref="AS316:BX316" si="255">SUBTOTAL(9,AS317:AS321)</f>
        <v>4976.57</v>
      </c>
      <c r="AT316" s="1024">
        <f t="shared" si="255"/>
        <v>5547.28</v>
      </c>
      <c r="AU316" s="1024">
        <f t="shared" si="255"/>
        <v>0</v>
      </c>
      <c r="AV316" s="1024">
        <f t="shared" si="255"/>
        <v>6235.54</v>
      </c>
      <c r="AW316" s="1024">
        <f t="shared" si="255"/>
        <v>0</v>
      </c>
      <c r="AX316" s="1024">
        <f t="shared" si="255"/>
        <v>252.5</v>
      </c>
      <c r="AY316" s="1024">
        <f t="shared" si="255"/>
        <v>9570</v>
      </c>
      <c r="AZ316" s="1024">
        <f t="shared" si="255"/>
        <v>75863.459999999992</v>
      </c>
      <c r="BA316" s="1024">
        <f t="shared" si="255"/>
        <v>26375</v>
      </c>
      <c r="BB316" s="1024">
        <f t="shared" si="255"/>
        <v>5436.63</v>
      </c>
      <c r="BC316" s="1024">
        <f t="shared" si="255"/>
        <v>5203.8999999999996</v>
      </c>
      <c r="BD316" s="1024">
        <f t="shared" si="255"/>
        <v>3904</v>
      </c>
      <c r="BE316" s="1024">
        <f t="shared" si="255"/>
        <v>8134</v>
      </c>
      <c r="BF316" s="1024">
        <f t="shared" si="255"/>
        <v>5663.6</v>
      </c>
      <c r="BG316" s="1024">
        <f t="shared" si="255"/>
        <v>0</v>
      </c>
      <c r="BH316" s="1024">
        <f t="shared" si="255"/>
        <v>10701.34</v>
      </c>
      <c r="BI316" s="1024">
        <f t="shared" si="255"/>
        <v>13442.45</v>
      </c>
      <c r="BJ316" s="1024">
        <f t="shared" si="255"/>
        <v>5051.01</v>
      </c>
      <c r="BK316" s="1024">
        <f t="shared" si="255"/>
        <v>7361.01</v>
      </c>
      <c r="BL316" s="1024">
        <f t="shared" si="255"/>
        <v>8998.89</v>
      </c>
      <c r="BM316" s="1024">
        <f t="shared" si="255"/>
        <v>100271.82999999999</v>
      </c>
      <c r="BN316" s="1024">
        <f t="shared" si="255"/>
        <v>6211.01</v>
      </c>
      <c r="BO316" s="1024">
        <f t="shared" si="255"/>
        <v>7645</v>
      </c>
      <c r="BP316" s="1024">
        <f t="shared" si="255"/>
        <v>11199.880000000001</v>
      </c>
      <c r="BQ316" s="1024">
        <f t="shared" si="255"/>
        <v>4565.1500000000005</v>
      </c>
      <c r="BR316" s="1024">
        <f t="shared" si="255"/>
        <v>0</v>
      </c>
      <c r="BS316" s="1024">
        <f t="shared" si="255"/>
        <v>0</v>
      </c>
      <c r="BT316" s="1024">
        <f t="shared" si="255"/>
        <v>0</v>
      </c>
      <c r="BU316" s="1024">
        <f t="shared" si="255"/>
        <v>0</v>
      </c>
      <c r="BV316" s="1024">
        <f t="shared" si="255"/>
        <v>0</v>
      </c>
      <c r="BW316" s="1024">
        <f t="shared" si="255"/>
        <v>0</v>
      </c>
      <c r="BX316" s="1024">
        <f t="shared" si="255"/>
        <v>0</v>
      </c>
      <c r="BY316" s="1024">
        <f t="shared" ref="BY316:CF316" si="256">SUBTOTAL(9,BY317:BY321)</f>
        <v>0</v>
      </c>
      <c r="BZ316" s="1029">
        <f t="shared" si="256"/>
        <v>29621.040000000001</v>
      </c>
      <c r="CA316" s="1030">
        <f t="shared" si="256"/>
        <v>268451.06000000006</v>
      </c>
      <c r="CB316" s="1031">
        <f t="shared" si="256"/>
        <v>0</v>
      </c>
      <c r="CC316" s="1023">
        <f t="shared" si="256"/>
        <v>268451.06000000006</v>
      </c>
      <c r="CD316" s="1023">
        <f t="shared" si="256"/>
        <v>71951.370000000054</v>
      </c>
      <c r="CE316" s="1023">
        <f t="shared" si="256"/>
        <v>293060.11000000004</v>
      </c>
      <c r="CF316" s="1023">
        <f t="shared" si="256"/>
        <v>-24609.049999999988</v>
      </c>
      <c r="CG316" s="1029"/>
      <c r="CH316" s="972"/>
      <c r="CL316" s="1037">
        <f>SUBTOTAL(9,CL317:CL321)</f>
        <v>254958</v>
      </c>
      <c r="CM316" s="976">
        <f t="shared" si="253"/>
        <v>-13493.060000000056</v>
      </c>
    </row>
    <row r="317" spans="1:91" s="1032" customFormat="1" ht="12.75" customHeight="1" outlineLevel="1">
      <c r="A317" s="996"/>
      <c r="B317" s="1015"/>
      <c r="C317" s="1043"/>
      <c r="D317" s="1016" t="s">
        <v>313</v>
      </c>
      <c r="E317" s="1017"/>
      <c r="F317" s="1023"/>
      <c r="G317" s="1023">
        <v>143591.19</v>
      </c>
      <c r="H317" s="1023"/>
      <c r="I317" s="1023">
        <v>143591.19</v>
      </c>
      <c r="J317" s="1033"/>
      <c r="K317" s="1034"/>
      <c r="L317" s="1035"/>
      <c r="M317" s="1036"/>
      <c r="N317" s="1023">
        <v>1520</v>
      </c>
      <c r="O317" s="1024">
        <v>2310</v>
      </c>
      <c r="P317" s="1024">
        <v>0</v>
      </c>
      <c r="Q317" s="1024">
        <v>1855</v>
      </c>
      <c r="R317" s="1024">
        <v>2725</v>
      </c>
      <c r="S317" s="1024">
        <v>1615</v>
      </c>
      <c r="T317" s="1024">
        <v>3800</v>
      </c>
      <c r="U317" s="1024">
        <v>0</v>
      </c>
      <c r="V317" s="1024">
        <f>712.68+1611.35</f>
        <v>2324.0299999999997</v>
      </c>
      <c r="W317" s="1024">
        <v>0</v>
      </c>
      <c r="X317" s="1024">
        <v>0</v>
      </c>
      <c r="Y317" s="1024">
        <v>0</v>
      </c>
      <c r="Z317" s="1025">
        <f>SUM(N317:Y317)</f>
        <v>16149.029999999999</v>
      </c>
      <c r="AA317" s="1026">
        <v>637.04</v>
      </c>
      <c r="AB317" s="1027">
        <v>0</v>
      </c>
      <c r="AC317" s="1027">
        <v>606.26</v>
      </c>
      <c r="AD317" s="1027">
        <f>2101.66+511.95</f>
        <v>2613.6099999999997</v>
      </c>
      <c r="AE317" s="1027">
        <v>0</v>
      </c>
      <c r="AF317" s="1027">
        <f>890.25+1485.45</f>
        <v>2375.6999999999998</v>
      </c>
      <c r="AG317" s="1027">
        <v>1110.1500000000001</v>
      </c>
      <c r="AH317" s="1028">
        <v>0</v>
      </c>
      <c r="AI317" s="1028">
        <v>4736.3999999999996</v>
      </c>
      <c r="AJ317" s="1028">
        <v>4373.58</v>
      </c>
      <c r="AK317" s="1028">
        <v>0</v>
      </c>
      <c r="AL317" s="1028">
        <v>8125.62</v>
      </c>
      <c r="AM317" s="1025">
        <f>SUM(AA317:AL317)</f>
        <v>24578.359999999997</v>
      </c>
      <c r="AN317" s="1024">
        <v>4843.2700000000004</v>
      </c>
      <c r="AO317" s="1024">
        <v>2359.5</v>
      </c>
      <c r="AP317" s="1024">
        <v>1316</v>
      </c>
      <c r="AQ317" s="1024">
        <v>6086.07</v>
      </c>
      <c r="AR317" s="1024">
        <v>3460.6</v>
      </c>
      <c r="AS317" s="1024">
        <v>5282.04</v>
      </c>
      <c r="AT317" s="1024">
        <v>5516.78</v>
      </c>
      <c r="AU317" s="1024">
        <v>0</v>
      </c>
      <c r="AV317" s="1024">
        <f>4970.54+1265</f>
        <v>6235.54</v>
      </c>
      <c r="AW317" s="1024"/>
      <c r="AX317" s="1024"/>
      <c r="AY317" s="1076">
        <v>9570</v>
      </c>
      <c r="AZ317" s="1024">
        <f>SUM(AN317:AY317)</f>
        <v>44669.799999999996</v>
      </c>
      <c r="BA317" s="1024">
        <f>6875+19500</f>
        <v>26375</v>
      </c>
      <c r="BB317" s="1024">
        <f>3520+1236</f>
        <v>4756</v>
      </c>
      <c r="BC317" s="1024">
        <f>2255+1339</f>
        <v>3594</v>
      </c>
      <c r="BD317" s="1024">
        <f>3575+824</f>
        <v>4399</v>
      </c>
      <c r="BE317" s="1024">
        <f>3190+4944</f>
        <v>8134</v>
      </c>
      <c r="BF317" s="1024">
        <f>4510+1153.6</f>
        <v>5663.6</v>
      </c>
      <c r="BG317" s="1024"/>
      <c r="BH317" s="1024">
        <v>6264.34</v>
      </c>
      <c r="BI317" s="1024">
        <v>13442.45</v>
      </c>
      <c r="BJ317" s="1024">
        <v>5051.01</v>
      </c>
      <c r="BK317" s="1024">
        <v>7361.01</v>
      </c>
      <c r="BL317" s="1076">
        <v>8998.89</v>
      </c>
      <c r="BM317" s="1024">
        <f>SUM(BA317:BL317)</f>
        <v>94039.299999999988</v>
      </c>
      <c r="BN317" s="1024">
        <v>6211.01</v>
      </c>
      <c r="BO317" s="1024">
        <v>7645</v>
      </c>
      <c r="BP317" s="1024">
        <f>10766.76+433.12</f>
        <v>11199.880000000001</v>
      </c>
      <c r="BQ317" s="1093">
        <f>5478.18*(25/30)</f>
        <v>4565.1500000000005</v>
      </c>
      <c r="BR317" s="1093">
        <v>0</v>
      </c>
      <c r="BS317" s="1093">
        <v>0</v>
      </c>
      <c r="BT317" s="1093">
        <v>0</v>
      </c>
      <c r="BU317" s="1024"/>
      <c r="BV317" s="1024"/>
      <c r="BW317" s="1024"/>
      <c r="BX317" s="1024"/>
      <c r="BY317" s="1024"/>
      <c r="BZ317" s="1029">
        <f>SUM(BN317:BY317)</f>
        <v>29621.040000000001</v>
      </c>
      <c r="CA317" s="1030">
        <f>SUMIF(($M$1:$BZ$1),"Actual",(M317:BZ317))</f>
        <v>209057.53000000006</v>
      </c>
      <c r="CB317" s="1024">
        <f>SUMIF(($M$1:$BZ$1),"Forecast",(M317:BZ317))</f>
        <v>0</v>
      </c>
      <c r="CC317" s="1023">
        <f>+CA317+CB317</f>
        <v>209057.53000000006</v>
      </c>
      <c r="CD317" s="1023">
        <f>+CC317-I317</f>
        <v>65466.340000000055</v>
      </c>
      <c r="CE317" s="1023">
        <v>233666.58000000005</v>
      </c>
      <c r="CF317" s="1023">
        <f>+CC317-CE317</f>
        <v>-24609.049999999988</v>
      </c>
      <c r="CG317" s="1029"/>
      <c r="CH317" s="1042">
        <f>-CC317+K317</f>
        <v>-209057.53000000006</v>
      </c>
      <c r="CL317" s="976">
        <v>139292.82999999999</v>
      </c>
      <c r="CM317" s="976">
        <f t="shared" si="253"/>
        <v>-69764.70000000007</v>
      </c>
    </row>
    <row r="318" spans="1:91" s="1032" customFormat="1" ht="12.75" customHeight="1" outlineLevel="1">
      <c r="A318" s="996"/>
      <c r="B318" s="1015"/>
      <c r="C318" s="1043"/>
      <c r="D318" s="1016" t="s">
        <v>504</v>
      </c>
      <c r="E318" s="1017"/>
      <c r="F318" s="1023"/>
      <c r="G318" s="1023">
        <v>30965.88</v>
      </c>
      <c r="H318" s="1023"/>
      <c r="I318" s="1023">
        <v>30965.88</v>
      </c>
      <c r="J318" s="1033">
        <v>4600003709</v>
      </c>
      <c r="K318" s="1034">
        <v>72000000</v>
      </c>
      <c r="L318" s="1035" t="s">
        <v>314</v>
      </c>
      <c r="M318" s="1036"/>
      <c r="N318" s="1023">
        <v>0</v>
      </c>
      <c r="O318" s="1024">
        <v>0</v>
      </c>
      <c r="P318" s="1024">
        <v>0</v>
      </c>
      <c r="Q318" s="1024">
        <v>0</v>
      </c>
      <c r="R318" s="1024">
        <v>0</v>
      </c>
      <c r="S318" s="1024">
        <v>0</v>
      </c>
      <c r="T318" s="1024">
        <v>0</v>
      </c>
      <c r="U318" s="1024"/>
      <c r="V318" s="1024"/>
      <c r="W318" s="1024">
        <v>0</v>
      </c>
      <c r="X318" s="1024">
        <v>0</v>
      </c>
      <c r="Y318" s="1024">
        <v>0</v>
      </c>
      <c r="Z318" s="1025">
        <f>SUM(N318:Y318)</f>
        <v>0</v>
      </c>
      <c r="AA318" s="1026">
        <v>0</v>
      </c>
      <c r="AB318" s="1027">
        <v>0</v>
      </c>
      <c r="AC318" s="1027">
        <v>0</v>
      </c>
      <c r="AD318" s="1027"/>
      <c r="AE318" s="1027"/>
      <c r="AF318" s="1027">
        <v>0</v>
      </c>
      <c r="AG318" s="1027">
        <v>0</v>
      </c>
      <c r="AH318" s="1028"/>
      <c r="AI318" s="1028">
        <v>0</v>
      </c>
      <c r="AJ318" s="1028">
        <v>0</v>
      </c>
      <c r="AK318" s="1028">
        <v>0</v>
      </c>
      <c r="AL318" s="1028">
        <f>4390.51-4365.79</f>
        <v>24.720000000000255</v>
      </c>
      <c r="AM318" s="1025">
        <f>SUM(AA318:AL318)</f>
        <v>24.720000000000255</v>
      </c>
      <c r="AN318" s="1024">
        <v>98</v>
      </c>
      <c r="AO318" s="1024"/>
      <c r="AP318" s="1024">
        <v>4377.38</v>
      </c>
      <c r="AQ318" s="1024">
        <f>4440+13316.5</f>
        <v>17756.5</v>
      </c>
      <c r="AR318" s="1024">
        <f>17756.5-8772.25</f>
        <v>8984.25</v>
      </c>
      <c r="AS318" s="1024">
        <v>-305.47000000000003</v>
      </c>
      <c r="AT318" s="1024">
        <v>30.5</v>
      </c>
      <c r="AU318" s="1024"/>
      <c r="AV318" s="1024"/>
      <c r="AW318" s="1024"/>
      <c r="AX318" s="1024">
        <v>252.5</v>
      </c>
      <c r="AY318" s="1024"/>
      <c r="AZ318" s="1024">
        <f>SUM(AN318:AY318)</f>
        <v>31193.66</v>
      </c>
      <c r="BA318" s="1024"/>
      <c r="BB318" s="1024"/>
      <c r="BC318" s="1024"/>
      <c r="BD318" s="1024"/>
      <c r="BE318" s="1024"/>
      <c r="BF318" s="1024"/>
      <c r="BG318" s="1024"/>
      <c r="BH318" s="1024"/>
      <c r="BI318" s="1024"/>
      <c r="BJ318" s="1024"/>
      <c r="BK318" s="1024"/>
      <c r="BL318" s="1024"/>
      <c r="BM318" s="1024">
        <f>SUM(BA318:BL318)</f>
        <v>0</v>
      </c>
      <c r="BN318" s="1024"/>
      <c r="BO318" s="1024"/>
      <c r="BP318" s="1024"/>
      <c r="BQ318" s="1024"/>
      <c r="BR318" s="1024"/>
      <c r="BS318" s="1024"/>
      <c r="BT318" s="1024"/>
      <c r="BU318" s="1024"/>
      <c r="BV318" s="1024"/>
      <c r="BW318" s="1024"/>
      <c r="BX318" s="1024"/>
      <c r="BY318" s="1024"/>
      <c r="BZ318" s="1029">
        <f>SUM(BN318:BY318)</f>
        <v>0</v>
      </c>
      <c r="CA318" s="1030">
        <f>SUMIF(($M$1:$BZ$1),"Actual",(M318:BZ318))</f>
        <v>31218.379999999997</v>
      </c>
      <c r="CB318" s="1031">
        <f>SUMIF(($M$1:$BZ$1),"Forecast",(M318:BZ318))</f>
        <v>0</v>
      </c>
      <c r="CC318" s="1023">
        <f>+CA318+CB318</f>
        <v>31218.379999999997</v>
      </c>
      <c r="CD318" s="1023">
        <f>+CC318-I318</f>
        <v>252.49999999999636</v>
      </c>
      <c r="CE318" s="1023">
        <v>31218.379999999997</v>
      </c>
      <c r="CF318" s="1023">
        <f>+CC318-CE318</f>
        <v>0</v>
      </c>
      <c r="CG318" s="1029"/>
      <c r="CH318" s="972">
        <f>-CC318+K318</f>
        <v>71968781.620000005</v>
      </c>
      <c r="CL318" s="976">
        <v>31240.85</v>
      </c>
      <c r="CM318" s="976">
        <f t="shared" si="253"/>
        <v>22.470000000001164</v>
      </c>
    </row>
    <row r="319" spans="1:91" s="1032" customFormat="1" ht="12.75" customHeight="1" outlineLevel="1">
      <c r="A319" s="996"/>
      <c r="B319" s="1015"/>
      <c r="C319" s="1043"/>
      <c r="D319" s="1016" t="s">
        <v>818</v>
      </c>
      <c r="E319" s="1017"/>
      <c r="F319" s="1023"/>
      <c r="G319" s="1023"/>
      <c r="H319" s="1023"/>
      <c r="I319" s="1023"/>
      <c r="J319" s="1033"/>
      <c r="K319" s="1034"/>
      <c r="L319" s="1035"/>
      <c r="M319" s="1036"/>
      <c r="N319" s="1023">
        <v>0</v>
      </c>
      <c r="O319" s="1024">
        <v>0</v>
      </c>
      <c r="P319" s="1024">
        <v>0</v>
      </c>
      <c r="Q319" s="1024">
        <v>0</v>
      </c>
      <c r="R319" s="1024">
        <v>0</v>
      </c>
      <c r="S319" s="1024">
        <v>0</v>
      </c>
      <c r="T319" s="1024">
        <v>0</v>
      </c>
      <c r="U319" s="1024"/>
      <c r="V319" s="1024"/>
      <c r="W319" s="1024">
        <v>0</v>
      </c>
      <c r="X319" s="1024">
        <v>0</v>
      </c>
      <c r="Y319" s="1024">
        <v>0</v>
      </c>
      <c r="Z319" s="1025">
        <f>SUM(N319:Y319)</f>
        <v>0</v>
      </c>
      <c r="AA319" s="1026">
        <v>0</v>
      </c>
      <c r="AB319" s="1027">
        <v>0</v>
      </c>
      <c r="AC319" s="1027">
        <v>0</v>
      </c>
      <c r="AD319" s="1027"/>
      <c r="AE319" s="1027"/>
      <c r="AF319" s="1027">
        <v>0</v>
      </c>
      <c r="AG319" s="1027">
        <v>0</v>
      </c>
      <c r="AH319" s="1028"/>
      <c r="AI319" s="1028">
        <v>0</v>
      </c>
      <c r="AJ319" s="1028">
        <v>0</v>
      </c>
      <c r="AK319" s="1028">
        <v>0</v>
      </c>
      <c r="AL319" s="1028"/>
      <c r="AM319" s="1025">
        <f>SUM(AA319:AL319)</f>
        <v>0</v>
      </c>
      <c r="AN319" s="1024"/>
      <c r="AO319" s="1024"/>
      <c r="AP319" s="1024"/>
      <c r="AQ319" s="1024"/>
      <c r="AR319" s="1024"/>
      <c r="AS319" s="1024"/>
      <c r="AT319" s="1024"/>
      <c r="AU319" s="1024"/>
      <c r="AV319" s="1024"/>
      <c r="AW319" s="1024"/>
      <c r="AX319" s="1024"/>
      <c r="AY319" s="1024"/>
      <c r="AZ319" s="1024">
        <f>SUM(AN319:AY319)</f>
        <v>0</v>
      </c>
      <c r="BA319" s="1024"/>
      <c r="BB319" s="1024"/>
      <c r="BC319" s="1024"/>
      <c r="BD319" s="1024"/>
      <c r="BE319" s="1024"/>
      <c r="BF319" s="1024"/>
      <c r="BG319" s="1024"/>
      <c r="BH319" s="1024">
        <v>4437</v>
      </c>
      <c r="BI319" s="1024"/>
      <c r="BJ319" s="1024"/>
      <c r="BK319" s="1024"/>
      <c r="BL319" s="1024"/>
      <c r="BM319" s="1024">
        <f>SUM(BA319:BL319)</f>
        <v>4437</v>
      </c>
      <c r="BN319" s="1024"/>
      <c r="BO319" s="1024"/>
      <c r="BP319" s="1024"/>
      <c r="BQ319" s="1024"/>
      <c r="BR319" s="1024"/>
      <c r="BS319" s="1024"/>
      <c r="BT319" s="1024"/>
      <c r="BU319" s="1024"/>
      <c r="BV319" s="1024"/>
      <c r="BW319" s="1024"/>
      <c r="BX319" s="1024"/>
      <c r="BY319" s="1024"/>
      <c r="BZ319" s="1029">
        <f>SUM(BN319:BY319)</f>
        <v>0</v>
      </c>
      <c r="CA319" s="1030">
        <f>SUMIF(($M$1:$BZ$1),"Actual",(M319:BZ319))</f>
        <v>4437</v>
      </c>
      <c r="CB319" s="1031">
        <f>SUMIF(($M$1:$BZ$1),"Forecast",(M319:BZ319))</f>
        <v>0</v>
      </c>
      <c r="CC319" s="1023">
        <f>+CA319+CB319</f>
        <v>4437</v>
      </c>
      <c r="CD319" s="1023">
        <f>+CC319-I319</f>
        <v>4437</v>
      </c>
      <c r="CE319" s="1023">
        <v>4437</v>
      </c>
      <c r="CF319" s="1023">
        <f>+CC319-CE319</f>
        <v>0</v>
      </c>
      <c r="CG319" s="1029"/>
      <c r="CH319" s="972">
        <f>-CC319+K319</f>
        <v>-4437</v>
      </c>
      <c r="CL319" s="976">
        <v>31240.85</v>
      </c>
      <c r="CM319" s="976">
        <f t="shared" si="253"/>
        <v>26803.85</v>
      </c>
    </row>
    <row r="320" spans="1:91" s="1032" customFormat="1" ht="12.75" customHeight="1" outlineLevel="1">
      <c r="A320" s="996"/>
      <c r="B320" s="1015"/>
      <c r="C320" s="1043"/>
      <c r="D320" s="1016" t="s">
        <v>819</v>
      </c>
      <c r="E320" s="1017"/>
      <c r="F320" s="1023"/>
      <c r="G320" s="1023"/>
      <c r="H320" s="1023"/>
      <c r="I320" s="1023"/>
      <c r="J320" s="1033"/>
      <c r="K320" s="1034"/>
      <c r="L320" s="1035"/>
      <c r="M320" s="1036"/>
      <c r="N320" s="1023">
        <v>0</v>
      </c>
      <c r="O320" s="1024">
        <v>0</v>
      </c>
      <c r="P320" s="1024">
        <v>0</v>
      </c>
      <c r="Q320" s="1024">
        <v>0</v>
      </c>
      <c r="R320" s="1024">
        <v>0</v>
      </c>
      <c r="S320" s="1024">
        <v>0</v>
      </c>
      <c r="T320" s="1024">
        <v>0</v>
      </c>
      <c r="U320" s="1024"/>
      <c r="V320" s="1024"/>
      <c r="W320" s="1024">
        <v>0</v>
      </c>
      <c r="X320" s="1024">
        <v>0</v>
      </c>
      <c r="Y320" s="1024">
        <v>0</v>
      </c>
      <c r="Z320" s="1025">
        <f>SUM(N320:Y320)</f>
        <v>0</v>
      </c>
      <c r="AA320" s="1026">
        <v>0</v>
      </c>
      <c r="AB320" s="1027">
        <v>0</v>
      </c>
      <c r="AC320" s="1027">
        <v>0</v>
      </c>
      <c r="AD320" s="1027"/>
      <c r="AE320" s="1027"/>
      <c r="AF320" s="1027">
        <v>0</v>
      </c>
      <c r="AG320" s="1027">
        <v>0</v>
      </c>
      <c r="AH320" s="1028"/>
      <c r="AI320" s="1028">
        <v>0</v>
      </c>
      <c r="AJ320" s="1028">
        <v>0</v>
      </c>
      <c r="AK320" s="1028">
        <v>0</v>
      </c>
      <c r="AL320" s="1028"/>
      <c r="AM320" s="1025">
        <f>SUM(AA320:AL320)</f>
        <v>0</v>
      </c>
      <c r="AN320" s="1024"/>
      <c r="AO320" s="1024"/>
      <c r="AP320" s="1024"/>
      <c r="AQ320" s="1024"/>
      <c r="AR320" s="1024"/>
      <c r="AS320" s="1024"/>
      <c r="AT320" s="1024"/>
      <c r="AU320" s="1024"/>
      <c r="AV320" s="1024"/>
      <c r="AW320" s="1024"/>
      <c r="AX320" s="1024"/>
      <c r="AY320" s="1024"/>
      <c r="AZ320" s="1024">
        <f>SUM(AN320:AY320)</f>
        <v>0</v>
      </c>
      <c r="BA320" s="1024"/>
      <c r="BB320" s="1024">
        <v>680.63</v>
      </c>
      <c r="BC320" s="1024">
        <v>1609.9</v>
      </c>
      <c r="BD320" s="1024">
        <v>-495</v>
      </c>
      <c r="BE320" s="1024"/>
      <c r="BF320" s="1024"/>
      <c r="BG320" s="1024"/>
      <c r="BH320" s="1024"/>
      <c r="BI320" s="1024"/>
      <c r="BJ320" s="1024"/>
      <c r="BK320" s="1024"/>
      <c r="BL320" s="1024"/>
      <c r="BM320" s="1024">
        <f>SUM(BA320:BL320)</f>
        <v>1795.5300000000002</v>
      </c>
      <c r="BN320" s="1024"/>
      <c r="BO320" s="1024"/>
      <c r="BP320" s="1024"/>
      <c r="BQ320" s="1024"/>
      <c r="BR320" s="1024"/>
      <c r="BS320" s="1024"/>
      <c r="BT320" s="1024"/>
      <c r="BU320" s="1024"/>
      <c r="BV320" s="1024"/>
      <c r="BW320" s="1024"/>
      <c r="BX320" s="1024"/>
      <c r="BY320" s="1024"/>
      <c r="BZ320" s="1029">
        <f>SUM(BN320:BY320)</f>
        <v>0</v>
      </c>
      <c r="CA320" s="1030">
        <f>SUMIF(($M$1:$BZ$1),"Actual",(M320:BZ320))</f>
        <v>1795.5300000000002</v>
      </c>
      <c r="CB320" s="1031">
        <f>SUMIF(($M$1:$BZ$1),"Forecast",(M320:BZ320))</f>
        <v>0</v>
      </c>
      <c r="CC320" s="1023">
        <f>+CA320+CB320</f>
        <v>1795.5300000000002</v>
      </c>
      <c r="CD320" s="1023">
        <f>+CC320-I320</f>
        <v>1795.5300000000002</v>
      </c>
      <c r="CE320" s="1023">
        <v>1795.5300000000002</v>
      </c>
      <c r="CF320" s="1023">
        <f>+CC320-CE320</f>
        <v>0</v>
      </c>
      <c r="CG320" s="1029"/>
      <c r="CH320" s="972">
        <f>-CC320+K320</f>
        <v>-1795.5300000000002</v>
      </c>
      <c r="CL320" s="976">
        <v>31240.85</v>
      </c>
      <c r="CM320" s="976">
        <f t="shared" si="253"/>
        <v>29445.32</v>
      </c>
    </row>
    <row r="321" spans="1:91" s="1032" customFormat="1" ht="12.75" customHeight="1" outlineLevel="1">
      <c r="A321" s="996"/>
      <c r="B321" s="1015"/>
      <c r="C321" s="1043"/>
      <c r="D321" s="1016" t="s">
        <v>331</v>
      </c>
      <c r="E321" s="1017"/>
      <c r="F321" s="1023"/>
      <c r="G321" s="1023">
        <v>21942.62</v>
      </c>
      <c r="H321" s="1023"/>
      <c r="I321" s="1023">
        <v>21942.62</v>
      </c>
      <c r="J321" s="1033"/>
      <c r="K321" s="1034"/>
      <c r="L321" s="1035" t="s">
        <v>820</v>
      </c>
      <c r="M321" s="1036"/>
      <c r="N321" s="1023">
        <v>0</v>
      </c>
      <c r="O321" s="1024">
        <v>0</v>
      </c>
      <c r="P321" s="1024">
        <v>0</v>
      </c>
      <c r="Q321" s="1024">
        <v>0</v>
      </c>
      <c r="R321" s="1024">
        <v>0</v>
      </c>
      <c r="S321" s="1024">
        <v>0</v>
      </c>
      <c r="T321" s="1024">
        <v>0</v>
      </c>
      <c r="U321" s="1024">
        <v>0</v>
      </c>
      <c r="V321" s="1024">
        <v>0</v>
      </c>
      <c r="W321" s="1024">
        <v>0</v>
      </c>
      <c r="X321" s="1024">
        <v>0</v>
      </c>
      <c r="Y321" s="1024">
        <v>0</v>
      </c>
      <c r="Z321" s="1025">
        <f>SUM(N321:Y321)</f>
        <v>0</v>
      </c>
      <c r="AA321" s="1026">
        <v>0</v>
      </c>
      <c r="AB321" s="1027">
        <v>0</v>
      </c>
      <c r="AC321" s="1027">
        <v>8364.42</v>
      </c>
      <c r="AD321" s="1027">
        <v>4974.1899999999996</v>
      </c>
      <c r="AE321" s="1027">
        <f>2957.63+994.84+3307.16+1344.38</f>
        <v>8604.01</v>
      </c>
      <c r="AF321" s="1027">
        <v>0</v>
      </c>
      <c r="AG321" s="1027">
        <v>0</v>
      </c>
      <c r="AH321" s="1028">
        <v>0</v>
      </c>
      <c r="AI321" s="1028">
        <v>0</v>
      </c>
      <c r="AJ321" s="1028">
        <v>0</v>
      </c>
      <c r="AK321" s="1028">
        <v>0</v>
      </c>
      <c r="AL321" s="1028">
        <v>0</v>
      </c>
      <c r="AM321" s="1025">
        <f>SUM(AA321:AL321)</f>
        <v>21942.620000000003</v>
      </c>
      <c r="AN321" s="1024"/>
      <c r="AO321" s="1024"/>
      <c r="AP321" s="1024"/>
      <c r="AQ321" s="1024"/>
      <c r="AR321" s="1024"/>
      <c r="AS321" s="1024"/>
      <c r="AT321" s="1024"/>
      <c r="AU321" s="1024"/>
      <c r="AV321" s="1024"/>
      <c r="AW321" s="1024"/>
      <c r="AX321" s="1024"/>
      <c r="AY321" s="1024"/>
      <c r="AZ321" s="1024">
        <f>SUM(AN321:AY321)</f>
        <v>0</v>
      </c>
      <c r="BA321" s="1024"/>
      <c r="BB321" s="1024"/>
      <c r="BC321" s="1024"/>
      <c r="BD321" s="1024"/>
      <c r="BE321" s="1024"/>
      <c r="BF321" s="1024"/>
      <c r="BG321" s="1024"/>
      <c r="BH321" s="1024"/>
      <c r="BI321" s="1024"/>
      <c r="BJ321" s="1024"/>
      <c r="BK321" s="1024"/>
      <c r="BL321" s="1024"/>
      <c r="BM321" s="1024">
        <f>SUM(BA321:BL321)</f>
        <v>0</v>
      </c>
      <c r="BN321" s="1024"/>
      <c r="BO321" s="1024"/>
      <c r="BP321" s="1024"/>
      <c r="BQ321" s="1024"/>
      <c r="BR321" s="1024"/>
      <c r="BS321" s="1024"/>
      <c r="BT321" s="1024"/>
      <c r="BU321" s="1024"/>
      <c r="BV321" s="1024"/>
      <c r="BW321" s="1024"/>
      <c r="BX321" s="1024"/>
      <c r="BY321" s="1024"/>
      <c r="BZ321" s="1029">
        <f>SUM(BN321:BY321)</f>
        <v>0</v>
      </c>
      <c r="CA321" s="1030">
        <f>SUMIF(($M$1:$BZ$1),"Actual",(M321:BZ321))</f>
        <v>21942.620000000003</v>
      </c>
      <c r="CB321" s="1031">
        <f>SUMIF(($M$1:$BZ$1),"Forecast",(M321:BZ321))</f>
        <v>0</v>
      </c>
      <c r="CC321" s="1023">
        <f>+CA321+CB321</f>
        <v>21942.620000000003</v>
      </c>
      <c r="CD321" s="1023">
        <f>+CC321-I321</f>
        <v>0</v>
      </c>
      <c r="CE321" s="1023">
        <v>21942.620000000003</v>
      </c>
      <c r="CF321" s="1023">
        <f>+CC321-CE321</f>
        <v>0</v>
      </c>
      <c r="CG321" s="1029"/>
      <c r="CH321" s="972">
        <f>-CC321+K321</f>
        <v>-21942.620000000003</v>
      </c>
      <c r="CL321" s="976">
        <v>21942.62</v>
      </c>
      <c r="CM321" s="976">
        <f t="shared" si="253"/>
        <v>0</v>
      </c>
    </row>
    <row r="322" spans="1:91" s="968" customFormat="1">
      <c r="A322" s="1091"/>
      <c r="B322" s="1038"/>
      <c r="C322" s="1039" t="s">
        <v>625</v>
      </c>
      <c r="D322" s="1039"/>
      <c r="E322" s="1040"/>
      <c r="F322" s="1023">
        <f>SUBTOTAL(9,F323:F328)</f>
        <v>0</v>
      </c>
      <c r="G322" s="1023">
        <f>SUBTOTAL(9,G323:G328)</f>
        <v>23880.320000000014</v>
      </c>
      <c r="H322" s="1023">
        <f>SUBTOTAL(9,H323:H328)</f>
        <v>0</v>
      </c>
      <c r="I322" s="1023">
        <f>SUBTOTAL(9,I323:I328)</f>
        <v>23880.320000000014</v>
      </c>
      <c r="J322" s="1019"/>
      <c r="K322" s="1020"/>
      <c r="L322" s="1021"/>
      <c r="M322" s="1023">
        <f t="shared" ref="M322:AR322" si="257">SUBTOTAL(9,M323:M328)</f>
        <v>0</v>
      </c>
      <c r="N322" s="1023">
        <f t="shared" si="257"/>
        <v>0.32</v>
      </c>
      <c r="O322" s="1024">
        <f t="shared" si="257"/>
        <v>0</v>
      </c>
      <c r="P322" s="1024">
        <f t="shared" si="257"/>
        <v>0</v>
      </c>
      <c r="Q322" s="1024">
        <f t="shared" si="257"/>
        <v>6.34</v>
      </c>
      <c r="R322" s="1024">
        <f t="shared" si="257"/>
        <v>-2740.06</v>
      </c>
      <c r="S322" s="1024">
        <f t="shared" si="257"/>
        <v>21.04</v>
      </c>
      <c r="T322" s="1024">
        <f t="shared" si="257"/>
        <v>121.64</v>
      </c>
      <c r="U322" s="1024">
        <f t="shared" si="257"/>
        <v>208.96</v>
      </c>
      <c r="V322" s="1024">
        <f t="shared" si="257"/>
        <v>-216.69</v>
      </c>
      <c r="W322" s="1024">
        <f t="shared" si="257"/>
        <v>730.88</v>
      </c>
      <c r="X322" s="1024">
        <f t="shared" si="257"/>
        <v>632.7299999999999</v>
      </c>
      <c r="Y322" s="1024">
        <f t="shared" si="257"/>
        <v>1733.83</v>
      </c>
      <c r="Z322" s="1024">
        <f t="shared" si="257"/>
        <v>498.98999999999978</v>
      </c>
      <c r="AA322" s="1026">
        <f t="shared" si="257"/>
        <v>401.08</v>
      </c>
      <c r="AB322" s="1027">
        <f t="shared" si="257"/>
        <v>1342.45</v>
      </c>
      <c r="AC322" s="1027">
        <f t="shared" si="257"/>
        <v>159.42999999999998</v>
      </c>
      <c r="AD322" s="1027">
        <f t="shared" si="257"/>
        <v>4941.0700000000006</v>
      </c>
      <c r="AE322" s="1027">
        <f t="shared" si="257"/>
        <v>-4385.34</v>
      </c>
      <c r="AF322" s="1027">
        <f t="shared" si="257"/>
        <v>1121.22</v>
      </c>
      <c r="AG322" s="1027">
        <f t="shared" si="257"/>
        <v>281934.18</v>
      </c>
      <c r="AH322" s="1028">
        <f t="shared" si="257"/>
        <v>-278036.36</v>
      </c>
      <c r="AI322" s="1028">
        <f t="shared" si="257"/>
        <v>3204.3499999999995</v>
      </c>
      <c r="AJ322" s="1028">
        <f t="shared" si="257"/>
        <v>-915.4</v>
      </c>
      <c r="AK322" s="1028">
        <f t="shared" si="257"/>
        <v>3996.4700000000003</v>
      </c>
      <c r="AL322" s="1028">
        <f t="shared" si="257"/>
        <v>220.62</v>
      </c>
      <c r="AM322" s="1028">
        <f t="shared" si="257"/>
        <v>13983.770000000006</v>
      </c>
      <c r="AN322" s="1024">
        <f t="shared" si="257"/>
        <v>-185.46</v>
      </c>
      <c r="AO322" s="1024">
        <f t="shared" si="257"/>
        <v>553.66</v>
      </c>
      <c r="AP322" s="1024">
        <f t="shared" si="257"/>
        <v>150381.03</v>
      </c>
      <c r="AQ322" s="1024">
        <f t="shared" si="257"/>
        <v>-149679.60999999999</v>
      </c>
      <c r="AR322" s="1024">
        <f t="shared" si="257"/>
        <v>3407.53</v>
      </c>
      <c r="AS322" s="1024">
        <f t="shared" ref="AS322:BX322" si="258">SUBTOTAL(9,AS323:AS328)</f>
        <v>-1070.45</v>
      </c>
      <c r="AT322" s="1024">
        <f t="shared" si="258"/>
        <v>177.75</v>
      </c>
      <c r="AU322" s="1024">
        <f t="shared" si="258"/>
        <v>41.050000000000004</v>
      </c>
      <c r="AV322" s="1024">
        <f t="shared" si="258"/>
        <v>884.79</v>
      </c>
      <c r="AW322" s="1024">
        <f t="shared" si="258"/>
        <v>137.27000000000001</v>
      </c>
      <c r="AX322" s="1024">
        <f t="shared" si="258"/>
        <v>1367.4</v>
      </c>
      <c r="AY322" s="1024">
        <f t="shared" si="258"/>
        <v>1245.6500000000001</v>
      </c>
      <c r="AZ322" s="1024">
        <f t="shared" si="258"/>
        <v>7260.6100000000006</v>
      </c>
      <c r="BA322" s="1024">
        <f t="shared" si="258"/>
        <v>344.7</v>
      </c>
      <c r="BB322" s="1024">
        <f t="shared" si="258"/>
        <v>1318.0900000000001</v>
      </c>
      <c r="BC322" s="1024">
        <f t="shared" si="258"/>
        <v>781.34</v>
      </c>
      <c r="BD322" s="1024">
        <f t="shared" si="258"/>
        <v>1512.38</v>
      </c>
      <c r="BE322" s="1024">
        <f t="shared" si="258"/>
        <v>699.21</v>
      </c>
      <c r="BF322" s="1024">
        <f t="shared" si="258"/>
        <v>-27.77</v>
      </c>
      <c r="BG322" s="1024">
        <f t="shared" si="258"/>
        <v>2367.3200000000002</v>
      </c>
      <c r="BH322" s="1024">
        <f t="shared" si="258"/>
        <v>1596.44</v>
      </c>
      <c r="BI322" s="1024">
        <f t="shared" si="258"/>
        <v>1127.28</v>
      </c>
      <c r="BJ322" s="1024">
        <f t="shared" si="258"/>
        <v>787.86</v>
      </c>
      <c r="BK322" s="1024">
        <f t="shared" si="258"/>
        <v>15145.73</v>
      </c>
      <c r="BL322" s="1024">
        <f t="shared" si="258"/>
        <v>10959.929999999998</v>
      </c>
      <c r="BM322" s="1024">
        <f t="shared" si="258"/>
        <v>36612.509999999995</v>
      </c>
      <c r="BN322" s="1024">
        <f t="shared" si="258"/>
        <v>3797.91</v>
      </c>
      <c r="BO322" s="1024">
        <f t="shared" si="258"/>
        <v>4714.04</v>
      </c>
      <c r="BP322" s="1024">
        <f t="shared" si="258"/>
        <v>18835.060000000001</v>
      </c>
      <c r="BQ322" s="1024">
        <f t="shared" si="258"/>
        <v>8200.625</v>
      </c>
      <c r="BR322" s="1024">
        <f t="shared" si="258"/>
        <v>0</v>
      </c>
      <c r="BS322" s="1024">
        <f t="shared" si="258"/>
        <v>0</v>
      </c>
      <c r="BT322" s="1024">
        <f t="shared" si="258"/>
        <v>0</v>
      </c>
      <c r="BU322" s="1024">
        <f t="shared" si="258"/>
        <v>0</v>
      </c>
      <c r="BV322" s="1024">
        <f t="shared" si="258"/>
        <v>0</v>
      </c>
      <c r="BW322" s="1024">
        <f t="shared" si="258"/>
        <v>0</v>
      </c>
      <c r="BX322" s="1024">
        <f t="shared" si="258"/>
        <v>0</v>
      </c>
      <c r="BY322" s="1024">
        <f t="shared" ref="BY322:CF322" si="259">SUBTOTAL(9,BY323:BY328)</f>
        <v>0</v>
      </c>
      <c r="BZ322" s="1029">
        <f t="shared" si="259"/>
        <v>35547.634999999995</v>
      </c>
      <c r="CA322" s="1041">
        <f t="shared" si="259"/>
        <v>93903.515000000014</v>
      </c>
      <c r="CB322" s="1028">
        <f t="shared" si="259"/>
        <v>0</v>
      </c>
      <c r="CC322" s="1025">
        <f t="shared" si="259"/>
        <v>93903.515000000014</v>
      </c>
      <c r="CD322" s="1023">
        <f t="shared" si="259"/>
        <v>70023.195000000007</v>
      </c>
      <c r="CE322" s="1025">
        <f t="shared" si="259"/>
        <v>96543.640000000014</v>
      </c>
      <c r="CF322" s="1025">
        <f t="shared" si="259"/>
        <v>-2640.1249999999927</v>
      </c>
      <c r="CG322" s="1029"/>
      <c r="CH322" s="972"/>
      <c r="CL322" s="1037">
        <f>SUBTOTAL(9,CL323:CL328)</f>
        <v>752628.15999999992</v>
      </c>
      <c r="CM322" s="976">
        <f t="shared" si="253"/>
        <v>658724.6449999999</v>
      </c>
    </row>
    <row r="323" spans="1:91" s="1032" customFormat="1" ht="12.75" customHeight="1" outlineLevel="1">
      <c r="A323" s="1091"/>
      <c r="B323" s="1015"/>
      <c r="C323" s="1016"/>
      <c r="D323" s="1016" t="s">
        <v>821</v>
      </c>
      <c r="E323" s="1017"/>
      <c r="F323" s="1023"/>
      <c r="G323" s="1023">
        <v>4908.6700000000128</v>
      </c>
      <c r="H323" s="1023"/>
      <c r="I323" s="1023">
        <v>4908.6700000000128</v>
      </c>
      <c r="J323" s="1019"/>
      <c r="K323" s="1020"/>
      <c r="L323" s="1021"/>
      <c r="M323" s="1036">
        <v>0</v>
      </c>
      <c r="N323" s="1023">
        <v>0</v>
      </c>
      <c r="O323" s="1024">
        <v>0</v>
      </c>
      <c r="P323" s="1024">
        <v>0</v>
      </c>
      <c r="Q323" s="1024">
        <v>0</v>
      </c>
      <c r="R323" s="1024">
        <v>0</v>
      </c>
      <c r="S323" s="1024">
        <v>0</v>
      </c>
      <c r="T323" s="1024">
        <v>0</v>
      </c>
      <c r="U323" s="1024">
        <v>0</v>
      </c>
      <c r="V323" s="1024">
        <v>0</v>
      </c>
      <c r="W323" s="1024">
        <v>0</v>
      </c>
      <c r="X323" s="1024">
        <v>0</v>
      </c>
      <c r="Y323" s="1024">
        <v>0</v>
      </c>
      <c r="Z323" s="1025">
        <f t="shared" ref="Z323:Z328" si="260">SUM(N323:Y323)</f>
        <v>0</v>
      </c>
      <c r="AA323" s="1026">
        <v>0</v>
      </c>
      <c r="AB323" s="1027">
        <v>0</v>
      </c>
      <c r="AC323" s="1027">
        <v>322.64999999999998</v>
      </c>
      <c r="AD323" s="1027">
        <v>4866.6400000000003</v>
      </c>
      <c r="AE323" s="1027">
        <v>-5189.29</v>
      </c>
      <c r="AF323" s="1027">
        <v>39.9</v>
      </c>
      <c r="AG323" s="1027">
        <f>629669-39.9-349175</f>
        <v>280454.09999999998</v>
      </c>
      <c r="AH323" s="1028">
        <f>-629669+1304.38+302354+349175-302354</f>
        <v>-279189.62</v>
      </c>
      <c r="AI323" s="1028">
        <v>2102.98</v>
      </c>
      <c r="AJ323" s="1028">
        <v>-1783.54</v>
      </c>
      <c r="AK323" s="1028">
        <f>-1105.66+4390.51</f>
        <v>3284.8500000000004</v>
      </c>
      <c r="AL323" s="1028">
        <v>0</v>
      </c>
      <c r="AM323" s="1025">
        <f t="shared" ref="AM323:AM328" si="261">SUM(AA323:AL323)</f>
        <v>4908.6700000000055</v>
      </c>
      <c r="AN323" s="1024"/>
      <c r="AO323" s="1024"/>
      <c r="AP323" s="1024">
        <v>150000</v>
      </c>
      <c r="AQ323" s="1024">
        <v>-150000</v>
      </c>
      <c r="AR323" s="1024"/>
      <c r="AS323" s="1024"/>
      <c r="AT323" s="1024"/>
      <c r="AU323" s="1024"/>
      <c r="AV323" s="1024"/>
      <c r="AW323" s="1024"/>
      <c r="AX323" s="1024"/>
      <c r="AY323" s="1024"/>
      <c r="AZ323" s="1024">
        <f t="shared" ref="AZ323:AZ328" si="262">SUM(AN323:AY323)</f>
        <v>0</v>
      </c>
      <c r="BA323" s="1024"/>
      <c r="BB323" s="1024"/>
      <c r="BC323" s="1024"/>
      <c r="BD323" s="1024"/>
      <c r="BE323" s="1024"/>
      <c r="BF323" s="1024"/>
      <c r="BG323" s="1024"/>
      <c r="BH323" s="1024"/>
      <c r="BI323" s="1024"/>
      <c r="BJ323" s="1024"/>
      <c r="BK323" s="1024"/>
      <c r="BL323" s="1024"/>
      <c r="BM323" s="1024">
        <f t="shared" ref="BM323:BM328" si="263">SUM(BA323:BL323)</f>
        <v>0</v>
      </c>
      <c r="BN323" s="1024"/>
      <c r="BO323" s="1024"/>
      <c r="BP323" s="1024"/>
      <c r="BQ323" s="1024"/>
      <c r="BR323" s="1024"/>
      <c r="BS323" s="1024"/>
      <c r="BT323" s="1024"/>
      <c r="BU323" s="1024"/>
      <c r="BV323" s="1024"/>
      <c r="BW323" s="1024"/>
      <c r="BX323" s="1024"/>
      <c r="BY323" s="1024"/>
      <c r="BZ323" s="1029">
        <f t="shared" ref="BZ323:BZ328" si="264">SUM(BN323:BY323)</f>
        <v>0</v>
      </c>
      <c r="CA323" s="1030">
        <f t="shared" ref="CA323:CA328" si="265">SUMIF(($M$1:$BZ$1),"Actual",(M323:BZ323))</f>
        <v>4908.6700000000128</v>
      </c>
      <c r="CB323" s="1031">
        <f t="shared" ref="CB323:CB328" si="266">SUMIF(($M$1:$BZ$1),"Forecast",(M323:BZ323))</f>
        <v>0</v>
      </c>
      <c r="CC323" s="1023">
        <f t="shared" ref="CC323:CC328" si="267">+CA323+CB323</f>
        <v>4908.6700000000128</v>
      </c>
      <c r="CD323" s="1023">
        <f t="shared" ref="CD323:CD328" si="268">+CC323-I323</f>
        <v>0</v>
      </c>
      <c r="CE323" s="1023">
        <v>4908.6700000000128</v>
      </c>
      <c r="CF323" s="1023">
        <f t="shared" ref="CF323:CF328" si="269">+CC323-CE323</f>
        <v>0</v>
      </c>
      <c r="CG323" s="1029"/>
      <c r="CH323" s="972"/>
      <c r="CL323" s="976">
        <v>4908.6700000000128</v>
      </c>
      <c r="CM323" s="976">
        <f t="shared" si="253"/>
        <v>0</v>
      </c>
    </row>
    <row r="324" spans="1:91" s="1032" customFormat="1" ht="12.75" customHeight="1" outlineLevel="1">
      <c r="A324" s="1091"/>
      <c r="B324" s="1015"/>
      <c r="C324" s="1016"/>
      <c r="D324" s="1016" t="s">
        <v>822</v>
      </c>
      <c r="E324" s="1017"/>
      <c r="F324" s="1023"/>
      <c r="G324" s="1023">
        <v>-3516</v>
      </c>
      <c r="H324" s="1023"/>
      <c r="I324" s="1023">
        <v>-3516</v>
      </c>
      <c r="J324" s="1019"/>
      <c r="K324" s="1020"/>
      <c r="L324" s="1021"/>
      <c r="M324" s="1036"/>
      <c r="N324" s="1023">
        <v>0</v>
      </c>
      <c r="O324" s="1024">
        <v>0</v>
      </c>
      <c r="P324" s="1024">
        <v>0</v>
      </c>
      <c r="Q324" s="1024">
        <v>0</v>
      </c>
      <c r="R324" s="1024">
        <v>-3516</v>
      </c>
      <c r="S324" s="1024">
        <v>0</v>
      </c>
      <c r="T324" s="1024">
        <v>0</v>
      </c>
      <c r="U324" s="1024">
        <v>0</v>
      </c>
      <c r="V324" s="1024">
        <v>0</v>
      </c>
      <c r="W324" s="1024">
        <v>0</v>
      </c>
      <c r="X324" s="1024">
        <v>0</v>
      </c>
      <c r="Y324" s="1024">
        <v>0</v>
      </c>
      <c r="Z324" s="1025">
        <f t="shared" si="260"/>
        <v>-3516</v>
      </c>
      <c r="AA324" s="1026">
        <v>0</v>
      </c>
      <c r="AB324" s="1027">
        <v>0</v>
      </c>
      <c r="AC324" s="1027">
        <v>0</v>
      </c>
      <c r="AD324" s="1027">
        <v>0</v>
      </c>
      <c r="AE324" s="1027">
        <v>0</v>
      </c>
      <c r="AF324" s="1027">
        <v>0</v>
      </c>
      <c r="AG324" s="1027">
        <v>0</v>
      </c>
      <c r="AH324" s="1028">
        <v>0</v>
      </c>
      <c r="AI324" s="1028">
        <v>0</v>
      </c>
      <c r="AJ324" s="1028">
        <v>0</v>
      </c>
      <c r="AK324" s="1028">
        <v>0</v>
      </c>
      <c r="AL324" s="1028">
        <v>0</v>
      </c>
      <c r="AM324" s="1025">
        <f t="shared" si="261"/>
        <v>0</v>
      </c>
      <c r="AN324" s="1024"/>
      <c r="AO324" s="1024"/>
      <c r="AP324" s="1024"/>
      <c r="AQ324" s="1024"/>
      <c r="AR324" s="1024"/>
      <c r="AS324" s="1024"/>
      <c r="AT324" s="1024"/>
      <c r="AU324" s="1024"/>
      <c r="AV324" s="1024"/>
      <c r="AW324" s="1024"/>
      <c r="AX324" s="1024"/>
      <c r="AY324" s="1024"/>
      <c r="AZ324" s="1024">
        <f t="shared" si="262"/>
        <v>0</v>
      </c>
      <c r="BA324" s="1024"/>
      <c r="BB324" s="1024"/>
      <c r="BC324" s="1024"/>
      <c r="BD324" s="1024"/>
      <c r="BE324" s="1024"/>
      <c r="BF324" s="1024"/>
      <c r="BG324" s="1024"/>
      <c r="BH324" s="1024"/>
      <c r="BI324" s="1024"/>
      <c r="BJ324" s="1024"/>
      <c r="BK324" s="1024"/>
      <c r="BL324" s="1024"/>
      <c r="BM324" s="1024">
        <f t="shared" si="263"/>
        <v>0</v>
      </c>
      <c r="BN324" s="1024"/>
      <c r="BO324" s="1024"/>
      <c r="BP324" s="1024"/>
      <c r="BQ324" s="1024"/>
      <c r="BR324" s="1024"/>
      <c r="BS324" s="1024"/>
      <c r="BT324" s="1024"/>
      <c r="BU324" s="1024"/>
      <c r="BV324" s="1024"/>
      <c r="BW324" s="1024"/>
      <c r="BX324" s="1024"/>
      <c r="BY324" s="1024"/>
      <c r="BZ324" s="1029">
        <f t="shared" si="264"/>
        <v>0</v>
      </c>
      <c r="CA324" s="1030">
        <f t="shared" si="265"/>
        <v>-3516</v>
      </c>
      <c r="CB324" s="1031">
        <f t="shared" si="266"/>
        <v>0</v>
      </c>
      <c r="CC324" s="1023">
        <f t="shared" si="267"/>
        <v>-3516</v>
      </c>
      <c r="CD324" s="1023">
        <f t="shared" si="268"/>
        <v>0</v>
      </c>
      <c r="CE324" s="1023">
        <v>-3516</v>
      </c>
      <c r="CF324" s="1023">
        <f t="shared" si="269"/>
        <v>0</v>
      </c>
      <c r="CG324" s="1029"/>
      <c r="CH324" s="972"/>
      <c r="CL324" s="976">
        <v>-3516</v>
      </c>
      <c r="CM324" s="976">
        <f t="shared" si="253"/>
        <v>0</v>
      </c>
    </row>
    <row r="325" spans="1:91" s="1032" customFormat="1" ht="12.75" customHeight="1" outlineLevel="1">
      <c r="A325" s="1091"/>
      <c r="B325" s="1015"/>
      <c r="C325" s="1016"/>
      <c r="D325" s="1016" t="s">
        <v>823</v>
      </c>
      <c r="E325" s="1017"/>
      <c r="F325" s="1023"/>
      <c r="G325" s="1023"/>
      <c r="H325" s="1023"/>
      <c r="I325" s="1023"/>
      <c r="J325" s="1019"/>
      <c r="K325" s="1020"/>
      <c r="L325" s="1021"/>
      <c r="M325" s="1036"/>
      <c r="N325" s="1023">
        <v>0</v>
      </c>
      <c r="O325" s="1024">
        <v>0</v>
      </c>
      <c r="P325" s="1024">
        <v>0</v>
      </c>
      <c r="Q325" s="1024">
        <v>0</v>
      </c>
      <c r="R325" s="1024"/>
      <c r="S325" s="1024">
        <v>0</v>
      </c>
      <c r="T325" s="1024">
        <v>0</v>
      </c>
      <c r="U325" s="1024">
        <v>0</v>
      </c>
      <c r="V325" s="1024">
        <v>0</v>
      </c>
      <c r="W325" s="1024">
        <v>0</v>
      </c>
      <c r="X325" s="1024">
        <v>0</v>
      </c>
      <c r="Y325" s="1024">
        <v>0</v>
      </c>
      <c r="Z325" s="1025">
        <f t="shared" si="260"/>
        <v>0</v>
      </c>
      <c r="AA325" s="1026">
        <v>0</v>
      </c>
      <c r="AB325" s="1027">
        <v>0</v>
      </c>
      <c r="AC325" s="1027">
        <v>0</v>
      </c>
      <c r="AD325" s="1027">
        <v>0</v>
      </c>
      <c r="AE325" s="1027">
        <v>0</v>
      </c>
      <c r="AF325" s="1027">
        <v>0</v>
      </c>
      <c r="AG325" s="1027">
        <v>0</v>
      </c>
      <c r="AH325" s="1028">
        <v>0</v>
      </c>
      <c r="AI325" s="1028">
        <v>0</v>
      </c>
      <c r="AJ325" s="1028">
        <v>0</v>
      </c>
      <c r="AK325" s="1028">
        <v>0</v>
      </c>
      <c r="AL325" s="1028">
        <v>0</v>
      </c>
      <c r="AM325" s="1025">
        <f t="shared" si="261"/>
        <v>0</v>
      </c>
      <c r="AN325" s="1024"/>
      <c r="AO325" s="1024"/>
      <c r="AP325" s="1024"/>
      <c r="AQ325" s="1024"/>
      <c r="AR325" s="1024"/>
      <c r="AS325" s="1024"/>
      <c r="AT325" s="1024"/>
      <c r="AU325" s="1024"/>
      <c r="AV325" s="1024"/>
      <c r="AW325" s="1024"/>
      <c r="AX325" s="1024"/>
      <c r="AY325" s="1024"/>
      <c r="AZ325" s="1024">
        <f t="shared" si="262"/>
        <v>0</v>
      </c>
      <c r="BA325" s="1024"/>
      <c r="BB325" s="1024"/>
      <c r="BC325" s="1024"/>
      <c r="BD325" s="1024"/>
      <c r="BE325" s="1024"/>
      <c r="BF325" s="1024"/>
      <c r="BG325" s="1024"/>
      <c r="BH325" s="1024"/>
      <c r="BI325" s="1024"/>
      <c r="BJ325" s="1024"/>
      <c r="BK325" s="1024">
        <v>10498.17</v>
      </c>
      <c r="BL325" s="1024"/>
      <c r="BM325" s="1024">
        <f t="shared" si="263"/>
        <v>10498.17</v>
      </c>
      <c r="BN325" s="1024"/>
      <c r="BO325" s="1024"/>
      <c r="BP325" s="1024"/>
      <c r="BQ325" s="1024"/>
      <c r="BR325" s="1024"/>
      <c r="BS325" s="1024"/>
      <c r="BT325" s="1024"/>
      <c r="BU325" s="1024"/>
      <c r="BV325" s="1024"/>
      <c r="BW325" s="1024"/>
      <c r="BX325" s="1024"/>
      <c r="BY325" s="1024"/>
      <c r="BZ325" s="1029">
        <f t="shared" si="264"/>
        <v>0</v>
      </c>
      <c r="CA325" s="1030">
        <f t="shared" si="265"/>
        <v>10498.17</v>
      </c>
      <c r="CB325" s="1031">
        <f t="shared" si="266"/>
        <v>0</v>
      </c>
      <c r="CC325" s="1023">
        <f t="shared" si="267"/>
        <v>10498.17</v>
      </c>
      <c r="CD325" s="1023">
        <f t="shared" si="268"/>
        <v>10498.17</v>
      </c>
      <c r="CE325" s="1023">
        <v>10498.17</v>
      </c>
      <c r="CF325" s="1023">
        <f t="shared" si="269"/>
        <v>0</v>
      </c>
      <c r="CG325" s="1029"/>
      <c r="CH325" s="972"/>
      <c r="CL325" s="976">
        <v>0</v>
      </c>
      <c r="CM325" s="976">
        <f t="shared" si="253"/>
        <v>-10498.17</v>
      </c>
    </row>
    <row r="326" spans="1:91" s="1032" customFormat="1" ht="12.75" customHeight="1" outlineLevel="1">
      <c r="A326" s="1091"/>
      <c r="B326" s="1015"/>
      <c r="C326" s="1016"/>
      <c r="D326" s="1016" t="s">
        <v>824</v>
      </c>
      <c r="E326" s="1017"/>
      <c r="F326" s="1023"/>
      <c r="G326" s="1023">
        <v>4407.8</v>
      </c>
      <c r="H326" s="1023"/>
      <c r="I326" s="1023">
        <v>4407.8</v>
      </c>
      <c r="J326" s="1019"/>
      <c r="K326" s="1020"/>
      <c r="L326" s="1021"/>
      <c r="M326" s="1036">
        <v>0</v>
      </c>
      <c r="N326" s="1023">
        <v>0</v>
      </c>
      <c r="O326" s="1024">
        <v>0</v>
      </c>
      <c r="P326" s="1024">
        <v>0</v>
      </c>
      <c r="Q326" s="1024">
        <v>0</v>
      </c>
      <c r="R326" s="1024">
        <v>0</v>
      </c>
      <c r="S326" s="1024">
        <v>0</v>
      </c>
      <c r="T326" s="1024">
        <v>0</v>
      </c>
      <c r="U326" s="1024">
        <v>0</v>
      </c>
      <c r="V326" s="1024">
        <v>0</v>
      </c>
      <c r="W326" s="1024">
        <v>0</v>
      </c>
      <c r="X326" s="1024">
        <v>0</v>
      </c>
      <c r="Y326" s="1024">
        <v>304.37</v>
      </c>
      <c r="Z326" s="1025">
        <f t="shared" si="260"/>
        <v>304.37</v>
      </c>
      <c r="AA326" s="1026">
        <v>0</v>
      </c>
      <c r="AB326" s="1027">
        <v>164.68</v>
      </c>
      <c r="AC326" s="1027">
        <v>0</v>
      </c>
      <c r="AD326" s="1027">
        <v>61.68</v>
      </c>
      <c r="AE326" s="1027">
        <v>44.07</v>
      </c>
      <c r="AF326" s="1027">
        <v>0</v>
      </c>
      <c r="AG326" s="1027">
        <v>692.82</v>
      </c>
      <c r="AH326" s="1028">
        <v>107.91</v>
      </c>
      <c r="AI326" s="1028">
        <v>237.37</v>
      </c>
      <c r="AJ326" s="1028">
        <v>326.25</v>
      </c>
      <c r="AK326" s="1028">
        <v>238.37</v>
      </c>
      <c r="AL326" s="1028">
        <v>69.45</v>
      </c>
      <c r="AM326" s="1025">
        <f t="shared" si="261"/>
        <v>1942.6000000000001</v>
      </c>
      <c r="AN326" s="1024">
        <v>-98</v>
      </c>
      <c r="AO326" s="1024">
        <v>128.80000000000001</v>
      </c>
      <c r="AP326" s="1024">
        <v>86.48</v>
      </c>
      <c r="AQ326" s="1024">
        <v>73.95</v>
      </c>
      <c r="AR326" s="1024">
        <v>3122.5</v>
      </c>
      <c r="AS326" s="1024">
        <v>-1292.68</v>
      </c>
      <c r="AT326" s="1024"/>
      <c r="AU326" s="1024"/>
      <c r="AV326" s="1024">
        <v>139.78</v>
      </c>
      <c r="AW326" s="1024"/>
      <c r="AX326" s="1024"/>
      <c r="AY326" s="1024">
        <v>-3.12</v>
      </c>
      <c r="AZ326" s="1024">
        <f t="shared" si="262"/>
        <v>2157.71</v>
      </c>
      <c r="BA326" s="1024"/>
      <c r="BB326" s="1024"/>
      <c r="BC326" s="1024"/>
      <c r="BD326" s="1024"/>
      <c r="BE326" s="1024"/>
      <c r="BF326" s="1024"/>
      <c r="BG326" s="1024"/>
      <c r="BH326" s="1024"/>
      <c r="BI326" s="1024"/>
      <c r="BJ326" s="1024"/>
      <c r="BK326" s="1024"/>
      <c r="BL326" s="1024"/>
      <c r="BM326" s="1024">
        <f t="shared" si="263"/>
        <v>0</v>
      </c>
      <c r="BN326" s="1024"/>
      <c r="BO326" s="1024">
        <v>4026.98</v>
      </c>
      <c r="BP326" s="1024">
        <v>6595.78</v>
      </c>
      <c r="BQ326" s="1093">
        <f>7854.65*(25/30)</f>
        <v>6545.541666666667</v>
      </c>
      <c r="BR326" s="1024"/>
      <c r="BS326" s="1024"/>
      <c r="BT326" s="1024"/>
      <c r="BU326" s="1024"/>
      <c r="BV326" s="1024"/>
      <c r="BW326" s="1024"/>
      <c r="BX326" s="1024"/>
      <c r="BY326" s="1024"/>
      <c r="BZ326" s="1029">
        <f t="shared" si="264"/>
        <v>17168.301666666666</v>
      </c>
      <c r="CA326" s="1030">
        <f t="shared" si="265"/>
        <v>21572.981666666667</v>
      </c>
      <c r="CB326" s="1031">
        <f t="shared" si="266"/>
        <v>0</v>
      </c>
      <c r="CC326" s="1023">
        <f t="shared" si="267"/>
        <v>21572.981666666667</v>
      </c>
      <c r="CD326" s="1023">
        <f t="shared" si="268"/>
        <v>17165.181666666667</v>
      </c>
      <c r="CE326" s="1023">
        <v>22882.089999999997</v>
      </c>
      <c r="CF326" s="1023">
        <f t="shared" si="269"/>
        <v>-1309.1083333333299</v>
      </c>
      <c r="CG326" s="1029"/>
      <c r="CH326" s="972"/>
      <c r="CL326" s="976">
        <v>5560.7</v>
      </c>
      <c r="CM326" s="976">
        <f t="shared" si="253"/>
        <v>-16012.281666666666</v>
      </c>
    </row>
    <row r="327" spans="1:91" s="1032" customFormat="1" ht="12.75" customHeight="1" outlineLevel="1">
      <c r="A327" s="1091"/>
      <c r="B327" s="1015"/>
      <c r="C327" s="1016"/>
      <c r="D327" s="1016" t="s">
        <v>825</v>
      </c>
      <c r="E327" s="1017"/>
      <c r="F327" s="1023"/>
      <c r="G327" s="1023">
        <v>10473.719999999999</v>
      </c>
      <c r="H327" s="1023"/>
      <c r="I327" s="1023">
        <v>10473.719999999999</v>
      </c>
      <c r="J327" s="1019"/>
      <c r="K327" s="1020"/>
      <c r="L327" s="1021"/>
      <c r="M327" s="1036"/>
      <c r="N327" s="1023">
        <v>0</v>
      </c>
      <c r="O327" s="1024">
        <v>0</v>
      </c>
      <c r="P327" s="1024">
        <v>0</v>
      </c>
      <c r="Q327" s="1024">
        <v>0</v>
      </c>
      <c r="R327" s="1024">
        <v>0</v>
      </c>
      <c r="S327" s="1024">
        <v>0</v>
      </c>
      <c r="T327" s="1024">
        <v>0</v>
      </c>
      <c r="U327" s="1024">
        <v>0</v>
      </c>
      <c r="V327" s="1024">
        <v>0</v>
      </c>
      <c r="W327" s="1024">
        <v>0</v>
      </c>
      <c r="X327" s="1024">
        <v>47.8</v>
      </c>
      <c r="Y327" s="1024">
        <v>0</v>
      </c>
      <c r="Z327" s="1025">
        <f t="shared" si="260"/>
        <v>47.8</v>
      </c>
      <c r="AA327" s="1026">
        <v>0</v>
      </c>
      <c r="AB327" s="1027">
        <v>0</v>
      </c>
      <c r="AC327" s="1027">
        <v>0.93</v>
      </c>
      <c r="AD327" s="1027">
        <v>0.15</v>
      </c>
      <c r="AE327" s="1027">
        <v>638.16</v>
      </c>
      <c r="AF327" s="1027">
        <v>508.88</v>
      </c>
      <c r="AG327" s="1027">
        <v>787.26</v>
      </c>
      <c r="AH327" s="1028">
        <v>1025.28</v>
      </c>
      <c r="AI327" s="1028">
        <v>303.72000000000003</v>
      </c>
      <c r="AJ327" s="1028">
        <v>-156.03</v>
      </c>
      <c r="AK327" s="1028">
        <v>323.63</v>
      </c>
      <c r="AL327" s="1028">
        <v>104.27</v>
      </c>
      <c r="AM327" s="1025">
        <f t="shared" si="261"/>
        <v>3536.25</v>
      </c>
      <c r="AN327" s="1024">
        <v>-92.81</v>
      </c>
      <c r="AO327" s="1024">
        <v>421.48</v>
      </c>
      <c r="AP327" s="1024">
        <v>252.25</v>
      </c>
      <c r="AQ327" s="1024">
        <f>0.41+209.18+35.29</f>
        <v>244.88</v>
      </c>
      <c r="AR327" s="1024">
        <v>273.83999999999997</v>
      </c>
      <c r="AS327" s="1024">
        <v>183.37</v>
      </c>
      <c r="AT327" s="1024">
        <v>166.53</v>
      </c>
      <c r="AU327" s="1024">
        <v>39.1</v>
      </c>
      <c r="AV327" s="1024">
        <v>520.44000000000005</v>
      </c>
      <c r="AW327" s="1024">
        <v>130.59</v>
      </c>
      <c r="AX327" s="1024">
        <v>1363.23</v>
      </c>
      <c r="AY327" s="1076">
        <v>1099.24</v>
      </c>
      <c r="AZ327" s="1024">
        <f t="shared" si="262"/>
        <v>4602.1400000000003</v>
      </c>
      <c r="BA327" s="1024">
        <v>344.4</v>
      </c>
      <c r="BB327" s="1024">
        <v>1302.95</v>
      </c>
      <c r="BC327" s="1024">
        <v>761.25</v>
      </c>
      <c r="BD327" s="1024">
        <v>1512.38</v>
      </c>
      <c r="BE327" s="1024">
        <v>671.6</v>
      </c>
      <c r="BF327" s="1024">
        <v>-27.77</v>
      </c>
      <c r="BG327" s="1024">
        <v>2367.3200000000002</v>
      </c>
      <c r="BH327" s="1024">
        <v>1128.6300000000001</v>
      </c>
      <c r="BI327" s="1024">
        <v>1125.8599999999999</v>
      </c>
      <c r="BJ327" s="1024">
        <v>787.86</v>
      </c>
      <c r="BK327" s="1024">
        <v>4620.8500000000004</v>
      </c>
      <c r="BL327" s="1076">
        <v>10933.63</v>
      </c>
      <c r="BM327" s="1024">
        <f t="shared" si="263"/>
        <v>25528.959999999999</v>
      </c>
      <c r="BN327" s="1024">
        <v>3784.02</v>
      </c>
      <c r="BO327" s="1024">
        <v>611.91999999999996</v>
      </c>
      <c r="BP327" s="1024">
        <v>12032.42</v>
      </c>
      <c r="BQ327" s="1093">
        <f>1986.1*(25/30)</f>
        <v>1655.0833333333333</v>
      </c>
      <c r="BR327" s="1093">
        <v>0</v>
      </c>
      <c r="BS327" s="1024"/>
      <c r="BT327" s="1024"/>
      <c r="BU327" s="1024"/>
      <c r="BV327" s="1024"/>
      <c r="BW327" s="1024"/>
      <c r="BX327" s="1024"/>
      <c r="BY327" s="1024"/>
      <c r="BZ327" s="1029">
        <f t="shared" si="264"/>
        <v>18083.443333333333</v>
      </c>
      <c r="CA327" s="1030">
        <f t="shared" si="265"/>
        <v>51798.593333333331</v>
      </c>
      <c r="CB327" s="1031">
        <f t="shared" si="266"/>
        <v>0</v>
      </c>
      <c r="CC327" s="1023">
        <f t="shared" si="267"/>
        <v>51798.593333333331</v>
      </c>
      <c r="CD327" s="1023">
        <f t="shared" si="268"/>
        <v>41324.873333333329</v>
      </c>
      <c r="CE327" s="1023">
        <v>53129.609999999993</v>
      </c>
      <c r="CF327" s="1023">
        <f t="shared" si="269"/>
        <v>-1331.0166666666628</v>
      </c>
      <c r="CG327" s="1029"/>
      <c r="CH327" s="972"/>
      <c r="CL327" s="976">
        <v>738351.94</v>
      </c>
      <c r="CM327" s="976">
        <f t="shared" si="253"/>
        <v>686553.34666666656</v>
      </c>
    </row>
    <row r="328" spans="1:91" s="1032" customFormat="1" ht="12.75" customHeight="1" outlineLevel="1">
      <c r="A328" s="1091"/>
      <c r="B328" s="1015"/>
      <c r="C328" s="1016"/>
      <c r="D328" s="1016" t="s">
        <v>826</v>
      </c>
      <c r="E328" s="1017"/>
      <c r="F328" s="1023"/>
      <c r="G328" s="1023">
        <v>7606.13</v>
      </c>
      <c r="H328" s="1023"/>
      <c r="I328" s="1023">
        <v>7606.13</v>
      </c>
      <c r="J328" s="1019"/>
      <c r="K328" s="1020"/>
      <c r="L328" s="1021"/>
      <c r="M328" s="1036">
        <v>0</v>
      </c>
      <c r="N328" s="1023">
        <v>0.32</v>
      </c>
      <c r="O328" s="1024">
        <v>0</v>
      </c>
      <c r="P328" s="1024">
        <v>0</v>
      </c>
      <c r="Q328" s="1024">
        <v>6.34</v>
      </c>
      <c r="R328" s="1024">
        <v>775.94</v>
      </c>
      <c r="S328" s="1024">
        <v>21.04</v>
      </c>
      <c r="T328" s="1024">
        <v>121.64</v>
      </c>
      <c r="U328" s="1024">
        <v>208.96</v>
      </c>
      <c r="V328" s="1024">
        <v>-216.69</v>
      </c>
      <c r="W328" s="1024">
        <v>730.88</v>
      </c>
      <c r="X328" s="1024">
        <v>584.92999999999995</v>
      </c>
      <c r="Y328" s="1024">
        <v>1429.46</v>
      </c>
      <c r="Z328" s="1025">
        <f t="shared" si="260"/>
        <v>3662.8199999999997</v>
      </c>
      <c r="AA328" s="1026">
        <v>401.08</v>
      </c>
      <c r="AB328" s="1027">
        <v>1177.77</v>
      </c>
      <c r="AC328" s="1027">
        <v>-164.15</v>
      </c>
      <c r="AD328" s="1027">
        <v>12.6</v>
      </c>
      <c r="AE328" s="1027">
        <v>121.72</v>
      </c>
      <c r="AF328" s="1027">
        <v>572.44000000000005</v>
      </c>
      <c r="AG328" s="1027">
        <v>0</v>
      </c>
      <c r="AH328" s="1028">
        <v>20.07</v>
      </c>
      <c r="AI328" s="1028">
        <v>560.28</v>
      </c>
      <c r="AJ328" s="1028">
        <v>697.92</v>
      </c>
      <c r="AK328" s="1028">
        <v>149.62</v>
      </c>
      <c r="AL328" s="1028">
        <v>46.9</v>
      </c>
      <c r="AM328" s="1025">
        <f t="shared" si="261"/>
        <v>3596.2500000000005</v>
      </c>
      <c r="AN328" s="1024">
        <v>5.35</v>
      </c>
      <c r="AO328" s="1024">
        <v>3.38</v>
      </c>
      <c r="AP328" s="1024">
        <v>42.3</v>
      </c>
      <c r="AQ328" s="1024">
        <v>1.56</v>
      </c>
      <c r="AR328" s="1024">
        <v>11.19</v>
      </c>
      <c r="AS328" s="1024">
        <v>38.86</v>
      </c>
      <c r="AT328" s="1024">
        <v>11.22</v>
      </c>
      <c r="AU328" s="1024">
        <v>1.95</v>
      </c>
      <c r="AV328" s="1024">
        <v>224.57</v>
      </c>
      <c r="AW328" s="1024">
        <v>6.68</v>
      </c>
      <c r="AX328" s="1024">
        <v>4.17</v>
      </c>
      <c r="AY328" s="1024">
        <v>149.53</v>
      </c>
      <c r="AZ328" s="1024">
        <f t="shared" si="262"/>
        <v>500.76</v>
      </c>
      <c r="BA328" s="1024">
        <v>0.3</v>
      </c>
      <c r="BB328" s="1024">
        <v>15.14</v>
      </c>
      <c r="BC328" s="1024">
        <v>20.09</v>
      </c>
      <c r="BD328" s="1024"/>
      <c r="BE328" s="1024">
        <v>27.61</v>
      </c>
      <c r="BF328" s="1024"/>
      <c r="BG328" s="1024"/>
      <c r="BH328" s="1024">
        <v>467.81</v>
      </c>
      <c r="BI328" s="1024">
        <v>1.42</v>
      </c>
      <c r="BJ328" s="1024"/>
      <c r="BK328" s="1024">
        <v>26.71</v>
      </c>
      <c r="BL328" s="1024">
        <v>26.3</v>
      </c>
      <c r="BM328" s="1024">
        <f t="shared" si="263"/>
        <v>585.38</v>
      </c>
      <c r="BN328" s="1024">
        <v>13.89</v>
      </c>
      <c r="BO328" s="1024">
        <v>75.14</v>
      </c>
      <c r="BP328" s="1024">
        <v>206.86</v>
      </c>
      <c r="BQ328" s="1024"/>
      <c r="BR328" s="1093">
        <v>0</v>
      </c>
      <c r="BS328" s="1024"/>
      <c r="BT328" s="1024"/>
      <c r="BU328" s="1024"/>
      <c r="BV328" s="1024"/>
      <c r="BW328" s="1024"/>
      <c r="BX328" s="1024"/>
      <c r="BY328" s="1024"/>
      <c r="BZ328" s="1029">
        <f t="shared" si="264"/>
        <v>295.89</v>
      </c>
      <c r="CA328" s="1030">
        <f t="shared" si="265"/>
        <v>8641.0999999999985</v>
      </c>
      <c r="CB328" s="1031">
        <f t="shared" si="266"/>
        <v>0</v>
      </c>
      <c r="CC328" s="1023">
        <f t="shared" si="267"/>
        <v>8641.0999999999985</v>
      </c>
      <c r="CD328" s="1023">
        <f t="shared" si="268"/>
        <v>1034.9699999999984</v>
      </c>
      <c r="CE328" s="1023">
        <v>8641.0999999999985</v>
      </c>
      <c r="CF328" s="1023">
        <f t="shared" si="269"/>
        <v>0</v>
      </c>
      <c r="CG328" s="1029"/>
      <c r="CH328" s="972"/>
      <c r="CL328" s="976">
        <v>7322.85</v>
      </c>
      <c r="CM328" s="976">
        <f t="shared" si="253"/>
        <v>-1318.2499999999982</v>
      </c>
    </row>
    <row r="329" spans="1:91" s="1064" customFormat="1">
      <c r="A329" s="1087"/>
      <c r="B329" s="1046" t="s">
        <v>827</v>
      </c>
      <c r="C329" s="1047"/>
      <c r="D329" s="1047"/>
      <c r="E329" s="1048"/>
      <c r="F329" s="1054">
        <f>SUBTOTAL(9,F290:F328)</f>
        <v>7258973</v>
      </c>
      <c r="G329" s="1054">
        <f>SUBTOTAL(9,G290:G328)</f>
        <v>7950529.1472189492</v>
      </c>
      <c r="H329" s="1054">
        <f>SUBTOTAL(9,H290:H328)</f>
        <v>1500000</v>
      </c>
      <c r="I329" s="1054">
        <f>SUBTOTAL(9,I290:I328)</f>
        <v>9450529.147218952</v>
      </c>
      <c r="J329" s="1050"/>
      <c r="K329" s="1051"/>
      <c r="L329" s="1052"/>
      <c r="M329" s="1053">
        <f t="shared" ref="M329:AR329" si="270">SUBTOTAL(9,M290:M328)</f>
        <v>0</v>
      </c>
      <c r="N329" s="1054">
        <f t="shared" si="270"/>
        <v>6667.2499999999991</v>
      </c>
      <c r="O329" s="1055">
        <f t="shared" si="270"/>
        <v>9098.5300000000007</v>
      </c>
      <c r="P329" s="1055">
        <f t="shared" si="270"/>
        <v>1755.26</v>
      </c>
      <c r="Q329" s="1055">
        <f t="shared" si="270"/>
        <v>5157.8600000000006</v>
      </c>
      <c r="R329" s="1055">
        <f t="shared" si="270"/>
        <v>9282.1000000000022</v>
      </c>
      <c r="S329" s="1055">
        <f t="shared" si="270"/>
        <v>5058.8</v>
      </c>
      <c r="T329" s="1055">
        <f t="shared" si="270"/>
        <v>21827.46</v>
      </c>
      <c r="U329" s="1055">
        <f t="shared" si="270"/>
        <v>17622.2</v>
      </c>
      <c r="V329" s="1055">
        <f t="shared" si="270"/>
        <v>29833.599999999999</v>
      </c>
      <c r="W329" s="1055">
        <f t="shared" si="270"/>
        <v>44700.79</v>
      </c>
      <c r="X329" s="1055">
        <f t="shared" si="270"/>
        <v>47857.979999999996</v>
      </c>
      <c r="Y329" s="1055">
        <f t="shared" si="270"/>
        <v>83554.099999999991</v>
      </c>
      <c r="Z329" s="1056">
        <f t="shared" si="270"/>
        <v>282415.93000000005</v>
      </c>
      <c r="AA329" s="1057">
        <f t="shared" si="270"/>
        <v>43462.830000000009</v>
      </c>
      <c r="AB329" s="1058">
        <f t="shared" si="270"/>
        <v>72075.600000000006</v>
      </c>
      <c r="AC329" s="1058">
        <f t="shared" si="270"/>
        <v>69851.040000000008</v>
      </c>
      <c r="AD329" s="1058">
        <f t="shared" si="270"/>
        <v>88402.989999999991</v>
      </c>
      <c r="AE329" s="1058">
        <f t="shared" si="270"/>
        <v>96291.290000000008</v>
      </c>
      <c r="AF329" s="1058">
        <f t="shared" si="270"/>
        <v>152005.45000000004</v>
      </c>
      <c r="AG329" s="1058">
        <f t="shared" si="270"/>
        <v>450782.82</v>
      </c>
      <c r="AH329" s="1059">
        <f t="shared" si="270"/>
        <v>-134735.81</v>
      </c>
      <c r="AI329" s="1059">
        <f t="shared" si="270"/>
        <v>184760.49</v>
      </c>
      <c r="AJ329" s="1059">
        <f t="shared" si="270"/>
        <v>205308.098</v>
      </c>
      <c r="AK329" s="1059">
        <f t="shared" si="270"/>
        <v>190887.63000000003</v>
      </c>
      <c r="AL329" s="1059">
        <f t="shared" si="270"/>
        <v>213425.21</v>
      </c>
      <c r="AM329" s="1056">
        <f t="shared" si="270"/>
        <v>1632517.6380000005</v>
      </c>
      <c r="AN329" s="1055">
        <f t="shared" si="270"/>
        <v>119616.54000000002</v>
      </c>
      <c r="AO329" s="1055">
        <f t="shared" si="270"/>
        <v>178003.46000000005</v>
      </c>
      <c r="AP329" s="1055">
        <f t="shared" si="270"/>
        <v>383760.58999999997</v>
      </c>
      <c r="AQ329" s="1055">
        <f t="shared" si="270"/>
        <v>287911.28000000003</v>
      </c>
      <c r="AR329" s="1055">
        <f t="shared" si="270"/>
        <v>300850.88999999996</v>
      </c>
      <c r="AS329" s="1055">
        <f t="shared" ref="AS329:BX329" si="271">SUBTOTAL(9,AS290:AS328)</f>
        <v>176619.7</v>
      </c>
      <c r="AT329" s="1055">
        <f t="shared" si="271"/>
        <v>183819.27</v>
      </c>
      <c r="AU329" s="1055">
        <f t="shared" si="271"/>
        <v>174448.19000000003</v>
      </c>
      <c r="AV329" s="1055">
        <f t="shared" si="271"/>
        <v>164858.66</v>
      </c>
      <c r="AW329" s="1055">
        <f t="shared" si="271"/>
        <v>162117.26</v>
      </c>
      <c r="AX329" s="1055">
        <f t="shared" si="271"/>
        <v>181580.35000000003</v>
      </c>
      <c r="AY329" s="1055">
        <f t="shared" si="271"/>
        <v>250373.61</v>
      </c>
      <c r="AZ329" s="1055">
        <f t="shared" si="271"/>
        <v>2563959.8000000003</v>
      </c>
      <c r="BA329" s="1055">
        <f t="shared" si="271"/>
        <v>187298.77999999994</v>
      </c>
      <c r="BB329" s="1055">
        <f t="shared" si="271"/>
        <v>180624.19000000003</v>
      </c>
      <c r="BC329" s="1055">
        <f t="shared" si="271"/>
        <v>214126.96000000002</v>
      </c>
      <c r="BD329" s="1055">
        <f t="shared" si="271"/>
        <v>225514.01</v>
      </c>
      <c r="BE329" s="1055">
        <f t="shared" si="271"/>
        <v>215053.71</v>
      </c>
      <c r="BF329" s="1055">
        <f t="shared" si="271"/>
        <v>305593.01</v>
      </c>
      <c r="BG329" s="1055">
        <f t="shared" si="271"/>
        <v>107540.48000000003</v>
      </c>
      <c r="BH329" s="1055">
        <f t="shared" si="271"/>
        <v>199595.65999999997</v>
      </c>
      <c r="BI329" s="1055">
        <f t="shared" si="271"/>
        <v>282008.30999999994</v>
      </c>
      <c r="BJ329" s="1055">
        <f t="shared" si="271"/>
        <v>286299.15000000008</v>
      </c>
      <c r="BK329" s="1055">
        <f t="shared" si="271"/>
        <v>181651.93000000002</v>
      </c>
      <c r="BL329" s="1055">
        <f t="shared" si="271"/>
        <v>290541.20999999996</v>
      </c>
      <c r="BM329" s="1055">
        <f t="shared" si="271"/>
        <v>2675847.399999999</v>
      </c>
      <c r="BN329" s="1055">
        <f t="shared" si="271"/>
        <v>351621.75</v>
      </c>
      <c r="BO329" s="1055">
        <f t="shared" si="271"/>
        <v>425898.08999999991</v>
      </c>
      <c r="BP329" s="1055">
        <f t="shared" si="271"/>
        <v>518532.24</v>
      </c>
      <c r="BQ329" s="1055">
        <f t="shared" si="271"/>
        <v>314438.28333333333</v>
      </c>
      <c r="BR329" s="1055">
        <f t="shared" si="271"/>
        <v>0</v>
      </c>
      <c r="BS329" s="1055">
        <f t="shared" si="271"/>
        <v>0</v>
      </c>
      <c r="BT329" s="1055">
        <f t="shared" si="271"/>
        <v>0</v>
      </c>
      <c r="BU329" s="1055">
        <f t="shared" si="271"/>
        <v>0</v>
      </c>
      <c r="BV329" s="1055">
        <f t="shared" si="271"/>
        <v>0</v>
      </c>
      <c r="BW329" s="1055">
        <f t="shared" si="271"/>
        <v>0</v>
      </c>
      <c r="BX329" s="1055">
        <f t="shared" si="271"/>
        <v>0</v>
      </c>
      <c r="BY329" s="1055">
        <f t="shared" ref="BY329:CF329" si="272">SUBTOTAL(9,BY290:BY328)</f>
        <v>0</v>
      </c>
      <c r="BZ329" s="1060">
        <f t="shared" si="272"/>
        <v>1610490.3633333335</v>
      </c>
      <c r="CA329" s="1061">
        <f t="shared" si="272"/>
        <v>8765231.1313333325</v>
      </c>
      <c r="CB329" s="1062">
        <f t="shared" si="272"/>
        <v>0</v>
      </c>
      <c r="CC329" s="1054">
        <f t="shared" si="272"/>
        <v>8765231.1313333325</v>
      </c>
      <c r="CD329" s="1054">
        <f t="shared" si="272"/>
        <v>-685298.01588561665</v>
      </c>
      <c r="CE329" s="1054">
        <f t="shared" si="272"/>
        <v>10020922.668670446</v>
      </c>
      <c r="CF329" s="1054">
        <f t="shared" si="272"/>
        <v>-1255691.5373371113</v>
      </c>
      <c r="CG329" s="1060"/>
      <c r="CH329" s="1063"/>
      <c r="CL329" s="1065">
        <f>SUBTOTAL(9,CL290:CL328)</f>
        <v>7306348.8257751539</v>
      </c>
      <c r="CM329" s="1066">
        <f t="shared" si="253"/>
        <v>-1458882.3055581786</v>
      </c>
    </row>
    <row r="330" spans="1:91" s="1032" customFormat="1" ht="9" customHeight="1">
      <c r="A330" s="1091"/>
      <c r="B330" s="1015"/>
      <c r="C330" s="1016"/>
      <c r="D330" s="1016"/>
      <c r="E330" s="1017"/>
      <c r="F330" s="1023"/>
      <c r="G330" s="1023"/>
      <c r="H330" s="1023"/>
      <c r="I330" s="1023"/>
      <c r="J330" s="1019"/>
      <c r="K330" s="1020"/>
      <c r="L330" s="1021"/>
      <c r="M330" s="1022"/>
      <c r="N330" s="1023"/>
      <c r="O330" s="1024"/>
      <c r="P330" s="1024"/>
      <c r="Q330" s="1024"/>
      <c r="R330" s="1024"/>
      <c r="S330" s="1024"/>
      <c r="T330" s="1024"/>
      <c r="U330" s="1024"/>
      <c r="V330" s="1024"/>
      <c r="W330" s="1024"/>
      <c r="X330" s="1024"/>
      <c r="Y330" s="1024"/>
      <c r="Z330" s="1025">
        <f>SUM(N330:Y330)</f>
        <v>0</v>
      </c>
      <c r="AA330" s="1026"/>
      <c r="AB330" s="1027"/>
      <c r="AC330" s="1027"/>
      <c r="AD330" s="1027"/>
      <c r="AE330" s="1027"/>
      <c r="AF330" s="1027"/>
      <c r="AG330" s="1027"/>
      <c r="AH330" s="1028"/>
      <c r="AI330" s="1028"/>
      <c r="AJ330" s="1028"/>
      <c r="AK330" s="1028"/>
      <c r="AL330" s="1028"/>
      <c r="AM330" s="1025">
        <f>SUM(AA330:AL330)</f>
        <v>0</v>
      </c>
      <c r="AN330" s="1024"/>
      <c r="AO330" s="1024"/>
      <c r="AP330" s="1024"/>
      <c r="AQ330" s="1024"/>
      <c r="AR330" s="1024"/>
      <c r="AS330" s="1024"/>
      <c r="AT330" s="1024"/>
      <c r="AU330" s="1024"/>
      <c r="AV330" s="1024"/>
      <c r="AW330" s="1024"/>
      <c r="AX330" s="1024"/>
      <c r="AY330" s="1024"/>
      <c r="AZ330" s="1024">
        <f>SUM(AN330:AY330)</f>
        <v>0</v>
      </c>
      <c r="BA330" s="1024"/>
      <c r="BB330" s="1024"/>
      <c r="BC330" s="1024"/>
      <c r="BD330" s="1024"/>
      <c r="BE330" s="1024"/>
      <c r="BF330" s="1024"/>
      <c r="BG330" s="1024"/>
      <c r="BH330" s="1024"/>
      <c r="BI330" s="1024"/>
      <c r="BJ330" s="1024"/>
      <c r="BK330" s="1024"/>
      <c r="BL330" s="1024"/>
      <c r="BM330" s="1024">
        <f>SUM(BA330:BL330)</f>
        <v>0</v>
      </c>
      <c r="BN330" s="1024"/>
      <c r="BO330" s="1024"/>
      <c r="BP330" s="1024"/>
      <c r="BQ330" s="1024"/>
      <c r="BR330" s="1024"/>
      <c r="BS330" s="1024"/>
      <c r="BT330" s="1024"/>
      <c r="BU330" s="1024"/>
      <c r="BV330" s="1024"/>
      <c r="BW330" s="1024"/>
      <c r="BX330" s="1024"/>
      <c r="BY330" s="1024"/>
      <c r="BZ330" s="1029">
        <f>SUM(BN330:BY330)</f>
        <v>0</v>
      </c>
      <c r="CA330" s="1030"/>
      <c r="CB330" s="1031"/>
      <c r="CC330" s="1023"/>
      <c r="CD330" s="1023"/>
      <c r="CE330" s="1023"/>
      <c r="CF330" s="1023"/>
      <c r="CG330" s="1029"/>
      <c r="CH330" s="972"/>
      <c r="CL330" s="976"/>
      <c r="CM330" s="976"/>
    </row>
    <row r="331" spans="1:91" s="968" customFormat="1">
      <c r="A331" s="1453"/>
      <c r="B331" s="997" t="s">
        <v>828</v>
      </c>
      <c r="C331" s="1039"/>
      <c r="D331" s="1039"/>
      <c r="E331" s="1040"/>
      <c r="F331" s="1023">
        <f>SUBTOTAL(9,F332:F334)</f>
        <v>500000</v>
      </c>
      <c r="G331" s="1023">
        <f>SUBTOTAL(9,G332:G334)</f>
        <v>500000</v>
      </c>
      <c r="H331" s="1023">
        <f>SUBTOTAL(9,H332:H334)</f>
        <v>0</v>
      </c>
      <c r="I331" s="1023">
        <f>SUBTOTAL(9,I332:I334)</f>
        <v>500000</v>
      </c>
      <c r="J331" s="1019"/>
      <c r="K331" s="1020"/>
      <c r="L331" s="1021"/>
      <c r="M331" s="1022">
        <f t="shared" ref="M331:AR331" si="273">SUBTOTAL(9,M332:M334)</f>
        <v>0</v>
      </c>
      <c r="N331" s="1023">
        <f t="shared" si="273"/>
        <v>0</v>
      </c>
      <c r="O331" s="1024">
        <f t="shared" si="273"/>
        <v>0</v>
      </c>
      <c r="P331" s="1024">
        <f t="shared" si="273"/>
        <v>0</v>
      </c>
      <c r="Q331" s="1024">
        <f t="shared" si="273"/>
        <v>0</v>
      </c>
      <c r="R331" s="1024">
        <f t="shared" si="273"/>
        <v>0</v>
      </c>
      <c r="S331" s="1024">
        <f t="shared" si="273"/>
        <v>0</v>
      </c>
      <c r="T331" s="1024">
        <f t="shared" si="273"/>
        <v>0</v>
      </c>
      <c r="U331" s="1024">
        <f t="shared" si="273"/>
        <v>0</v>
      </c>
      <c r="V331" s="1024">
        <f t="shared" si="273"/>
        <v>0</v>
      </c>
      <c r="W331" s="1024">
        <f t="shared" si="273"/>
        <v>0</v>
      </c>
      <c r="X331" s="1024">
        <f t="shared" si="273"/>
        <v>0</v>
      </c>
      <c r="Y331" s="1024">
        <f t="shared" si="273"/>
        <v>0</v>
      </c>
      <c r="Z331" s="1025">
        <f t="shared" si="273"/>
        <v>0</v>
      </c>
      <c r="AA331" s="1026">
        <f t="shared" si="273"/>
        <v>0</v>
      </c>
      <c r="AB331" s="1027">
        <f t="shared" si="273"/>
        <v>0</v>
      </c>
      <c r="AC331" s="1027">
        <f t="shared" si="273"/>
        <v>0</v>
      </c>
      <c r="AD331" s="1027">
        <f t="shared" si="273"/>
        <v>0</v>
      </c>
      <c r="AE331" s="1027">
        <f t="shared" si="273"/>
        <v>0</v>
      </c>
      <c r="AF331" s="1027">
        <f t="shared" si="273"/>
        <v>0</v>
      </c>
      <c r="AG331" s="1027">
        <f t="shared" si="273"/>
        <v>0</v>
      </c>
      <c r="AH331" s="1028">
        <f t="shared" si="273"/>
        <v>0</v>
      </c>
      <c r="AI331" s="1028">
        <f t="shared" si="273"/>
        <v>0</v>
      </c>
      <c r="AJ331" s="1028">
        <f t="shared" si="273"/>
        <v>0</v>
      </c>
      <c r="AK331" s="1028">
        <f t="shared" si="273"/>
        <v>0</v>
      </c>
      <c r="AL331" s="1028">
        <f t="shared" si="273"/>
        <v>0</v>
      </c>
      <c r="AM331" s="1025">
        <f t="shared" si="273"/>
        <v>0</v>
      </c>
      <c r="AN331" s="1024">
        <f t="shared" si="273"/>
        <v>0</v>
      </c>
      <c r="AO331" s="1024">
        <f t="shared" si="273"/>
        <v>0</v>
      </c>
      <c r="AP331" s="1024">
        <f t="shared" si="273"/>
        <v>0</v>
      </c>
      <c r="AQ331" s="1024">
        <f t="shared" si="273"/>
        <v>0</v>
      </c>
      <c r="AR331" s="1024">
        <f t="shared" si="273"/>
        <v>0</v>
      </c>
      <c r="AS331" s="1024">
        <f t="shared" ref="AS331:BX331" si="274">SUBTOTAL(9,AS332:AS334)</f>
        <v>0</v>
      </c>
      <c r="AT331" s="1024">
        <f t="shared" si="274"/>
        <v>0</v>
      </c>
      <c r="AU331" s="1024">
        <f t="shared" si="274"/>
        <v>0</v>
      </c>
      <c r="AV331" s="1024">
        <f t="shared" si="274"/>
        <v>0</v>
      </c>
      <c r="AW331" s="1024">
        <f t="shared" si="274"/>
        <v>0</v>
      </c>
      <c r="AX331" s="1024">
        <f t="shared" si="274"/>
        <v>0</v>
      </c>
      <c r="AY331" s="1024">
        <f t="shared" si="274"/>
        <v>0</v>
      </c>
      <c r="AZ331" s="1024">
        <f t="shared" si="274"/>
        <v>0</v>
      </c>
      <c r="BA331" s="1024">
        <f t="shared" si="274"/>
        <v>0</v>
      </c>
      <c r="BB331" s="1024">
        <f t="shared" si="274"/>
        <v>0</v>
      </c>
      <c r="BC331" s="1024">
        <f t="shared" si="274"/>
        <v>0</v>
      </c>
      <c r="BD331" s="1024">
        <f t="shared" si="274"/>
        <v>0</v>
      </c>
      <c r="BE331" s="1024">
        <f t="shared" si="274"/>
        <v>0</v>
      </c>
      <c r="BF331" s="1024">
        <f t="shared" si="274"/>
        <v>0</v>
      </c>
      <c r="BG331" s="1024">
        <f t="shared" si="274"/>
        <v>11441.94</v>
      </c>
      <c r="BH331" s="1024">
        <f t="shared" si="274"/>
        <v>0</v>
      </c>
      <c r="BI331" s="1024">
        <f t="shared" si="274"/>
        <v>0</v>
      </c>
      <c r="BJ331" s="1024">
        <f t="shared" si="274"/>
        <v>2416.2199999999998</v>
      </c>
      <c r="BK331" s="1024">
        <f t="shared" si="274"/>
        <v>17807.599999999999</v>
      </c>
      <c r="BL331" s="1024">
        <f t="shared" si="274"/>
        <v>67681.48000000001</v>
      </c>
      <c r="BM331" s="1024">
        <f t="shared" si="274"/>
        <v>99347.239999999991</v>
      </c>
      <c r="BN331" s="1024">
        <f t="shared" si="274"/>
        <v>10388.61</v>
      </c>
      <c r="BO331" s="1024">
        <f t="shared" si="274"/>
        <v>22569.77</v>
      </c>
      <c r="BP331" s="1024">
        <f t="shared" si="274"/>
        <v>20651.509999999998</v>
      </c>
      <c r="BQ331" s="1024">
        <f t="shared" si="274"/>
        <v>0</v>
      </c>
      <c r="BR331" s="1024">
        <f t="shared" si="274"/>
        <v>0</v>
      </c>
      <c r="BS331" s="1024">
        <f t="shared" si="274"/>
        <v>0</v>
      </c>
      <c r="BT331" s="1024">
        <f t="shared" si="274"/>
        <v>0</v>
      </c>
      <c r="BU331" s="1024">
        <f t="shared" si="274"/>
        <v>0</v>
      </c>
      <c r="BV331" s="1024">
        <f t="shared" si="274"/>
        <v>0</v>
      </c>
      <c r="BW331" s="1024">
        <f t="shared" si="274"/>
        <v>0</v>
      </c>
      <c r="BX331" s="1024">
        <f t="shared" si="274"/>
        <v>0</v>
      </c>
      <c r="BY331" s="1024">
        <f t="shared" ref="BY331:CF331" si="275">SUBTOTAL(9,BY332:BY334)</f>
        <v>0</v>
      </c>
      <c r="BZ331" s="1029">
        <f t="shared" si="275"/>
        <v>53609.89</v>
      </c>
      <c r="CA331" s="1030">
        <f t="shared" si="275"/>
        <v>152957.13</v>
      </c>
      <c r="CB331" s="1031">
        <f t="shared" si="275"/>
        <v>0</v>
      </c>
      <c r="CC331" s="1023">
        <f t="shared" si="275"/>
        <v>152957.13</v>
      </c>
      <c r="CD331" s="1023">
        <f t="shared" si="275"/>
        <v>-347042.87</v>
      </c>
      <c r="CE331" s="1023">
        <f t="shared" si="275"/>
        <v>375272.72727272764</v>
      </c>
      <c r="CF331" s="1023">
        <f t="shared" si="275"/>
        <v>-222315.59727272767</v>
      </c>
      <c r="CG331" s="1029"/>
      <c r="CH331" s="972"/>
      <c r="CL331" s="976">
        <v>500000</v>
      </c>
      <c r="CM331" s="976">
        <f>+CL331-CC331</f>
        <v>347042.87</v>
      </c>
    </row>
    <row r="332" spans="1:91" s="1032" customFormat="1" ht="12.75" customHeight="1" outlineLevel="1">
      <c r="A332" s="1453"/>
      <c r="B332" s="1015"/>
      <c r="C332" s="1016"/>
      <c r="D332" s="1016" t="s">
        <v>829</v>
      </c>
      <c r="E332" s="1017"/>
      <c r="F332" s="1023">
        <v>425000</v>
      </c>
      <c r="G332" s="1023">
        <v>425000</v>
      </c>
      <c r="H332" s="1023"/>
      <c r="I332" s="1023">
        <v>425000</v>
      </c>
      <c r="J332" s="1019"/>
      <c r="K332" s="1020"/>
      <c r="L332" s="1021"/>
      <c r="M332" s="1036">
        <v>0</v>
      </c>
      <c r="N332" s="1023">
        <v>0</v>
      </c>
      <c r="O332" s="1024">
        <v>0</v>
      </c>
      <c r="P332" s="1024">
        <v>0</v>
      </c>
      <c r="Q332" s="1024">
        <v>0</v>
      </c>
      <c r="R332" s="1024">
        <v>0</v>
      </c>
      <c r="S332" s="1024">
        <v>0</v>
      </c>
      <c r="T332" s="1024">
        <v>0</v>
      </c>
      <c r="U332" s="1024">
        <v>0</v>
      </c>
      <c r="V332" s="1024">
        <v>0</v>
      </c>
      <c r="W332" s="1024">
        <v>0</v>
      </c>
      <c r="X332" s="1024"/>
      <c r="Y332" s="1024"/>
      <c r="Z332" s="1025">
        <f>SUM(N332:Y332)</f>
        <v>0</v>
      </c>
      <c r="AA332" s="1026"/>
      <c r="AB332" s="1027"/>
      <c r="AC332" s="1027"/>
      <c r="AD332" s="1027"/>
      <c r="AE332" s="1027"/>
      <c r="AF332" s="1027"/>
      <c r="AG332" s="1027"/>
      <c r="AH332" s="1028"/>
      <c r="AI332" s="1028"/>
      <c r="AJ332" s="1028"/>
      <c r="AK332" s="1028"/>
      <c r="AL332" s="1028"/>
      <c r="AM332" s="1025">
        <f>SUM(AA332:AL332)</f>
        <v>0</v>
      </c>
      <c r="AN332" s="1024"/>
      <c r="AO332" s="1024"/>
      <c r="AP332" s="1024"/>
      <c r="AQ332" s="1024"/>
      <c r="AR332" s="1024"/>
      <c r="AS332" s="1024"/>
      <c r="AT332" s="1024"/>
      <c r="AU332" s="1024"/>
      <c r="AV332" s="1024"/>
      <c r="AW332" s="1024"/>
      <c r="AX332" s="1024"/>
      <c r="AY332" s="1024"/>
      <c r="AZ332" s="1024">
        <f t="shared" ref="AZ332:AZ337" si="276">SUM(AN332:AY332)</f>
        <v>0</v>
      </c>
      <c r="BA332" s="1024"/>
      <c r="BB332" s="1024"/>
      <c r="BC332" s="1024"/>
      <c r="BD332" s="1024"/>
      <c r="BE332" s="1024"/>
      <c r="BF332" s="1024"/>
      <c r="BG332" s="1024">
        <v>11441.94</v>
      </c>
      <c r="BH332" s="1024"/>
      <c r="BI332" s="1024"/>
      <c r="BJ332" s="1024">
        <v>2416.2199999999998</v>
      </c>
      <c r="BK332" s="1024">
        <v>17807.599999999999</v>
      </c>
      <c r="BL332" s="1024">
        <v>11440</v>
      </c>
      <c r="BM332" s="1024">
        <f t="shared" ref="BM332:BM337" si="277">SUM(BA332:BL332)</f>
        <v>43105.759999999995</v>
      </c>
      <c r="BN332" s="1024">
        <v>10388.61</v>
      </c>
      <c r="BO332" s="1024">
        <v>19119.77</v>
      </c>
      <c r="BP332" s="1024">
        <v>20651.509999999998</v>
      </c>
      <c r="BQ332" s="1024"/>
      <c r="BR332" s="1093">
        <v>0</v>
      </c>
      <c r="BS332" s="1093">
        <v>0</v>
      </c>
      <c r="BT332" s="1093">
        <v>0</v>
      </c>
      <c r="BU332" s="1093"/>
      <c r="BV332" s="1024"/>
      <c r="BW332" s="1024"/>
      <c r="BX332" s="1024"/>
      <c r="BY332" s="1024"/>
      <c r="BZ332" s="1029">
        <f t="shared" ref="BZ332:BZ337" si="278">SUM(BN332:BY332)</f>
        <v>50159.89</v>
      </c>
      <c r="CA332" s="1030">
        <f>SUMIF(($M$1:$BZ$1),"Actual",(M332:BZ332))</f>
        <v>93265.65</v>
      </c>
      <c r="CB332" s="1024">
        <f>SUMIF(($M$1:$BZ$1),"Forecast",(M332:BZ332))</f>
        <v>0</v>
      </c>
      <c r="CC332" s="1023">
        <f>+CA332+CB332</f>
        <v>93265.65</v>
      </c>
      <c r="CD332" s="1023">
        <f>+CC332-I332</f>
        <v>-331734.34999999998</v>
      </c>
      <c r="CE332" s="1023">
        <v>315581.24727272766</v>
      </c>
      <c r="CF332" s="1023">
        <f>+CC332-CE332</f>
        <v>-222315.59727272767</v>
      </c>
      <c r="CG332" s="1029"/>
      <c r="CH332" s="972"/>
      <c r="CL332" s="976">
        <v>5560.7</v>
      </c>
      <c r="CM332" s="976">
        <f>+CL332-CC332</f>
        <v>-87704.95</v>
      </c>
    </row>
    <row r="333" spans="1:91" s="1032" customFormat="1" ht="12.75" customHeight="1" outlineLevel="1">
      <c r="A333" s="1453"/>
      <c r="B333" s="1015"/>
      <c r="C333" s="1016"/>
      <c r="D333" s="1016" t="s">
        <v>830</v>
      </c>
      <c r="E333" s="1017"/>
      <c r="F333" s="1023"/>
      <c r="G333" s="1023"/>
      <c r="H333" s="1023"/>
      <c r="I333" s="1023"/>
      <c r="J333" s="1019"/>
      <c r="K333" s="1020"/>
      <c r="L333" s="1021"/>
      <c r="M333" s="1036"/>
      <c r="N333" s="1023">
        <v>0</v>
      </c>
      <c r="O333" s="1024">
        <v>0</v>
      </c>
      <c r="P333" s="1024">
        <v>0</v>
      </c>
      <c r="Q333" s="1024">
        <v>0</v>
      </c>
      <c r="R333" s="1024">
        <v>0</v>
      </c>
      <c r="S333" s="1024">
        <v>0</v>
      </c>
      <c r="T333" s="1024">
        <v>0</v>
      </c>
      <c r="U333" s="1024">
        <v>0</v>
      </c>
      <c r="V333" s="1024">
        <v>0</v>
      </c>
      <c r="W333" s="1024">
        <v>0</v>
      </c>
      <c r="X333" s="1024"/>
      <c r="Y333" s="1024"/>
      <c r="Z333" s="1025">
        <f>SUM(N333:Y333)</f>
        <v>0</v>
      </c>
      <c r="AA333" s="1026"/>
      <c r="AB333" s="1027"/>
      <c r="AC333" s="1027"/>
      <c r="AD333" s="1027"/>
      <c r="AE333" s="1027"/>
      <c r="AF333" s="1027"/>
      <c r="AG333" s="1027"/>
      <c r="AH333" s="1028"/>
      <c r="AI333" s="1028"/>
      <c r="AJ333" s="1028"/>
      <c r="AK333" s="1028"/>
      <c r="AL333" s="1028"/>
      <c r="AM333" s="1025">
        <f>SUM(AA333:AL333)</f>
        <v>0</v>
      </c>
      <c r="AN333" s="1024"/>
      <c r="AO333" s="1024"/>
      <c r="AP333" s="1024"/>
      <c r="AQ333" s="1024"/>
      <c r="AR333" s="1024"/>
      <c r="AS333" s="1024"/>
      <c r="AT333" s="1024"/>
      <c r="AU333" s="1024"/>
      <c r="AV333" s="1024"/>
      <c r="AW333" s="1024"/>
      <c r="AX333" s="1024"/>
      <c r="AY333" s="1076"/>
      <c r="AZ333" s="1024">
        <f t="shared" si="276"/>
        <v>0</v>
      </c>
      <c r="BA333" s="1024"/>
      <c r="BB333" s="1024"/>
      <c r="BC333" s="1024"/>
      <c r="BD333" s="1024"/>
      <c r="BE333" s="1024"/>
      <c r="BF333" s="1024"/>
      <c r="BG333" s="1024"/>
      <c r="BH333" s="1024"/>
      <c r="BI333" s="1024"/>
      <c r="BJ333" s="1024"/>
      <c r="BK333" s="1024"/>
      <c r="BL333" s="1024">
        <v>56241.48</v>
      </c>
      <c r="BM333" s="1024">
        <f t="shared" si="277"/>
        <v>56241.48</v>
      </c>
      <c r="BN333" s="1024"/>
      <c r="BO333" s="1024">
        <v>3450</v>
      </c>
      <c r="BP333" s="1024"/>
      <c r="BQ333" s="1024"/>
      <c r="BR333" s="1024"/>
      <c r="BS333" s="1024"/>
      <c r="BT333" s="1024"/>
      <c r="BU333" s="1024"/>
      <c r="BV333" s="1024"/>
      <c r="BW333" s="1024"/>
      <c r="BX333" s="1024"/>
      <c r="BY333" s="1024"/>
      <c r="BZ333" s="1029">
        <f t="shared" si="278"/>
        <v>3450</v>
      </c>
      <c r="CA333" s="1030">
        <f>SUMIF(($M$1:$BZ$1),"Actual",(M333:BZ333))</f>
        <v>59691.48</v>
      </c>
      <c r="CB333" s="1076">
        <f>SUMIF(($M$1:$BZ$1),"Forecast",(M333:BZ333))</f>
        <v>0</v>
      </c>
      <c r="CC333" s="1023">
        <f>+CA333+CB333</f>
        <v>59691.48</v>
      </c>
      <c r="CD333" s="1023">
        <f>+CC333-I333</f>
        <v>59691.48</v>
      </c>
      <c r="CE333" s="1023">
        <v>59691.48</v>
      </c>
      <c r="CF333" s="1023">
        <f>+CC333-CE333</f>
        <v>0</v>
      </c>
      <c r="CG333" s="1029"/>
      <c r="CH333" s="972"/>
      <c r="CL333" s="976">
        <v>738351.94</v>
      </c>
      <c r="CM333" s="976">
        <f>+CL333-CC333</f>
        <v>678660.46</v>
      </c>
    </row>
    <row r="334" spans="1:91" s="1032" customFormat="1" ht="12.75" customHeight="1" outlineLevel="1">
      <c r="A334" s="1453"/>
      <c r="B334" s="1015"/>
      <c r="C334" s="1016"/>
      <c r="D334" s="1016" t="s">
        <v>474</v>
      </c>
      <c r="E334" s="1017"/>
      <c r="F334" s="1023">
        <v>75000</v>
      </c>
      <c r="G334" s="1023">
        <v>75000</v>
      </c>
      <c r="H334" s="1023"/>
      <c r="I334" s="1023">
        <v>75000</v>
      </c>
      <c r="J334" s="1019"/>
      <c r="K334" s="1020"/>
      <c r="L334" s="1021"/>
      <c r="M334" s="1036"/>
      <c r="N334" s="1023">
        <v>0</v>
      </c>
      <c r="O334" s="1024">
        <v>0</v>
      </c>
      <c r="P334" s="1024">
        <v>0</v>
      </c>
      <c r="Q334" s="1024">
        <v>0</v>
      </c>
      <c r="R334" s="1024">
        <v>0</v>
      </c>
      <c r="S334" s="1024">
        <v>0</v>
      </c>
      <c r="T334" s="1024">
        <v>0</v>
      </c>
      <c r="U334" s="1024">
        <v>0</v>
      </c>
      <c r="V334" s="1024">
        <v>0</v>
      </c>
      <c r="W334" s="1024">
        <v>0</v>
      </c>
      <c r="X334" s="1024"/>
      <c r="Y334" s="1024"/>
      <c r="Z334" s="1025">
        <f>SUM(N334:Y334)</f>
        <v>0</v>
      </c>
      <c r="AA334" s="1026"/>
      <c r="AB334" s="1027"/>
      <c r="AC334" s="1027"/>
      <c r="AD334" s="1027"/>
      <c r="AE334" s="1027"/>
      <c r="AF334" s="1027"/>
      <c r="AG334" s="1027"/>
      <c r="AH334" s="1028"/>
      <c r="AI334" s="1028"/>
      <c r="AJ334" s="1028"/>
      <c r="AK334" s="1028"/>
      <c r="AL334" s="1028"/>
      <c r="AM334" s="1025">
        <f>SUM(AA334:AL334)</f>
        <v>0</v>
      </c>
      <c r="AN334" s="1024"/>
      <c r="AO334" s="1024"/>
      <c r="AP334" s="1024"/>
      <c r="AQ334" s="1024"/>
      <c r="AR334" s="1024"/>
      <c r="AS334" s="1024"/>
      <c r="AT334" s="1024"/>
      <c r="AU334" s="1024"/>
      <c r="AV334" s="1024"/>
      <c r="AW334" s="1024"/>
      <c r="AX334" s="1024"/>
      <c r="AY334" s="1076"/>
      <c r="AZ334" s="1024">
        <f t="shared" si="276"/>
        <v>0</v>
      </c>
      <c r="BA334" s="1024"/>
      <c r="BB334" s="1024"/>
      <c r="BC334" s="1024"/>
      <c r="BD334" s="1024"/>
      <c r="BE334" s="1024"/>
      <c r="BF334" s="1024"/>
      <c r="BG334" s="1024"/>
      <c r="BH334" s="1024"/>
      <c r="BI334" s="1024"/>
      <c r="BJ334" s="1024"/>
      <c r="BK334" s="1024"/>
      <c r="BL334" s="1024"/>
      <c r="BM334" s="1024">
        <f t="shared" si="277"/>
        <v>0</v>
      </c>
      <c r="BN334" s="1024"/>
      <c r="BO334" s="1024"/>
      <c r="BP334" s="1024"/>
      <c r="BQ334" s="1024"/>
      <c r="BR334" s="1024"/>
      <c r="BS334" s="1024"/>
      <c r="BT334" s="1024"/>
      <c r="BU334" s="1024"/>
      <c r="BV334" s="1024"/>
      <c r="BW334" s="1024"/>
      <c r="BX334" s="1024"/>
      <c r="BY334" s="1024"/>
      <c r="BZ334" s="1029">
        <f t="shared" si="278"/>
        <v>0</v>
      </c>
      <c r="CA334" s="1030">
        <f>SUMIF(($M$1:$BZ$1),"Actual",(M334:BZ334))</f>
        <v>0</v>
      </c>
      <c r="CB334" s="1024">
        <f>SUMIF(($M$1:$BZ$1),"Forecast",(M334:BZ334))</f>
        <v>0</v>
      </c>
      <c r="CC334" s="1023">
        <f>+CA334+CB334</f>
        <v>0</v>
      </c>
      <c r="CD334" s="1023">
        <f>+CC334-I334</f>
        <v>-75000</v>
      </c>
      <c r="CE334" s="1023">
        <v>0</v>
      </c>
      <c r="CF334" s="1023">
        <f>+CC334-CE334</f>
        <v>0</v>
      </c>
      <c r="CG334" s="1029"/>
      <c r="CH334" s="972"/>
      <c r="CL334" s="976">
        <v>738351.94</v>
      </c>
      <c r="CM334" s="976">
        <f>+CL334-CC334</f>
        <v>738351.94</v>
      </c>
    </row>
    <row r="335" spans="1:91" s="1032" customFormat="1">
      <c r="A335" s="1453"/>
      <c r="B335" s="1015"/>
      <c r="C335" s="1016"/>
      <c r="D335" s="1016"/>
      <c r="E335" s="1017"/>
      <c r="F335" s="1023"/>
      <c r="G335" s="1023"/>
      <c r="H335" s="1023"/>
      <c r="I335" s="1023"/>
      <c r="J335" s="1019"/>
      <c r="K335" s="1020"/>
      <c r="L335" s="1021"/>
      <c r="M335" s="1022"/>
      <c r="N335" s="1023"/>
      <c r="O335" s="1024"/>
      <c r="P335" s="1024"/>
      <c r="Q335" s="1024"/>
      <c r="R335" s="1024"/>
      <c r="S335" s="1024"/>
      <c r="T335" s="1024"/>
      <c r="U335" s="1024"/>
      <c r="V335" s="1024"/>
      <c r="W335" s="1024"/>
      <c r="X335" s="1024"/>
      <c r="Y335" s="1024"/>
      <c r="Z335" s="1025">
        <f>SUM(N335:Y335)</f>
        <v>0</v>
      </c>
      <c r="AA335" s="1026"/>
      <c r="AB335" s="1027"/>
      <c r="AC335" s="1027"/>
      <c r="AD335" s="1027"/>
      <c r="AE335" s="1027"/>
      <c r="AF335" s="1027"/>
      <c r="AG335" s="1027"/>
      <c r="AH335" s="1028"/>
      <c r="AI335" s="1028"/>
      <c r="AJ335" s="1028"/>
      <c r="AK335" s="1028"/>
      <c r="AL335" s="1028"/>
      <c r="AM335" s="1025">
        <f>SUM(AA335:AL335)</f>
        <v>0</v>
      </c>
      <c r="AN335" s="1024"/>
      <c r="AO335" s="1024"/>
      <c r="AP335" s="1024"/>
      <c r="AQ335" s="1024"/>
      <c r="AR335" s="1024"/>
      <c r="AS335" s="1024"/>
      <c r="AT335" s="1024"/>
      <c r="AU335" s="1024"/>
      <c r="AV335" s="1024"/>
      <c r="AW335" s="1024"/>
      <c r="AX335" s="1024"/>
      <c r="AY335" s="1024"/>
      <c r="AZ335" s="1024">
        <f t="shared" si="276"/>
        <v>0</v>
      </c>
      <c r="BA335" s="1024"/>
      <c r="BB335" s="1024"/>
      <c r="BC335" s="1024"/>
      <c r="BD335" s="1024"/>
      <c r="BE335" s="1024"/>
      <c r="BF335" s="1024"/>
      <c r="BG335" s="1024"/>
      <c r="BH335" s="1024"/>
      <c r="BI335" s="1024"/>
      <c r="BJ335" s="1024"/>
      <c r="BK335" s="1024"/>
      <c r="BL335" s="1024"/>
      <c r="BM335" s="1024">
        <f t="shared" si="277"/>
        <v>0</v>
      </c>
      <c r="BN335" s="1024"/>
      <c r="BO335" s="1024"/>
      <c r="BP335" s="1024"/>
      <c r="BQ335" s="1024"/>
      <c r="BR335" s="1024"/>
      <c r="BS335" s="1024"/>
      <c r="BT335" s="1024"/>
      <c r="BU335" s="1024"/>
      <c r="BV335" s="1024"/>
      <c r="BW335" s="1024"/>
      <c r="BX335" s="1024"/>
      <c r="BY335" s="1024"/>
      <c r="BZ335" s="1029">
        <f t="shared" si="278"/>
        <v>0</v>
      </c>
      <c r="CA335" s="1030"/>
      <c r="CB335" s="1024"/>
      <c r="CC335" s="1023"/>
      <c r="CD335" s="1023"/>
      <c r="CE335" s="1023"/>
      <c r="CF335" s="1023"/>
      <c r="CG335" s="1029"/>
      <c r="CH335" s="972"/>
      <c r="CL335" s="976"/>
      <c r="CM335" s="976"/>
    </row>
    <row r="336" spans="1:91" s="1032" customFormat="1">
      <c r="A336" s="1453"/>
      <c r="B336" s="997" t="s">
        <v>472</v>
      </c>
      <c r="C336" s="1016"/>
      <c r="D336" s="1016"/>
      <c r="E336" s="1017"/>
      <c r="F336" s="1023">
        <v>4209902</v>
      </c>
      <c r="G336" s="1023">
        <v>2420210</v>
      </c>
      <c r="H336" s="1023"/>
      <c r="I336" s="1023">
        <v>2420210</v>
      </c>
      <c r="J336" s="1019"/>
      <c r="K336" s="1020"/>
      <c r="L336" s="1021"/>
      <c r="M336" s="1022">
        <v>0</v>
      </c>
      <c r="N336" s="1023">
        <v>0</v>
      </c>
      <c r="O336" s="1024">
        <v>0</v>
      </c>
      <c r="P336" s="1024">
        <v>0</v>
      </c>
      <c r="Q336" s="1024">
        <v>0</v>
      </c>
      <c r="R336" s="1024">
        <v>0</v>
      </c>
      <c r="S336" s="1024">
        <v>0</v>
      </c>
      <c r="T336" s="1024">
        <v>0</v>
      </c>
      <c r="U336" s="1024">
        <v>0</v>
      </c>
      <c r="V336" s="1024">
        <v>0</v>
      </c>
      <c r="W336" s="1024">
        <v>0</v>
      </c>
      <c r="X336" s="1024">
        <v>0</v>
      </c>
      <c r="Y336" s="1024">
        <v>0</v>
      </c>
      <c r="Z336" s="1025">
        <v>0</v>
      </c>
      <c r="AA336" s="1026">
        <v>0</v>
      </c>
      <c r="AB336" s="1027">
        <v>0</v>
      </c>
      <c r="AC336" s="1027">
        <v>0</v>
      </c>
      <c r="AD336" s="1027">
        <v>0</v>
      </c>
      <c r="AE336" s="1027">
        <v>0</v>
      </c>
      <c r="AF336" s="1027">
        <v>0</v>
      </c>
      <c r="AG336" s="1027">
        <v>0</v>
      </c>
      <c r="AH336" s="1028">
        <v>0</v>
      </c>
      <c r="AI336" s="1028">
        <v>0</v>
      </c>
      <c r="AJ336" s="1028">
        <v>0</v>
      </c>
      <c r="AK336" s="1028">
        <v>0</v>
      </c>
      <c r="AL336" s="1028">
        <v>0</v>
      </c>
      <c r="AM336" s="1025">
        <v>0</v>
      </c>
      <c r="AN336" s="1024">
        <v>0</v>
      </c>
      <c r="AO336" s="1024">
        <v>0</v>
      </c>
      <c r="AP336" s="1024">
        <v>0</v>
      </c>
      <c r="AQ336" s="1024">
        <v>0</v>
      </c>
      <c r="AR336" s="1024">
        <v>0</v>
      </c>
      <c r="AS336" s="1024">
        <v>0</v>
      </c>
      <c r="AT336" s="1024">
        <v>0</v>
      </c>
      <c r="AU336" s="1024">
        <v>0</v>
      </c>
      <c r="AV336" s="1024">
        <v>0</v>
      </c>
      <c r="AW336" s="1024">
        <v>0</v>
      </c>
      <c r="AX336" s="1024">
        <v>0</v>
      </c>
      <c r="AY336" s="1024"/>
      <c r="AZ336" s="1024">
        <f t="shared" si="276"/>
        <v>0</v>
      </c>
      <c r="BA336" s="1024"/>
      <c r="BB336" s="1024"/>
      <c r="BC336" s="1024"/>
      <c r="BD336" s="1024">
        <v>0</v>
      </c>
      <c r="BE336" s="1024"/>
      <c r="BF336" s="1024"/>
      <c r="BG336" s="1024"/>
      <c r="BH336" s="1024"/>
      <c r="BI336" s="1024">
        <v>0</v>
      </c>
      <c r="BJ336" s="1024">
        <v>0</v>
      </c>
      <c r="BK336" s="1024"/>
      <c r="BL336" s="1024"/>
      <c r="BM336" s="1024">
        <f t="shared" si="277"/>
        <v>0</v>
      </c>
      <c r="BN336" s="1024"/>
      <c r="BO336" s="1024"/>
      <c r="BP336" s="1024"/>
      <c r="BQ336" s="1024"/>
      <c r="BR336" s="1024"/>
      <c r="BS336" s="1093">
        <v>0</v>
      </c>
      <c r="BT336" s="1093">
        <v>0</v>
      </c>
      <c r="BU336" s="1093"/>
      <c r="BV336" s="1093"/>
      <c r="BW336" s="1024">
        <v>0</v>
      </c>
      <c r="BX336" s="1024">
        <v>0</v>
      </c>
      <c r="BY336" s="1024"/>
      <c r="BZ336" s="1029">
        <f t="shared" si="278"/>
        <v>0</v>
      </c>
      <c r="CA336" s="1030">
        <f>SUMIF(($M$1:$BZ$1),"Actual",(M336:BZ336))</f>
        <v>0</v>
      </c>
      <c r="CB336" s="1024">
        <f>SUMIF(($M$1:$BZ$1),"Forecast",(M336:BZ336))</f>
        <v>0</v>
      </c>
      <c r="CC336" s="1188">
        <f>+CA336+CB336</f>
        <v>0</v>
      </c>
      <c r="CD336" s="1023">
        <f>+CC336-I336</f>
        <v>-2420210</v>
      </c>
      <c r="CE336" s="1023">
        <v>956827</v>
      </c>
      <c r="CF336" s="1023">
        <f>+CC336-CE336</f>
        <v>-956827</v>
      </c>
      <c r="CG336" s="1029"/>
      <c r="CH336" s="972"/>
      <c r="CL336" s="1082">
        <v>1888244</v>
      </c>
      <c r="CM336" s="976">
        <f>+CL336-CC336</f>
        <v>1888244</v>
      </c>
    </row>
    <row r="337" spans="1:91" s="1032" customFormat="1" ht="9" customHeight="1">
      <c r="A337" s="1453"/>
      <c r="B337" s="1015"/>
      <c r="C337" s="1016"/>
      <c r="D337" s="1016"/>
      <c r="E337" s="1017"/>
      <c r="F337" s="1023"/>
      <c r="G337" s="1023"/>
      <c r="H337" s="1023"/>
      <c r="I337" s="1023"/>
      <c r="J337" s="1019"/>
      <c r="K337" s="1020"/>
      <c r="L337" s="1021"/>
      <c r="M337" s="1022"/>
      <c r="N337" s="1023"/>
      <c r="O337" s="1024"/>
      <c r="P337" s="1024"/>
      <c r="Q337" s="1024"/>
      <c r="R337" s="1024"/>
      <c r="S337" s="1024"/>
      <c r="T337" s="1024"/>
      <c r="U337" s="1024"/>
      <c r="V337" s="1024"/>
      <c r="W337" s="1024"/>
      <c r="X337" s="1024"/>
      <c r="Y337" s="1024"/>
      <c r="Z337" s="1025">
        <f>SUM(N337:Y337)</f>
        <v>0</v>
      </c>
      <c r="AA337" s="1026"/>
      <c r="AB337" s="1027"/>
      <c r="AC337" s="1027"/>
      <c r="AD337" s="1027"/>
      <c r="AE337" s="1027"/>
      <c r="AF337" s="1027"/>
      <c r="AG337" s="1027"/>
      <c r="AH337" s="1028"/>
      <c r="AI337" s="1028"/>
      <c r="AJ337" s="1028"/>
      <c r="AK337" s="1028"/>
      <c r="AL337" s="1028"/>
      <c r="AM337" s="1025">
        <f>SUM(AA337:AL337)</f>
        <v>0</v>
      </c>
      <c r="AN337" s="1024"/>
      <c r="AO337" s="1024"/>
      <c r="AP337" s="1024"/>
      <c r="AQ337" s="1024"/>
      <c r="AR337" s="1024"/>
      <c r="AS337" s="1024"/>
      <c r="AT337" s="1024"/>
      <c r="AU337" s="1024"/>
      <c r="AV337" s="1024"/>
      <c r="AW337" s="1024"/>
      <c r="AX337" s="1024"/>
      <c r="AY337" s="1024"/>
      <c r="AZ337" s="1024">
        <f t="shared" si="276"/>
        <v>0</v>
      </c>
      <c r="BA337" s="1024"/>
      <c r="BB337" s="1024"/>
      <c r="BC337" s="1024"/>
      <c r="BD337" s="1024"/>
      <c r="BE337" s="1024"/>
      <c r="BF337" s="1024"/>
      <c r="BG337" s="1024"/>
      <c r="BH337" s="1024"/>
      <c r="BI337" s="1024"/>
      <c r="BJ337" s="1024"/>
      <c r="BK337" s="1024"/>
      <c r="BL337" s="1024"/>
      <c r="BM337" s="1024">
        <f t="shared" si="277"/>
        <v>0</v>
      </c>
      <c r="BN337" s="1024"/>
      <c r="BO337" s="1024"/>
      <c r="BP337" s="1024"/>
      <c r="BQ337" s="1024"/>
      <c r="BR337" s="1024"/>
      <c r="BS337" s="1024"/>
      <c r="BT337" s="1024"/>
      <c r="BU337" s="1024"/>
      <c r="BV337" s="1024"/>
      <c r="BW337" s="1024"/>
      <c r="BX337" s="1024"/>
      <c r="BY337" s="1024"/>
      <c r="BZ337" s="1029">
        <f t="shared" si="278"/>
        <v>0</v>
      </c>
      <c r="CA337" s="1030">
        <f>+M337+Z337+SUM(AA337:AH337)</f>
        <v>0</v>
      </c>
      <c r="CB337" s="1031">
        <f>+CC337-CA337</f>
        <v>0</v>
      </c>
      <c r="CC337" s="1023">
        <f>+M337+Z337+AM337+AZ337+BM337+BZ337</f>
        <v>0</v>
      </c>
      <c r="CD337" s="1023">
        <f>+CC337-I337</f>
        <v>0</v>
      </c>
      <c r="CE337" s="1023">
        <f>+O337+AB337+AO337+BB337+BO337+CB337</f>
        <v>0</v>
      </c>
      <c r="CF337" s="1023">
        <f>+P337+AC337+AP337+BC337+BP337+CC337</f>
        <v>0</v>
      </c>
      <c r="CG337" s="1029"/>
      <c r="CH337" s="972" t="s">
        <v>831</v>
      </c>
      <c r="CI337" s="1190" t="s">
        <v>832</v>
      </c>
      <c r="CJ337" s="1191" t="s">
        <v>833</v>
      </c>
      <c r="CL337" s="976"/>
      <c r="CM337" s="976"/>
    </row>
    <row r="338" spans="1:91" s="1408" customFormat="1" ht="19.5" customHeight="1">
      <c r="A338" s="1453"/>
      <c r="B338" s="1393" t="s">
        <v>834</v>
      </c>
      <c r="C338" s="1394"/>
      <c r="D338" s="1394"/>
      <c r="E338" s="1395"/>
      <c r="F338" s="1396">
        <f>SUBTOTAL(9,F7:F336)</f>
        <v>83106972.609999999</v>
      </c>
      <c r="G338" s="1396">
        <f>SUBTOTAL(9,G7:G336)</f>
        <v>90239948.579113975</v>
      </c>
      <c r="H338" s="1396">
        <f>SUBTOTAL(9,H7:H336)</f>
        <v>4000000</v>
      </c>
      <c r="I338" s="1396">
        <f>SUBTOTAL(9,I7:I336)</f>
        <v>94239948.579114005</v>
      </c>
      <c r="J338" s="1397"/>
      <c r="K338" s="1398"/>
      <c r="L338" s="1399"/>
      <c r="M338" s="1398">
        <f t="shared" ref="M338:AR338" si="279">SUBTOTAL(9,M7:M336)</f>
        <v>2356875.83</v>
      </c>
      <c r="N338" s="1396">
        <f t="shared" si="279"/>
        <v>7416.7</v>
      </c>
      <c r="O338" s="1400">
        <f t="shared" si="279"/>
        <v>26222.739999999998</v>
      </c>
      <c r="P338" s="1400">
        <f t="shared" si="279"/>
        <v>5934.23</v>
      </c>
      <c r="Q338" s="1400">
        <f t="shared" si="279"/>
        <v>5805.5400000000009</v>
      </c>
      <c r="R338" s="1400">
        <f t="shared" si="279"/>
        <v>9795.3600000000024</v>
      </c>
      <c r="S338" s="1400">
        <f t="shared" si="279"/>
        <v>12421.52</v>
      </c>
      <c r="T338" s="1400">
        <f t="shared" si="279"/>
        <v>27521.01</v>
      </c>
      <c r="U338" s="1400">
        <f t="shared" si="279"/>
        <v>24122.2</v>
      </c>
      <c r="V338" s="1400">
        <f t="shared" si="279"/>
        <v>33885.409999999996</v>
      </c>
      <c r="W338" s="1400">
        <f t="shared" si="279"/>
        <v>47959.549999999996</v>
      </c>
      <c r="X338" s="1400">
        <f t="shared" si="279"/>
        <v>114655.18</v>
      </c>
      <c r="Y338" s="1400">
        <f t="shared" si="279"/>
        <v>237244.28</v>
      </c>
      <c r="Z338" s="1401">
        <f t="shared" si="279"/>
        <v>552983.72000000009</v>
      </c>
      <c r="AA338" s="1402">
        <f t="shared" si="279"/>
        <v>52496.330000000009</v>
      </c>
      <c r="AB338" s="1403">
        <f t="shared" si="279"/>
        <v>381905.83999999997</v>
      </c>
      <c r="AC338" s="1403">
        <f t="shared" si="279"/>
        <v>71254.040000000008</v>
      </c>
      <c r="AD338" s="1403">
        <f t="shared" si="279"/>
        <v>484660.55</v>
      </c>
      <c r="AE338" s="1403">
        <f t="shared" si="279"/>
        <v>143942.85000000003</v>
      </c>
      <c r="AF338" s="1403">
        <f t="shared" si="279"/>
        <v>251182.84000000003</v>
      </c>
      <c r="AG338" s="1403">
        <f t="shared" si="279"/>
        <v>866574.18</v>
      </c>
      <c r="AH338" s="1403">
        <f t="shared" si="279"/>
        <v>275385.24000000011</v>
      </c>
      <c r="AI338" s="1403">
        <f t="shared" si="279"/>
        <v>294707.83000000007</v>
      </c>
      <c r="AJ338" s="1403">
        <f t="shared" si="279"/>
        <v>353291.59799999994</v>
      </c>
      <c r="AK338" s="1403">
        <f t="shared" si="279"/>
        <v>226222.72000000003</v>
      </c>
      <c r="AL338" s="1403">
        <f t="shared" si="279"/>
        <v>3714520.7499999995</v>
      </c>
      <c r="AM338" s="1401">
        <f t="shared" si="279"/>
        <v>7116144.7680000002</v>
      </c>
      <c r="AN338" s="1400">
        <f t="shared" si="279"/>
        <v>-9069.2899999999572</v>
      </c>
      <c r="AO338" s="1400">
        <f t="shared" si="279"/>
        <v>4801548.7899999991</v>
      </c>
      <c r="AP338" s="1400">
        <f t="shared" si="279"/>
        <v>7647007.4299999997</v>
      </c>
      <c r="AQ338" s="1400">
        <f t="shared" si="279"/>
        <v>2955898.8899999992</v>
      </c>
      <c r="AR338" s="1400">
        <f t="shared" si="279"/>
        <v>2737591.8000000003</v>
      </c>
      <c r="AS338" s="1400">
        <f t="shared" ref="AS338:BX338" si="280">SUBTOTAL(9,AS7:AS336)</f>
        <v>1726203.7000000004</v>
      </c>
      <c r="AT338" s="1400">
        <f t="shared" si="280"/>
        <v>1837146.0500000003</v>
      </c>
      <c r="AU338" s="1400">
        <f t="shared" si="280"/>
        <v>1460862.1099999996</v>
      </c>
      <c r="AV338" s="1400">
        <f t="shared" si="280"/>
        <v>1399734.8200000005</v>
      </c>
      <c r="AW338" s="1400">
        <f t="shared" si="280"/>
        <v>1726900.8299999998</v>
      </c>
      <c r="AX338" s="1400">
        <f t="shared" si="280"/>
        <v>1654561.49</v>
      </c>
      <c r="AY338" s="1400">
        <f t="shared" si="280"/>
        <v>5018413.919999999</v>
      </c>
      <c r="AZ338" s="1400">
        <f t="shared" si="280"/>
        <v>32956800.539999999</v>
      </c>
      <c r="BA338" s="1400">
        <f t="shared" si="280"/>
        <v>2460948.3900000011</v>
      </c>
      <c r="BB338" s="1400">
        <f t="shared" si="280"/>
        <v>2715360.8700000006</v>
      </c>
      <c r="BC338" s="1400">
        <f t="shared" si="280"/>
        <v>3279760.6200000006</v>
      </c>
      <c r="BD338" s="1400">
        <f t="shared" si="280"/>
        <v>4250321.3600000013</v>
      </c>
      <c r="BE338" s="1400">
        <f t="shared" si="280"/>
        <v>3222233.0900000003</v>
      </c>
      <c r="BF338" s="1400">
        <f t="shared" si="280"/>
        <v>4072839.4635999999</v>
      </c>
      <c r="BG338" s="1400">
        <f t="shared" si="280"/>
        <v>1739168.0499999998</v>
      </c>
      <c r="BH338" s="1400">
        <f t="shared" si="280"/>
        <v>1346399.4100000004</v>
      </c>
      <c r="BI338" s="1400">
        <f t="shared" si="280"/>
        <v>2620306.810000001</v>
      </c>
      <c r="BJ338" s="1400">
        <f t="shared" si="280"/>
        <v>1555643.4000000006</v>
      </c>
      <c r="BK338" s="1400">
        <f t="shared" si="280"/>
        <v>2071947.9899999998</v>
      </c>
      <c r="BL338" s="1400">
        <f t="shared" si="280"/>
        <v>1813901.02</v>
      </c>
      <c r="BM338" s="1400">
        <f t="shared" si="280"/>
        <v>31148830.473600008</v>
      </c>
      <c r="BN338" s="1400">
        <f t="shared" si="280"/>
        <v>6351257.6799999978</v>
      </c>
      <c r="BO338" s="1400">
        <f t="shared" si="280"/>
        <v>1572890.37</v>
      </c>
      <c r="BP338" s="1400">
        <f t="shared" si="280"/>
        <v>2333944.42</v>
      </c>
      <c r="BQ338" s="1400">
        <f t="shared" si="280"/>
        <v>1974807.0166666666</v>
      </c>
      <c r="BR338" s="1400">
        <f t="shared" si="280"/>
        <v>0</v>
      </c>
      <c r="BS338" s="1400">
        <f t="shared" si="280"/>
        <v>0</v>
      </c>
      <c r="BT338" s="1400">
        <f t="shared" si="280"/>
        <v>0</v>
      </c>
      <c r="BU338" s="1400">
        <f t="shared" si="280"/>
        <v>0</v>
      </c>
      <c r="BV338" s="1400">
        <f t="shared" si="280"/>
        <v>0</v>
      </c>
      <c r="BW338" s="1400">
        <f t="shared" si="280"/>
        <v>0</v>
      </c>
      <c r="BX338" s="1400">
        <f t="shared" si="280"/>
        <v>0</v>
      </c>
      <c r="BY338" s="1400">
        <f t="shared" ref="BY338:CF338" si="281">SUBTOTAL(9,BY7:BY336)</f>
        <v>0</v>
      </c>
      <c r="BZ338" s="1404">
        <f t="shared" si="281"/>
        <v>12232899.48666667</v>
      </c>
      <c r="CA338" s="1405">
        <f t="shared" si="281"/>
        <v>86364534.8182666</v>
      </c>
      <c r="CB338" s="1396">
        <f t="shared" si="281"/>
        <v>0</v>
      </c>
      <c r="CC338" s="1396">
        <f t="shared" si="281"/>
        <v>86364534.8182666</v>
      </c>
      <c r="CD338" s="1396">
        <f t="shared" si="281"/>
        <v>-7875413.7608473413</v>
      </c>
      <c r="CE338" s="1396">
        <f t="shared" si="281"/>
        <v>94239948.014319986</v>
      </c>
      <c r="CF338" s="1396">
        <f t="shared" si="281"/>
        <v>-7875413.1960533112</v>
      </c>
      <c r="CG338" s="1404"/>
      <c r="CH338" s="1406">
        <v>90239947.705081493</v>
      </c>
      <c r="CI338" s="1407">
        <f>+I338</f>
        <v>94239948.579114005</v>
      </c>
      <c r="CJ338" s="1406">
        <f>+CI343-CC338</f>
        <v>11875413.760847405</v>
      </c>
      <c r="CL338" s="1409">
        <f>SUBTOTAL(9,CL7:CL336)</f>
        <v>96944363.233290732</v>
      </c>
      <c r="CM338" s="1409">
        <f>+CL338-CC338</f>
        <v>10579828.415024132</v>
      </c>
    </row>
    <row r="339" spans="1:91" s="1032" customFormat="1" ht="9" customHeight="1">
      <c r="A339" s="1453"/>
      <c r="B339" s="1015"/>
      <c r="C339" s="1016"/>
      <c r="D339" s="1016"/>
      <c r="E339" s="1017"/>
      <c r="F339" s="1023"/>
      <c r="G339" s="1023"/>
      <c r="H339" s="1023"/>
      <c r="I339" s="1023"/>
      <c r="J339" s="1019"/>
      <c r="K339" s="1020"/>
      <c r="L339" s="1021"/>
      <c r="M339" s="1022"/>
      <c r="N339" s="1023"/>
      <c r="O339" s="1024"/>
      <c r="P339" s="1024"/>
      <c r="Q339" s="1024"/>
      <c r="R339" s="1024"/>
      <c r="S339" s="1024"/>
      <c r="T339" s="1024"/>
      <c r="U339" s="1024"/>
      <c r="V339" s="1024"/>
      <c r="W339" s="1024"/>
      <c r="X339" s="1024"/>
      <c r="Y339" s="1024"/>
      <c r="Z339" s="1025">
        <f>SUM(N339:Y339)</f>
        <v>0</v>
      </c>
      <c r="AA339" s="1026"/>
      <c r="AB339" s="1027"/>
      <c r="AC339" s="1027"/>
      <c r="AD339" s="1027"/>
      <c r="AE339" s="1027"/>
      <c r="AF339" s="1027"/>
      <c r="AG339" s="1027"/>
      <c r="AH339" s="1028"/>
      <c r="AI339" s="1028"/>
      <c r="AJ339" s="1028"/>
      <c r="AK339" s="1028"/>
      <c r="AL339" s="1028"/>
      <c r="AM339" s="1025">
        <f>SUM(AA339:AL339)</f>
        <v>0</v>
      </c>
      <c r="AN339" s="1023"/>
      <c r="AO339" s="1023"/>
      <c r="AP339" s="1024"/>
      <c r="AQ339" s="1024"/>
      <c r="AR339" s="1024"/>
      <c r="AS339" s="1024"/>
      <c r="AT339" s="1024"/>
      <c r="AU339" s="1024"/>
      <c r="AV339" s="1024"/>
      <c r="AW339" s="1024"/>
      <c r="AX339" s="1024"/>
      <c r="AY339" s="1024"/>
      <c r="AZ339" s="1024">
        <f>SUM(AN339:AY339)</f>
        <v>0</v>
      </c>
      <c r="BA339" s="1024"/>
      <c r="BB339" s="1024"/>
      <c r="BC339" s="1024"/>
      <c r="BD339" s="1024"/>
      <c r="BE339" s="1024"/>
      <c r="BF339" s="1024"/>
      <c r="BG339" s="1024"/>
      <c r="BH339" s="1024"/>
      <c r="BI339" s="1024"/>
      <c r="BJ339" s="1024"/>
      <c r="BK339" s="1024"/>
      <c r="BL339" s="1024"/>
      <c r="BM339" s="1024">
        <f>SUM(BA339:BL339)</f>
        <v>0</v>
      </c>
      <c r="BN339" s="1024"/>
      <c r="BO339" s="1024"/>
      <c r="BP339" s="1024"/>
      <c r="BQ339" s="1024"/>
      <c r="BR339" s="1024"/>
      <c r="BS339" s="1024"/>
      <c r="BT339" s="1024"/>
      <c r="BU339" s="1024"/>
      <c r="BV339" s="1024"/>
      <c r="BW339" s="1024"/>
      <c r="BX339" s="1024"/>
      <c r="BY339" s="1024"/>
      <c r="BZ339" s="1029">
        <f>SUM(BN339:BY339)</f>
        <v>0</v>
      </c>
      <c r="CA339" s="1030"/>
      <c r="CB339" s="1031"/>
      <c r="CC339" s="1023"/>
      <c r="CD339" s="1023"/>
      <c r="CE339" s="1023"/>
      <c r="CF339" s="1023"/>
      <c r="CG339" s="1029"/>
      <c r="CH339" s="972"/>
      <c r="CI339" s="992"/>
      <c r="CL339" s="976"/>
      <c r="CM339" s="976"/>
    </row>
    <row r="340" spans="1:91" s="1032" customFormat="1">
      <c r="A340" s="1453"/>
      <c r="B340" s="1015"/>
      <c r="C340" s="1016" t="s">
        <v>134</v>
      </c>
      <c r="D340" s="1016"/>
      <c r="E340" s="1017"/>
      <c r="F340" s="1023">
        <v>5580041</v>
      </c>
      <c r="G340" s="1023">
        <v>6083947</v>
      </c>
      <c r="H340" s="1023"/>
      <c r="I340" s="1023">
        <v>6083947</v>
      </c>
      <c r="J340" s="1019"/>
      <c r="K340" s="1020"/>
      <c r="L340" s="1021"/>
      <c r="M340" s="1022">
        <v>231010.39</v>
      </c>
      <c r="N340" s="1023">
        <v>4107.21</v>
      </c>
      <c r="O340" s="1024">
        <v>6356.16</v>
      </c>
      <c r="P340" s="1024">
        <v>8947.23</v>
      </c>
      <c r="Q340" s="1024">
        <v>7760.72</v>
      </c>
      <c r="R340" s="1024">
        <v>10581.69</v>
      </c>
      <c r="S340" s="1024">
        <v>10679.32</v>
      </c>
      <c r="T340" s="1024">
        <v>9112.73</v>
      </c>
      <c r="U340" s="1024">
        <v>6583.13</v>
      </c>
      <c r="V340" s="1024">
        <v>9386.15</v>
      </c>
      <c r="W340" s="1024">
        <v>11679.91</v>
      </c>
      <c r="X340" s="1024">
        <v>10937.68</v>
      </c>
      <c r="Y340" s="1024">
        <v>10827.72</v>
      </c>
      <c r="Z340" s="1025">
        <f>SUM(N340:Y340)</f>
        <v>106959.65</v>
      </c>
      <c r="AA340" s="1026">
        <v>18327.330000000002</v>
      </c>
      <c r="AB340" s="1027">
        <v>12850.62</v>
      </c>
      <c r="AC340" s="1027">
        <v>22746.45</v>
      </c>
      <c r="AD340" s="1027">
        <v>26802.44</v>
      </c>
      <c r="AE340" s="1027">
        <v>24715.47</v>
      </c>
      <c r="AF340" s="1027">
        <v>20947.78</v>
      </c>
      <c r="AG340" s="1027">
        <v>32547.41</v>
      </c>
      <c r="AH340" s="1028">
        <v>35381.43</v>
      </c>
      <c r="AI340" s="1028">
        <v>38395.57</v>
      </c>
      <c r="AJ340" s="1028">
        <v>34948.14</v>
      </c>
      <c r="AK340" s="1028">
        <v>38496.410000000003</v>
      </c>
      <c r="AL340" s="1028">
        <v>40230.480000000003</v>
      </c>
      <c r="AM340" s="1025">
        <f>SUM(AA340:AL340)</f>
        <v>346389.53</v>
      </c>
      <c r="AN340" s="1023">
        <v>43890.89</v>
      </c>
      <c r="AO340" s="1023">
        <v>36130.43</v>
      </c>
      <c r="AP340" s="1024">
        <v>62305.65</v>
      </c>
      <c r="AQ340" s="1024">
        <v>117488.33</v>
      </c>
      <c r="AR340" s="1024">
        <v>145320.06</v>
      </c>
      <c r="AS340" s="1024">
        <v>164544.07</v>
      </c>
      <c r="AT340" s="1024">
        <v>182971.77</v>
      </c>
      <c r="AU340" s="1024">
        <v>198157.48</v>
      </c>
      <c r="AV340" s="1024">
        <v>220228.98</v>
      </c>
      <c r="AW340" s="1024">
        <v>219606.07</v>
      </c>
      <c r="AX340" s="1024">
        <v>237665.53</v>
      </c>
      <c r="AY340" s="1076">
        <v>258263.98</v>
      </c>
      <c r="AZ340" s="1024">
        <f>SUM(AN340:AY340)</f>
        <v>1886573.24</v>
      </c>
      <c r="BA340" s="1024">
        <v>272222.86</v>
      </c>
      <c r="BB340" s="1024">
        <v>278846.63</v>
      </c>
      <c r="BC340" s="1024">
        <v>303324.02</v>
      </c>
      <c r="BD340" s="1024">
        <v>318049.34000000003</v>
      </c>
      <c r="BE340" s="1024">
        <v>363663.68</v>
      </c>
      <c r="BF340" s="1024">
        <v>394832.49</v>
      </c>
      <c r="BG340" s="1024">
        <v>412255.14</v>
      </c>
      <c r="BH340" s="1024">
        <v>422884.12</v>
      </c>
      <c r="BI340" s="1024">
        <v>429853.89</v>
      </c>
      <c r="BJ340" s="1024">
        <v>416996.01</v>
      </c>
      <c r="BK340" s="1024">
        <v>379991.79</v>
      </c>
      <c r="BL340" s="1076">
        <v>387465.34</v>
      </c>
      <c r="BM340" s="1024">
        <f>SUM(BA340:BL340)</f>
        <v>4380385.3100000005</v>
      </c>
      <c r="BN340" s="1024">
        <v>456928.06</v>
      </c>
      <c r="BO340" s="1024">
        <v>481523.32</v>
      </c>
      <c r="BP340" s="1024">
        <v>499152.4</v>
      </c>
      <c r="BQ340" s="1093">
        <f>518769.72*(25/30)</f>
        <v>432308.1</v>
      </c>
      <c r="BR340" s="1024"/>
      <c r="BS340" s="1024"/>
      <c r="BT340" s="1093"/>
      <c r="BU340" s="1024"/>
      <c r="BV340" s="1024"/>
      <c r="BW340" s="1024"/>
      <c r="BX340" s="1024"/>
      <c r="BY340" s="1024"/>
      <c r="BZ340" s="1029">
        <f>SUM(BN340:BY340)</f>
        <v>1869911.88</v>
      </c>
      <c r="CA340" s="1030">
        <f>SUMIF(($M$1:$BZ$1),"Actual",(M340:BZ340))</f>
        <v>8821229.9999999981</v>
      </c>
      <c r="CB340" s="1031">
        <f>SUMIF(($M$1:$BZ$1),"Forecast",(M340:BZ340))</f>
        <v>0</v>
      </c>
      <c r="CC340" s="1023">
        <f>+CA340+CB340</f>
        <v>8821229.9999999981</v>
      </c>
      <c r="CD340" s="1023">
        <f>+CC340-I340</f>
        <v>2737282.9999999981</v>
      </c>
      <c r="CE340" s="1023">
        <v>11370713.11236809</v>
      </c>
      <c r="CF340" s="1023">
        <f>+CC340-CE340</f>
        <v>-2549483.1123680919</v>
      </c>
      <c r="CG340" s="1029"/>
      <c r="CH340" s="972"/>
      <c r="CI340" s="1036">
        <v>4000000</v>
      </c>
      <c r="CL340" s="976">
        <v>6029981.0803330308</v>
      </c>
      <c r="CM340" s="976">
        <f>+CL340-CC340</f>
        <v>-2791248.9196669674</v>
      </c>
    </row>
    <row r="341" spans="1:91" s="1032" customFormat="1">
      <c r="A341" s="1192"/>
      <c r="B341" s="1015"/>
      <c r="C341" s="1016"/>
      <c r="D341" s="1016" t="s">
        <v>835</v>
      </c>
      <c r="E341" s="1017"/>
      <c r="F341" s="1023"/>
      <c r="G341" s="1023"/>
      <c r="H341" s="1023"/>
      <c r="I341" s="1023"/>
      <c r="J341" s="1019"/>
      <c r="K341" s="1020"/>
      <c r="L341" s="1021"/>
      <c r="M341" s="1022"/>
      <c r="N341" s="1023"/>
      <c r="O341" s="1024"/>
      <c r="P341" s="1024"/>
      <c r="Q341" s="1024"/>
      <c r="R341" s="1024"/>
      <c r="S341" s="1024"/>
      <c r="T341" s="1024"/>
      <c r="U341" s="1024"/>
      <c r="V341" s="1024"/>
      <c r="W341" s="1024"/>
      <c r="X341" s="1024"/>
      <c r="Y341" s="1024"/>
      <c r="Z341" s="1025"/>
      <c r="AA341" s="1026"/>
      <c r="AB341" s="1027"/>
      <c r="AC341" s="1027"/>
      <c r="AD341" s="1027"/>
      <c r="AE341" s="1027"/>
      <c r="AF341" s="1027"/>
      <c r="AG341" s="1027"/>
      <c r="AH341" s="1028"/>
      <c r="AI341" s="1028"/>
      <c r="AJ341" s="1028"/>
      <c r="AK341" s="1028"/>
      <c r="AL341" s="1028"/>
      <c r="AM341" s="1025"/>
      <c r="AN341" s="1023"/>
      <c r="AO341" s="1023"/>
      <c r="AP341" s="1024"/>
      <c r="AQ341" s="1024"/>
      <c r="AR341" s="1024"/>
      <c r="AS341" s="1024"/>
      <c r="AT341" s="1024"/>
      <c r="AU341" s="1024"/>
      <c r="AV341" s="1024"/>
      <c r="AW341" s="1024"/>
      <c r="AX341" s="1024"/>
      <c r="AY341" s="1076"/>
      <c r="AZ341" s="1024"/>
      <c r="BA341" s="1024"/>
      <c r="BB341" s="1024">
        <v>7.27</v>
      </c>
      <c r="BC341" s="1024">
        <v>56.09</v>
      </c>
      <c r="BD341" s="1024">
        <v>117.18</v>
      </c>
      <c r="BE341" s="1024">
        <v>150.62</v>
      </c>
      <c r="BF341" s="1024">
        <v>174.3</v>
      </c>
      <c r="BG341" s="1024">
        <v>224.76</v>
      </c>
      <c r="BH341" s="1024">
        <v>312.39</v>
      </c>
      <c r="BI341" s="1024">
        <v>366.53</v>
      </c>
      <c r="BJ341" s="1024">
        <v>364</v>
      </c>
      <c r="BK341" s="1024">
        <v>561.92999999999995</v>
      </c>
      <c r="BL341" s="1076">
        <v>786.28</v>
      </c>
      <c r="BM341" s="1024"/>
      <c r="BN341" s="1024">
        <v>944.63</v>
      </c>
      <c r="BO341" s="1024">
        <v>1309.19</v>
      </c>
      <c r="BP341" s="1024">
        <v>1908.19</v>
      </c>
      <c r="BQ341" s="1093">
        <f>2314.48*(25/30)</f>
        <v>1928.7333333333333</v>
      </c>
      <c r="BR341" s="1024"/>
      <c r="BS341" s="1024"/>
      <c r="BT341" s="1024"/>
      <c r="BU341" s="1024"/>
      <c r="BV341" s="1024"/>
      <c r="BW341" s="1024"/>
      <c r="BX341" s="1024"/>
      <c r="BY341" s="1024"/>
      <c r="BZ341" s="1029"/>
      <c r="CA341" s="1030">
        <f>SUMIF(($M$1:$BZ$1),"Actual",(M341:BZ341))</f>
        <v>9212.0933333333342</v>
      </c>
      <c r="CB341" s="1031">
        <f>SUMIF(($M$1:$BZ$1),"Forecast",(M341:BZ341))</f>
        <v>0</v>
      </c>
      <c r="CC341" s="1023">
        <f>+CA341+CB341</f>
        <v>9212.0933333333342</v>
      </c>
      <c r="CD341" s="1023">
        <f>+CC341-I341</f>
        <v>9212.0933333333342</v>
      </c>
      <c r="CE341" s="1023">
        <v>9597.84</v>
      </c>
      <c r="CF341" s="1023">
        <f>+CC341-CE341</f>
        <v>-385.74666666666599</v>
      </c>
      <c r="CG341" s="1029"/>
      <c r="CH341" s="972"/>
      <c r="CI341" s="1036"/>
      <c r="CL341" s="976"/>
      <c r="CM341" s="976"/>
    </row>
    <row r="342" spans="1:91" ht="9" customHeight="1">
      <c r="B342" s="1193"/>
      <c r="C342" s="1194"/>
      <c r="D342" s="1194"/>
      <c r="E342" s="1195"/>
      <c r="F342" s="1196"/>
      <c r="G342" s="1196"/>
      <c r="H342" s="1196"/>
      <c r="I342" s="1196"/>
      <c r="J342" s="1197"/>
      <c r="K342" s="1198"/>
      <c r="L342" s="1199"/>
      <c r="M342" s="1200"/>
      <c r="N342" s="1196"/>
      <c r="O342" s="1201"/>
      <c r="P342" s="1201"/>
      <c r="Q342" s="1201"/>
      <c r="R342" s="1201"/>
      <c r="S342" s="1201"/>
      <c r="T342" s="1201"/>
      <c r="U342" s="1201"/>
      <c r="V342" s="1201"/>
      <c r="W342" s="1201"/>
      <c r="X342" s="1201"/>
      <c r="Y342" s="1201"/>
      <c r="Z342" s="1202">
        <f>SUM(N342:Y342)</f>
        <v>0</v>
      </c>
      <c r="AA342" s="1203"/>
      <c r="AB342" s="1204"/>
      <c r="AC342" s="1204"/>
      <c r="AD342" s="1204"/>
      <c r="AE342" s="1204"/>
      <c r="AF342" s="1204"/>
      <c r="AG342" s="1204"/>
      <c r="AH342" s="1205"/>
      <c r="AI342" s="1205"/>
      <c r="AJ342" s="1205"/>
      <c r="AK342" s="1205"/>
      <c r="AL342" s="1205"/>
      <c r="AM342" s="1202">
        <f>SUM(AA342:AL342)</f>
        <v>0</v>
      </c>
      <c r="AN342" s="1196"/>
      <c r="AO342" s="1196"/>
      <c r="AP342" s="1201"/>
      <c r="AQ342" s="1201"/>
      <c r="AR342" s="1201"/>
      <c r="AS342" s="1201"/>
      <c r="AT342" s="1201"/>
      <c r="AU342" s="1201"/>
      <c r="AV342" s="1201"/>
      <c r="AW342" s="1201"/>
      <c r="AX342" s="1201"/>
      <c r="AY342" s="1206"/>
      <c r="AZ342" s="1201">
        <f>SUM(AN342:AY342)</f>
        <v>0</v>
      </c>
      <c r="BA342" s="1201"/>
      <c r="BB342" s="1201"/>
      <c r="BC342" s="1201"/>
      <c r="BD342" s="1201"/>
      <c r="BE342" s="1201"/>
      <c r="BF342" s="1201"/>
      <c r="BG342" s="1201"/>
      <c r="BH342" s="1201"/>
      <c r="BI342" s="1201"/>
      <c r="BJ342" s="1201"/>
      <c r="BK342" s="1201"/>
      <c r="BL342" s="1201"/>
      <c r="BM342" s="1201">
        <f>SUM(BA342:BL342)</f>
        <v>0</v>
      </c>
      <c r="BN342" s="1201"/>
      <c r="BO342" s="1201"/>
      <c r="BP342" s="1201"/>
      <c r="BQ342" s="1201"/>
      <c r="BR342" s="1201"/>
      <c r="BS342" s="1201"/>
      <c r="BT342" s="1201"/>
      <c r="BU342" s="1201"/>
      <c r="BV342" s="1201"/>
      <c r="BW342" s="1201"/>
      <c r="BX342" s="1201"/>
      <c r="BY342" s="1201"/>
      <c r="BZ342" s="1207">
        <f>SUM(BN342:BY342)</f>
        <v>0</v>
      </c>
      <c r="CA342" s="1208"/>
      <c r="CB342" s="1209"/>
      <c r="CC342" s="1196"/>
      <c r="CD342" s="1196"/>
      <c r="CE342" s="1196"/>
      <c r="CF342" s="1196"/>
      <c r="CG342" s="1029"/>
      <c r="CI342" s="1210"/>
      <c r="CL342" s="976"/>
      <c r="CM342" s="976"/>
    </row>
    <row r="343" spans="1:91" s="1408" customFormat="1" ht="24.75" customHeight="1">
      <c r="B343" s="1410" t="s">
        <v>836</v>
      </c>
      <c r="C343" s="1411"/>
      <c r="D343" s="1411"/>
      <c r="E343" s="1412"/>
      <c r="F343" s="1413">
        <f>SUBTOTAL(9,F7:F342)</f>
        <v>88687013.609999999</v>
      </c>
      <c r="G343" s="1413">
        <f>SUBTOTAL(9,G7:G342)</f>
        <v>96323895.579113975</v>
      </c>
      <c r="H343" s="1413">
        <f>SUBTOTAL(9,H7:H342)</f>
        <v>4000000</v>
      </c>
      <c r="I343" s="1413">
        <f>SUBTOTAL(9,I7:I342)</f>
        <v>100323895.579114</v>
      </c>
      <c r="J343" s="1414"/>
      <c r="K343" s="1415"/>
      <c r="L343" s="1416"/>
      <c r="M343" s="1415">
        <f t="shared" ref="M343:AR343" si="282">SUBTOTAL(9,M7:M342)</f>
        <v>2587886.2200000002</v>
      </c>
      <c r="N343" s="1417">
        <f t="shared" si="282"/>
        <v>11523.91</v>
      </c>
      <c r="O343" s="1417">
        <f t="shared" si="282"/>
        <v>32578.899999999998</v>
      </c>
      <c r="P343" s="1417">
        <f t="shared" si="282"/>
        <v>14881.46</v>
      </c>
      <c r="Q343" s="1417">
        <f t="shared" si="282"/>
        <v>13566.260000000002</v>
      </c>
      <c r="R343" s="1417">
        <f t="shared" si="282"/>
        <v>20377.050000000003</v>
      </c>
      <c r="S343" s="1417">
        <f t="shared" si="282"/>
        <v>23100.84</v>
      </c>
      <c r="T343" s="1417">
        <f t="shared" si="282"/>
        <v>36633.74</v>
      </c>
      <c r="U343" s="1417">
        <f t="shared" si="282"/>
        <v>30705.33</v>
      </c>
      <c r="V343" s="1417">
        <f t="shared" si="282"/>
        <v>43271.56</v>
      </c>
      <c r="W343" s="1417">
        <f t="shared" si="282"/>
        <v>59639.459999999992</v>
      </c>
      <c r="X343" s="1417">
        <f t="shared" si="282"/>
        <v>125592.85999999999</v>
      </c>
      <c r="Y343" s="1417">
        <f t="shared" si="282"/>
        <v>248072</v>
      </c>
      <c r="Z343" s="1417">
        <f t="shared" si="282"/>
        <v>659943.37000000011</v>
      </c>
      <c r="AA343" s="1417">
        <f t="shared" si="282"/>
        <v>70823.66</v>
      </c>
      <c r="AB343" s="1418">
        <f t="shared" si="282"/>
        <v>394756.45999999996</v>
      </c>
      <c r="AC343" s="1418">
        <f t="shared" si="282"/>
        <v>94000.49</v>
      </c>
      <c r="AD343" s="1418">
        <f t="shared" si="282"/>
        <v>511462.99</v>
      </c>
      <c r="AE343" s="1418">
        <f t="shared" si="282"/>
        <v>168658.32000000004</v>
      </c>
      <c r="AF343" s="1418">
        <f t="shared" si="282"/>
        <v>272130.62</v>
      </c>
      <c r="AG343" s="1418">
        <f t="shared" si="282"/>
        <v>899121.59000000008</v>
      </c>
      <c r="AH343" s="1418">
        <f t="shared" si="282"/>
        <v>310766.6700000001</v>
      </c>
      <c r="AI343" s="1418">
        <f t="shared" si="282"/>
        <v>333103.40000000008</v>
      </c>
      <c r="AJ343" s="1418">
        <f t="shared" si="282"/>
        <v>388239.73799999995</v>
      </c>
      <c r="AK343" s="1418">
        <f t="shared" si="282"/>
        <v>264719.13</v>
      </c>
      <c r="AL343" s="1418">
        <f t="shared" si="282"/>
        <v>3754751.2299999995</v>
      </c>
      <c r="AM343" s="1419">
        <f t="shared" si="282"/>
        <v>7462534.2980000004</v>
      </c>
      <c r="AN343" s="1417">
        <f t="shared" si="282"/>
        <v>34821.600000000042</v>
      </c>
      <c r="AO343" s="1417">
        <f t="shared" si="282"/>
        <v>4837679.2199999988</v>
      </c>
      <c r="AP343" s="1417">
        <f t="shared" si="282"/>
        <v>7709313.0800000001</v>
      </c>
      <c r="AQ343" s="1417">
        <f t="shared" si="282"/>
        <v>3073387.2199999993</v>
      </c>
      <c r="AR343" s="1417">
        <f t="shared" si="282"/>
        <v>2882911.8600000003</v>
      </c>
      <c r="AS343" s="1417">
        <f t="shared" ref="AS343:BX343" si="283">SUBTOTAL(9,AS7:AS342)</f>
        <v>1890747.7700000005</v>
      </c>
      <c r="AT343" s="1417">
        <f t="shared" si="283"/>
        <v>2020117.8200000003</v>
      </c>
      <c r="AU343" s="1417">
        <f t="shared" si="283"/>
        <v>1659019.5899999996</v>
      </c>
      <c r="AV343" s="1417">
        <f t="shared" si="283"/>
        <v>1619963.8000000005</v>
      </c>
      <c r="AW343" s="1417">
        <f t="shared" si="283"/>
        <v>1946506.9</v>
      </c>
      <c r="AX343" s="1417">
        <f t="shared" si="283"/>
        <v>1892227.02</v>
      </c>
      <c r="AY343" s="1417">
        <f t="shared" si="283"/>
        <v>5276677.8999999994</v>
      </c>
      <c r="AZ343" s="1417">
        <f t="shared" si="283"/>
        <v>34843373.780000001</v>
      </c>
      <c r="BA343" s="1417">
        <f t="shared" si="283"/>
        <v>2733171.2500000009</v>
      </c>
      <c r="BB343" s="1417">
        <f t="shared" si="283"/>
        <v>2994214.7700000005</v>
      </c>
      <c r="BC343" s="1417">
        <f t="shared" si="283"/>
        <v>3583140.7300000004</v>
      </c>
      <c r="BD343" s="1417">
        <f t="shared" si="283"/>
        <v>4568487.8800000008</v>
      </c>
      <c r="BE343" s="1417">
        <f t="shared" si="283"/>
        <v>3586047.3900000006</v>
      </c>
      <c r="BF343" s="1417">
        <f t="shared" si="283"/>
        <v>4467846.2535999995</v>
      </c>
      <c r="BG343" s="1417">
        <f t="shared" si="283"/>
        <v>2151647.9499999997</v>
      </c>
      <c r="BH343" s="1417">
        <f t="shared" si="283"/>
        <v>1769595.9200000002</v>
      </c>
      <c r="BI343" s="1417">
        <f t="shared" si="283"/>
        <v>3050527.2300000009</v>
      </c>
      <c r="BJ343" s="1417">
        <f t="shared" si="283"/>
        <v>1973003.4100000006</v>
      </c>
      <c r="BK343" s="1417">
        <f t="shared" si="283"/>
        <v>2452501.71</v>
      </c>
      <c r="BL343" s="1417">
        <f t="shared" si="283"/>
        <v>2202152.6399999997</v>
      </c>
      <c r="BM343" s="1417">
        <f t="shared" si="283"/>
        <v>35529215.78360001</v>
      </c>
      <c r="BN343" s="1417">
        <f t="shared" si="283"/>
        <v>6809130.3699999973</v>
      </c>
      <c r="BO343" s="1417">
        <f t="shared" si="283"/>
        <v>2055722.8800000001</v>
      </c>
      <c r="BP343" s="1417">
        <f t="shared" si="283"/>
        <v>2835005.01</v>
      </c>
      <c r="BQ343" s="1417">
        <f t="shared" si="283"/>
        <v>2409043.85</v>
      </c>
      <c r="BR343" s="1417">
        <f t="shared" si="283"/>
        <v>0</v>
      </c>
      <c r="BS343" s="1417">
        <f t="shared" si="283"/>
        <v>0</v>
      </c>
      <c r="BT343" s="1417">
        <f t="shared" si="283"/>
        <v>0</v>
      </c>
      <c r="BU343" s="1417">
        <f t="shared" si="283"/>
        <v>0</v>
      </c>
      <c r="BV343" s="1417">
        <f t="shared" si="283"/>
        <v>0</v>
      </c>
      <c r="BW343" s="1417">
        <f t="shared" si="283"/>
        <v>0</v>
      </c>
      <c r="BX343" s="1417">
        <f t="shared" si="283"/>
        <v>0</v>
      </c>
      <c r="BY343" s="1417">
        <f t="shared" ref="BY343:CF343" si="284">SUBTOTAL(9,BY7:BY342)</f>
        <v>0</v>
      </c>
      <c r="BZ343" s="1415">
        <f t="shared" si="284"/>
        <v>14102811.366666671</v>
      </c>
      <c r="CA343" s="1420">
        <f t="shared" si="284"/>
        <v>95194976.911599934</v>
      </c>
      <c r="CB343" s="1419">
        <f t="shared" si="284"/>
        <v>0</v>
      </c>
      <c r="CC343" s="1419">
        <f t="shared" si="284"/>
        <v>95194976.911599934</v>
      </c>
      <c r="CD343" s="1419">
        <f t="shared" si="284"/>
        <v>-5128918.6675140094</v>
      </c>
      <c r="CE343" s="1419">
        <f t="shared" si="284"/>
        <v>105620258.96668808</v>
      </c>
      <c r="CF343" s="1419">
        <f t="shared" si="284"/>
        <v>-10425282.055088069</v>
      </c>
      <c r="CG343" s="1404"/>
      <c r="CH343" s="1421"/>
      <c r="CI343" s="1422">
        <f>+CI338+CI340</f>
        <v>98239948.579114005</v>
      </c>
      <c r="CL343" s="1409">
        <f>SUBTOTAL(9,CL7:CL342)</f>
        <v>102974344.31362376</v>
      </c>
      <c r="CM343" s="1409">
        <f>+CL343-CC343</f>
        <v>7779367.4020238221</v>
      </c>
    </row>
    <row r="344" spans="1:91" s="1211" customFormat="1">
      <c r="M344" s="972"/>
      <c r="Z344" s="972"/>
      <c r="AA344" s="967"/>
      <c r="AB344" s="967"/>
      <c r="AC344" s="967"/>
      <c r="AD344" s="967"/>
      <c r="AE344" s="967"/>
      <c r="AF344" s="967"/>
      <c r="AG344" s="967"/>
      <c r="AH344" s="967"/>
      <c r="AI344" s="967"/>
      <c r="AJ344" s="967"/>
      <c r="AK344" s="967"/>
      <c r="AL344" s="967"/>
      <c r="BQ344" s="1307">
        <v>2890852.6200000006</v>
      </c>
      <c r="BR344" s="1304" t="s">
        <v>844</v>
      </c>
      <c r="BT344" s="1306"/>
      <c r="CG344" s="1212"/>
      <c r="CH344" s="972"/>
      <c r="CL344" s="973"/>
      <c r="CM344" s="974"/>
    </row>
    <row r="345" spans="1:91" s="972" customFormat="1" hidden="1">
      <c r="B345" s="1213" t="s">
        <v>837</v>
      </c>
      <c r="C345" s="1214"/>
      <c r="D345" s="1214"/>
      <c r="E345" s="1214"/>
      <c r="F345" s="1214"/>
      <c r="G345" s="1214"/>
      <c r="H345" s="1214"/>
      <c r="I345" s="1214"/>
      <c r="J345" s="1214"/>
      <c r="K345" s="1214"/>
      <c r="L345" s="1214"/>
      <c r="M345" s="1214"/>
      <c r="N345" s="1214"/>
      <c r="O345" s="1214"/>
      <c r="P345" s="1214"/>
      <c r="Q345" s="1214"/>
      <c r="R345" s="1214"/>
      <c r="S345" s="1214"/>
      <c r="T345" s="1214"/>
      <c r="U345" s="1214"/>
      <c r="V345" s="1214"/>
      <c r="W345" s="1214"/>
      <c r="X345" s="1214"/>
      <c r="Y345" s="1214"/>
      <c r="Z345" s="1214"/>
      <c r="AA345" s="1214"/>
      <c r="AB345" s="1214"/>
      <c r="AC345" s="1214"/>
      <c r="AD345" s="1214"/>
      <c r="AE345" s="1214"/>
      <c r="AF345" s="1214"/>
      <c r="AG345" s="1214"/>
      <c r="AH345" s="1214"/>
      <c r="AI345" s="1214"/>
      <c r="AJ345" s="1214"/>
      <c r="AK345" s="1214"/>
      <c r="AL345" s="1214"/>
      <c r="AM345" s="1214"/>
      <c r="AN345" s="1214">
        <v>1750265.8157956225</v>
      </c>
      <c r="AO345" s="1214">
        <v>3672922.0599528225</v>
      </c>
      <c r="AP345" s="1214">
        <v>5493497.9256458227</v>
      </c>
      <c r="AQ345" s="1214">
        <v>4354841.7446314227</v>
      </c>
      <c r="AR345" s="1214">
        <v>3817045.8506296226</v>
      </c>
      <c r="AS345" s="1214">
        <v>3071158.6783822221</v>
      </c>
      <c r="AT345" s="1214">
        <v>2521267.9249624666</v>
      </c>
      <c r="AU345" s="1214"/>
      <c r="AV345" s="1214"/>
      <c r="AW345" s="1214"/>
      <c r="AX345" s="1214"/>
      <c r="AY345" s="1214"/>
      <c r="AZ345" s="1214"/>
      <c r="BA345" s="1214">
        <f t="shared" ref="BA345:BL345" si="285">SUM(BA346:BA347)</f>
        <v>2789650.0449999999</v>
      </c>
      <c r="BB345" s="1215">
        <f t="shared" si="285"/>
        <v>2789650.0449999999</v>
      </c>
      <c r="BC345" s="1215">
        <f t="shared" si="285"/>
        <v>2789650.0449999999</v>
      </c>
      <c r="BD345" s="1215">
        <f t="shared" si="285"/>
        <v>2789650.0449999999</v>
      </c>
      <c r="BE345" s="1215">
        <f t="shared" si="285"/>
        <v>2789650.0449999999</v>
      </c>
      <c r="BF345" s="1215">
        <f t="shared" si="285"/>
        <v>2789650.0449999999</v>
      </c>
      <c r="BG345" s="1215">
        <f t="shared" si="285"/>
        <v>2789650.0449999999</v>
      </c>
      <c r="BH345" s="1215">
        <f t="shared" si="285"/>
        <v>2789650.0449999999</v>
      </c>
      <c r="BI345" s="1215">
        <f t="shared" si="285"/>
        <v>2789650.0449999999</v>
      </c>
      <c r="BJ345" s="1215">
        <f t="shared" si="285"/>
        <v>2789650.0449999999</v>
      </c>
      <c r="BK345" s="1215">
        <f t="shared" si="285"/>
        <v>1332649.0449999999</v>
      </c>
      <c r="BL345" s="1215">
        <f t="shared" si="285"/>
        <v>2414650.0449999999</v>
      </c>
      <c r="BM345" s="1214">
        <f>SUM(BA345:BL345)</f>
        <v>31643799.540000007</v>
      </c>
      <c r="BN345" s="1214">
        <v>655083.33333333337</v>
      </c>
      <c r="BO345" s="1214">
        <v>655083.33333333337</v>
      </c>
      <c r="BP345" s="1214">
        <v>655083.33333333337</v>
      </c>
      <c r="BQ345" s="1214">
        <v>655083.33333333337</v>
      </c>
      <c r="BR345" s="1305">
        <v>655083.33333333337</v>
      </c>
      <c r="BS345" s="1214">
        <v>655083.33333333337</v>
      </c>
      <c r="BT345" s="1214"/>
      <c r="BU345" s="1214">
        <v>655083.33333333337</v>
      </c>
      <c r="BV345" s="1214">
        <v>655083.33333333337</v>
      </c>
      <c r="BW345" s="1214">
        <v>655083.33333333337</v>
      </c>
      <c r="BX345" s="1214">
        <v>655083.33333333337</v>
      </c>
      <c r="BY345" s="1214">
        <v>655083.33333333337</v>
      </c>
      <c r="BZ345" s="1214">
        <f>SUM(BN345:BY345)</f>
        <v>7205916.666666666</v>
      </c>
      <c r="CA345" s="1214"/>
      <c r="CB345" s="1214"/>
      <c r="CC345" s="1214"/>
      <c r="CD345" s="1214"/>
      <c r="CE345" s="1214">
        <f>+CB345+BO345+AV346+AO338+AB338+O338</f>
        <v>5864760.7033333322</v>
      </c>
      <c r="CF345" s="1214">
        <f>+CC345+BP345+AW346+AP338+AC338+P338</f>
        <v>8379279.0333333332</v>
      </c>
      <c r="CG345" s="994"/>
      <c r="CL345" s="973">
        <v>77453798.722685054</v>
      </c>
      <c r="CM345" s="974">
        <f>+CL345-CC343</f>
        <v>-17741178.18891488</v>
      </c>
    </row>
    <row r="346" spans="1:91" s="972" customFormat="1" hidden="1">
      <c r="B346" s="1214"/>
      <c r="C346" s="1214"/>
      <c r="D346" s="1214"/>
      <c r="E346" s="1214"/>
      <c r="F346" s="1214"/>
      <c r="G346" s="1214"/>
      <c r="H346" s="1214"/>
      <c r="I346" s="1214"/>
      <c r="J346" s="1214"/>
      <c r="K346" s="1214"/>
      <c r="L346" s="1214"/>
      <c r="M346" s="1214"/>
      <c r="N346" s="1214"/>
      <c r="O346" s="1214"/>
      <c r="P346" s="1214"/>
      <c r="Q346" s="1214"/>
      <c r="R346" s="1214"/>
      <c r="S346" s="1214"/>
      <c r="T346" s="1214"/>
      <c r="U346" s="1214"/>
      <c r="V346" s="1214"/>
      <c r="W346" s="1214"/>
      <c r="X346" s="1214"/>
      <c r="Y346" s="1214"/>
      <c r="Z346" s="1214"/>
      <c r="AA346" s="1214"/>
      <c r="AB346" s="1214"/>
      <c r="AC346" s="1214"/>
      <c r="AD346" s="1214"/>
      <c r="AE346" s="1214"/>
      <c r="AF346" s="1214"/>
      <c r="AG346" s="1214"/>
      <c r="AH346" s="1214"/>
      <c r="AI346" s="1214"/>
      <c r="AJ346" s="1214"/>
      <c r="AK346" s="1214"/>
      <c r="AL346" s="1214"/>
      <c r="AM346" s="1214"/>
      <c r="AN346" s="1214"/>
      <c r="AO346" s="1214"/>
      <c r="AP346" s="1214"/>
      <c r="AQ346" s="1214"/>
      <c r="AR346" s="1214"/>
      <c r="AS346" s="1214" t="s">
        <v>838</v>
      </c>
      <c r="AT346" s="1214">
        <f>SUM(AN345:AT345)</f>
        <v>24681000</v>
      </c>
      <c r="AU346" s="1214"/>
      <c r="AV346" s="1214"/>
      <c r="AW346" s="1214"/>
      <c r="AX346" s="1214"/>
      <c r="AY346" s="1214"/>
      <c r="AZ346" s="1214"/>
      <c r="BA346" s="1214">
        <v>2100000</v>
      </c>
      <c r="BB346" s="1214">
        <v>2100000</v>
      </c>
      <c r="BC346" s="1214">
        <v>2100000</v>
      </c>
      <c r="BD346" s="1214">
        <v>2100000</v>
      </c>
      <c r="BE346" s="1214">
        <v>2100000</v>
      </c>
      <c r="BF346" s="1214">
        <v>2100000</v>
      </c>
      <c r="BG346" s="1214">
        <v>2100000</v>
      </c>
      <c r="BH346" s="1214">
        <v>2100000</v>
      </c>
      <c r="BI346" s="1214">
        <v>2100000</v>
      </c>
      <c r="BJ346" s="1214">
        <v>2100000</v>
      </c>
      <c r="BK346" s="1214">
        <v>642999</v>
      </c>
      <c r="BL346" s="1214">
        <v>1725000</v>
      </c>
      <c r="BM346" s="1214"/>
      <c r="BN346" s="1214"/>
      <c r="BO346" s="1214"/>
      <c r="BP346" s="1214"/>
      <c r="BQ346" s="1214"/>
      <c r="BR346" s="1305"/>
      <c r="BS346" s="1214"/>
      <c r="BT346" s="1214"/>
      <c r="BU346" s="1214"/>
      <c r="BV346" s="1214"/>
      <c r="BW346" s="1214"/>
      <c r="BX346" s="1214"/>
      <c r="BY346" s="1214"/>
      <c r="BZ346" s="1214"/>
      <c r="CA346" s="1214"/>
      <c r="CB346" s="1214"/>
      <c r="CC346" s="1214"/>
      <c r="CD346" s="1214"/>
      <c r="CE346" s="1214"/>
      <c r="CF346" s="1214"/>
      <c r="CG346" s="994"/>
      <c r="CL346" s="973"/>
      <c r="CM346" s="974"/>
    </row>
    <row r="347" spans="1:91" s="972" customFormat="1" hidden="1">
      <c r="B347" s="1214"/>
      <c r="C347" s="1214"/>
      <c r="D347" s="1214"/>
      <c r="E347" s="1214"/>
      <c r="F347" s="1214"/>
      <c r="G347" s="1214"/>
      <c r="H347" s="1214"/>
      <c r="I347" s="1214"/>
      <c r="J347" s="1214"/>
      <c r="K347" s="1214"/>
      <c r="L347" s="1214"/>
      <c r="M347" s="1214"/>
      <c r="N347" s="1214"/>
      <c r="O347" s="1214"/>
      <c r="P347" s="1214"/>
      <c r="Q347" s="1214"/>
      <c r="R347" s="1214"/>
      <c r="S347" s="1214"/>
      <c r="T347" s="1214"/>
      <c r="U347" s="1214"/>
      <c r="V347" s="1214"/>
      <c r="W347" s="1214"/>
      <c r="X347" s="1214"/>
      <c r="Y347" s="1214"/>
      <c r="Z347" s="1214"/>
      <c r="AA347" s="1214"/>
      <c r="AB347" s="1214"/>
      <c r="AC347" s="1214"/>
      <c r="AD347" s="1214"/>
      <c r="AE347" s="1214"/>
      <c r="AF347" s="1214"/>
      <c r="AG347" s="1214"/>
      <c r="AH347" s="1214"/>
      <c r="AI347" s="1214"/>
      <c r="AJ347" s="1214"/>
      <c r="AK347" s="1214"/>
      <c r="AL347" s="1214"/>
      <c r="AM347" s="1214"/>
      <c r="AN347" s="1214"/>
      <c r="AO347" s="1214"/>
      <c r="AP347" s="1214"/>
      <c r="AQ347" s="1214"/>
      <c r="AR347" s="1214"/>
      <c r="AS347" s="1216" t="s">
        <v>585</v>
      </c>
      <c r="AT347" s="1217">
        <f>+AZ338-AT346</f>
        <v>8275800.5399999991</v>
      </c>
      <c r="AU347" s="1214"/>
      <c r="AV347" s="1214"/>
      <c r="AW347" s="1214"/>
      <c r="AX347" s="1214"/>
      <c r="AY347" s="1214"/>
      <c r="AZ347" s="1214"/>
      <c r="BA347" s="1214">
        <f t="shared" ref="BA347:BL347" si="286">+$AT$347/12</f>
        <v>689650.04499999993</v>
      </c>
      <c r="BB347" s="1214">
        <f t="shared" si="286"/>
        <v>689650.04499999993</v>
      </c>
      <c r="BC347" s="1214">
        <f t="shared" si="286"/>
        <v>689650.04499999993</v>
      </c>
      <c r="BD347" s="1214">
        <f t="shared" si="286"/>
        <v>689650.04499999993</v>
      </c>
      <c r="BE347" s="1214">
        <f t="shared" si="286"/>
        <v>689650.04499999993</v>
      </c>
      <c r="BF347" s="1214">
        <f t="shared" si="286"/>
        <v>689650.04499999993</v>
      </c>
      <c r="BG347" s="1214">
        <f t="shared" si="286"/>
        <v>689650.04499999993</v>
      </c>
      <c r="BH347" s="1214">
        <f t="shared" si="286"/>
        <v>689650.04499999993</v>
      </c>
      <c r="BI347" s="1214">
        <f t="shared" si="286"/>
        <v>689650.04499999993</v>
      </c>
      <c r="BJ347" s="1214">
        <f t="shared" si="286"/>
        <v>689650.04499999993</v>
      </c>
      <c r="BK347" s="1214">
        <f t="shared" si="286"/>
        <v>689650.04499999993</v>
      </c>
      <c r="BL347" s="1214">
        <f t="shared" si="286"/>
        <v>689650.04499999993</v>
      </c>
      <c r="BM347" s="1214"/>
      <c r="BN347" s="1214"/>
      <c r="BO347" s="1214"/>
      <c r="BP347" s="1214"/>
      <c r="BQ347" s="1214"/>
      <c r="BR347" s="1305"/>
      <c r="BS347" s="1214"/>
      <c r="BT347" s="1214"/>
      <c r="BU347" s="1214"/>
      <c r="BV347" s="1214"/>
      <c r="BW347" s="1214"/>
      <c r="BX347" s="1214"/>
      <c r="BY347" s="1214"/>
      <c r="BZ347" s="1214"/>
      <c r="CA347" s="1214"/>
      <c r="CB347" s="1214"/>
      <c r="CC347" s="1214"/>
      <c r="CD347" s="1214"/>
      <c r="CE347" s="1214"/>
      <c r="CF347" s="1214"/>
      <c r="CG347" s="994"/>
      <c r="CL347" s="1218"/>
      <c r="CM347" s="1219"/>
    </row>
    <row r="348" spans="1:91" s="972" customFormat="1" hidden="1">
      <c r="B348" s="1214"/>
      <c r="C348" s="1214"/>
      <c r="D348" s="1214"/>
      <c r="E348" s="1214"/>
      <c r="F348" s="1214"/>
      <c r="G348" s="1214"/>
      <c r="H348" s="1214"/>
      <c r="I348" s="1214"/>
      <c r="J348" s="1214"/>
      <c r="K348" s="1214"/>
      <c r="L348" s="1214"/>
      <c r="M348" s="1214"/>
      <c r="N348" s="1214"/>
      <c r="O348" s="1214"/>
      <c r="P348" s="1214"/>
      <c r="Q348" s="1214"/>
      <c r="R348" s="1214"/>
      <c r="S348" s="1214"/>
      <c r="T348" s="1214"/>
      <c r="U348" s="1214"/>
      <c r="V348" s="1214"/>
      <c r="W348" s="1214"/>
      <c r="X348" s="1214"/>
      <c r="Y348" s="1214"/>
      <c r="Z348" s="1214"/>
      <c r="AA348" s="1214"/>
      <c r="AB348" s="1214"/>
      <c r="AC348" s="1214"/>
      <c r="AD348" s="1214"/>
      <c r="AE348" s="1214"/>
      <c r="AF348" s="1214"/>
      <c r="AG348" s="1214"/>
      <c r="AH348" s="1214"/>
      <c r="AI348" s="1214"/>
      <c r="AJ348" s="1214"/>
      <c r="AK348" s="1214"/>
      <c r="AL348" s="1214"/>
      <c r="AM348" s="1214"/>
      <c r="AN348" s="1214"/>
      <c r="AO348" s="1214"/>
      <c r="AP348" s="1214"/>
      <c r="AQ348" s="1214"/>
      <c r="AR348" s="1214"/>
      <c r="AS348" s="1214"/>
      <c r="AT348" s="1214"/>
      <c r="AU348" s="1214"/>
      <c r="AV348" s="1214"/>
      <c r="AW348" s="1214"/>
      <c r="AX348" s="1214"/>
      <c r="AY348" s="1214"/>
      <c r="AZ348" s="1214"/>
      <c r="BA348" s="1214"/>
      <c r="BB348" s="1214"/>
      <c r="BC348" s="1214"/>
      <c r="BD348" s="1214"/>
      <c r="BE348" s="1214"/>
      <c r="BF348" s="1214"/>
      <c r="BG348" s="1214"/>
      <c r="BH348" s="1214"/>
      <c r="BI348" s="1214"/>
      <c r="BJ348" s="1214"/>
      <c r="BK348" s="1214"/>
      <c r="BL348" s="1214"/>
      <c r="BM348" s="1214"/>
      <c r="BN348" s="1214"/>
      <c r="BO348" s="1214"/>
      <c r="BP348" s="1214"/>
      <c r="BQ348" s="1214"/>
      <c r="BR348" s="1305"/>
      <c r="BS348" s="1214"/>
      <c r="BT348" s="1214"/>
      <c r="BU348" s="1214"/>
      <c r="BV348" s="1214"/>
      <c r="BW348" s="1214"/>
      <c r="BX348" s="1214"/>
      <c r="BY348" s="1214"/>
      <c r="BZ348" s="1214"/>
      <c r="CA348" s="1214"/>
      <c r="CB348" s="1214"/>
      <c r="CC348" s="1214"/>
      <c r="CD348" s="1214"/>
      <c r="CE348" s="1214"/>
      <c r="CF348" s="1214"/>
      <c r="CG348" s="994"/>
      <c r="CL348" s="973"/>
      <c r="CM348" s="1220"/>
    </row>
    <row r="349" spans="1:91">
      <c r="AP349" s="1221"/>
      <c r="BQ349" s="995">
        <f>+BQ344*(25/30)</f>
        <v>2409043.8500000006</v>
      </c>
      <c r="BR349" s="1304" t="s">
        <v>843</v>
      </c>
      <c r="CG349" s="1212"/>
      <c r="CM349" s="1220"/>
    </row>
    <row r="350" spans="1:91">
      <c r="BL350" s="1222" t="s">
        <v>534</v>
      </c>
      <c r="BM350" s="1223">
        <v>36748561</v>
      </c>
      <c r="BQ350" s="1303">
        <f>+BQ349-BQ343</f>
        <v>0</v>
      </c>
      <c r="CM350" s="1220"/>
    </row>
    <row r="351" spans="1:91">
      <c r="G351" s="1225">
        <v>90239948.109113976</v>
      </c>
      <c r="H351" s="1226">
        <v>90239948.109113976</v>
      </c>
      <c r="I351" s="1226">
        <v>90239948.109113976</v>
      </c>
      <c r="BJ351" s="1227"/>
      <c r="BL351" s="1228" t="s">
        <v>535</v>
      </c>
      <c r="BM351" s="1229">
        <f>+BM350-BM338</f>
        <v>5599730.5263999924</v>
      </c>
      <c r="CM351" s="1220"/>
    </row>
    <row r="352" spans="1:91" ht="15">
      <c r="G352" s="1230"/>
      <c r="H352" s="1231"/>
      <c r="I352" s="1231"/>
      <c r="CI352" s="1232">
        <f>4209902-1597224</f>
        <v>2612678</v>
      </c>
      <c r="CM352" s="1220"/>
    </row>
    <row r="353" spans="7:87">
      <c r="G353" s="1233">
        <f>+G338-G351</f>
        <v>0.4699999988079071</v>
      </c>
      <c r="H353" s="1234">
        <f>+H338-H351</f>
        <v>-86239948.109113976</v>
      </c>
      <c r="I353" s="1234">
        <f>+I338-I351</f>
        <v>4000000.4700000286</v>
      </c>
      <c r="BJ353" s="1235"/>
      <c r="BK353" s="1235"/>
      <c r="BL353" s="1235"/>
      <c r="BM353" s="1235"/>
      <c r="BN353" s="1235"/>
      <c r="CI353" s="1236">
        <f>+CI352+CC338</f>
        <v>88977212.8182666</v>
      </c>
    </row>
    <row r="354" spans="7:87">
      <c r="Z354" s="1237">
        <f t="shared" ref="Z354:BN354" si="287">Z340/Z338</f>
        <v>0.19342278286239598</v>
      </c>
      <c r="AA354" s="1237">
        <f t="shared" si="287"/>
        <v>0.34911640489916151</v>
      </c>
      <c r="AB354" s="1237">
        <f t="shared" si="287"/>
        <v>3.3648660622733612E-2</v>
      </c>
      <c r="AC354" s="1237">
        <f t="shared" si="287"/>
        <v>0.31923032013342678</v>
      </c>
      <c r="AD354" s="1237">
        <f t="shared" si="287"/>
        <v>5.530146821316486E-2</v>
      </c>
      <c r="AE354" s="1237">
        <f t="shared" si="287"/>
        <v>0.17170335310159549</v>
      </c>
      <c r="AF354" s="1237">
        <f t="shared" si="287"/>
        <v>8.3396540942048417E-2</v>
      </c>
      <c r="AG354" s="1237">
        <f t="shared" si="287"/>
        <v>3.7558711938544022E-2</v>
      </c>
      <c r="AH354" s="1237">
        <f t="shared" si="287"/>
        <v>0.12847976166042882</v>
      </c>
      <c r="AI354" s="1237">
        <f t="shared" si="287"/>
        <v>0.13028350824611612</v>
      </c>
      <c r="AJ354" s="1237">
        <f t="shared" si="287"/>
        <v>9.892151468600735E-2</v>
      </c>
      <c r="AK354" s="1237">
        <f t="shared" si="287"/>
        <v>0.17017039667810555</v>
      </c>
      <c r="AL354" s="1237">
        <f t="shared" si="287"/>
        <v>1.083059772919562E-2</v>
      </c>
      <c r="AM354" s="1237">
        <f t="shared" si="287"/>
        <v>4.8676571555661755E-2</v>
      </c>
      <c r="AN354" s="1237">
        <f t="shared" si="287"/>
        <v>-4.8395067309569111</v>
      </c>
      <c r="AO354" s="1237">
        <f t="shared" si="287"/>
        <v>7.5247449479733403E-3</v>
      </c>
      <c r="AP354" s="1237">
        <f t="shared" si="287"/>
        <v>8.1477166813737501E-3</v>
      </c>
      <c r="AQ354" s="1237">
        <f t="shared" si="287"/>
        <v>3.9747073351348645E-2</v>
      </c>
      <c r="AR354" s="1237">
        <f t="shared" si="287"/>
        <v>5.3083173320434399E-2</v>
      </c>
      <c r="AS354" s="1237">
        <f t="shared" si="287"/>
        <v>9.532135170374155E-2</v>
      </c>
      <c r="AT354" s="1237">
        <f t="shared" si="287"/>
        <v>9.9595658167732484E-2</v>
      </c>
      <c r="AU354" s="1237">
        <f t="shared" si="287"/>
        <v>0.13564420532475857</v>
      </c>
      <c r="AV354" s="1237">
        <f t="shared" si="287"/>
        <v>0.15733621601268727</v>
      </c>
      <c r="AW354" s="1237">
        <f t="shared" si="287"/>
        <v>0.12716773666731054</v>
      </c>
      <c r="AX354" s="1237">
        <f t="shared" si="287"/>
        <v>0.14364260949890717</v>
      </c>
      <c r="AY354" s="1237">
        <f t="shared" si="287"/>
        <v>5.146326790038875E-2</v>
      </c>
      <c r="AZ354" s="1237">
        <f t="shared" si="287"/>
        <v>5.7243822491514225E-2</v>
      </c>
      <c r="BA354" s="1237">
        <f t="shared" si="287"/>
        <v>0.11061705361484638</v>
      </c>
      <c r="BB354" s="1237">
        <f t="shared" si="287"/>
        <v>0.10269229150378084</v>
      </c>
      <c r="BC354" s="1237">
        <f t="shared" si="287"/>
        <v>9.2483584975783989E-2</v>
      </c>
      <c r="BD354" s="1237">
        <f t="shared" si="287"/>
        <v>7.4829480658375427E-2</v>
      </c>
      <c r="BE354" s="1237">
        <f t="shared" si="287"/>
        <v>0.1128607614168595</v>
      </c>
      <c r="BF354" s="1237">
        <f t="shared" si="287"/>
        <v>9.6942806984836538E-2</v>
      </c>
      <c r="BG354" s="1237">
        <f t="shared" si="287"/>
        <v>0.23704157858695718</v>
      </c>
      <c r="BH354" s="1237">
        <f t="shared" si="287"/>
        <v>0.31408519408070734</v>
      </c>
      <c r="BI354" s="1237">
        <f t="shared" si="287"/>
        <v>0.16404715980568696</v>
      </c>
      <c r="BJ354" s="1237">
        <f t="shared" si="287"/>
        <v>0.26805372619457635</v>
      </c>
      <c r="BK354" s="1237">
        <f t="shared" si="287"/>
        <v>0.18339832458825378</v>
      </c>
      <c r="BL354" s="1237">
        <f t="shared" si="287"/>
        <v>0.21360886604496204</v>
      </c>
      <c r="BM354" s="1237">
        <f t="shared" si="287"/>
        <v>0.14062760121002194</v>
      </c>
      <c r="BN354" s="1237">
        <f t="shared" si="287"/>
        <v>7.1942925798595556E-2</v>
      </c>
    </row>
    <row r="355" spans="7:87">
      <c r="BJ355" s="1235"/>
      <c r="BK355" s="1235"/>
      <c r="BL355" s="1238"/>
      <c r="BM355" s="1239"/>
      <c r="BN355" s="1235"/>
    </row>
  </sheetData>
  <dataConsolidate/>
  <mergeCells count="53">
    <mergeCell ref="J5:L5"/>
    <mergeCell ref="B5:D7"/>
    <mergeCell ref="F5:F7"/>
    <mergeCell ref="G5:G7"/>
    <mergeCell ref="H5:H7"/>
    <mergeCell ref="I5:I7"/>
    <mergeCell ref="CH5:CH6"/>
    <mergeCell ref="M6:M7"/>
    <mergeCell ref="N6:Y6"/>
    <mergeCell ref="AA6:AL6"/>
    <mergeCell ref="AN6:AY6"/>
    <mergeCell ref="BA6:BL6"/>
    <mergeCell ref="CF5:CF7"/>
    <mergeCell ref="BN6:BY6"/>
    <mergeCell ref="CA5:CA7"/>
    <mergeCell ref="CB5:CB6"/>
    <mergeCell ref="CC5:CC7"/>
    <mergeCell ref="CD5:CD6"/>
    <mergeCell ref="CE5:CE7"/>
    <mergeCell ref="D236:E236"/>
    <mergeCell ref="A126:A129"/>
    <mergeCell ref="D147:E147"/>
    <mergeCell ref="D154:E154"/>
    <mergeCell ref="D222:E222"/>
    <mergeCell ref="D226:E226"/>
    <mergeCell ref="D227:E227"/>
    <mergeCell ref="D228:E228"/>
    <mergeCell ref="D231:E231"/>
    <mergeCell ref="D232:E232"/>
    <mergeCell ref="D234:E234"/>
    <mergeCell ref="D235:E235"/>
    <mergeCell ref="D249:E249"/>
    <mergeCell ref="D237:E237"/>
    <mergeCell ref="D238:E238"/>
    <mergeCell ref="D239:E239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6:E256"/>
    <mergeCell ref="D270:E270"/>
    <mergeCell ref="D279:E279"/>
    <mergeCell ref="A331:A340"/>
    <mergeCell ref="D250:E250"/>
    <mergeCell ref="D251:E251"/>
    <mergeCell ref="D252:E252"/>
    <mergeCell ref="D253:E253"/>
    <mergeCell ref="D254:E254"/>
    <mergeCell ref="D255:E255"/>
  </mergeCells>
  <conditionalFormatting sqref="CA72:CA73 CA66:CA67 CA69:CA70 CA75:CA77 CA129 CA81:CA123 CA79 CA271:CA272 CA192:CA197 CA280:CA285 CA202:CA207 CA175 CA183:CA190 CA177:CA179 CA160:CA173">
    <cfRule type="cellIs" dxfId="21" priority="19" stopIfTrue="1" operator="between">
      <formula>K66/1.2</formula>
      <formula>K66</formula>
    </cfRule>
    <cfRule type="cellIs" dxfId="20" priority="20" stopIfTrue="1" operator="greaterThan">
      <formula>K66</formula>
    </cfRule>
  </conditionalFormatting>
  <conditionalFormatting sqref="CC66:CC67 CC69:CC70 CC72:CC73 CC75:CC77 CC129 CC81:CC123 CC79 CC192:CC197 CC280:CC285 CC202:CC207 CC175 CC183:CC190 CC177:CC179 CC160:CC173">
    <cfRule type="cellIs" dxfId="19" priority="21" stopIfTrue="1" operator="between">
      <formula>K66/1.2</formula>
      <formula>K66</formula>
    </cfRule>
    <cfRule type="cellIs" dxfId="18" priority="22" stopIfTrue="1" operator="greaterThan">
      <formula>K66</formula>
    </cfRule>
  </conditionalFormatting>
  <conditionalFormatting sqref="AP349 CA330 CA335 CA337:CA340 CL306 CL316 CL322 CL329 CB335:CE340 CF335:CF337 CG335:CG343 CF339:CF340 CE326:CG331 M290:CA290 CA288:CA289 CL287 CL291 CD288:CD289 CC290:CD290 CG279 M264:CA264 CA261 CL261 CC264:CD264 CB286:CC289 CF264:CG264 CE264:CE268 CF266:CF268 CG288:CG303 CB330:CD331 M330:BZ331 CD284:CG285 CB280:CB285 CE286:CF303 BH279:CD279 CB265:CC278 CE269:CF283 M274:BG279 CE224:CF230 CD221 CF221:CG221 CB221:CB222 CC222 CE222:CF222 M223:CG223 CB224:CC230 CB81:CB131 CB155:CC155 CE232:CF257 CB232:CC257 BP145:CG145 CD204:CD209 CD212 M211:CA211 M210:CC210 CL191 CC208:CC209 CA208:CA209 CC211:CD211 CG207:CG209 CG211:CG212 CA191 CE204:CG206 CE207:CF212 M212:BZ212 CC191 CA157:CG158 CL158 CB146:CC146 CE146:CF146 BP144:BZ144 CE144:CF144 CL128 CL124 AT123:AT127 M123:AS131 CA130:CA131 CA124:CA128 CC130:CC131 CC124:CC128 CB144:CC144 CB200:CC200 CB175 CB65:CB79 CC78 M49:CA60 M8:CA47 CB62:CB63 CB8 CB58:CB60 CL11 CL24 CL33 CL54 CL57 CL61 CL65 CL68 CL71 CL74 CL78 CC49:CD60 CC8:CD47 M61:CD61 M48:CD48 CA78 CA62:CA65 CC62:CC65 CA68 CA71 CA74 CC68 CC71 CC74 CD62:CD84 CE8:CG84 M132:BO153 CB183:CB197 M155:BZ155 CE155:CF155 CD183:CG200 CB258:CG262 CB177:CB179 BP146:BZ146 CD85:CG131 CB180:CG182 M231:BP262 CD159:CG179 CB160:CB173 BQ236 BT236:BZ236 BQ251 BQ254 BP153:BQ153 BS153 BQ247:BR247 BT247:BZ247 CD202:CG203 CB202:CB209 CF342 CA342:CE343 BQ252:BR253 BU153:CG153 M62:BZ122 AU123:BZ131 BP132:CG143 BP147:CG152 M156:CG156 M157:BZ200 M202:BZ209 M213:CG220 M221:BZ222 BQ231:CG231 M224:BZ230 BQ232:BZ235 BQ237:BZ246 BQ248:BZ249 BQ250:BR250 BT250:BZ254 BQ255:BZ262 M265:BZ273 BH274:BZ278 M280:BZ289 M291:CD303 M304:CG325 M326:CD329 M332:CG334 M335:BZ343">
    <cfRule type="cellIs" dxfId="17" priority="17" stopIfTrue="1" operator="equal">
      <formula>0</formula>
    </cfRule>
  </conditionalFormatting>
  <conditionalFormatting sqref="CF338 CF343">
    <cfRule type="cellIs" dxfId="16" priority="18" stopIfTrue="1" operator="equal">
      <formula>0</formula>
    </cfRule>
  </conditionalFormatting>
  <conditionalFormatting sqref="M154:BQ154 BT154:CG154">
    <cfRule type="cellIs" dxfId="15" priority="16" stopIfTrue="1" operator="equal">
      <formula>0</formula>
    </cfRule>
  </conditionalFormatting>
  <conditionalFormatting sqref="CA201">
    <cfRule type="cellIs" dxfId="14" priority="12" stopIfTrue="1" operator="between">
      <formula>K201/1.2</formula>
      <formula>K201</formula>
    </cfRule>
    <cfRule type="cellIs" dxfId="13" priority="13" stopIfTrue="1" operator="greaterThan">
      <formula>K201</formula>
    </cfRule>
  </conditionalFormatting>
  <conditionalFormatting sqref="CC201">
    <cfRule type="cellIs" dxfId="12" priority="14" stopIfTrue="1" operator="between">
      <formula>K201/1.2</formula>
      <formula>K201</formula>
    </cfRule>
    <cfRule type="cellIs" dxfId="11" priority="15" stopIfTrue="1" operator="greaterThan">
      <formula>K201</formula>
    </cfRule>
  </conditionalFormatting>
  <conditionalFormatting sqref="M201:BQ201 CD201:CG201 CB201 BS201:BZ201">
    <cfRule type="cellIs" dxfId="10" priority="11" stopIfTrue="1" operator="equal">
      <formula>0</formula>
    </cfRule>
  </conditionalFormatting>
  <conditionalFormatting sqref="CA341:CF341">
    <cfRule type="cellIs" dxfId="9" priority="10" stopIfTrue="1" operator="equal">
      <formula>0</formula>
    </cfRule>
  </conditionalFormatting>
  <conditionalFormatting sqref="BR153">
    <cfRule type="cellIs" dxfId="8" priority="9" stopIfTrue="1" operator="equal">
      <formula>0</formula>
    </cfRule>
  </conditionalFormatting>
  <conditionalFormatting sqref="BT153">
    <cfRule type="cellIs" dxfId="7" priority="8" stopIfTrue="1" operator="equal">
      <formula>0</formula>
    </cfRule>
  </conditionalFormatting>
  <conditionalFormatting sqref="BR154:BS154">
    <cfRule type="cellIs" dxfId="6" priority="7" stopIfTrue="1" operator="equal">
      <formula>0</formula>
    </cfRule>
  </conditionalFormatting>
  <conditionalFormatting sqref="BR201">
    <cfRule type="cellIs" dxfId="5" priority="6" stopIfTrue="1" operator="equal">
      <formula>0</formula>
    </cfRule>
  </conditionalFormatting>
  <conditionalFormatting sqref="BS236">
    <cfRule type="cellIs" dxfId="4" priority="5" stopIfTrue="1" operator="equal">
      <formula>0</formula>
    </cfRule>
  </conditionalFormatting>
  <conditionalFormatting sqref="BS247">
    <cfRule type="cellIs" dxfId="3" priority="4" stopIfTrue="1" operator="equal">
      <formula>0</formula>
    </cfRule>
  </conditionalFormatting>
  <conditionalFormatting sqref="BS250:BS253">
    <cfRule type="cellIs" dxfId="2" priority="3" stopIfTrue="1" operator="equal">
      <formula>0</formula>
    </cfRule>
  </conditionalFormatting>
  <conditionalFormatting sqref="BS254">
    <cfRule type="cellIs" dxfId="1" priority="2" stopIfTrue="1" operator="equal">
      <formula>0</formula>
    </cfRule>
  </conditionalFormatting>
  <conditionalFormatting sqref="BR254">
    <cfRule type="cellIs" dxfId="0" priority="1" stopIfTrue="1" operator="equal">
      <formula>0</formula>
    </cfRule>
  </conditionalFormatting>
  <printOptions horizontalCentered="1"/>
  <pageMargins left="0" right="0" top="0.25" bottom="0.25" header="0.25" footer="0.25"/>
  <pageSetup paperSize="17" scale="88" fitToHeight="0" orientation="landscape" r:id="rId1"/>
  <headerFooter alignWithMargins="0">
    <oddHeader xml:space="preserve">&amp;C&amp;"Arial,Bold" </oddHeader>
    <oddFooter>Page &amp;P of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29"/>
  <sheetViews>
    <sheetView workbookViewId="0">
      <selection activeCell="B6" sqref="B6"/>
    </sheetView>
  </sheetViews>
  <sheetFormatPr defaultRowHeight="12.75" outlineLevelRow="1"/>
  <cols>
    <col min="1" max="1" width="49.140625" style="1241" customWidth="1"/>
    <col min="2" max="2" width="13.5703125" style="1241" customWidth="1"/>
    <col min="3" max="3" width="14.85546875" style="1241" customWidth="1"/>
    <col min="4" max="4" width="14" style="1241" customWidth="1"/>
    <col min="5" max="5" width="11.140625" style="1241" customWidth="1"/>
    <col min="6" max="6" width="11.7109375" style="1241" customWidth="1"/>
    <col min="7" max="7" width="10.42578125" style="1241" customWidth="1"/>
    <col min="8" max="8" width="9.140625" style="1241"/>
    <col min="9" max="11" width="11.28515625" style="1241" bestFit="1" customWidth="1"/>
    <col min="12" max="256" width="9.140625" style="1241"/>
    <col min="257" max="257" width="28" style="1241" customWidth="1"/>
    <col min="258" max="258" width="13.5703125" style="1241" customWidth="1"/>
    <col min="259" max="259" width="14.85546875" style="1241" customWidth="1"/>
    <col min="260" max="260" width="14" style="1241" customWidth="1"/>
    <col min="261" max="261" width="11.140625" style="1241" customWidth="1"/>
    <col min="262" max="262" width="11.7109375" style="1241" customWidth="1"/>
    <col min="263" max="263" width="10.42578125" style="1241" customWidth="1"/>
    <col min="264" max="512" width="9.140625" style="1241"/>
    <col min="513" max="513" width="28" style="1241" customWidth="1"/>
    <col min="514" max="514" width="13.5703125" style="1241" customWidth="1"/>
    <col min="515" max="515" width="14.85546875" style="1241" customWidth="1"/>
    <col min="516" max="516" width="14" style="1241" customWidth="1"/>
    <col min="517" max="517" width="11.140625" style="1241" customWidth="1"/>
    <col min="518" max="518" width="11.7109375" style="1241" customWidth="1"/>
    <col min="519" max="519" width="10.42578125" style="1241" customWidth="1"/>
    <col min="520" max="768" width="9.140625" style="1241"/>
    <col min="769" max="769" width="28" style="1241" customWidth="1"/>
    <col min="770" max="770" width="13.5703125" style="1241" customWidth="1"/>
    <col min="771" max="771" width="14.85546875" style="1241" customWidth="1"/>
    <col min="772" max="772" width="14" style="1241" customWidth="1"/>
    <col min="773" max="773" width="11.140625" style="1241" customWidth="1"/>
    <col min="774" max="774" width="11.7109375" style="1241" customWidth="1"/>
    <col min="775" max="775" width="10.42578125" style="1241" customWidth="1"/>
    <col min="776" max="1024" width="9.140625" style="1241"/>
    <col min="1025" max="1025" width="28" style="1241" customWidth="1"/>
    <col min="1026" max="1026" width="13.5703125" style="1241" customWidth="1"/>
    <col min="1027" max="1027" width="14.85546875" style="1241" customWidth="1"/>
    <col min="1028" max="1028" width="14" style="1241" customWidth="1"/>
    <col min="1029" max="1029" width="11.140625" style="1241" customWidth="1"/>
    <col min="1030" max="1030" width="11.7109375" style="1241" customWidth="1"/>
    <col min="1031" max="1031" width="10.42578125" style="1241" customWidth="1"/>
    <col min="1032" max="1280" width="9.140625" style="1241"/>
    <col min="1281" max="1281" width="28" style="1241" customWidth="1"/>
    <col min="1282" max="1282" width="13.5703125" style="1241" customWidth="1"/>
    <col min="1283" max="1283" width="14.85546875" style="1241" customWidth="1"/>
    <col min="1284" max="1284" width="14" style="1241" customWidth="1"/>
    <col min="1285" max="1285" width="11.140625" style="1241" customWidth="1"/>
    <col min="1286" max="1286" width="11.7109375" style="1241" customWidth="1"/>
    <col min="1287" max="1287" width="10.42578125" style="1241" customWidth="1"/>
    <col min="1288" max="1536" width="9.140625" style="1241"/>
    <col min="1537" max="1537" width="28" style="1241" customWidth="1"/>
    <col min="1538" max="1538" width="13.5703125" style="1241" customWidth="1"/>
    <col min="1539" max="1539" width="14.85546875" style="1241" customWidth="1"/>
    <col min="1540" max="1540" width="14" style="1241" customWidth="1"/>
    <col min="1541" max="1541" width="11.140625" style="1241" customWidth="1"/>
    <col min="1542" max="1542" width="11.7109375" style="1241" customWidth="1"/>
    <col min="1543" max="1543" width="10.42578125" style="1241" customWidth="1"/>
    <col min="1544" max="1792" width="9.140625" style="1241"/>
    <col min="1793" max="1793" width="28" style="1241" customWidth="1"/>
    <col min="1794" max="1794" width="13.5703125" style="1241" customWidth="1"/>
    <col min="1795" max="1795" width="14.85546875" style="1241" customWidth="1"/>
    <col min="1796" max="1796" width="14" style="1241" customWidth="1"/>
    <col min="1797" max="1797" width="11.140625" style="1241" customWidth="1"/>
    <col min="1798" max="1798" width="11.7109375" style="1241" customWidth="1"/>
    <col min="1799" max="1799" width="10.42578125" style="1241" customWidth="1"/>
    <col min="1800" max="2048" width="9.140625" style="1241"/>
    <col min="2049" max="2049" width="28" style="1241" customWidth="1"/>
    <col min="2050" max="2050" width="13.5703125" style="1241" customWidth="1"/>
    <col min="2051" max="2051" width="14.85546875" style="1241" customWidth="1"/>
    <col min="2052" max="2052" width="14" style="1241" customWidth="1"/>
    <col min="2053" max="2053" width="11.140625" style="1241" customWidth="1"/>
    <col min="2054" max="2054" width="11.7109375" style="1241" customWidth="1"/>
    <col min="2055" max="2055" width="10.42578125" style="1241" customWidth="1"/>
    <col min="2056" max="2304" width="9.140625" style="1241"/>
    <col min="2305" max="2305" width="28" style="1241" customWidth="1"/>
    <col min="2306" max="2306" width="13.5703125" style="1241" customWidth="1"/>
    <col min="2307" max="2307" width="14.85546875" style="1241" customWidth="1"/>
    <col min="2308" max="2308" width="14" style="1241" customWidth="1"/>
    <col min="2309" max="2309" width="11.140625" style="1241" customWidth="1"/>
    <col min="2310" max="2310" width="11.7109375" style="1241" customWidth="1"/>
    <col min="2311" max="2311" width="10.42578125" style="1241" customWidth="1"/>
    <col min="2312" max="2560" width="9.140625" style="1241"/>
    <col min="2561" max="2561" width="28" style="1241" customWidth="1"/>
    <col min="2562" max="2562" width="13.5703125" style="1241" customWidth="1"/>
    <col min="2563" max="2563" width="14.85546875" style="1241" customWidth="1"/>
    <col min="2564" max="2564" width="14" style="1241" customWidth="1"/>
    <col min="2565" max="2565" width="11.140625" style="1241" customWidth="1"/>
    <col min="2566" max="2566" width="11.7109375" style="1241" customWidth="1"/>
    <col min="2567" max="2567" width="10.42578125" style="1241" customWidth="1"/>
    <col min="2568" max="2816" width="9.140625" style="1241"/>
    <col min="2817" max="2817" width="28" style="1241" customWidth="1"/>
    <col min="2818" max="2818" width="13.5703125" style="1241" customWidth="1"/>
    <col min="2819" max="2819" width="14.85546875" style="1241" customWidth="1"/>
    <col min="2820" max="2820" width="14" style="1241" customWidth="1"/>
    <col min="2821" max="2821" width="11.140625" style="1241" customWidth="1"/>
    <col min="2822" max="2822" width="11.7109375" style="1241" customWidth="1"/>
    <col min="2823" max="2823" width="10.42578125" style="1241" customWidth="1"/>
    <col min="2824" max="3072" width="9.140625" style="1241"/>
    <col min="3073" max="3073" width="28" style="1241" customWidth="1"/>
    <col min="3074" max="3074" width="13.5703125" style="1241" customWidth="1"/>
    <col min="3075" max="3075" width="14.85546875" style="1241" customWidth="1"/>
    <col min="3076" max="3076" width="14" style="1241" customWidth="1"/>
    <col min="3077" max="3077" width="11.140625" style="1241" customWidth="1"/>
    <col min="3078" max="3078" width="11.7109375" style="1241" customWidth="1"/>
    <col min="3079" max="3079" width="10.42578125" style="1241" customWidth="1"/>
    <col min="3080" max="3328" width="9.140625" style="1241"/>
    <col min="3329" max="3329" width="28" style="1241" customWidth="1"/>
    <col min="3330" max="3330" width="13.5703125" style="1241" customWidth="1"/>
    <col min="3331" max="3331" width="14.85546875" style="1241" customWidth="1"/>
    <col min="3332" max="3332" width="14" style="1241" customWidth="1"/>
    <col min="3333" max="3333" width="11.140625" style="1241" customWidth="1"/>
    <col min="3334" max="3334" width="11.7109375" style="1241" customWidth="1"/>
    <col min="3335" max="3335" width="10.42578125" style="1241" customWidth="1"/>
    <col min="3336" max="3584" width="9.140625" style="1241"/>
    <col min="3585" max="3585" width="28" style="1241" customWidth="1"/>
    <col min="3586" max="3586" width="13.5703125" style="1241" customWidth="1"/>
    <col min="3587" max="3587" width="14.85546875" style="1241" customWidth="1"/>
    <col min="3588" max="3588" width="14" style="1241" customWidth="1"/>
    <col min="3589" max="3589" width="11.140625" style="1241" customWidth="1"/>
    <col min="3590" max="3590" width="11.7109375" style="1241" customWidth="1"/>
    <col min="3591" max="3591" width="10.42578125" style="1241" customWidth="1"/>
    <col min="3592" max="3840" width="9.140625" style="1241"/>
    <col min="3841" max="3841" width="28" style="1241" customWidth="1"/>
    <col min="3842" max="3842" width="13.5703125" style="1241" customWidth="1"/>
    <col min="3843" max="3843" width="14.85546875" style="1241" customWidth="1"/>
    <col min="3844" max="3844" width="14" style="1241" customWidth="1"/>
    <col min="3845" max="3845" width="11.140625" style="1241" customWidth="1"/>
    <col min="3846" max="3846" width="11.7109375" style="1241" customWidth="1"/>
    <col min="3847" max="3847" width="10.42578125" style="1241" customWidth="1"/>
    <col min="3848" max="4096" width="9.140625" style="1241"/>
    <col min="4097" max="4097" width="28" style="1241" customWidth="1"/>
    <col min="4098" max="4098" width="13.5703125" style="1241" customWidth="1"/>
    <col min="4099" max="4099" width="14.85546875" style="1241" customWidth="1"/>
    <col min="4100" max="4100" width="14" style="1241" customWidth="1"/>
    <col min="4101" max="4101" width="11.140625" style="1241" customWidth="1"/>
    <col min="4102" max="4102" width="11.7109375" style="1241" customWidth="1"/>
    <col min="4103" max="4103" width="10.42578125" style="1241" customWidth="1"/>
    <col min="4104" max="4352" width="9.140625" style="1241"/>
    <col min="4353" max="4353" width="28" style="1241" customWidth="1"/>
    <col min="4354" max="4354" width="13.5703125" style="1241" customWidth="1"/>
    <col min="4355" max="4355" width="14.85546875" style="1241" customWidth="1"/>
    <col min="4356" max="4356" width="14" style="1241" customWidth="1"/>
    <col min="4357" max="4357" width="11.140625" style="1241" customWidth="1"/>
    <col min="4358" max="4358" width="11.7109375" style="1241" customWidth="1"/>
    <col min="4359" max="4359" width="10.42578125" style="1241" customWidth="1"/>
    <col min="4360" max="4608" width="9.140625" style="1241"/>
    <col min="4609" max="4609" width="28" style="1241" customWidth="1"/>
    <col min="4610" max="4610" width="13.5703125" style="1241" customWidth="1"/>
    <col min="4611" max="4611" width="14.85546875" style="1241" customWidth="1"/>
    <col min="4612" max="4612" width="14" style="1241" customWidth="1"/>
    <col min="4613" max="4613" width="11.140625" style="1241" customWidth="1"/>
    <col min="4614" max="4614" width="11.7109375" style="1241" customWidth="1"/>
    <col min="4615" max="4615" width="10.42578125" style="1241" customWidth="1"/>
    <col min="4616" max="4864" width="9.140625" style="1241"/>
    <col min="4865" max="4865" width="28" style="1241" customWidth="1"/>
    <col min="4866" max="4866" width="13.5703125" style="1241" customWidth="1"/>
    <col min="4867" max="4867" width="14.85546875" style="1241" customWidth="1"/>
    <col min="4868" max="4868" width="14" style="1241" customWidth="1"/>
    <col min="4869" max="4869" width="11.140625" style="1241" customWidth="1"/>
    <col min="4870" max="4870" width="11.7109375" style="1241" customWidth="1"/>
    <col min="4871" max="4871" width="10.42578125" style="1241" customWidth="1"/>
    <col min="4872" max="5120" width="9.140625" style="1241"/>
    <col min="5121" max="5121" width="28" style="1241" customWidth="1"/>
    <col min="5122" max="5122" width="13.5703125" style="1241" customWidth="1"/>
    <col min="5123" max="5123" width="14.85546875" style="1241" customWidth="1"/>
    <col min="5124" max="5124" width="14" style="1241" customWidth="1"/>
    <col min="5125" max="5125" width="11.140625" style="1241" customWidth="1"/>
    <col min="5126" max="5126" width="11.7109375" style="1241" customWidth="1"/>
    <col min="5127" max="5127" width="10.42578125" style="1241" customWidth="1"/>
    <col min="5128" max="5376" width="9.140625" style="1241"/>
    <col min="5377" max="5377" width="28" style="1241" customWidth="1"/>
    <col min="5378" max="5378" width="13.5703125" style="1241" customWidth="1"/>
    <col min="5379" max="5379" width="14.85546875" style="1241" customWidth="1"/>
    <col min="5380" max="5380" width="14" style="1241" customWidth="1"/>
    <col min="5381" max="5381" width="11.140625" style="1241" customWidth="1"/>
    <col min="5382" max="5382" width="11.7109375" style="1241" customWidth="1"/>
    <col min="5383" max="5383" width="10.42578125" style="1241" customWidth="1"/>
    <col min="5384" max="5632" width="9.140625" style="1241"/>
    <col min="5633" max="5633" width="28" style="1241" customWidth="1"/>
    <col min="5634" max="5634" width="13.5703125" style="1241" customWidth="1"/>
    <col min="5635" max="5635" width="14.85546875" style="1241" customWidth="1"/>
    <col min="5636" max="5636" width="14" style="1241" customWidth="1"/>
    <col min="5637" max="5637" width="11.140625" style="1241" customWidth="1"/>
    <col min="5638" max="5638" width="11.7109375" style="1241" customWidth="1"/>
    <col min="5639" max="5639" width="10.42578125" style="1241" customWidth="1"/>
    <col min="5640" max="5888" width="9.140625" style="1241"/>
    <col min="5889" max="5889" width="28" style="1241" customWidth="1"/>
    <col min="5890" max="5890" width="13.5703125" style="1241" customWidth="1"/>
    <col min="5891" max="5891" width="14.85546875" style="1241" customWidth="1"/>
    <col min="5892" max="5892" width="14" style="1241" customWidth="1"/>
    <col min="5893" max="5893" width="11.140625" style="1241" customWidth="1"/>
    <col min="5894" max="5894" width="11.7109375" style="1241" customWidth="1"/>
    <col min="5895" max="5895" width="10.42578125" style="1241" customWidth="1"/>
    <col min="5896" max="6144" width="9.140625" style="1241"/>
    <col min="6145" max="6145" width="28" style="1241" customWidth="1"/>
    <col min="6146" max="6146" width="13.5703125" style="1241" customWidth="1"/>
    <col min="6147" max="6147" width="14.85546875" style="1241" customWidth="1"/>
    <col min="6148" max="6148" width="14" style="1241" customWidth="1"/>
    <col min="6149" max="6149" width="11.140625" style="1241" customWidth="1"/>
    <col min="6150" max="6150" width="11.7109375" style="1241" customWidth="1"/>
    <col min="6151" max="6151" width="10.42578125" style="1241" customWidth="1"/>
    <col min="6152" max="6400" width="9.140625" style="1241"/>
    <col min="6401" max="6401" width="28" style="1241" customWidth="1"/>
    <col min="6402" max="6402" width="13.5703125" style="1241" customWidth="1"/>
    <col min="6403" max="6403" width="14.85546875" style="1241" customWidth="1"/>
    <col min="6404" max="6404" width="14" style="1241" customWidth="1"/>
    <col min="6405" max="6405" width="11.140625" style="1241" customWidth="1"/>
    <col min="6406" max="6406" width="11.7109375" style="1241" customWidth="1"/>
    <col min="6407" max="6407" width="10.42578125" style="1241" customWidth="1"/>
    <col min="6408" max="6656" width="9.140625" style="1241"/>
    <col min="6657" max="6657" width="28" style="1241" customWidth="1"/>
    <col min="6658" max="6658" width="13.5703125" style="1241" customWidth="1"/>
    <col min="6659" max="6659" width="14.85546875" style="1241" customWidth="1"/>
    <col min="6660" max="6660" width="14" style="1241" customWidth="1"/>
    <col min="6661" max="6661" width="11.140625" style="1241" customWidth="1"/>
    <col min="6662" max="6662" width="11.7109375" style="1241" customWidth="1"/>
    <col min="6663" max="6663" width="10.42578125" style="1241" customWidth="1"/>
    <col min="6664" max="6912" width="9.140625" style="1241"/>
    <col min="6913" max="6913" width="28" style="1241" customWidth="1"/>
    <col min="6914" max="6914" width="13.5703125" style="1241" customWidth="1"/>
    <col min="6915" max="6915" width="14.85546875" style="1241" customWidth="1"/>
    <col min="6916" max="6916" width="14" style="1241" customWidth="1"/>
    <col min="6917" max="6917" width="11.140625" style="1241" customWidth="1"/>
    <col min="6918" max="6918" width="11.7109375" style="1241" customWidth="1"/>
    <col min="6919" max="6919" width="10.42578125" style="1241" customWidth="1"/>
    <col min="6920" max="7168" width="9.140625" style="1241"/>
    <col min="7169" max="7169" width="28" style="1241" customWidth="1"/>
    <col min="7170" max="7170" width="13.5703125" style="1241" customWidth="1"/>
    <col min="7171" max="7171" width="14.85546875" style="1241" customWidth="1"/>
    <col min="7172" max="7172" width="14" style="1241" customWidth="1"/>
    <col min="7173" max="7173" width="11.140625" style="1241" customWidth="1"/>
    <col min="7174" max="7174" width="11.7109375" style="1241" customWidth="1"/>
    <col min="7175" max="7175" width="10.42578125" style="1241" customWidth="1"/>
    <col min="7176" max="7424" width="9.140625" style="1241"/>
    <col min="7425" max="7425" width="28" style="1241" customWidth="1"/>
    <col min="7426" max="7426" width="13.5703125" style="1241" customWidth="1"/>
    <col min="7427" max="7427" width="14.85546875" style="1241" customWidth="1"/>
    <col min="7428" max="7428" width="14" style="1241" customWidth="1"/>
    <col min="7429" max="7429" width="11.140625" style="1241" customWidth="1"/>
    <col min="7430" max="7430" width="11.7109375" style="1241" customWidth="1"/>
    <col min="7431" max="7431" width="10.42578125" style="1241" customWidth="1"/>
    <col min="7432" max="7680" width="9.140625" style="1241"/>
    <col min="7681" max="7681" width="28" style="1241" customWidth="1"/>
    <col min="7682" max="7682" width="13.5703125" style="1241" customWidth="1"/>
    <col min="7683" max="7683" width="14.85546875" style="1241" customWidth="1"/>
    <col min="7684" max="7684" width="14" style="1241" customWidth="1"/>
    <col min="7685" max="7685" width="11.140625" style="1241" customWidth="1"/>
    <col min="7686" max="7686" width="11.7109375" style="1241" customWidth="1"/>
    <col min="7687" max="7687" width="10.42578125" style="1241" customWidth="1"/>
    <col min="7688" max="7936" width="9.140625" style="1241"/>
    <col min="7937" max="7937" width="28" style="1241" customWidth="1"/>
    <col min="7938" max="7938" width="13.5703125" style="1241" customWidth="1"/>
    <col min="7939" max="7939" width="14.85546875" style="1241" customWidth="1"/>
    <col min="7940" max="7940" width="14" style="1241" customWidth="1"/>
    <col min="7941" max="7941" width="11.140625" style="1241" customWidth="1"/>
    <col min="7942" max="7942" width="11.7109375" style="1241" customWidth="1"/>
    <col min="7943" max="7943" width="10.42578125" style="1241" customWidth="1"/>
    <col min="7944" max="8192" width="9.140625" style="1241"/>
    <col min="8193" max="8193" width="28" style="1241" customWidth="1"/>
    <col min="8194" max="8194" width="13.5703125" style="1241" customWidth="1"/>
    <col min="8195" max="8195" width="14.85546875" style="1241" customWidth="1"/>
    <col min="8196" max="8196" width="14" style="1241" customWidth="1"/>
    <col min="8197" max="8197" width="11.140625" style="1241" customWidth="1"/>
    <col min="8198" max="8198" width="11.7109375" style="1241" customWidth="1"/>
    <col min="8199" max="8199" width="10.42578125" style="1241" customWidth="1"/>
    <col min="8200" max="8448" width="9.140625" style="1241"/>
    <col min="8449" max="8449" width="28" style="1241" customWidth="1"/>
    <col min="8450" max="8450" width="13.5703125" style="1241" customWidth="1"/>
    <col min="8451" max="8451" width="14.85546875" style="1241" customWidth="1"/>
    <col min="8452" max="8452" width="14" style="1241" customWidth="1"/>
    <col min="8453" max="8453" width="11.140625" style="1241" customWidth="1"/>
    <col min="8454" max="8454" width="11.7109375" style="1241" customWidth="1"/>
    <col min="8455" max="8455" width="10.42578125" style="1241" customWidth="1"/>
    <col min="8456" max="8704" width="9.140625" style="1241"/>
    <col min="8705" max="8705" width="28" style="1241" customWidth="1"/>
    <col min="8706" max="8706" width="13.5703125" style="1241" customWidth="1"/>
    <col min="8707" max="8707" width="14.85546875" style="1241" customWidth="1"/>
    <col min="8708" max="8708" width="14" style="1241" customWidth="1"/>
    <col min="8709" max="8709" width="11.140625" style="1241" customWidth="1"/>
    <col min="8710" max="8710" width="11.7109375" style="1241" customWidth="1"/>
    <col min="8711" max="8711" width="10.42578125" style="1241" customWidth="1"/>
    <col min="8712" max="8960" width="9.140625" style="1241"/>
    <col min="8961" max="8961" width="28" style="1241" customWidth="1"/>
    <col min="8962" max="8962" width="13.5703125" style="1241" customWidth="1"/>
    <col min="8963" max="8963" width="14.85546875" style="1241" customWidth="1"/>
    <col min="8964" max="8964" width="14" style="1241" customWidth="1"/>
    <col min="8965" max="8965" width="11.140625" style="1241" customWidth="1"/>
    <col min="8966" max="8966" width="11.7109375" style="1241" customWidth="1"/>
    <col min="8967" max="8967" width="10.42578125" style="1241" customWidth="1"/>
    <col min="8968" max="9216" width="9.140625" style="1241"/>
    <col min="9217" max="9217" width="28" style="1241" customWidth="1"/>
    <col min="9218" max="9218" width="13.5703125" style="1241" customWidth="1"/>
    <col min="9219" max="9219" width="14.85546875" style="1241" customWidth="1"/>
    <col min="9220" max="9220" width="14" style="1241" customWidth="1"/>
    <col min="9221" max="9221" width="11.140625" style="1241" customWidth="1"/>
    <col min="9222" max="9222" width="11.7109375" style="1241" customWidth="1"/>
    <col min="9223" max="9223" width="10.42578125" style="1241" customWidth="1"/>
    <col min="9224" max="9472" width="9.140625" style="1241"/>
    <col min="9473" max="9473" width="28" style="1241" customWidth="1"/>
    <col min="9474" max="9474" width="13.5703125" style="1241" customWidth="1"/>
    <col min="9475" max="9475" width="14.85546875" style="1241" customWidth="1"/>
    <col min="9476" max="9476" width="14" style="1241" customWidth="1"/>
    <col min="9477" max="9477" width="11.140625" style="1241" customWidth="1"/>
    <col min="9478" max="9478" width="11.7109375" style="1241" customWidth="1"/>
    <col min="9479" max="9479" width="10.42578125" style="1241" customWidth="1"/>
    <col min="9480" max="9728" width="9.140625" style="1241"/>
    <col min="9729" max="9729" width="28" style="1241" customWidth="1"/>
    <col min="9730" max="9730" width="13.5703125" style="1241" customWidth="1"/>
    <col min="9731" max="9731" width="14.85546875" style="1241" customWidth="1"/>
    <col min="9732" max="9732" width="14" style="1241" customWidth="1"/>
    <col min="9733" max="9733" width="11.140625" style="1241" customWidth="1"/>
    <col min="9734" max="9734" width="11.7109375" style="1241" customWidth="1"/>
    <col min="9735" max="9735" width="10.42578125" style="1241" customWidth="1"/>
    <col min="9736" max="9984" width="9.140625" style="1241"/>
    <col min="9985" max="9985" width="28" style="1241" customWidth="1"/>
    <col min="9986" max="9986" width="13.5703125" style="1241" customWidth="1"/>
    <col min="9987" max="9987" width="14.85546875" style="1241" customWidth="1"/>
    <col min="9988" max="9988" width="14" style="1241" customWidth="1"/>
    <col min="9989" max="9989" width="11.140625" style="1241" customWidth="1"/>
    <col min="9990" max="9990" width="11.7109375" style="1241" customWidth="1"/>
    <col min="9991" max="9991" width="10.42578125" style="1241" customWidth="1"/>
    <col min="9992" max="10240" width="9.140625" style="1241"/>
    <col min="10241" max="10241" width="28" style="1241" customWidth="1"/>
    <col min="10242" max="10242" width="13.5703125" style="1241" customWidth="1"/>
    <col min="10243" max="10243" width="14.85546875" style="1241" customWidth="1"/>
    <col min="10244" max="10244" width="14" style="1241" customWidth="1"/>
    <col min="10245" max="10245" width="11.140625" style="1241" customWidth="1"/>
    <col min="10246" max="10246" width="11.7109375" style="1241" customWidth="1"/>
    <col min="10247" max="10247" width="10.42578125" style="1241" customWidth="1"/>
    <col min="10248" max="10496" width="9.140625" style="1241"/>
    <col min="10497" max="10497" width="28" style="1241" customWidth="1"/>
    <col min="10498" max="10498" width="13.5703125" style="1241" customWidth="1"/>
    <col min="10499" max="10499" width="14.85546875" style="1241" customWidth="1"/>
    <col min="10500" max="10500" width="14" style="1241" customWidth="1"/>
    <col min="10501" max="10501" width="11.140625" style="1241" customWidth="1"/>
    <col min="10502" max="10502" width="11.7109375" style="1241" customWidth="1"/>
    <col min="10503" max="10503" width="10.42578125" style="1241" customWidth="1"/>
    <col min="10504" max="10752" width="9.140625" style="1241"/>
    <col min="10753" max="10753" width="28" style="1241" customWidth="1"/>
    <col min="10754" max="10754" width="13.5703125" style="1241" customWidth="1"/>
    <col min="10755" max="10755" width="14.85546875" style="1241" customWidth="1"/>
    <col min="10756" max="10756" width="14" style="1241" customWidth="1"/>
    <col min="10757" max="10757" width="11.140625" style="1241" customWidth="1"/>
    <col min="10758" max="10758" width="11.7109375" style="1241" customWidth="1"/>
    <col min="10759" max="10759" width="10.42578125" style="1241" customWidth="1"/>
    <col min="10760" max="11008" width="9.140625" style="1241"/>
    <col min="11009" max="11009" width="28" style="1241" customWidth="1"/>
    <col min="11010" max="11010" width="13.5703125" style="1241" customWidth="1"/>
    <col min="11011" max="11011" width="14.85546875" style="1241" customWidth="1"/>
    <col min="11012" max="11012" width="14" style="1241" customWidth="1"/>
    <col min="11013" max="11013" width="11.140625" style="1241" customWidth="1"/>
    <col min="11014" max="11014" width="11.7109375" style="1241" customWidth="1"/>
    <col min="11015" max="11015" width="10.42578125" style="1241" customWidth="1"/>
    <col min="11016" max="11264" width="9.140625" style="1241"/>
    <col min="11265" max="11265" width="28" style="1241" customWidth="1"/>
    <col min="11266" max="11266" width="13.5703125" style="1241" customWidth="1"/>
    <col min="11267" max="11267" width="14.85546875" style="1241" customWidth="1"/>
    <col min="11268" max="11268" width="14" style="1241" customWidth="1"/>
    <col min="11269" max="11269" width="11.140625" style="1241" customWidth="1"/>
    <col min="11270" max="11270" width="11.7109375" style="1241" customWidth="1"/>
    <col min="11271" max="11271" width="10.42578125" style="1241" customWidth="1"/>
    <col min="11272" max="11520" width="9.140625" style="1241"/>
    <col min="11521" max="11521" width="28" style="1241" customWidth="1"/>
    <col min="11522" max="11522" width="13.5703125" style="1241" customWidth="1"/>
    <col min="11523" max="11523" width="14.85546875" style="1241" customWidth="1"/>
    <col min="11524" max="11524" width="14" style="1241" customWidth="1"/>
    <col min="11525" max="11525" width="11.140625" style="1241" customWidth="1"/>
    <col min="11526" max="11526" width="11.7109375" style="1241" customWidth="1"/>
    <col min="11527" max="11527" width="10.42578125" style="1241" customWidth="1"/>
    <col min="11528" max="11776" width="9.140625" style="1241"/>
    <col min="11777" max="11777" width="28" style="1241" customWidth="1"/>
    <col min="11778" max="11778" width="13.5703125" style="1241" customWidth="1"/>
    <col min="11779" max="11779" width="14.85546875" style="1241" customWidth="1"/>
    <col min="11780" max="11780" width="14" style="1241" customWidth="1"/>
    <col min="11781" max="11781" width="11.140625" style="1241" customWidth="1"/>
    <col min="11782" max="11782" width="11.7109375" style="1241" customWidth="1"/>
    <col min="11783" max="11783" width="10.42578125" style="1241" customWidth="1"/>
    <col min="11784" max="12032" width="9.140625" style="1241"/>
    <col min="12033" max="12033" width="28" style="1241" customWidth="1"/>
    <col min="12034" max="12034" width="13.5703125" style="1241" customWidth="1"/>
    <col min="12035" max="12035" width="14.85546875" style="1241" customWidth="1"/>
    <col min="12036" max="12036" width="14" style="1241" customWidth="1"/>
    <col min="12037" max="12037" width="11.140625" style="1241" customWidth="1"/>
    <col min="12038" max="12038" width="11.7109375" style="1241" customWidth="1"/>
    <col min="12039" max="12039" width="10.42578125" style="1241" customWidth="1"/>
    <col min="12040" max="12288" width="9.140625" style="1241"/>
    <col min="12289" max="12289" width="28" style="1241" customWidth="1"/>
    <col min="12290" max="12290" width="13.5703125" style="1241" customWidth="1"/>
    <col min="12291" max="12291" width="14.85546875" style="1241" customWidth="1"/>
    <col min="12292" max="12292" width="14" style="1241" customWidth="1"/>
    <col min="12293" max="12293" width="11.140625" style="1241" customWidth="1"/>
    <col min="12294" max="12294" width="11.7109375" style="1241" customWidth="1"/>
    <col min="12295" max="12295" width="10.42578125" style="1241" customWidth="1"/>
    <col min="12296" max="12544" width="9.140625" style="1241"/>
    <col min="12545" max="12545" width="28" style="1241" customWidth="1"/>
    <col min="12546" max="12546" width="13.5703125" style="1241" customWidth="1"/>
    <col min="12547" max="12547" width="14.85546875" style="1241" customWidth="1"/>
    <col min="12548" max="12548" width="14" style="1241" customWidth="1"/>
    <col min="12549" max="12549" width="11.140625" style="1241" customWidth="1"/>
    <col min="12550" max="12550" width="11.7109375" style="1241" customWidth="1"/>
    <col min="12551" max="12551" width="10.42578125" style="1241" customWidth="1"/>
    <col min="12552" max="12800" width="9.140625" style="1241"/>
    <col min="12801" max="12801" width="28" style="1241" customWidth="1"/>
    <col min="12802" max="12802" width="13.5703125" style="1241" customWidth="1"/>
    <col min="12803" max="12803" width="14.85546875" style="1241" customWidth="1"/>
    <col min="12804" max="12804" width="14" style="1241" customWidth="1"/>
    <col min="12805" max="12805" width="11.140625" style="1241" customWidth="1"/>
    <col min="12806" max="12806" width="11.7109375" style="1241" customWidth="1"/>
    <col min="12807" max="12807" width="10.42578125" style="1241" customWidth="1"/>
    <col min="12808" max="13056" width="9.140625" style="1241"/>
    <col min="13057" max="13057" width="28" style="1241" customWidth="1"/>
    <col min="13058" max="13058" width="13.5703125" style="1241" customWidth="1"/>
    <col min="13059" max="13059" width="14.85546875" style="1241" customWidth="1"/>
    <col min="13060" max="13060" width="14" style="1241" customWidth="1"/>
    <col min="13061" max="13061" width="11.140625" style="1241" customWidth="1"/>
    <col min="13062" max="13062" width="11.7109375" style="1241" customWidth="1"/>
    <col min="13063" max="13063" width="10.42578125" style="1241" customWidth="1"/>
    <col min="13064" max="13312" width="9.140625" style="1241"/>
    <col min="13313" max="13313" width="28" style="1241" customWidth="1"/>
    <col min="13314" max="13314" width="13.5703125" style="1241" customWidth="1"/>
    <col min="13315" max="13315" width="14.85546875" style="1241" customWidth="1"/>
    <col min="13316" max="13316" width="14" style="1241" customWidth="1"/>
    <col min="13317" max="13317" width="11.140625" style="1241" customWidth="1"/>
    <col min="13318" max="13318" width="11.7109375" style="1241" customWidth="1"/>
    <col min="13319" max="13319" width="10.42578125" style="1241" customWidth="1"/>
    <col min="13320" max="13568" width="9.140625" style="1241"/>
    <col min="13569" max="13569" width="28" style="1241" customWidth="1"/>
    <col min="13570" max="13570" width="13.5703125" style="1241" customWidth="1"/>
    <col min="13571" max="13571" width="14.85546875" style="1241" customWidth="1"/>
    <col min="13572" max="13572" width="14" style="1241" customWidth="1"/>
    <col min="13573" max="13573" width="11.140625" style="1241" customWidth="1"/>
    <col min="13574" max="13574" width="11.7109375" style="1241" customWidth="1"/>
    <col min="13575" max="13575" width="10.42578125" style="1241" customWidth="1"/>
    <col min="13576" max="13824" width="9.140625" style="1241"/>
    <col min="13825" max="13825" width="28" style="1241" customWidth="1"/>
    <col min="13826" max="13826" width="13.5703125" style="1241" customWidth="1"/>
    <col min="13827" max="13827" width="14.85546875" style="1241" customWidth="1"/>
    <col min="13828" max="13828" width="14" style="1241" customWidth="1"/>
    <col min="13829" max="13829" width="11.140625" style="1241" customWidth="1"/>
    <col min="13830" max="13830" width="11.7109375" style="1241" customWidth="1"/>
    <col min="13831" max="13831" width="10.42578125" style="1241" customWidth="1"/>
    <col min="13832" max="14080" width="9.140625" style="1241"/>
    <col min="14081" max="14081" width="28" style="1241" customWidth="1"/>
    <col min="14082" max="14082" width="13.5703125" style="1241" customWidth="1"/>
    <col min="14083" max="14083" width="14.85546875" style="1241" customWidth="1"/>
    <col min="14084" max="14084" width="14" style="1241" customWidth="1"/>
    <col min="14085" max="14085" width="11.140625" style="1241" customWidth="1"/>
    <col min="14086" max="14086" width="11.7109375" style="1241" customWidth="1"/>
    <col min="14087" max="14087" width="10.42578125" style="1241" customWidth="1"/>
    <col min="14088" max="14336" width="9.140625" style="1241"/>
    <col min="14337" max="14337" width="28" style="1241" customWidth="1"/>
    <col min="14338" max="14338" width="13.5703125" style="1241" customWidth="1"/>
    <col min="14339" max="14339" width="14.85546875" style="1241" customWidth="1"/>
    <col min="14340" max="14340" width="14" style="1241" customWidth="1"/>
    <col min="14341" max="14341" width="11.140625" style="1241" customWidth="1"/>
    <col min="14342" max="14342" width="11.7109375" style="1241" customWidth="1"/>
    <col min="14343" max="14343" width="10.42578125" style="1241" customWidth="1"/>
    <col min="14344" max="14592" width="9.140625" style="1241"/>
    <col min="14593" max="14593" width="28" style="1241" customWidth="1"/>
    <col min="14594" max="14594" width="13.5703125" style="1241" customWidth="1"/>
    <col min="14595" max="14595" width="14.85546875" style="1241" customWidth="1"/>
    <col min="14596" max="14596" width="14" style="1241" customWidth="1"/>
    <col min="14597" max="14597" width="11.140625" style="1241" customWidth="1"/>
    <col min="14598" max="14598" width="11.7109375" style="1241" customWidth="1"/>
    <col min="14599" max="14599" width="10.42578125" style="1241" customWidth="1"/>
    <col min="14600" max="14848" width="9.140625" style="1241"/>
    <col min="14849" max="14849" width="28" style="1241" customWidth="1"/>
    <col min="14850" max="14850" width="13.5703125" style="1241" customWidth="1"/>
    <col min="14851" max="14851" width="14.85546875" style="1241" customWidth="1"/>
    <col min="14852" max="14852" width="14" style="1241" customWidth="1"/>
    <col min="14853" max="14853" width="11.140625" style="1241" customWidth="1"/>
    <col min="14854" max="14854" width="11.7109375" style="1241" customWidth="1"/>
    <col min="14855" max="14855" width="10.42578125" style="1241" customWidth="1"/>
    <col min="14856" max="15104" width="9.140625" style="1241"/>
    <col min="15105" max="15105" width="28" style="1241" customWidth="1"/>
    <col min="15106" max="15106" width="13.5703125" style="1241" customWidth="1"/>
    <col min="15107" max="15107" width="14.85546875" style="1241" customWidth="1"/>
    <col min="15108" max="15108" width="14" style="1241" customWidth="1"/>
    <col min="15109" max="15109" width="11.140625" style="1241" customWidth="1"/>
    <col min="15110" max="15110" width="11.7109375" style="1241" customWidth="1"/>
    <col min="15111" max="15111" width="10.42578125" style="1241" customWidth="1"/>
    <col min="15112" max="15360" width="9.140625" style="1241"/>
    <col min="15361" max="15361" width="28" style="1241" customWidth="1"/>
    <col min="15362" max="15362" width="13.5703125" style="1241" customWidth="1"/>
    <col min="15363" max="15363" width="14.85546875" style="1241" customWidth="1"/>
    <col min="15364" max="15364" width="14" style="1241" customWidth="1"/>
    <col min="15365" max="15365" width="11.140625" style="1241" customWidth="1"/>
    <col min="15366" max="15366" width="11.7109375" style="1241" customWidth="1"/>
    <col min="15367" max="15367" width="10.42578125" style="1241" customWidth="1"/>
    <col min="15368" max="15616" width="9.140625" style="1241"/>
    <col min="15617" max="15617" width="28" style="1241" customWidth="1"/>
    <col min="15618" max="15618" width="13.5703125" style="1241" customWidth="1"/>
    <col min="15619" max="15619" width="14.85546875" style="1241" customWidth="1"/>
    <col min="15620" max="15620" width="14" style="1241" customWidth="1"/>
    <col min="15621" max="15621" width="11.140625" style="1241" customWidth="1"/>
    <col min="15622" max="15622" width="11.7109375" style="1241" customWidth="1"/>
    <col min="15623" max="15623" width="10.42578125" style="1241" customWidth="1"/>
    <col min="15624" max="15872" width="9.140625" style="1241"/>
    <col min="15873" max="15873" width="28" style="1241" customWidth="1"/>
    <col min="15874" max="15874" width="13.5703125" style="1241" customWidth="1"/>
    <col min="15875" max="15875" width="14.85546875" style="1241" customWidth="1"/>
    <col min="15876" max="15876" width="14" style="1241" customWidth="1"/>
    <col min="15877" max="15877" width="11.140625" style="1241" customWidth="1"/>
    <col min="15878" max="15878" width="11.7109375" style="1241" customWidth="1"/>
    <col min="15879" max="15879" width="10.42578125" style="1241" customWidth="1"/>
    <col min="15880" max="16128" width="9.140625" style="1241"/>
    <col min="16129" max="16129" width="28" style="1241" customWidth="1"/>
    <col min="16130" max="16130" width="13.5703125" style="1241" customWidth="1"/>
    <col min="16131" max="16131" width="14.85546875" style="1241" customWidth="1"/>
    <col min="16132" max="16132" width="14" style="1241" customWidth="1"/>
    <col min="16133" max="16133" width="11.140625" style="1241" customWidth="1"/>
    <col min="16134" max="16134" width="11.7109375" style="1241" customWidth="1"/>
    <col min="16135" max="16135" width="10.42578125" style="1241" customWidth="1"/>
    <col min="16136" max="16384" width="9.140625" style="1241"/>
  </cols>
  <sheetData>
    <row r="1" spans="1:4" ht="14.25">
      <c r="A1" s="1240" t="s">
        <v>234</v>
      </c>
    </row>
    <row r="3" spans="1:4">
      <c r="A3" s="1242" t="s">
        <v>192</v>
      </c>
      <c r="B3" s="1243">
        <f>ROUND(42467719.1/(25819270.7+27353668.16),2)</f>
        <v>0.8</v>
      </c>
    </row>
    <row r="4" spans="1:4">
      <c r="A4" s="1242"/>
      <c r="B4" s="1244"/>
    </row>
    <row r="5" spans="1:4" ht="39.75" customHeight="1">
      <c r="B5" s="1245" t="s">
        <v>191</v>
      </c>
      <c r="C5" s="1245" t="s">
        <v>225</v>
      </c>
      <c r="D5" s="1246" t="s">
        <v>839</v>
      </c>
    </row>
    <row r="6" spans="1:4">
      <c r="A6" s="428" t="s">
        <v>237</v>
      </c>
      <c r="B6" s="1247">
        <f>+Powerhouse!CC338</f>
        <v>86364534.8182666</v>
      </c>
      <c r="C6" s="1247">
        <f t="shared" ref="C6:C13" si="0">B6</f>
        <v>86364534.8182666</v>
      </c>
      <c r="D6" s="1248">
        <f t="shared" ref="D6:D13" si="1">C6/B6</f>
        <v>1</v>
      </c>
    </row>
    <row r="7" spans="1:4" hidden="1" outlineLevel="1">
      <c r="A7" s="428"/>
      <c r="B7" s="1247"/>
      <c r="C7" s="1247">
        <f t="shared" si="0"/>
        <v>0</v>
      </c>
      <c r="D7" s="1248" t="e">
        <f t="shared" si="1"/>
        <v>#DIV/0!</v>
      </c>
    </row>
    <row r="8" spans="1:4" hidden="1" outlineLevel="1">
      <c r="A8" s="428"/>
      <c r="B8" s="1247"/>
      <c r="C8" s="1247">
        <f t="shared" si="0"/>
        <v>0</v>
      </c>
      <c r="D8" s="1248" t="e">
        <f t="shared" si="1"/>
        <v>#DIV/0!</v>
      </c>
    </row>
    <row r="9" spans="1:4" hidden="1" outlineLevel="1">
      <c r="A9" s="1249"/>
      <c r="B9" s="1247"/>
      <c r="C9" s="1247">
        <f t="shared" si="0"/>
        <v>0</v>
      </c>
      <c r="D9" s="1248" t="e">
        <f t="shared" si="1"/>
        <v>#DIV/0!</v>
      </c>
    </row>
    <row r="10" spans="1:4" hidden="1" outlineLevel="1">
      <c r="A10" s="1249"/>
      <c r="B10" s="1247"/>
      <c r="C10" s="1247">
        <f t="shared" si="0"/>
        <v>0</v>
      </c>
      <c r="D10" s="1248" t="e">
        <f t="shared" si="1"/>
        <v>#DIV/0!</v>
      </c>
    </row>
    <row r="11" spans="1:4" hidden="1" outlineLevel="1">
      <c r="A11" s="1250"/>
      <c r="B11" s="1247"/>
      <c r="C11" s="1247">
        <f t="shared" si="0"/>
        <v>0</v>
      </c>
      <c r="D11" s="1248" t="e">
        <f t="shared" si="1"/>
        <v>#DIV/0!</v>
      </c>
    </row>
    <row r="12" spans="1:4" hidden="1" outlineLevel="1">
      <c r="A12" s="1250"/>
      <c r="B12" s="1247"/>
      <c r="C12" s="1247">
        <f t="shared" si="0"/>
        <v>0</v>
      </c>
      <c r="D12" s="1248" t="e">
        <f t="shared" si="1"/>
        <v>#DIV/0!</v>
      </c>
    </row>
    <row r="13" spans="1:4" hidden="1" outlineLevel="1">
      <c r="A13" s="1250"/>
      <c r="B13" s="1247"/>
      <c r="C13" s="1247">
        <f t="shared" si="0"/>
        <v>0</v>
      </c>
      <c r="D13" s="1248" t="e">
        <f t="shared" si="1"/>
        <v>#DIV/0!</v>
      </c>
    </row>
    <row r="14" spans="1:4" collapsed="1">
      <c r="A14" s="428" t="s">
        <v>840</v>
      </c>
      <c r="B14" s="1247">
        <f>+'Hydro Summary Update'!E12</f>
        <v>8830442.0933333319</v>
      </c>
      <c r="C14" s="1251"/>
    </row>
    <row r="15" spans="1:4">
      <c r="A15" s="1250" t="s">
        <v>190</v>
      </c>
      <c r="B15" s="1251"/>
      <c r="C15" s="1247">
        <f>B14*$B$3</f>
        <v>7064353.6746666655</v>
      </c>
      <c r="D15" s="1252">
        <f>+C15/B14</f>
        <v>0.8</v>
      </c>
    </row>
    <row r="16" spans="1:4" ht="6" customHeight="1"/>
    <row r="17" spans="1:12" ht="17.25" customHeight="1">
      <c r="A17" s="1253" t="s">
        <v>189</v>
      </c>
      <c r="B17" s="1254">
        <f>SUM(B6:B14)</f>
        <v>95194976.911599934</v>
      </c>
      <c r="C17" s="1255"/>
      <c r="D17" s="1256"/>
    </row>
    <row r="18" spans="1:12" ht="21.75" customHeight="1">
      <c r="A18" s="1257" t="s">
        <v>188</v>
      </c>
      <c r="B18" s="1258"/>
      <c r="C18" s="1259">
        <f>SUM(C6:C15)</f>
        <v>93428888.492933273</v>
      </c>
      <c r="D18" s="1260"/>
      <c r="F18" s="430"/>
      <c r="G18" s="430"/>
      <c r="H18" s="430"/>
      <c r="I18" s="430"/>
      <c r="J18" s="430"/>
      <c r="K18" s="430"/>
      <c r="L18" s="430"/>
    </row>
    <row r="19" spans="1:12" ht="25.5" customHeight="1">
      <c r="D19" s="1261" t="s">
        <v>841</v>
      </c>
      <c r="E19" s="1261"/>
      <c r="F19" s="430"/>
      <c r="G19" s="430"/>
      <c r="H19" s="430"/>
      <c r="I19" s="430"/>
      <c r="J19" s="430"/>
      <c r="K19" s="430"/>
      <c r="L19" s="430"/>
    </row>
    <row r="20" spans="1:12" ht="15.75" thickBot="1">
      <c r="B20" s="1262" t="s">
        <v>229</v>
      </c>
      <c r="C20" s="1263">
        <f>C18*(30)%</f>
        <v>28028666.547879983</v>
      </c>
      <c r="D20" s="1264" t="s">
        <v>242</v>
      </c>
      <c r="E20" s="1265"/>
      <c r="F20" s="430"/>
      <c r="G20" s="430"/>
      <c r="H20" s="430"/>
      <c r="I20" s="430"/>
      <c r="J20" s="430"/>
      <c r="K20" s="430"/>
      <c r="L20" s="430"/>
    </row>
    <row r="21" spans="1:12" ht="15.75" thickBot="1">
      <c r="B21" s="1262" t="s">
        <v>228</v>
      </c>
      <c r="C21" s="1266">
        <f>+C20*(1-0.087)</f>
        <v>25590172.558214426</v>
      </c>
      <c r="F21" s="430"/>
      <c r="G21" s="430"/>
      <c r="H21" s="430"/>
      <c r="I21" s="430"/>
      <c r="J21" s="430"/>
      <c r="K21" s="430"/>
      <c r="L21" s="430"/>
    </row>
    <row r="22" spans="1:12">
      <c r="B22" s="1267"/>
      <c r="C22" s="1268"/>
      <c r="F22" s="430"/>
      <c r="G22" s="430"/>
      <c r="H22" s="430"/>
      <c r="I22" s="430"/>
      <c r="J22" s="430"/>
      <c r="K22" s="430"/>
      <c r="L22" s="430"/>
    </row>
    <row r="23" spans="1:12">
      <c r="B23" s="1267"/>
      <c r="C23" s="1269"/>
      <c r="F23" s="430"/>
      <c r="G23" s="430"/>
      <c r="H23" s="430"/>
      <c r="I23" s="430"/>
      <c r="J23" s="430"/>
      <c r="K23" s="430"/>
      <c r="L23" s="430"/>
    </row>
    <row r="24" spans="1:12">
      <c r="B24" s="1267"/>
      <c r="C24" s="1270"/>
      <c r="F24" s="430"/>
      <c r="G24" s="430"/>
      <c r="H24" s="430"/>
      <c r="I24" s="430"/>
      <c r="J24" s="430"/>
      <c r="K24" s="430"/>
      <c r="L24" s="430"/>
    </row>
    <row r="25" spans="1:12">
      <c r="B25" s="1271"/>
      <c r="C25" s="1268"/>
      <c r="F25" s="430"/>
      <c r="G25" s="430"/>
      <c r="H25" s="430"/>
      <c r="I25" s="430"/>
      <c r="J25" s="430"/>
      <c r="K25" s="430"/>
      <c r="L25" s="430"/>
    </row>
    <row r="26" spans="1:12">
      <c r="F26" s="430"/>
      <c r="G26" s="430"/>
      <c r="H26" s="430"/>
      <c r="I26" s="430"/>
      <c r="J26" s="430"/>
      <c r="K26" s="430"/>
      <c r="L26" s="430"/>
    </row>
    <row r="27" spans="1:12">
      <c r="F27" s="430"/>
      <c r="G27" s="430"/>
      <c r="H27" s="430"/>
      <c r="I27" s="430"/>
      <c r="J27" s="430"/>
      <c r="K27" s="430"/>
      <c r="L27" s="430"/>
    </row>
    <row r="28" spans="1:12">
      <c r="F28" s="430"/>
      <c r="G28" s="430"/>
      <c r="H28" s="430"/>
      <c r="I28" s="430"/>
      <c r="J28" s="430"/>
      <c r="K28" s="430"/>
      <c r="L28" s="430"/>
    </row>
    <row r="29" spans="1:12">
      <c r="F29" s="430"/>
      <c r="G29" s="430"/>
      <c r="H29" s="430"/>
      <c r="I29" s="430"/>
      <c r="J29" s="430"/>
      <c r="K29" s="430"/>
      <c r="L29" s="430"/>
    </row>
  </sheetData>
  <pageMargins left="0.75" right="0.75" top="1" bottom="1" header="0.5" footer="0.5"/>
  <pageSetup orientation="landscape" cellComments="asDisplayed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>
      <selection activeCell="J41" sqref="J41"/>
    </sheetView>
  </sheetViews>
  <sheetFormatPr defaultColWidth="9.140625" defaultRowHeight="12.75"/>
  <cols>
    <col min="1" max="16384" width="9.140625" style="104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I38"/>
  <sheetViews>
    <sheetView zoomScale="88" workbookViewId="0">
      <selection activeCell="B6" sqref="B6"/>
    </sheetView>
  </sheetViews>
  <sheetFormatPr defaultColWidth="8.85546875" defaultRowHeight="15" customHeight="1"/>
  <cols>
    <col min="1" max="1" width="5.42578125" style="92" bestFit="1" customWidth="1"/>
    <col min="2" max="2" width="48.7109375" style="92" bestFit="1" customWidth="1"/>
    <col min="3" max="3" width="4.28515625" style="92" bestFit="1" customWidth="1"/>
    <col min="4" max="4" width="11.7109375" style="92" bestFit="1" customWidth="1"/>
    <col min="5" max="5" width="13.140625" style="92" bestFit="1" customWidth="1"/>
    <col min="6" max="6" width="14.42578125" style="92" bestFit="1" customWidth="1"/>
    <col min="7" max="16384" width="8.85546875" style="93"/>
  </cols>
  <sheetData>
    <row r="1" spans="1:9" ht="21.75" customHeight="1">
      <c r="A1" s="1494" t="s">
        <v>55</v>
      </c>
      <c r="B1" s="1494"/>
      <c r="C1" s="1494"/>
      <c r="D1" s="1494"/>
      <c r="E1" s="1494"/>
      <c r="F1" s="1494"/>
    </row>
    <row r="2" spans="1:9" ht="17.25" customHeight="1">
      <c r="A2" s="1495" t="s">
        <v>856</v>
      </c>
      <c r="B2" s="1495"/>
      <c r="C2" s="1495"/>
      <c r="D2" s="1495"/>
      <c r="E2" s="1495"/>
      <c r="F2" s="1495"/>
    </row>
    <row r="3" spans="1:9" ht="15" customHeight="1">
      <c r="A3" s="1496" t="s">
        <v>847</v>
      </c>
      <c r="B3" s="1496"/>
      <c r="C3" s="1496"/>
      <c r="D3" s="1496"/>
      <c r="E3" s="1496"/>
      <c r="F3" s="1496"/>
    </row>
    <row r="4" spans="1:9" ht="15" customHeight="1">
      <c r="A4" s="1321"/>
      <c r="B4" s="1321"/>
      <c r="C4" s="1321"/>
      <c r="D4" s="1321"/>
      <c r="E4" s="1321"/>
      <c r="F4" s="1321"/>
    </row>
    <row r="5" spans="1:9" ht="15" customHeight="1">
      <c r="A5" s="188"/>
      <c r="B5" s="188"/>
      <c r="C5" s="188"/>
    </row>
    <row r="6" spans="1:9" ht="29.45" customHeight="1">
      <c r="B6" s="189"/>
      <c r="C6" s="189"/>
      <c r="D6" s="1497" t="s">
        <v>856</v>
      </c>
      <c r="E6" s="1498"/>
      <c r="F6" s="1499"/>
    </row>
    <row r="7" spans="1:9" ht="15" customHeight="1">
      <c r="A7" s="190" t="s">
        <v>56</v>
      </c>
      <c r="B7" s="189"/>
      <c r="C7" s="189"/>
      <c r="D7" s="191"/>
      <c r="E7" s="191"/>
      <c r="F7" s="191"/>
    </row>
    <row r="8" spans="1:9" ht="15" customHeight="1">
      <c r="A8" s="192" t="s">
        <v>57</v>
      </c>
      <c r="B8" s="193" t="s">
        <v>58</v>
      </c>
      <c r="C8" s="193"/>
      <c r="D8" s="194" t="s">
        <v>59</v>
      </c>
      <c r="E8" s="194" t="s">
        <v>849</v>
      </c>
      <c r="F8" s="194" t="s">
        <v>60</v>
      </c>
    </row>
    <row r="9" spans="1:9" ht="15" customHeight="1">
      <c r="A9" s="66"/>
      <c r="B9" s="66"/>
      <c r="C9" s="66"/>
      <c r="D9" s="66"/>
      <c r="E9" s="66"/>
      <c r="F9" s="66"/>
    </row>
    <row r="10" spans="1:9" ht="15" customHeight="1">
      <c r="A10" s="65">
        <v>1</v>
      </c>
      <c r="B10" s="195" t="s">
        <v>151</v>
      </c>
      <c r="C10" s="195"/>
      <c r="D10" s="66"/>
      <c r="E10" s="66" t="s">
        <v>848</v>
      </c>
      <c r="F10" s="66"/>
    </row>
    <row r="11" spans="1:9" ht="15" customHeight="1">
      <c r="A11" s="65">
        <f t="shared" ref="A11:A33" si="0">A10+1</f>
        <v>2</v>
      </c>
      <c r="B11" s="195" t="s">
        <v>61</v>
      </c>
      <c r="C11" s="195"/>
    </row>
    <row r="12" spans="1:9" ht="15" customHeight="1">
      <c r="A12" s="65">
        <f t="shared" si="0"/>
        <v>3</v>
      </c>
      <c r="B12" s="196" t="s">
        <v>62</v>
      </c>
      <c r="C12" s="196"/>
      <c r="D12" s="97"/>
      <c r="E12" s="197">
        <f>+'Book Bal'!C93</f>
        <v>152062126.11249995</v>
      </c>
      <c r="F12" s="197">
        <f>+E12-D12</f>
        <v>152062126.11249995</v>
      </c>
    </row>
    <row r="13" spans="1:9" ht="15" customHeight="1">
      <c r="A13" s="65">
        <f>A12+1</f>
        <v>4</v>
      </c>
      <c r="B13" s="196" t="s">
        <v>63</v>
      </c>
      <c r="C13" s="196"/>
      <c r="D13" s="98"/>
      <c r="E13" s="99">
        <f>'Book Bal'!E93</f>
        <v>-3397260.3265684545</v>
      </c>
      <c r="F13" s="99">
        <f>+E13-D13</f>
        <v>-3397260.3265684545</v>
      </c>
      <c r="H13" s="1340"/>
    </row>
    <row r="14" spans="1:9" ht="15" customHeight="1">
      <c r="A14" s="65">
        <f t="shared" si="0"/>
        <v>5</v>
      </c>
      <c r="B14" s="196" t="s">
        <v>64</v>
      </c>
      <c r="C14" s="196"/>
      <c r="D14" s="99"/>
      <c r="E14" s="99">
        <f>+'DFIT IRS'!I31</f>
        <v>-23946246.489657301</v>
      </c>
      <c r="F14" s="99">
        <f>+E14-D14</f>
        <v>-23946246.489657301</v>
      </c>
      <c r="H14" s="99"/>
      <c r="I14" s="99"/>
    </row>
    <row r="15" spans="1:9" ht="15" customHeight="1" thickBot="1">
      <c r="A15" s="65">
        <f t="shared" si="0"/>
        <v>6</v>
      </c>
      <c r="B15" s="72" t="s">
        <v>152</v>
      </c>
      <c r="C15" s="72"/>
      <c r="D15" s="67">
        <f>SUM(D12:D14)</f>
        <v>0</v>
      </c>
      <c r="E15" s="67">
        <f>SUM(E12:E14)</f>
        <v>124718619.2962742</v>
      </c>
      <c r="F15" s="67">
        <f>SUM(F12:F14)</f>
        <v>124718619.2962742</v>
      </c>
    </row>
    <row r="16" spans="1:9" ht="15" customHeight="1" thickTop="1">
      <c r="A16" s="65">
        <f t="shared" si="0"/>
        <v>7</v>
      </c>
      <c r="B16" s="68"/>
      <c r="C16" s="68"/>
      <c r="D16" s="69"/>
      <c r="E16" s="100"/>
      <c r="F16" s="69"/>
    </row>
    <row r="17" spans="1:6" ht="15" customHeight="1">
      <c r="A17" s="65">
        <f t="shared" si="0"/>
        <v>8</v>
      </c>
      <c r="B17" s="195" t="s">
        <v>153</v>
      </c>
      <c r="C17" s="195"/>
    </row>
    <row r="18" spans="1:6" ht="15" customHeight="1">
      <c r="A18" s="65">
        <f t="shared" si="0"/>
        <v>9</v>
      </c>
      <c r="B18" s="76" t="s">
        <v>97</v>
      </c>
      <c r="C18" s="76"/>
      <c r="D18" s="97">
        <v>0</v>
      </c>
      <c r="E18" s="197">
        <f>+'#1+#2+3 Tot Baker DFIT'!G107</f>
        <v>2997078.4107154445</v>
      </c>
      <c r="F18" s="197">
        <f>+E18-D18</f>
        <v>2997078.4107154445</v>
      </c>
    </row>
    <row r="19" spans="1:6" ht="15" customHeight="1">
      <c r="A19" s="65">
        <f t="shared" si="0"/>
        <v>10</v>
      </c>
      <c r="B19" s="76" t="s">
        <v>98</v>
      </c>
      <c r="C19" s="76"/>
      <c r="D19" s="197">
        <v>0</v>
      </c>
      <c r="E19" s="197">
        <f>+'#1+#2+3 Tot Baker DFIT'!H107</f>
        <v>335811.66631202359</v>
      </c>
      <c r="F19" s="197">
        <f>+E19-D19</f>
        <v>335811.66631202359</v>
      </c>
    </row>
    <row r="20" spans="1:6" ht="15" customHeight="1">
      <c r="A20" s="65">
        <f t="shared" si="0"/>
        <v>11</v>
      </c>
      <c r="B20" s="76" t="s">
        <v>196</v>
      </c>
      <c r="C20" s="76"/>
      <c r="D20" s="197">
        <v>0</v>
      </c>
      <c r="E20" s="197">
        <f>+E19/0.65-E19</f>
        <v>180821.66647570499</v>
      </c>
      <c r="F20" s="197">
        <f>+F19/0.65-F19</f>
        <v>180821.66647570499</v>
      </c>
    </row>
    <row r="21" spans="1:6" ht="15" customHeight="1">
      <c r="A21" s="65">
        <f t="shared" si="0"/>
        <v>12</v>
      </c>
      <c r="B21" s="76" t="s">
        <v>99</v>
      </c>
      <c r="C21" s="76"/>
      <c r="D21" s="316">
        <f>SUM(D18:D20)</f>
        <v>0</v>
      </c>
      <c r="E21" s="316">
        <f t="shared" ref="E21:F21" si="1">SUM(E18:E20)</f>
        <v>3513711.7435031729</v>
      </c>
      <c r="F21" s="316">
        <f t="shared" si="1"/>
        <v>3513711.7435031729</v>
      </c>
    </row>
    <row r="22" spans="1:6" ht="15" customHeight="1">
      <c r="A22" s="65">
        <f t="shared" si="0"/>
        <v>13</v>
      </c>
    </row>
    <row r="23" spans="1:6" ht="15" customHeight="1">
      <c r="A23" s="65">
        <f t="shared" si="0"/>
        <v>14</v>
      </c>
      <c r="B23" s="74" t="s">
        <v>154</v>
      </c>
      <c r="D23" s="94"/>
      <c r="E23" s="251"/>
      <c r="F23" s="240"/>
    </row>
    <row r="24" spans="1:6" ht="15" customHeight="1">
      <c r="A24" s="65">
        <f t="shared" si="0"/>
        <v>15</v>
      </c>
      <c r="B24" s="76" t="s">
        <v>111</v>
      </c>
      <c r="D24" s="198"/>
      <c r="E24" s="95"/>
      <c r="F24" s="99">
        <f>+E24-D24</f>
        <v>0</v>
      </c>
    </row>
    <row r="25" spans="1:6" ht="15" customHeight="1">
      <c r="A25" s="65">
        <f t="shared" si="0"/>
        <v>16</v>
      </c>
      <c r="B25" s="76" t="s">
        <v>112</v>
      </c>
      <c r="C25" s="70"/>
      <c r="D25" s="98"/>
      <c r="E25" s="101"/>
      <c r="F25" s="99">
        <f>+E25-D25</f>
        <v>0</v>
      </c>
    </row>
    <row r="26" spans="1:6" ht="15" customHeight="1">
      <c r="A26" s="65">
        <f t="shared" si="0"/>
        <v>17</v>
      </c>
      <c r="B26" s="76" t="s">
        <v>67</v>
      </c>
      <c r="C26" s="70"/>
      <c r="D26" s="95"/>
      <c r="E26" s="95"/>
      <c r="F26" s="99">
        <f>+E26-D26</f>
        <v>0</v>
      </c>
    </row>
    <row r="27" spans="1:6" ht="15" customHeight="1">
      <c r="A27" s="65">
        <f t="shared" si="0"/>
        <v>18</v>
      </c>
      <c r="B27" s="76" t="s">
        <v>65</v>
      </c>
      <c r="C27" s="70"/>
      <c r="D27" s="71"/>
      <c r="E27" s="102"/>
      <c r="F27" s="99">
        <f>+E27-D27</f>
        <v>0</v>
      </c>
    </row>
    <row r="28" spans="1:6" ht="15" customHeight="1">
      <c r="A28" s="65">
        <f t="shared" si="0"/>
        <v>19</v>
      </c>
      <c r="B28" s="76" t="s">
        <v>66</v>
      </c>
      <c r="C28" s="76"/>
      <c r="D28" s="318"/>
      <c r="E28" s="318"/>
      <c r="F28" s="318"/>
    </row>
    <row r="29" spans="1:6" ht="15" customHeight="1">
      <c r="A29" s="65">
        <f t="shared" si="0"/>
        <v>20</v>
      </c>
      <c r="B29" s="72" t="s">
        <v>68</v>
      </c>
      <c r="C29" s="70"/>
      <c r="D29" s="71">
        <f>SUM(D25:D28)</f>
        <v>0</v>
      </c>
      <c r="E29" s="95">
        <f>SUM(E24:E28)</f>
        <v>0</v>
      </c>
      <c r="F29" s="95">
        <f>SUM(F24:F28)</f>
        <v>0</v>
      </c>
    </row>
    <row r="30" spans="1:6" ht="15" customHeight="1">
      <c r="A30" s="65">
        <f t="shared" si="0"/>
        <v>21</v>
      </c>
      <c r="B30" s="72"/>
      <c r="C30" s="70"/>
      <c r="D30" s="71"/>
      <c r="E30" s="71"/>
      <c r="F30" s="71"/>
    </row>
    <row r="31" spans="1:6" ht="15" customHeight="1">
      <c r="A31" s="65">
        <f t="shared" si="0"/>
        <v>22</v>
      </c>
      <c r="B31" s="75" t="s">
        <v>69</v>
      </c>
      <c r="C31" s="68"/>
      <c r="D31" s="71">
        <f>D18+D29</f>
        <v>0</v>
      </c>
      <c r="E31" s="71">
        <f>E21+E29</f>
        <v>3513711.7435031729</v>
      </c>
      <c r="F31" s="71">
        <f>F21+F29</f>
        <v>3513711.7435031729</v>
      </c>
    </row>
    <row r="32" spans="1:6" ht="15" customHeight="1">
      <c r="A32" s="65">
        <f t="shared" si="0"/>
        <v>23</v>
      </c>
      <c r="B32" s="75"/>
      <c r="C32" s="68"/>
      <c r="D32" s="71"/>
      <c r="E32" s="71"/>
      <c r="F32" s="71"/>
    </row>
    <row r="33" spans="1:6" ht="15" customHeight="1" thickBot="1">
      <c r="A33" s="65">
        <f t="shared" si="0"/>
        <v>24</v>
      </c>
      <c r="B33" s="249" t="s">
        <v>148</v>
      </c>
      <c r="C33" s="72"/>
      <c r="D33" s="73"/>
      <c r="E33" s="73"/>
      <c r="F33" s="250">
        <f>F31</f>
        <v>3513711.7435031729</v>
      </c>
    </row>
    <row r="34" spans="1:6" ht="15" customHeight="1" thickTop="1">
      <c r="A34" s="65"/>
    </row>
    <row r="35" spans="1:6" ht="15" customHeight="1">
      <c r="A35" s="65"/>
      <c r="B35" s="199"/>
    </row>
    <row r="36" spans="1:6" ht="15" customHeight="1">
      <c r="A36" s="65"/>
      <c r="B36" s="200"/>
      <c r="E36" s="241"/>
      <c r="F36" s="201"/>
    </row>
    <row r="37" spans="1:6" ht="15" customHeight="1">
      <c r="E37" s="242"/>
    </row>
    <row r="38" spans="1:6" ht="15" customHeight="1">
      <c r="E38" s="239"/>
    </row>
  </sheetData>
  <mergeCells count="4">
    <mergeCell ref="A1:F1"/>
    <mergeCell ref="A2:F2"/>
    <mergeCell ref="A3:F3"/>
    <mergeCell ref="D6:F6"/>
  </mergeCells>
  <phoneticPr fontId="57" type="noConversion"/>
  <pageMargins left="0.25" right="0.25" top="1" bottom="1" header="0.5" footer="0.5"/>
  <pageSetup scale="65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E19"/>
  <sheetViews>
    <sheetView showGridLines="0" workbookViewId="0">
      <selection activeCell="E13" sqref="E13"/>
    </sheetView>
  </sheetViews>
  <sheetFormatPr defaultColWidth="9.140625" defaultRowHeight="15"/>
  <cols>
    <col min="1" max="1" width="1.85546875" style="319" customWidth="1"/>
    <col min="2" max="2" width="22.28515625" style="319" customWidth="1"/>
    <col min="3" max="3" width="1.42578125" style="319" customWidth="1"/>
    <col min="4" max="4" width="18.42578125" style="320" customWidth="1"/>
    <col min="5" max="5" width="13.85546875" style="319" customWidth="1"/>
    <col min="6" max="6" width="12.85546875" style="319" bestFit="1" customWidth="1"/>
    <col min="7" max="7" width="14.28515625" style="319" bestFit="1" customWidth="1"/>
    <col min="8" max="9" width="9.140625" style="319"/>
    <col min="10" max="10" width="11.5703125" style="319" bestFit="1" customWidth="1"/>
    <col min="11" max="11" width="14.28515625" style="319" bestFit="1" customWidth="1"/>
    <col min="12" max="16384" width="9.140625" style="319"/>
  </cols>
  <sheetData>
    <row r="1" spans="2:5" ht="15.75" thickBot="1">
      <c r="B1" s="429" t="str">
        <f>+'Hydro Summary Update'!B1</f>
        <v>#1 - Removed Cost Occurring after April 25, 2013</v>
      </c>
    </row>
    <row r="2" spans="2:5">
      <c r="B2" s="321" t="s">
        <v>128</v>
      </c>
      <c r="C2" s="322"/>
      <c r="D2" s="323"/>
      <c r="E2" s="324"/>
    </row>
    <row r="3" spans="2:5">
      <c r="B3" s="325" t="s">
        <v>129</v>
      </c>
      <c r="C3" s="326"/>
      <c r="D3" s="327" t="s">
        <v>130</v>
      </c>
      <c r="E3" s="328" t="s">
        <v>131</v>
      </c>
    </row>
    <row r="4" spans="2:5">
      <c r="B4" s="329"/>
      <c r="C4" s="326"/>
      <c r="D4" s="327" t="s">
        <v>0</v>
      </c>
      <c r="E4" s="328" t="s">
        <v>132</v>
      </c>
    </row>
    <row r="5" spans="2:5">
      <c r="B5" s="331" t="s">
        <v>115</v>
      </c>
      <c r="C5" s="332"/>
      <c r="D5" s="327"/>
      <c r="E5" s="330"/>
    </row>
    <row r="6" spans="2:5">
      <c r="B6" s="329" t="s">
        <v>232</v>
      </c>
      <c r="C6" s="326"/>
      <c r="D6" s="333">
        <v>41479</v>
      </c>
      <c r="E6" s="371">
        <f>+E13</f>
        <v>95194976.911599934</v>
      </c>
    </row>
    <row r="7" spans="2:5">
      <c r="B7" s="329" t="s">
        <v>233</v>
      </c>
      <c r="C7" s="326"/>
      <c r="D7" s="333">
        <v>41319</v>
      </c>
      <c r="E7" s="371">
        <f>+E17</f>
        <v>56867149.200900003</v>
      </c>
    </row>
    <row r="8" spans="2:5" ht="15.75" thickBot="1">
      <c r="B8" s="418" t="s">
        <v>133</v>
      </c>
      <c r="C8" s="419"/>
      <c r="D8" s="420"/>
      <c r="E8" s="421">
        <f>SUM(E6:E7)</f>
        <v>152062126.11249995</v>
      </c>
    </row>
    <row r="10" spans="2:5">
      <c r="B10" s="104"/>
      <c r="C10" s="104"/>
      <c r="D10" s="362" t="s">
        <v>221</v>
      </c>
      <c r="E10" s="363"/>
    </row>
    <row r="11" spans="2:5">
      <c r="B11" s="104"/>
      <c r="C11" s="104"/>
      <c r="D11" s="364" t="s">
        <v>199</v>
      </c>
      <c r="E11" s="365">
        <f>+'Hydro Summary Update'!E11</f>
        <v>86364534.8182666</v>
      </c>
    </row>
    <row r="12" spans="2:5">
      <c r="B12" s="104"/>
      <c r="C12" s="104"/>
      <c r="D12" s="364" t="s">
        <v>134</v>
      </c>
      <c r="E12" s="365">
        <f>+'Hydro Summary Update'!E12</f>
        <v>8830442.0933333319</v>
      </c>
    </row>
    <row r="13" spans="2:5">
      <c r="B13" s="104"/>
      <c r="C13" s="104"/>
      <c r="D13" s="366" t="s">
        <v>1</v>
      </c>
      <c r="E13" s="367">
        <f>+E11+E12</f>
        <v>95194976.911599934</v>
      </c>
    </row>
    <row r="14" spans="2:5">
      <c r="B14" s="104"/>
      <c r="C14" s="104"/>
      <c r="D14" s="362" t="s">
        <v>222</v>
      </c>
      <c r="E14" s="363"/>
    </row>
    <row r="15" spans="2:5">
      <c r="B15" s="104"/>
      <c r="C15" s="104"/>
      <c r="D15" s="364" t="s">
        <v>199</v>
      </c>
      <c r="E15" s="365">
        <f>+'Hydro Summary Update'!E15</f>
        <v>53066481.860900007</v>
      </c>
    </row>
    <row r="16" spans="2:5">
      <c r="B16" s="104"/>
      <c r="C16" s="104"/>
      <c r="D16" s="364" t="s">
        <v>134</v>
      </c>
      <c r="E16" s="365">
        <f>+'Hydro Summary Update'!E16</f>
        <v>3800667.34</v>
      </c>
    </row>
    <row r="17" spans="2:5">
      <c r="B17" s="104"/>
      <c r="C17" s="104"/>
      <c r="D17" s="366" t="s">
        <v>1</v>
      </c>
      <c r="E17" s="367">
        <f>+E15+E16</f>
        <v>56867149.200900003</v>
      </c>
    </row>
    <row r="18" spans="2:5">
      <c r="B18"/>
      <c r="C18"/>
      <c r="D18"/>
    </row>
    <row r="19" spans="2:5">
      <c r="B19"/>
      <c r="C19"/>
      <c r="D19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51"/>
  <sheetViews>
    <sheetView zoomScaleNormal="100" workbookViewId="0">
      <selection activeCell="I33" sqref="I33"/>
    </sheetView>
  </sheetViews>
  <sheetFormatPr defaultRowHeight="12.75"/>
  <cols>
    <col min="1" max="1" width="25.5703125" style="146" bestFit="1" customWidth="1"/>
    <col min="2" max="2" width="13.85546875" style="146" bestFit="1" customWidth="1"/>
    <col min="3" max="3" width="15.85546875" style="146" bestFit="1" customWidth="1"/>
    <col min="4" max="4" width="20.85546875" style="146" bestFit="1" customWidth="1"/>
    <col min="5" max="7" width="13.28515625" style="146" bestFit="1" customWidth="1"/>
    <col min="8" max="8" width="13.28515625" style="150" bestFit="1" customWidth="1"/>
    <col min="9" max="9" width="12.28515625" bestFit="1" customWidth="1"/>
  </cols>
  <sheetData>
    <row r="1" spans="1:9" ht="14.25">
      <c r="A1" s="334" t="s">
        <v>218</v>
      </c>
    </row>
    <row r="2" spans="1:9" ht="13.5" thickBot="1">
      <c r="A2" s="147"/>
      <c r="B2" s="147"/>
    </row>
    <row r="3" spans="1:9">
      <c r="A3" s="181"/>
      <c r="B3" s="182" t="s">
        <v>25</v>
      </c>
      <c r="C3" s="182" t="s">
        <v>26</v>
      </c>
      <c r="D3" s="182" t="s">
        <v>96</v>
      </c>
      <c r="E3" s="182" t="s">
        <v>210</v>
      </c>
      <c r="F3" s="182" t="s">
        <v>211</v>
      </c>
      <c r="G3" s="182" t="s">
        <v>198</v>
      </c>
      <c r="H3" s="1314" t="s">
        <v>212</v>
      </c>
      <c r="I3" s="373" t="s">
        <v>215</v>
      </c>
    </row>
    <row r="4" spans="1:9">
      <c r="A4" s="183"/>
      <c r="B4" s="179" t="s">
        <v>36</v>
      </c>
      <c r="C4" s="179"/>
      <c r="D4" s="179"/>
      <c r="E4" s="180" t="s">
        <v>147</v>
      </c>
      <c r="F4" s="180"/>
      <c r="G4" s="180"/>
      <c r="H4" s="130"/>
      <c r="I4" s="24"/>
    </row>
    <row r="5" spans="1:9">
      <c r="A5" s="184"/>
      <c r="B5" s="1" t="s">
        <v>23</v>
      </c>
      <c r="C5" s="180" t="s">
        <v>134</v>
      </c>
      <c r="D5" s="252" t="s">
        <v>204</v>
      </c>
      <c r="E5" s="252" t="s">
        <v>202</v>
      </c>
      <c r="F5" s="252" t="s">
        <v>205</v>
      </c>
      <c r="G5" s="252" t="s">
        <v>201</v>
      </c>
      <c r="H5" s="1315" t="s">
        <v>147</v>
      </c>
      <c r="I5" s="374" t="s">
        <v>216</v>
      </c>
    </row>
    <row r="6" spans="1:9" s="104" customFormat="1" ht="15">
      <c r="A6" s="148"/>
      <c r="B6" s="147"/>
      <c r="C6" s="172"/>
      <c r="D6" s="252" t="s">
        <v>200</v>
      </c>
      <c r="E6" s="252" t="s">
        <v>203</v>
      </c>
      <c r="F6" s="252" t="s">
        <v>206</v>
      </c>
      <c r="G6" s="252" t="s">
        <v>208</v>
      </c>
      <c r="H6" s="1315" t="s">
        <v>115</v>
      </c>
      <c r="I6" s="374" t="s">
        <v>6</v>
      </c>
    </row>
    <row r="7" spans="1:9" s="104" customFormat="1" ht="15">
      <c r="A7" s="148"/>
      <c r="B7" s="147"/>
      <c r="C7" s="172"/>
      <c r="D7" s="375">
        <f>ROUND(42467719.1/(25819270.7+27353668.16),2)</f>
        <v>0.8</v>
      </c>
      <c r="E7" s="252"/>
      <c r="F7" s="252"/>
      <c r="G7" s="252"/>
      <c r="H7" s="1315"/>
      <c r="I7" s="374"/>
    </row>
    <row r="8" spans="1:9" s="104" customFormat="1" ht="14.25">
      <c r="A8" s="378"/>
      <c r="B8" s="379" t="s">
        <v>25</v>
      </c>
      <c r="C8" s="379" t="s">
        <v>26</v>
      </c>
      <c r="D8" s="380" t="s">
        <v>96</v>
      </c>
      <c r="E8" s="380" t="s">
        <v>217</v>
      </c>
      <c r="F8" s="379" t="s">
        <v>209</v>
      </c>
      <c r="G8" s="381" t="s">
        <v>213</v>
      </c>
      <c r="H8" s="1316" t="s">
        <v>214</v>
      </c>
      <c r="I8" s="382" t="s">
        <v>224</v>
      </c>
    </row>
    <row r="9" spans="1:9">
      <c r="A9" s="408" t="s">
        <v>115</v>
      </c>
      <c r="B9" s="383"/>
      <c r="C9" s="383"/>
      <c r="D9" s="383"/>
      <c r="E9" s="383"/>
      <c r="F9" s="383"/>
      <c r="G9" s="383"/>
      <c r="H9" s="1317"/>
      <c r="I9" s="409"/>
    </row>
    <row r="10" spans="1:9" ht="14.25">
      <c r="A10" s="148" t="s">
        <v>233</v>
      </c>
      <c r="B10" s="173">
        <f>+'Hydro Summary'!E7</f>
        <v>56867149.200900003</v>
      </c>
      <c r="C10" s="174">
        <f>+'Hydro Summary'!E16</f>
        <v>3800667.34</v>
      </c>
      <c r="D10" s="175">
        <f>-C10*(1-$D$7)</f>
        <v>-760133.46799999976</v>
      </c>
      <c r="E10" s="384">
        <f>B10+D10</f>
        <v>56107015.732900001</v>
      </c>
      <c r="F10" s="385" t="s">
        <v>207</v>
      </c>
      <c r="G10" s="385" t="s">
        <v>207</v>
      </c>
      <c r="H10" s="1318">
        <f>IFERROR(E10-G10,E10)</f>
        <v>56107015.732900001</v>
      </c>
      <c r="I10" s="410">
        <f>+B10-H10</f>
        <v>760133.46800000221</v>
      </c>
    </row>
    <row r="11" spans="1:9" ht="14.25">
      <c r="A11" s="148" t="s">
        <v>232</v>
      </c>
      <c r="B11" s="173">
        <f>+'Hydro Summary'!E6</f>
        <v>95194976.911599934</v>
      </c>
      <c r="C11" s="174">
        <f>+'Hydro Summary'!E12</f>
        <v>8830442.0933333319</v>
      </c>
      <c r="D11" s="175">
        <f>-C11*(1-$D$7)</f>
        <v>-1766088.4186666659</v>
      </c>
      <c r="E11" s="384">
        <f t="shared" ref="E11" si="0">B11+D11</f>
        <v>93428888.492933273</v>
      </c>
      <c r="F11" s="384">
        <f>+'Treas.Grant est.'!C21</f>
        <v>25590172.558214426</v>
      </c>
      <c r="G11" s="384">
        <f>+F11*0.5</f>
        <v>12795086.279107213</v>
      </c>
      <c r="H11" s="1318">
        <f>IFERROR(E11-G11,0)</f>
        <v>80633802.21382606</v>
      </c>
      <c r="I11" s="410">
        <f>+B11-H11</f>
        <v>14561174.697773874</v>
      </c>
    </row>
    <row r="12" spans="1:9" ht="14.25">
      <c r="A12" s="411" t="s">
        <v>227</v>
      </c>
      <c r="B12" s="173"/>
      <c r="C12" s="176"/>
      <c r="D12" s="177"/>
      <c r="E12" s="178"/>
      <c r="F12" s="178"/>
      <c r="G12" s="178"/>
      <c r="H12" s="1319"/>
      <c r="I12" s="412"/>
    </row>
    <row r="13" spans="1:9" ht="15" thickBot="1">
      <c r="A13" s="413" t="s">
        <v>133</v>
      </c>
      <c r="B13" s="414">
        <f>SUM(B10:B12)</f>
        <v>152062126.11249995</v>
      </c>
      <c r="C13" s="415">
        <f>SUM(C10:C12)</f>
        <v>12631109.433333332</v>
      </c>
      <c r="D13" s="416">
        <f>SUM(D10:D12)</f>
        <v>-2526221.8866666658</v>
      </c>
      <c r="E13" s="416">
        <f t="shared" ref="E13:F13" si="1">SUM(E10:E12)</f>
        <v>149535904.22583327</v>
      </c>
      <c r="F13" s="416">
        <f t="shared" si="1"/>
        <v>25590172.558214426</v>
      </c>
      <c r="G13" s="416">
        <f t="shared" ref="G13" si="2">SUM(G10:G12)</f>
        <v>12795086.279107213</v>
      </c>
      <c r="H13" s="1320">
        <f t="shared" ref="H13:I13" si="3">SUM(H10:H12)</f>
        <v>136740817.94672605</v>
      </c>
      <c r="I13" s="417">
        <f t="shared" si="3"/>
        <v>15321308.165773876</v>
      </c>
    </row>
    <row r="14" spans="1:9" ht="14.25">
      <c r="B14" s="96"/>
      <c r="C14" s="96"/>
      <c r="D14" s="372"/>
      <c r="E14" s="376"/>
      <c r="F14" s="377"/>
      <c r="G14"/>
    </row>
    <row r="15" spans="1:9">
      <c r="A15"/>
      <c r="B15"/>
      <c r="C15"/>
      <c r="D15"/>
      <c r="E15"/>
      <c r="F15"/>
      <c r="G15"/>
    </row>
    <row r="16" spans="1:9">
      <c r="A16"/>
      <c r="B16"/>
      <c r="C16"/>
      <c r="D16"/>
      <c r="E16"/>
      <c r="F16"/>
      <c r="G16"/>
    </row>
    <row r="17" spans="1:7">
      <c r="A17"/>
      <c r="B17"/>
      <c r="C17"/>
      <c r="D17"/>
      <c r="E17"/>
      <c r="F17"/>
      <c r="G17"/>
    </row>
    <row r="18" spans="1:7">
      <c r="A18"/>
      <c r="B18"/>
      <c r="C18"/>
      <c r="D18"/>
      <c r="E18"/>
      <c r="F18"/>
      <c r="G18"/>
    </row>
    <row r="19" spans="1:7">
      <c r="A19"/>
      <c r="B19"/>
      <c r="C19"/>
      <c r="D19"/>
      <c r="E19"/>
      <c r="F19"/>
      <c r="G19"/>
    </row>
    <row r="20" spans="1:7">
      <c r="A20"/>
      <c r="B20"/>
      <c r="C20"/>
      <c r="D20"/>
      <c r="E20"/>
      <c r="F20"/>
      <c r="G20"/>
    </row>
    <row r="21" spans="1:7">
      <c r="A21"/>
      <c r="B21"/>
      <c r="C21"/>
      <c r="D21"/>
      <c r="E21"/>
      <c r="F21"/>
      <c r="G21"/>
    </row>
    <row r="22" spans="1:7">
      <c r="A22"/>
      <c r="B22"/>
      <c r="C22"/>
      <c r="D22"/>
      <c r="E22"/>
      <c r="F22"/>
      <c r="G22"/>
    </row>
    <row r="23" spans="1:7">
      <c r="A23"/>
      <c r="B23"/>
      <c r="C23"/>
      <c r="D23"/>
      <c r="E23"/>
      <c r="F23"/>
      <c r="G23"/>
    </row>
    <row r="24" spans="1:7">
      <c r="A24"/>
      <c r="B24"/>
      <c r="C24"/>
      <c r="D24"/>
      <c r="E24"/>
      <c r="F24"/>
      <c r="G24"/>
    </row>
    <row r="25" spans="1:7">
      <c r="A25"/>
      <c r="B25"/>
      <c r="C25"/>
      <c r="D25"/>
      <c r="E25"/>
      <c r="F25"/>
      <c r="G25"/>
    </row>
    <row r="26" spans="1:7">
      <c r="A26"/>
      <c r="B26"/>
      <c r="C26"/>
      <c r="D26"/>
      <c r="E26"/>
      <c r="F26"/>
      <c r="G26"/>
    </row>
    <row r="27" spans="1:7">
      <c r="A27"/>
      <c r="B27"/>
      <c r="C27"/>
      <c r="D27"/>
      <c r="E27"/>
      <c r="F27"/>
      <c r="G27"/>
    </row>
    <row r="28" spans="1:7">
      <c r="A28"/>
      <c r="B28"/>
      <c r="C28"/>
      <c r="D28"/>
      <c r="E28"/>
      <c r="F28"/>
      <c r="G28"/>
    </row>
    <row r="29" spans="1:7">
      <c r="A29"/>
      <c r="B29"/>
      <c r="C29"/>
      <c r="D29"/>
      <c r="E29"/>
      <c r="F29"/>
      <c r="G29"/>
    </row>
    <row r="30" spans="1:7">
      <c r="A30"/>
      <c r="B30"/>
      <c r="C30"/>
      <c r="D30"/>
      <c r="E30"/>
      <c r="F30"/>
      <c r="G30"/>
    </row>
    <row r="31" spans="1:7">
      <c r="A31"/>
      <c r="B31"/>
      <c r="C31"/>
      <c r="D31"/>
      <c r="E31"/>
      <c r="F31"/>
      <c r="G31"/>
    </row>
    <row r="32" spans="1:7">
      <c r="A32"/>
      <c r="B32"/>
      <c r="C32"/>
      <c r="D32"/>
      <c r="E32"/>
      <c r="F32"/>
      <c r="G32"/>
    </row>
    <row r="33" spans="1:7">
      <c r="A33"/>
      <c r="B33"/>
      <c r="C33"/>
      <c r="D33"/>
      <c r="E33"/>
      <c r="F33"/>
      <c r="G33"/>
    </row>
    <row r="34" spans="1:7">
      <c r="A34"/>
      <c r="B34"/>
      <c r="C34"/>
      <c r="D34"/>
      <c r="E34"/>
      <c r="F34"/>
      <c r="G34"/>
    </row>
    <row r="35" spans="1:7">
      <c r="A35"/>
      <c r="B35"/>
      <c r="C35"/>
      <c r="D35"/>
      <c r="E35"/>
      <c r="F35"/>
      <c r="G35"/>
    </row>
    <row r="36" spans="1:7">
      <c r="A36"/>
      <c r="B36"/>
      <c r="C36"/>
      <c r="D36"/>
      <c r="E36"/>
      <c r="F36"/>
      <c r="G36"/>
    </row>
    <row r="37" spans="1:7">
      <c r="A37"/>
      <c r="B37"/>
      <c r="C37"/>
      <c r="D37"/>
      <c r="E37"/>
      <c r="F37"/>
      <c r="G37"/>
    </row>
    <row r="38" spans="1:7">
      <c r="A38"/>
      <c r="B38"/>
      <c r="C38"/>
      <c r="D38"/>
      <c r="E38"/>
      <c r="F38"/>
      <c r="G38"/>
    </row>
    <row r="39" spans="1:7">
      <c r="A39"/>
      <c r="B39"/>
      <c r="C39"/>
      <c r="D39"/>
      <c r="E39"/>
      <c r="F39"/>
    </row>
    <row r="40" spans="1:7">
      <c r="A40"/>
      <c r="B40"/>
      <c r="C40"/>
      <c r="D40"/>
      <c r="E40"/>
      <c r="F40"/>
    </row>
    <row r="41" spans="1:7">
      <c r="A41"/>
      <c r="B41"/>
      <c r="C41"/>
      <c r="D41"/>
      <c r="E41"/>
      <c r="F41"/>
    </row>
    <row r="42" spans="1:7">
      <c r="A42"/>
      <c r="B42"/>
      <c r="C42"/>
      <c r="D42"/>
      <c r="E42"/>
      <c r="F42"/>
    </row>
    <row r="43" spans="1:7">
      <c r="A43"/>
      <c r="B43"/>
      <c r="C43"/>
      <c r="D43"/>
      <c r="E43"/>
      <c r="F43"/>
    </row>
    <row r="44" spans="1:7">
      <c r="A44"/>
      <c r="B44"/>
      <c r="C44"/>
      <c r="D44"/>
      <c r="E44"/>
      <c r="F44"/>
    </row>
    <row r="45" spans="1:7" s="150" customFormat="1">
      <c r="A45"/>
      <c r="B45"/>
      <c r="C45"/>
      <c r="D45"/>
      <c r="E45"/>
      <c r="F45" s="149"/>
      <c r="G45" s="149"/>
    </row>
    <row r="46" spans="1:7">
      <c r="A46"/>
      <c r="B46"/>
      <c r="C46"/>
      <c r="D46"/>
      <c r="E46"/>
    </row>
    <row r="47" spans="1:7">
      <c r="A47"/>
      <c r="B47"/>
      <c r="C47"/>
      <c r="D47"/>
      <c r="E47"/>
    </row>
    <row r="48" spans="1:7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</sheetData>
  <pageMargins left="0.7" right="0.7" top="0.75" bottom="0.75" header="0.3" footer="0.3"/>
  <pageSetup scale="93" orientation="landscape" cellComments="asDisplayed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2013-08-14T07:00:00+00:00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CAC510-59CE-460C-B86B-AAFA12A841CE}"/>
</file>

<file path=customXml/itemProps2.xml><?xml version="1.0" encoding="utf-8"?>
<ds:datastoreItem xmlns:ds="http://schemas.openxmlformats.org/officeDocument/2006/customXml" ds:itemID="{C5C68480-6C45-4A5C-A603-56325188C313}"/>
</file>

<file path=customXml/itemProps3.xml><?xml version="1.0" encoding="utf-8"?>
<ds:datastoreItem xmlns:ds="http://schemas.openxmlformats.org/officeDocument/2006/customXml" ds:itemID="{0E844339-8C03-4C60-BC16-EA71FC5FA344}"/>
</file>

<file path=customXml/itemProps4.xml><?xml version="1.0" encoding="utf-8"?>
<ds:datastoreItem xmlns:ds="http://schemas.openxmlformats.org/officeDocument/2006/customXml" ds:itemID="{5615FBAC-A6A4-40E9-A211-14394E4A76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Plant Info==&gt;</vt:lpstr>
      <vt:lpstr>Hydro Summary Update</vt:lpstr>
      <vt:lpstr>FSC</vt:lpstr>
      <vt:lpstr>Powerhouse</vt:lpstr>
      <vt:lpstr>Treas.Grant est. Update</vt:lpstr>
      <vt:lpstr>Adj 2.06==&gt;</vt:lpstr>
      <vt:lpstr>Lead Sheet</vt:lpstr>
      <vt:lpstr>Hydro Summary</vt:lpstr>
      <vt:lpstr>Baker Tax Basis</vt:lpstr>
      <vt:lpstr>Treas.Grant est.</vt:lpstr>
      <vt:lpstr>Book Bal</vt:lpstr>
      <vt:lpstr>Dep Rate</vt:lpstr>
      <vt:lpstr>DFIT IRS</vt:lpstr>
      <vt:lpstr>#1+#2+3 Tot Baker DFIT</vt:lpstr>
      <vt:lpstr>#1 DFIT- FSC</vt:lpstr>
      <vt:lpstr>#2 DFIT- Unit 4</vt:lpstr>
      <vt:lpstr>FSC!Print_Area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Mickelson, Christopher (UTC)</dc:creator>
  <cp:lastModifiedBy>Krista Gross</cp:lastModifiedBy>
  <dcterms:created xsi:type="dcterms:W3CDTF">2013-07-29T18:37:44Z</dcterms:created>
  <dcterms:modified xsi:type="dcterms:W3CDTF">2013-08-13T23:10:32Z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